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ctor.santamaria/Downloads/"/>
    </mc:Choice>
  </mc:AlternateContent>
  <xr:revisionPtr revIDLastSave="0" documentId="13_ncr:1_{58FE6558-E883-904C-8609-8FF0320BEEFD}" xr6:coauthVersionLast="47" xr6:coauthVersionMax="47" xr10:uidLastSave="{00000000-0000-0000-0000-000000000000}"/>
  <bookViews>
    <workbookView xWindow="-38400" yWindow="600" windowWidth="38400" windowHeight="21000" activeTab="6" xr2:uid="{00000000-000D-0000-FFFF-FFFF00000000}"/>
  </bookViews>
  <sheets>
    <sheet name="INICIO" sheetId="14" r:id="rId1"/>
    <sheet name="CURSOS" sheetId="8" r:id="rId2"/>
    <sheet name="FICHA ESTUDIANTE" sheetId="9" r:id="rId3"/>
    <sheet name="ALERTAS" sheetId="10" r:id="rId4"/>
    <sheet name="INCONSISTENCIAS" sheetId="13" r:id="rId5"/>
    <sheet name="DATOS" sheetId="6" r:id="rId6"/>
    <sheet name="Estudiantes" sheetId="1" r:id="rId7"/>
    <sheet name="Base Estudiantes" sheetId="4" r:id="rId8"/>
    <sheet name="GRUPOS" sheetId="7" r:id="rId9"/>
    <sheet name="PARAMETROS" sheetId="5" r:id="rId10"/>
    <sheet name="CALC" sheetId="15" r:id="rId11"/>
    <sheet name="Resumen por grupo" sheetId="2" r:id="rId12"/>
    <sheet name="RESPALDO_ORIGINAL" sheetId="3" r:id="rId13"/>
  </sheets>
  <externalReferences>
    <externalReference r:id="rId14"/>
  </externalReferences>
  <definedNames>
    <definedName name="_xlnm._FilterDatabase" localSheetId="7" hidden="1">'Base Estudiantes'!$A$1:$K$2042</definedName>
    <definedName name="_xlnm._FilterDatabase" localSheetId="6">Estudiantes!A1:K2128</definedName>
    <definedName name="lstAlertas">PARAMETROS!$A$24:$A$30</definedName>
    <definedName name="lstDocentes">_xlfn.ANCHORARRAY(PARAMETROS!$H$5)</definedName>
    <definedName name="lstDocentesAlertas">_xlfn.ANCHORARRAY(PARAMETROS!$K$5)</definedName>
    <definedName name="lstEstados">PARAMETROS!$A$18:$A$21</definedName>
    <definedName name="lstGrupos">_xlfn.ANCHORARRAY(PARAMETROS!$I$5)</definedName>
    <definedName name="lstGruposCurso">_xlfn.ANCHORARRAY(PARAMETROS!$J$5)</definedName>
    <definedName name="lstProgramas">_xlfn.ANCHORARRAY(PARAMETROS!$G$5)</definedName>
    <definedName name="pCaidaTend">PARAMETROS!$B$13</definedName>
    <definedName name="pDesvAnom">PARAMETROS!$B$14</definedName>
    <definedName name="pFaltasConsec">PARAMETROS!$B$11</definedName>
    <definedName name="pPrueba">PARAMETROS!$B$15</definedName>
    <definedName name="pVentanaTend">PARAMETROS!$B$12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02" i="1" l="1" a="1"/>
  <c r="Z1502" i="1" s="1"/>
  <c r="Z1503" i="1" a="1"/>
  <c r="Z1503" i="1" s="1"/>
  <c r="Z1504" i="1" a="1"/>
  <c r="Z1504" i="1" s="1"/>
  <c r="Z1505" i="1" a="1"/>
  <c r="Z1505" i="1" s="1"/>
  <c r="Z1506" i="1" a="1"/>
  <c r="Z1506" i="1" s="1"/>
  <c r="Z1507" i="1" a="1"/>
  <c r="Z1507" i="1" s="1"/>
  <c r="Z1508" i="1" a="1"/>
  <c r="Z1508" i="1" s="1"/>
  <c r="Z1509" i="1" a="1"/>
  <c r="Z1509" i="1" s="1"/>
  <c r="Z1510" i="1" a="1"/>
  <c r="Z1510" i="1" s="1"/>
  <c r="Z1511" i="1" a="1"/>
  <c r="Z1511" i="1" s="1"/>
  <c r="Z1512" i="1" a="1"/>
  <c r="Z1512" i="1" s="1"/>
  <c r="Z1513" i="1" a="1"/>
  <c r="Z1513" i="1" s="1"/>
  <c r="Z1514" i="1" a="1"/>
  <c r="Z1514" i="1" s="1"/>
  <c r="Z1515" i="1" a="1"/>
  <c r="Z1515" i="1" s="1"/>
  <c r="Z1516" i="1" a="1"/>
  <c r="Z1516" i="1" s="1"/>
  <c r="Z1517" i="1" a="1"/>
  <c r="Z1517" i="1" s="1"/>
  <c r="Z1518" i="1" a="1"/>
  <c r="Z1518" i="1" s="1"/>
  <c r="Z1519" i="1" a="1"/>
  <c r="Z1519" i="1" s="1"/>
  <c r="Z1520" i="1" a="1"/>
  <c r="Z1520" i="1" s="1"/>
  <c r="Z1521" i="1" a="1"/>
  <c r="Z1521" i="1"/>
  <c r="Z1522" i="1" a="1"/>
  <c r="Z1522" i="1" s="1"/>
  <c r="Z1523" i="1" a="1"/>
  <c r="Z1523" i="1" s="1"/>
  <c r="Z1524" i="1" a="1"/>
  <c r="Z1524" i="1" s="1"/>
  <c r="Z1525" i="1" a="1"/>
  <c r="Z1525" i="1" s="1"/>
  <c r="Z1526" i="1" a="1"/>
  <c r="Z1526" i="1" s="1"/>
  <c r="Z1527" i="1" a="1"/>
  <c r="Z1527" i="1" s="1"/>
  <c r="Z1528" i="1" a="1"/>
  <c r="Z1528" i="1" s="1"/>
  <c r="Z1529" i="1" a="1"/>
  <c r="Z1529" i="1" s="1"/>
  <c r="Z1530" i="1" a="1"/>
  <c r="Z1530" i="1" s="1"/>
  <c r="Z1531" i="1" a="1"/>
  <c r="Z1531" i="1" s="1"/>
  <c r="Z1532" i="1" a="1"/>
  <c r="Z1532" i="1" s="1"/>
  <c r="Z1533" i="1" a="1"/>
  <c r="Z1533" i="1" s="1"/>
  <c r="Z1534" i="1" a="1"/>
  <c r="Z1534" i="1" s="1"/>
  <c r="Z1535" i="1" a="1"/>
  <c r="Z1535" i="1" s="1"/>
  <c r="Z1536" i="1" a="1"/>
  <c r="Z1536" i="1" s="1"/>
  <c r="Z1537" i="1" a="1"/>
  <c r="Z1537" i="1" s="1"/>
  <c r="Z1538" i="1" a="1"/>
  <c r="Z1538" i="1" s="1"/>
  <c r="Z1539" i="1" a="1"/>
  <c r="Z1539" i="1" s="1"/>
  <c r="Z1540" i="1" a="1"/>
  <c r="Z1540" i="1" s="1"/>
  <c r="Z1541" i="1" a="1"/>
  <c r="Z1541" i="1" s="1"/>
  <c r="Z1542" i="1" a="1"/>
  <c r="Z1542" i="1"/>
  <c r="Z1543" i="1" a="1"/>
  <c r="Z1543" i="1" s="1"/>
  <c r="Z1544" i="1" a="1"/>
  <c r="Z1544" i="1" s="1"/>
  <c r="Z1545" i="1" a="1"/>
  <c r="Z1545" i="1" s="1"/>
  <c r="Z1546" i="1" a="1"/>
  <c r="Z1546" i="1" s="1"/>
  <c r="Z1547" i="1" a="1"/>
  <c r="Z1547" i="1"/>
  <c r="Z1548" i="1" a="1"/>
  <c r="Z1548" i="1" s="1"/>
  <c r="Z1549" i="1" a="1"/>
  <c r="Z1549" i="1" s="1"/>
  <c r="Z1550" i="1" a="1"/>
  <c r="Z1550" i="1" s="1"/>
  <c r="Z1551" i="1" a="1"/>
  <c r="Z1551" i="1"/>
  <c r="Z1552" i="1" a="1"/>
  <c r="Z1552" i="1" s="1"/>
  <c r="Z1553" i="1" a="1"/>
  <c r="Z1553" i="1" s="1"/>
  <c r="Z1554" i="1" a="1"/>
  <c r="Z1554" i="1" s="1"/>
  <c r="Z1555" i="1" a="1"/>
  <c r="Z1555" i="1" s="1"/>
  <c r="Z1556" i="1" a="1"/>
  <c r="Z1556" i="1" s="1"/>
  <c r="Z1557" i="1" a="1"/>
  <c r="Z1557" i="1" s="1"/>
  <c r="Z1558" i="1" a="1"/>
  <c r="Z1558" i="1" s="1"/>
  <c r="Z1559" i="1" a="1"/>
  <c r="Z1559" i="1" s="1"/>
  <c r="Z1560" i="1" a="1"/>
  <c r="Z1560" i="1" s="1"/>
  <c r="Z1561" i="1" a="1"/>
  <c r="Z1561" i="1" s="1"/>
  <c r="Z1562" i="1" a="1"/>
  <c r="Z1562" i="1"/>
  <c r="Z1563" i="1" a="1"/>
  <c r="Z1563" i="1" s="1"/>
  <c r="Z1564" i="1" a="1"/>
  <c r="Z1564" i="1" s="1"/>
  <c r="Z1565" i="1" a="1"/>
  <c r="Z1565" i="1" s="1"/>
  <c r="Z1566" i="1" a="1"/>
  <c r="Z1566" i="1" s="1"/>
  <c r="Z1567" i="1" a="1"/>
  <c r="Z1567" i="1" s="1"/>
  <c r="Z1568" i="1" a="1"/>
  <c r="Z1568" i="1" s="1"/>
  <c r="Z1569" i="1" a="1"/>
  <c r="Z1569" i="1" s="1"/>
  <c r="Z1570" i="1" a="1"/>
  <c r="Z1570" i="1" s="1"/>
  <c r="Z1571" i="1" a="1"/>
  <c r="Z1571" i="1" s="1"/>
  <c r="Z1572" i="1" a="1"/>
  <c r="Z1572" i="1"/>
  <c r="Z1573" i="1" a="1"/>
  <c r="Z1573" i="1" s="1"/>
  <c r="Z1574" i="1" a="1"/>
  <c r="Z1574" i="1" s="1"/>
  <c r="Z1575" i="1" a="1"/>
  <c r="Z1575" i="1" s="1"/>
  <c r="Z1576" i="1" a="1"/>
  <c r="Z1576" i="1" s="1"/>
  <c r="Z1577" i="1" a="1"/>
  <c r="Z1577" i="1" s="1"/>
  <c r="Z1578" i="1" a="1"/>
  <c r="Z1578" i="1" s="1"/>
  <c r="Z1579" i="1" a="1"/>
  <c r="Z1579" i="1" s="1"/>
  <c r="Z1580" i="1" a="1"/>
  <c r="Z1580" i="1" s="1"/>
  <c r="Z1581" i="1" a="1"/>
  <c r="Z1581" i="1" s="1"/>
  <c r="Z1582" i="1" a="1"/>
  <c r="Z1582" i="1" s="1"/>
  <c r="Z1583" i="1" a="1"/>
  <c r="Z1583" i="1" s="1"/>
  <c r="Z1584" i="1" a="1"/>
  <c r="Z1584" i="1" s="1"/>
  <c r="Z1585" i="1" a="1"/>
  <c r="Z1585" i="1" s="1"/>
  <c r="Z1586" i="1" a="1"/>
  <c r="Z1586" i="1" s="1"/>
  <c r="Z1587" i="1" a="1"/>
  <c r="Z1587" i="1" s="1"/>
  <c r="Z1588" i="1" a="1"/>
  <c r="Z1588" i="1" s="1"/>
  <c r="Z1589" i="1" a="1"/>
  <c r="Z1589" i="1" s="1"/>
  <c r="Z1590" i="1" a="1"/>
  <c r="Z1590" i="1" s="1"/>
  <c r="Z1591" i="1" a="1"/>
  <c r="Z1591" i="1"/>
  <c r="Z1592" i="1" a="1"/>
  <c r="Z1592" i="1"/>
  <c r="Z1593" i="1" a="1"/>
  <c r="Z1593" i="1" s="1"/>
  <c r="Z1594" i="1" a="1"/>
  <c r="Z1594" i="1" s="1"/>
  <c r="Z1595" i="1" a="1"/>
  <c r="Z1595" i="1" s="1"/>
  <c r="Z1596" i="1" a="1"/>
  <c r="Z1596" i="1"/>
  <c r="Z1597" i="1" a="1"/>
  <c r="Z1597" i="1"/>
  <c r="Z1598" i="1" a="1"/>
  <c r="Z1598" i="1" s="1"/>
  <c r="Z1599" i="1" a="1"/>
  <c r="Z1599" i="1" s="1"/>
  <c r="Z1600" i="1" a="1"/>
  <c r="Z1600" i="1" s="1"/>
  <c r="Z1601" i="1" a="1"/>
  <c r="Z1601" i="1" s="1"/>
  <c r="Z1602" i="1" a="1"/>
  <c r="Z1602" i="1" s="1"/>
  <c r="Z1603" i="1" a="1"/>
  <c r="Z1603" i="1" s="1"/>
  <c r="Z1604" i="1" a="1"/>
  <c r="Z1604" i="1" s="1"/>
  <c r="Z1605" i="1" a="1"/>
  <c r="Z1605" i="1" s="1"/>
  <c r="Z1606" i="1" a="1"/>
  <c r="Z1606" i="1" s="1"/>
  <c r="Z1607" i="1" a="1"/>
  <c r="Z1607" i="1" s="1"/>
  <c r="Z1608" i="1" a="1"/>
  <c r="Z1608" i="1" s="1"/>
  <c r="Z1609" i="1" a="1"/>
  <c r="Z1609" i="1" s="1"/>
  <c r="Z1610" i="1" a="1"/>
  <c r="Z1610" i="1" s="1"/>
  <c r="Z1611" i="1" a="1"/>
  <c r="Z1611" i="1" s="1"/>
  <c r="Z1612" i="1" a="1"/>
  <c r="Z1612" i="1" s="1"/>
  <c r="Z1613" i="1" a="1"/>
  <c r="Z1613" i="1" s="1"/>
  <c r="Z1614" i="1" a="1"/>
  <c r="Z1614" i="1" s="1"/>
  <c r="Z1615" i="1" a="1"/>
  <c r="Z1615" i="1" s="1"/>
  <c r="Z1616" i="1" a="1"/>
  <c r="Z1616" i="1" s="1"/>
  <c r="Z1617" i="1" a="1"/>
  <c r="Z1617" i="1"/>
  <c r="Z1618" i="1" a="1"/>
  <c r="Z1618" i="1" s="1"/>
  <c r="Z1619" i="1" a="1"/>
  <c r="Z1619" i="1" s="1"/>
  <c r="Z1620" i="1" a="1"/>
  <c r="Z1620" i="1" s="1"/>
  <c r="Z1621" i="1" a="1"/>
  <c r="Z1621" i="1"/>
  <c r="Z1622" i="1" a="1"/>
  <c r="Z1622" i="1" s="1"/>
  <c r="Z1623" i="1" a="1"/>
  <c r="Z1623" i="1" s="1"/>
  <c r="Z1624" i="1" a="1"/>
  <c r="Z1624" i="1" s="1"/>
  <c r="Z1625" i="1" a="1"/>
  <c r="Z1625" i="1" s="1"/>
  <c r="Z1626" i="1" a="1"/>
  <c r="Z1626" i="1" s="1"/>
  <c r="Z1627" i="1" a="1"/>
  <c r="Z1627" i="1" s="1"/>
  <c r="Z1628" i="1" a="1"/>
  <c r="Z1628" i="1" s="1"/>
  <c r="Z1629" i="1" a="1"/>
  <c r="Z1629" i="1" s="1"/>
  <c r="Z1630" i="1" a="1"/>
  <c r="Z1630" i="1" s="1"/>
  <c r="Z1631" i="1" a="1"/>
  <c r="Z1631" i="1" s="1"/>
  <c r="Z1632" i="1" a="1"/>
  <c r="Z1632" i="1" s="1"/>
  <c r="Z1633" i="1" a="1"/>
  <c r="Z1633" i="1" s="1"/>
  <c r="Z1634" i="1" a="1"/>
  <c r="Z1634" i="1" s="1"/>
  <c r="Z1635" i="1" a="1"/>
  <c r="Z1635" i="1" s="1"/>
  <c r="Z1636" i="1" a="1"/>
  <c r="Z1636" i="1" s="1"/>
  <c r="Z1637" i="1" a="1"/>
  <c r="Z1637" i="1" s="1"/>
  <c r="Z1638" i="1" a="1"/>
  <c r="Z1638" i="1" s="1"/>
  <c r="Z1639" i="1" a="1"/>
  <c r="Z1639" i="1" s="1"/>
  <c r="Z1640" i="1" a="1"/>
  <c r="Z1640" i="1" s="1"/>
  <c r="Z1641" i="1" a="1"/>
  <c r="Z1641" i="1"/>
  <c r="Z1642" i="1" a="1"/>
  <c r="Z1642" i="1" s="1"/>
  <c r="Z1643" i="1" a="1"/>
  <c r="Z1643" i="1" s="1"/>
  <c r="Z1644" i="1" a="1"/>
  <c r="Z1644" i="1" s="1"/>
  <c r="Z1645" i="1" a="1"/>
  <c r="Z1645" i="1" s="1"/>
  <c r="Z1646" i="1" a="1"/>
  <c r="Z1646" i="1"/>
  <c r="Z1647" i="1" a="1"/>
  <c r="Z1647" i="1" s="1"/>
  <c r="Z1648" i="1" a="1"/>
  <c r="Z1648" i="1" s="1"/>
  <c r="Z1649" i="1" a="1"/>
  <c r="Z1649" i="1" s="1"/>
  <c r="Z1650" i="1" a="1"/>
  <c r="Z1650" i="1" s="1"/>
  <c r="Z1651" i="1" a="1"/>
  <c r="Z1651" i="1"/>
  <c r="Z1652" i="1" a="1"/>
  <c r="Z1652" i="1" s="1"/>
  <c r="Z1653" i="1" a="1"/>
  <c r="Z1653" i="1" s="1"/>
  <c r="Z1654" i="1" a="1"/>
  <c r="Z1654" i="1" s="1"/>
  <c r="Z1655" i="1" a="1"/>
  <c r="Z1655" i="1" s="1"/>
  <c r="Z1656" i="1" a="1"/>
  <c r="Z1656" i="1" s="1"/>
  <c r="Z1657" i="1" a="1"/>
  <c r="Z1657" i="1" s="1"/>
  <c r="Z1658" i="1" a="1"/>
  <c r="Z1658" i="1" s="1"/>
  <c r="Z1659" i="1" a="1"/>
  <c r="Z1659" i="1" s="1"/>
  <c r="Z1660" i="1" a="1"/>
  <c r="Z1660" i="1" s="1"/>
  <c r="Z1661" i="1" a="1"/>
  <c r="Z1661" i="1" s="1"/>
  <c r="Z1662" i="1" a="1"/>
  <c r="Z1662" i="1" s="1"/>
  <c r="Z1663" i="1" a="1"/>
  <c r="Z1663" i="1" s="1"/>
  <c r="Z1664" i="1" a="1"/>
  <c r="Z1664" i="1" s="1"/>
  <c r="Z1665" i="1" a="1"/>
  <c r="Z1665" i="1" s="1"/>
  <c r="Z1666" i="1" a="1"/>
  <c r="Z1666" i="1" s="1"/>
  <c r="Z1667" i="1" a="1"/>
  <c r="Z1667" i="1" s="1"/>
  <c r="Z1668" i="1" a="1"/>
  <c r="Z1668" i="1" s="1"/>
  <c r="Z1669" i="1" a="1"/>
  <c r="Z1669" i="1" s="1"/>
  <c r="Z1670" i="1" a="1"/>
  <c r="Z1670" i="1" s="1"/>
  <c r="Z1671" i="1" a="1"/>
  <c r="Z1671" i="1"/>
  <c r="Z1672" i="1" a="1"/>
  <c r="Z1672" i="1" s="1"/>
  <c r="Z1673" i="1" a="1"/>
  <c r="Z1673" i="1" s="1"/>
  <c r="Z1674" i="1" a="1"/>
  <c r="Z1674" i="1" s="1"/>
  <c r="Z1675" i="1" a="1"/>
  <c r="Z1675" i="1" s="1"/>
  <c r="Z1676" i="1" a="1"/>
  <c r="Z1676" i="1" s="1"/>
  <c r="Z1677" i="1" a="1"/>
  <c r="Z1677" i="1" s="1"/>
  <c r="Z1678" i="1" a="1"/>
  <c r="Z1678" i="1" s="1"/>
  <c r="Z1679" i="1" a="1"/>
  <c r="Z1679" i="1" s="1"/>
  <c r="Z1680" i="1" a="1"/>
  <c r="Z1680" i="1" s="1"/>
  <c r="Z1681" i="1" a="1"/>
  <c r="Z1681" i="1" s="1"/>
  <c r="Z1682" i="1" a="1"/>
  <c r="Z1682" i="1" s="1"/>
  <c r="Z1683" i="1" a="1"/>
  <c r="Z1683" i="1" s="1"/>
  <c r="Z1684" i="1" a="1"/>
  <c r="Z1684" i="1" s="1"/>
  <c r="Z1685" i="1" a="1"/>
  <c r="Z1685" i="1" s="1"/>
  <c r="Z1686" i="1" a="1"/>
  <c r="Z1686" i="1" s="1"/>
  <c r="Z1687" i="1" a="1"/>
  <c r="Z1687" i="1" s="1"/>
  <c r="Z1688" i="1" a="1"/>
  <c r="Z1688" i="1" s="1"/>
  <c r="Z1689" i="1" a="1"/>
  <c r="Z1689" i="1" s="1"/>
  <c r="Z1690" i="1" a="1"/>
  <c r="Z1690" i="1" s="1"/>
  <c r="Z1691" i="1" a="1"/>
  <c r="Z1691" i="1" s="1"/>
  <c r="Z1692" i="1" a="1"/>
  <c r="Z1692" i="1" s="1"/>
  <c r="Z1693" i="1" a="1"/>
  <c r="Z1693" i="1" s="1"/>
  <c r="Z1694" i="1" a="1"/>
  <c r="Z1694" i="1" s="1"/>
  <c r="Z1695" i="1" a="1"/>
  <c r="Z1695" i="1" s="1"/>
  <c r="Z1696" i="1" a="1"/>
  <c r="Z1696" i="1" s="1"/>
  <c r="Z1697" i="1" a="1"/>
  <c r="Z1697" i="1" s="1"/>
  <c r="Z1698" i="1" a="1"/>
  <c r="Z1698" i="1" s="1"/>
  <c r="Z1699" i="1" a="1"/>
  <c r="Z1699" i="1" s="1"/>
  <c r="Z1700" i="1" a="1"/>
  <c r="Z1700" i="1" s="1"/>
  <c r="Z1701" i="1" a="1"/>
  <c r="Z1701" i="1"/>
  <c r="Z1702" i="1" a="1"/>
  <c r="Z1702" i="1" s="1"/>
  <c r="Z1703" i="1" a="1"/>
  <c r="Z1703" i="1" s="1"/>
  <c r="Z1704" i="1" a="1"/>
  <c r="Z1704" i="1" s="1"/>
  <c r="Z1705" i="1" a="1"/>
  <c r="Z1705" i="1" s="1"/>
  <c r="Z1706" i="1" a="1"/>
  <c r="Z1706" i="1" s="1"/>
  <c r="Z1707" i="1" a="1"/>
  <c r="Z1707" i="1" s="1"/>
  <c r="Z1708" i="1" a="1"/>
  <c r="Z1708" i="1" s="1"/>
  <c r="Z1709" i="1" a="1"/>
  <c r="Z1709" i="1" s="1"/>
  <c r="Z1710" i="1" a="1"/>
  <c r="Z1710" i="1" s="1"/>
  <c r="Z1711" i="1" a="1"/>
  <c r="Z1711" i="1" s="1"/>
  <c r="Z1712" i="1" a="1"/>
  <c r="Z1712" i="1"/>
  <c r="Z1713" i="1" a="1"/>
  <c r="Z1713" i="1" s="1"/>
  <c r="Z1714" i="1" a="1"/>
  <c r="Z1714" i="1" s="1"/>
  <c r="Z1715" i="1" a="1"/>
  <c r="Z1715" i="1" s="1"/>
  <c r="Z1716" i="1" a="1"/>
  <c r="Z1716" i="1" s="1"/>
  <c r="Z1717" i="1" a="1"/>
  <c r="Z1717" i="1" s="1"/>
  <c r="Z1718" i="1" a="1"/>
  <c r="Z1718" i="1" s="1"/>
  <c r="Z1719" i="1" a="1"/>
  <c r="Z1719" i="1" s="1"/>
  <c r="Z1720" i="1" a="1"/>
  <c r="Z1720" i="1" s="1"/>
  <c r="Z1721" i="1" a="1"/>
  <c r="Z1721" i="1"/>
  <c r="Z1722" i="1" a="1"/>
  <c r="Z1722" i="1"/>
  <c r="Z1723" i="1" a="1"/>
  <c r="Z1723" i="1" s="1"/>
  <c r="Z1724" i="1" a="1"/>
  <c r="Z1724" i="1" s="1"/>
  <c r="Z1725" i="1" a="1"/>
  <c r="Z1725" i="1" s="1"/>
  <c r="Z1726" i="1" a="1"/>
  <c r="Z1726" i="1" s="1"/>
  <c r="Z1727" i="1" a="1"/>
  <c r="Z1727" i="1" s="1"/>
  <c r="Z1728" i="1" a="1"/>
  <c r="Z1728" i="1" s="1"/>
  <c r="Z1729" i="1" a="1"/>
  <c r="Z1729" i="1" s="1"/>
  <c r="Z1730" i="1" a="1"/>
  <c r="Z1730" i="1" s="1"/>
  <c r="Z1731" i="1" a="1"/>
  <c r="Z1731" i="1" s="1"/>
  <c r="Z1732" i="1" a="1"/>
  <c r="Z1732" i="1" s="1"/>
  <c r="Z1733" i="1" a="1"/>
  <c r="Z1733" i="1" s="1"/>
  <c r="Z1734" i="1" a="1"/>
  <c r="Z1734" i="1" s="1"/>
  <c r="Z1735" i="1" a="1"/>
  <c r="Z1735" i="1" s="1"/>
  <c r="Z1736" i="1" a="1"/>
  <c r="Z1736" i="1" s="1"/>
  <c r="Z1737" i="1" a="1"/>
  <c r="Z1737" i="1" s="1"/>
  <c r="Z1738" i="1" a="1"/>
  <c r="Z1738" i="1" s="1"/>
  <c r="Z1739" i="1" a="1"/>
  <c r="Z1739" i="1" s="1"/>
  <c r="Z1740" i="1" a="1"/>
  <c r="Z1740" i="1" s="1"/>
  <c r="Z1741" i="1" a="1"/>
  <c r="Z1741" i="1"/>
  <c r="Z1742" i="1" a="1"/>
  <c r="Z1742" i="1"/>
  <c r="Z1743" i="1" a="1"/>
  <c r="Z1743" i="1" s="1"/>
  <c r="Z1744" i="1" a="1"/>
  <c r="Z1744" i="1" s="1"/>
  <c r="Z1745" i="1" a="1"/>
  <c r="Z1745" i="1" s="1"/>
  <c r="Z1746" i="1" a="1"/>
  <c r="Z1746" i="1" s="1"/>
  <c r="Z1747" i="1" a="1"/>
  <c r="Z1747" i="1"/>
  <c r="Z1748" i="1" a="1"/>
  <c r="Z1748" i="1" s="1"/>
  <c r="Z1749" i="1" a="1"/>
  <c r="Z1749" i="1" s="1"/>
  <c r="Z1750" i="1" a="1"/>
  <c r="Z1750" i="1" s="1"/>
  <c r="Z1751" i="1" a="1"/>
  <c r="Z1751" i="1" s="1"/>
  <c r="Z1752" i="1" a="1"/>
  <c r="Z1752" i="1" s="1"/>
  <c r="Z1753" i="1" a="1"/>
  <c r="Z1753" i="1" s="1"/>
  <c r="Z1754" i="1" a="1"/>
  <c r="Z1754" i="1" s="1"/>
  <c r="Z1755" i="1" a="1"/>
  <c r="Z1755" i="1" s="1"/>
  <c r="Z1756" i="1" a="1"/>
  <c r="Z1756" i="1" s="1"/>
  <c r="Z1757" i="1" a="1"/>
  <c r="Z1757" i="1" s="1"/>
  <c r="Z1758" i="1" a="1"/>
  <c r="Z1758" i="1" s="1"/>
  <c r="Z1759" i="1" a="1"/>
  <c r="Z1759" i="1" s="1"/>
  <c r="Z1760" i="1" a="1"/>
  <c r="Z1760" i="1" s="1"/>
  <c r="Z1761" i="1" a="1"/>
  <c r="Z1761" i="1" s="1"/>
  <c r="Z1762" i="1" a="1"/>
  <c r="Z1762" i="1" s="1"/>
  <c r="Z1763" i="1" a="1"/>
  <c r="Z1763" i="1" s="1"/>
  <c r="Z1764" i="1" a="1"/>
  <c r="Z1764" i="1" s="1"/>
  <c r="Z1765" i="1" a="1"/>
  <c r="Z1765" i="1" s="1"/>
  <c r="Z1766" i="1" a="1"/>
  <c r="Z1766" i="1" s="1"/>
  <c r="Z1767" i="1" a="1"/>
  <c r="Z1767" i="1" s="1"/>
  <c r="Z1768" i="1" a="1"/>
  <c r="Z1768" i="1" s="1"/>
  <c r="Z1769" i="1" a="1"/>
  <c r="Z1769" i="1" s="1"/>
  <c r="Z1770" i="1" a="1"/>
  <c r="Z1770" i="1" s="1"/>
  <c r="Z1771" i="1" a="1"/>
  <c r="Z1771" i="1" s="1"/>
  <c r="Z1772" i="1" a="1"/>
  <c r="Z1772" i="1"/>
  <c r="Z1773" i="1" a="1"/>
  <c r="Z1773" i="1" s="1"/>
  <c r="Z1774" i="1" a="1"/>
  <c r="Z1774" i="1" s="1"/>
  <c r="Z1775" i="1" a="1"/>
  <c r="Z1775" i="1" s="1"/>
  <c r="Z1776" i="1" a="1"/>
  <c r="Z1776" i="1" s="1"/>
  <c r="Z1777" i="1" a="1"/>
  <c r="Z1777" i="1" s="1"/>
  <c r="Z1778" i="1" a="1"/>
  <c r="Z1778" i="1" s="1"/>
  <c r="Z1779" i="1" a="1"/>
  <c r="Z1779" i="1" s="1"/>
  <c r="Z1780" i="1" a="1"/>
  <c r="Z1780" i="1" s="1"/>
  <c r="Z1781" i="1" a="1"/>
  <c r="Z1781" i="1" s="1"/>
  <c r="Z1782" i="1" a="1"/>
  <c r="Z1782" i="1" s="1"/>
  <c r="Z1783" i="1" a="1"/>
  <c r="Z1783" i="1" s="1"/>
  <c r="Z1784" i="1" a="1"/>
  <c r="Z1784" i="1" s="1"/>
  <c r="Z1785" i="1" a="1"/>
  <c r="Z1785" i="1" s="1"/>
  <c r="Z1786" i="1" a="1"/>
  <c r="Z1786" i="1" s="1"/>
  <c r="Z1787" i="1" a="1"/>
  <c r="Z1787" i="1" s="1"/>
  <c r="Z1788" i="1" a="1"/>
  <c r="Z1788" i="1" s="1"/>
  <c r="Z1789" i="1" a="1"/>
  <c r="Z1789" i="1" s="1"/>
  <c r="Z1790" i="1" a="1"/>
  <c r="Z1790" i="1" s="1"/>
  <c r="Z1791" i="1" a="1"/>
  <c r="Z1791" i="1"/>
  <c r="Z1792" i="1" a="1"/>
  <c r="Z1792" i="1" s="1"/>
  <c r="Z1793" i="1" a="1"/>
  <c r="Z1793" i="1" s="1"/>
  <c r="Z1794" i="1" a="1"/>
  <c r="Z1794" i="1" s="1"/>
  <c r="Z1795" i="1" a="1"/>
  <c r="Z1795" i="1" s="1"/>
  <c r="Z1796" i="1" a="1"/>
  <c r="Z1796" i="1" s="1"/>
  <c r="Z1797" i="1" a="1"/>
  <c r="Z1797" i="1" s="1"/>
  <c r="Z1798" i="1" a="1"/>
  <c r="Z1798" i="1" s="1"/>
  <c r="Z1799" i="1" a="1"/>
  <c r="Z1799" i="1" s="1"/>
  <c r="Z1800" i="1" a="1"/>
  <c r="Z1800" i="1" s="1"/>
  <c r="Z1801" i="1" a="1"/>
  <c r="Z1801" i="1"/>
  <c r="Z1802" i="1" a="1"/>
  <c r="Z1802" i="1"/>
  <c r="Z1803" i="1" a="1"/>
  <c r="Z1803" i="1" s="1"/>
  <c r="Z1804" i="1" a="1"/>
  <c r="Z1804" i="1" s="1"/>
  <c r="Z1805" i="1" a="1"/>
  <c r="Z1805" i="1" s="1"/>
  <c r="Z1806" i="1" a="1"/>
  <c r="Z1806" i="1" s="1"/>
  <c r="Z1807" i="1" a="1"/>
  <c r="Z1807" i="1" s="1"/>
  <c r="Z1808" i="1" a="1"/>
  <c r="Z1808" i="1" s="1"/>
  <c r="Z1809" i="1" a="1"/>
  <c r="Z1809" i="1" s="1"/>
  <c r="Z1810" i="1" a="1"/>
  <c r="Z1810" i="1" s="1"/>
  <c r="Z1811" i="1" a="1"/>
  <c r="Z1811" i="1" s="1"/>
  <c r="Z1812" i="1" a="1"/>
  <c r="Z1812" i="1" s="1"/>
  <c r="Z1813" i="1" a="1"/>
  <c r="Z1813" i="1" s="1"/>
  <c r="Z1814" i="1" a="1"/>
  <c r="Z1814" i="1" s="1"/>
  <c r="Z1815" i="1" a="1"/>
  <c r="Z1815" i="1" s="1"/>
  <c r="Z1816" i="1" a="1"/>
  <c r="Z1816" i="1" s="1"/>
  <c r="Z1817" i="1" a="1"/>
  <c r="Z1817" i="1" s="1"/>
  <c r="Z1818" i="1" a="1"/>
  <c r="Z1818" i="1" s="1"/>
  <c r="Z1819" i="1" a="1"/>
  <c r="Z1819" i="1" s="1"/>
  <c r="Z1820" i="1" a="1"/>
  <c r="Z1820" i="1" s="1"/>
  <c r="Z1821" i="1" a="1"/>
  <c r="Z1821" i="1" s="1"/>
  <c r="Z1822" i="1" a="1"/>
  <c r="Z1822" i="1" s="1"/>
  <c r="Z1823" i="1" a="1"/>
  <c r="Z1823" i="1" s="1"/>
  <c r="Z1824" i="1" a="1"/>
  <c r="Z1824" i="1" s="1"/>
  <c r="Z1825" i="1" a="1"/>
  <c r="Z1825" i="1" s="1"/>
  <c r="Z1826" i="1" a="1"/>
  <c r="Z1826" i="1" s="1"/>
  <c r="Z1827" i="1" a="1"/>
  <c r="Z1827" i="1" s="1"/>
  <c r="Z1828" i="1" a="1"/>
  <c r="Z1828" i="1" s="1"/>
  <c r="Z1829" i="1" a="1"/>
  <c r="Z1829" i="1" s="1"/>
  <c r="Z1830" i="1" a="1"/>
  <c r="Z1830" i="1" s="1"/>
  <c r="Z1831" i="1" a="1"/>
  <c r="Z1831" i="1"/>
  <c r="Z1832" i="1" a="1"/>
  <c r="Z1832" i="1" s="1"/>
  <c r="Z1833" i="1" a="1"/>
  <c r="Z1833" i="1" s="1"/>
  <c r="Z1834" i="1" a="1"/>
  <c r="Z1834" i="1" s="1"/>
  <c r="Z1835" i="1" a="1"/>
  <c r="Z1835" i="1" s="1"/>
  <c r="Z1836" i="1" a="1"/>
  <c r="Z1836" i="1" s="1"/>
  <c r="Z1837" i="1" a="1"/>
  <c r="Z1837" i="1" s="1"/>
  <c r="Z1838" i="1" a="1"/>
  <c r="Z1838" i="1" s="1"/>
  <c r="Z1839" i="1" a="1"/>
  <c r="Z1839" i="1" s="1"/>
  <c r="Z1840" i="1" a="1"/>
  <c r="Z1840" i="1" s="1"/>
  <c r="Z1841" i="1" a="1"/>
  <c r="Z1841" i="1" s="1"/>
  <c r="Z1842" i="1" a="1"/>
  <c r="Z1842" i="1" s="1"/>
  <c r="Z1843" i="1" a="1"/>
  <c r="Z1843" i="1" s="1"/>
  <c r="Z1844" i="1" a="1"/>
  <c r="Z1844" i="1" s="1"/>
  <c r="Z1845" i="1" a="1"/>
  <c r="Z1845" i="1" s="1"/>
  <c r="Z1846" i="1" a="1"/>
  <c r="Z1846" i="1" s="1"/>
  <c r="Z1847" i="1" a="1"/>
  <c r="Z1847" i="1" s="1"/>
  <c r="Z1848" i="1" a="1"/>
  <c r="Z1848" i="1" s="1"/>
  <c r="Z1849" i="1" a="1"/>
  <c r="Z1849" i="1" s="1"/>
  <c r="Z1850" i="1" a="1"/>
  <c r="Z1850" i="1" s="1"/>
  <c r="Z1851" i="1" a="1"/>
  <c r="Z1851" i="1" s="1"/>
  <c r="Z1852" i="1" a="1"/>
  <c r="Z1852" i="1" s="1"/>
  <c r="Z1853" i="1" a="1"/>
  <c r="Z1853" i="1" s="1"/>
  <c r="Z1854" i="1" a="1"/>
  <c r="Z1854" i="1" s="1"/>
  <c r="Z1855" i="1" a="1"/>
  <c r="Z1855" i="1" s="1"/>
  <c r="Z1856" i="1" a="1"/>
  <c r="Z1856" i="1" s="1"/>
  <c r="Z1857" i="1" a="1"/>
  <c r="Z1857" i="1" s="1"/>
  <c r="Z1858" i="1" a="1"/>
  <c r="Z1858" i="1" s="1"/>
  <c r="Z1859" i="1" a="1"/>
  <c r="Z1859" i="1" s="1"/>
  <c r="Z1860" i="1" a="1"/>
  <c r="Z1860" i="1" s="1"/>
  <c r="Z1861" i="1" a="1"/>
  <c r="Z1861" i="1" s="1"/>
  <c r="Z1862" i="1" a="1"/>
  <c r="Z1862" i="1"/>
  <c r="Z1863" i="1" a="1"/>
  <c r="Z1863" i="1" s="1"/>
  <c r="Z1864" i="1" a="1"/>
  <c r="Z1864" i="1" s="1"/>
  <c r="Z1865" i="1" a="1"/>
  <c r="Z1865" i="1" s="1"/>
  <c r="Z1866" i="1" a="1"/>
  <c r="Z1866" i="1" s="1"/>
  <c r="Z1867" i="1" a="1"/>
  <c r="Z1867" i="1" s="1"/>
  <c r="Z1868" i="1" a="1"/>
  <c r="Z1868" i="1" s="1"/>
  <c r="Z1869" i="1" a="1"/>
  <c r="Z1869" i="1" s="1"/>
  <c r="Z1870" i="1" a="1"/>
  <c r="Z1870" i="1" s="1"/>
  <c r="Z1871" i="1" a="1"/>
  <c r="Z1871" i="1"/>
  <c r="Z1872" i="1" a="1"/>
  <c r="Z1872" i="1" s="1"/>
  <c r="Z1873" i="1" a="1"/>
  <c r="Z1873" i="1" s="1"/>
  <c r="Z1874" i="1" a="1"/>
  <c r="Z1874" i="1" s="1"/>
  <c r="Z1875" i="1" a="1"/>
  <c r="Z1875" i="1" s="1"/>
  <c r="Z1876" i="1" a="1"/>
  <c r="Z1876" i="1" s="1"/>
  <c r="Z1877" i="1" a="1"/>
  <c r="Z1877" i="1" s="1"/>
  <c r="Z1878" i="1" a="1"/>
  <c r="Z1878" i="1" s="1"/>
  <c r="Z1879" i="1" a="1"/>
  <c r="Z1879" i="1" s="1"/>
  <c r="Z1880" i="1" a="1"/>
  <c r="Z1880" i="1" s="1"/>
  <c r="Z1881" i="1" a="1"/>
  <c r="Z1881" i="1"/>
  <c r="Z1882" i="1" a="1"/>
  <c r="Z1882" i="1" s="1"/>
  <c r="Z1883" i="1" a="1"/>
  <c r="Z1883" i="1" s="1"/>
  <c r="Z1884" i="1" a="1"/>
  <c r="Z1884" i="1" s="1"/>
  <c r="Z1885" i="1" a="1"/>
  <c r="Z1885" i="1" s="1"/>
  <c r="Z1886" i="1" a="1"/>
  <c r="Z1886" i="1" s="1"/>
  <c r="Z1887" i="1" a="1"/>
  <c r="Z1887" i="1" s="1"/>
  <c r="Z1888" i="1" a="1"/>
  <c r="Z1888" i="1" s="1"/>
  <c r="Z1889" i="1" a="1"/>
  <c r="Z1889" i="1" s="1"/>
  <c r="Z1890" i="1" a="1"/>
  <c r="Z1890" i="1"/>
  <c r="Z1891" i="1" a="1"/>
  <c r="Z1891" i="1" s="1"/>
  <c r="Z1892" i="1" a="1"/>
  <c r="Z1892" i="1" s="1"/>
  <c r="Z1893" i="1" a="1"/>
  <c r="Z1893" i="1" s="1"/>
  <c r="Z1894" i="1" a="1"/>
  <c r="Z1894" i="1" s="1"/>
  <c r="Z1895" i="1" a="1"/>
  <c r="Z1895" i="1" s="1"/>
  <c r="Z1896" i="1" a="1"/>
  <c r="Z1896" i="1" s="1"/>
  <c r="Z1897" i="1" a="1"/>
  <c r="Z1897" i="1" s="1"/>
  <c r="Z1898" i="1" a="1"/>
  <c r="Z1898" i="1" s="1"/>
  <c r="Z1899" i="1" a="1"/>
  <c r="Z1899" i="1" s="1"/>
  <c r="Z1900" i="1" a="1"/>
  <c r="Z1900" i="1"/>
  <c r="Z1901" i="1" a="1"/>
  <c r="Z1901" i="1"/>
  <c r="Z1902" i="1" a="1"/>
  <c r="Z1902" i="1" s="1"/>
  <c r="Z1903" i="1" a="1"/>
  <c r="Z1903" i="1" s="1"/>
  <c r="Z1904" i="1" a="1"/>
  <c r="Z1904" i="1" s="1"/>
  <c r="Z1905" i="1" a="1"/>
  <c r="Z1905" i="1" s="1"/>
  <c r="Z1906" i="1" a="1"/>
  <c r="Z1906" i="1" s="1"/>
  <c r="Z1907" i="1" a="1"/>
  <c r="Z1907" i="1" s="1"/>
  <c r="Z1908" i="1" a="1"/>
  <c r="Z1908" i="1" s="1"/>
  <c r="Z1909" i="1" a="1"/>
  <c r="Z1909" i="1" s="1"/>
  <c r="Z1910" i="1" a="1"/>
  <c r="Z1910" i="1" s="1"/>
  <c r="Z1911" i="1" a="1"/>
  <c r="Z1911" i="1" s="1"/>
  <c r="Z1912" i="1" a="1"/>
  <c r="Z1912" i="1" s="1"/>
  <c r="Z1913" i="1" a="1"/>
  <c r="Z1913" i="1"/>
  <c r="Z1914" i="1" a="1"/>
  <c r="Z1914" i="1" s="1"/>
  <c r="Z1915" i="1" a="1"/>
  <c r="Z1915" i="1" s="1"/>
  <c r="Z1916" i="1" a="1"/>
  <c r="Z1916" i="1" s="1"/>
  <c r="Z1917" i="1" a="1"/>
  <c r="Z1917" i="1" s="1"/>
  <c r="Z1918" i="1" a="1"/>
  <c r="Z1918" i="1" s="1"/>
  <c r="Z1919" i="1" a="1"/>
  <c r="Z1919" i="1" s="1"/>
  <c r="Z1920" i="1" a="1"/>
  <c r="Z1920" i="1" s="1"/>
  <c r="Z1921" i="1" a="1"/>
  <c r="Z1921" i="1" s="1"/>
  <c r="Z1922" i="1" a="1"/>
  <c r="Z1922" i="1"/>
  <c r="Z1923" i="1" a="1"/>
  <c r="Z1923" i="1" s="1"/>
  <c r="Z1924" i="1" a="1"/>
  <c r="Z1924" i="1" s="1"/>
  <c r="Z1925" i="1" a="1"/>
  <c r="Z1925" i="1" s="1"/>
  <c r="Z1926" i="1" a="1"/>
  <c r="Z1926" i="1" s="1"/>
  <c r="Z1927" i="1" a="1"/>
  <c r="Z1927" i="1" s="1"/>
  <c r="Z1928" i="1" a="1"/>
  <c r="Z1928" i="1" s="1"/>
  <c r="Z1929" i="1" a="1"/>
  <c r="Z1929" i="1" s="1"/>
  <c r="Z1930" i="1" a="1"/>
  <c r="Z1930" i="1" s="1"/>
  <c r="Z1931" i="1" a="1"/>
  <c r="Z1931" i="1" s="1"/>
  <c r="Z1932" i="1" a="1"/>
  <c r="Z1932" i="1"/>
  <c r="Z1933" i="1" a="1"/>
  <c r="Z1933" i="1" s="1"/>
  <c r="Z1934" i="1" a="1"/>
  <c r="Z1934" i="1" s="1"/>
  <c r="Z1935" i="1" a="1"/>
  <c r="Z1935" i="1" s="1"/>
  <c r="Z1936" i="1" a="1"/>
  <c r="Z1936" i="1" s="1"/>
  <c r="Z1937" i="1" a="1"/>
  <c r="Z1937" i="1" s="1"/>
  <c r="Z1938" i="1" a="1"/>
  <c r="Z1938" i="1" s="1"/>
  <c r="Z1939" i="1" a="1"/>
  <c r="Z1939" i="1" s="1"/>
  <c r="Z1940" i="1" a="1"/>
  <c r="Z1940" i="1" s="1"/>
  <c r="Z1941" i="1" a="1"/>
  <c r="Z1941" i="1" s="1"/>
  <c r="Z1942" i="1" a="1"/>
  <c r="Z1942" i="1" s="1"/>
  <c r="Z1943" i="1" a="1"/>
  <c r="Z1943" i="1" s="1"/>
  <c r="Z1944" i="1" a="1"/>
  <c r="Z1944" i="1" s="1"/>
  <c r="Z1945" i="1" a="1"/>
  <c r="Z1945" i="1" s="1"/>
  <c r="Z1946" i="1" a="1"/>
  <c r="Z1946" i="1" s="1"/>
  <c r="Z1947" i="1" a="1"/>
  <c r="Z1947" i="1" s="1"/>
  <c r="Z1948" i="1" a="1"/>
  <c r="Z1948" i="1" s="1"/>
  <c r="Z1949" i="1" a="1"/>
  <c r="Z1949" i="1" s="1"/>
  <c r="Z1950" i="1" a="1"/>
  <c r="Z1950" i="1" s="1"/>
  <c r="Z1951" i="1" a="1"/>
  <c r="Z1951" i="1" s="1"/>
  <c r="Z1952" i="1" a="1"/>
  <c r="Z1952" i="1" s="1"/>
  <c r="Z1953" i="1" a="1"/>
  <c r="Z1953" i="1" s="1"/>
  <c r="Z1954" i="1" a="1"/>
  <c r="Z1954" i="1" s="1"/>
  <c r="Z1955" i="1" a="1"/>
  <c r="Z1955" i="1" s="1"/>
  <c r="Z1956" i="1" a="1"/>
  <c r="Z1956" i="1" s="1"/>
  <c r="Z1957" i="1" a="1"/>
  <c r="Z1957" i="1" s="1"/>
  <c r="Z1958" i="1" a="1"/>
  <c r="Z1958" i="1" s="1"/>
  <c r="Z1959" i="1" a="1"/>
  <c r="Z1959" i="1" s="1"/>
  <c r="Z1960" i="1" a="1"/>
  <c r="Z1960" i="1" s="1"/>
  <c r="Z1961" i="1" a="1"/>
  <c r="Z1961" i="1" s="1"/>
  <c r="Z1962" i="1" a="1"/>
  <c r="Z1962" i="1" s="1"/>
  <c r="Z1963" i="1" a="1"/>
  <c r="Z1963" i="1" s="1"/>
  <c r="Z1964" i="1" a="1"/>
  <c r="Z1964" i="1" s="1"/>
  <c r="Z1965" i="1" a="1"/>
  <c r="Z1965" i="1" s="1"/>
  <c r="Z1966" i="1" a="1"/>
  <c r="Z1966" i="1" s="1"/>
  <c r="Z1967" i="1" a="1"/>
  <c r="Z1967" i="1" s="1"/>
  <c r="Z1968" i="1" a="1"/>
  <c r="Z1968" i="1" s="1"/>
  <c r="Z1969" i="1" a="1"/>
  <c r="Z1969" i="1" s="1"/>
  <c r="Z1970" i="1" a="1"/>
  <c r="Z1970" i="1" s="1"/>
  <c r="Z1971" i="1" a="1"/>
  <c r="Z1971" i="1" s="1"/>
  <c r="Z1972" i="1" a="1"/>
  <c r="Z1972" i="1" s="1"/>
  <c r="Z1973" i="1" a="1"/>
  <c r="Z1973" i="1" s="1"/>
  <c r="Z1974" i="1" a="1"/>
  <c r="Z1974" i="1" s="1"/>
  <c r="Z1975" i="1" a="1"/>
  <c r="Z1975" i="1" s="1"/>
  <c r="Z1976" i="1" a="1"/>
  <c r="Z1976" i="1" s="1"/>
  <c r="Z1977" i="1" a="1"/>
  <c r="Z1977" i="1" s="1"/>
  <c r="Z1978" i="1" a="1"/>
  <c r="Z1978" i="1" s="1"/>
  <c r="Z1979" i="1" a="1"/>
  <c r="Z1979" i="1" s="1"/>
  <c r="Z1980" i="1" a="1"/>
  <c r="Z1980" i="1" s="1"/>
  <c r="Z1981" i="1" a="1"/>
  <c r="Z1981" i="1" s="1"/>
  <c r="Z1982" i="1" a="1"/>
  <c r="Z1982" i="1" s="1"/>
  <c r="Z1983" i="1" a="1"/>
  <c r="Z1983" i="1" s="1"/>
  <c r="Z1984" i="1" a="1"/>
  <c r="Z1984" i="1" s="1"/>
  <c r="Z1985" i="1" a="1"/>
  <c r="Z1985" i="1" s="1"/>
  <c r="Z1986" i="1" a="1"/>
  <c r="Z1986" i="1" s="1"/>
  <c r="Z1987" i="1" a="1"/>
  <c r="Z1987" i="1" s="1"/>
  <c r="Z1988" i="1" a="1"/>
  <c r="Z1988" i="1" s="1"/>
  <c r="Z1989" i="1" a="1"/>
  <c r="Z1989" i="1" s="1"/>
  <c r="Z1990" i="1" a="1"/>
  <c r="Z1990" i="1" s="1"/>
  <c r="Z1991" i="1" a="1"/>
  <c r="Z1991" i="1" s="1"/>
  <c r="Z1992" i="1" a="1"/>
  <c r="Z1992" i="1" s="1"/>
  <c r="Z1993" i="1" a="1"/>
  <c r="Z1993" i="1" s="1"/>
  <c r="Z1994" i="1" a="1"/>
  <c r="Z1994" i="1" s="1"/>
  <c r="Z1995" i="1" a="1"/>
  <c r="Z1995" i="1" s="1"/>
  <c r="Z1996" i="1" a="1"/>
  <c r="Z1996" i="1" s="1"/>
  <c r="Z1997" i="1" a="1"/>
  <c r="Z1997" i="1" s="1"/>
  <c r="Z1998" i="1" a="1"/>
  <c r="Z1998" i="1" s="1"/>
  <c r="Z1999" i="1" a="1"/>
  <c r="Z1999" i="1" s="1"/>
  <c r="Z2000" i="1" a="1"/>
  <c r="Z2000" i="1" s="1"/>
  <c r="Z2001" i="1" a="1"/>
  <c r="Z2001" i="1" s="1"/>
  <c r="Z2002" i="1" a="1"/>
  <c r="Z2002" i="1" s="1"/>
  <c r="Z2003" i="1" a="1"/>
  <c r="Z2003" i="1" s="1"/>
  <c r="Z2004" i="1" a="1"/>
  <c r="Z2004" i="1" s="1"/>
  <c r="Z2005" i="1" a="1"/>
  <c r="Z2005" i="1" s="1"/>
  <c r="Z2006" i="1" a="1"/>
  <c r="Z2006" i="1" s="1"/>
  <c r="Z2007" i="1" a="1"/>
  <c r="Z2007" i="1" s="1"/>
  <c r="Z2008" i="1" a="1"/>
  <c r="Z2008" i="1" s="1"/>
  <c r="Z2009" i="1" a="1"/>
  <c r="Z2009" i="1" s="1"/>
  <c r="Z2010" i="1" a="1"/>
  <c r="Z2010" i="1" s="1"/>
  <c r="Z2011" i="1" a="1"/>
  <c r="Z2011" i="1" s="1"/>
  <c r="Z2012" i="1" a="1"/>
  <c r="Z2012" i="1" s="1"/>
  <c r="Z2013" i="1" a="1"/>
  <c r="Z2013" i="1" s="1"/>
  <c r="Z2014" i="1" a="1"/>
  <c r="Z2014" i="1" s="1"/>
  <c r="Z2015" i="1" a="1"/>
  <c r="Z2015" i="1" s="1"/>
  <c r="Z2016" i="1" a="1"/>
  <c r="Z2016" i="1" s="1"/>
  <c r="Z2017" i="1" a="1"/>
  <c r="Z2017" i="1" s="1"/>
  <c r="Z2018" i="1" a="1"/>
  <c r="Z2018" i="1" s="1"/>
  <c r="Z2019" i="1" a="1"/>
  <c r="Z2019" i="1" s="1"/>
  <c r="Z2020" i="1" a="1"/>
  <c r="Z2020" i="1" s="1"/>
  <c r="Z2021" i="1" a="1"/>
  <c r="Z2021" i="1" s="1"/>
  <c r="Z2022" i="1" a="1"/>
  <c r="Z2022" i="1" s="1"/>
  <c r="Z2023" i="1" a="1"/>
  <c r="Z2023" i="1" s="1"/>
  <c r="Z2024" i="1" a="1"/>
  <c r="Z2024" i="1" s="1"/>
  <c r="Z2025" i="1" a="1"/>
  <c r="Z2025" i="1" s="1"/>
  <c r="Z2026" i="1" a="1"/>
  <c r="Z2026" i="1" s="1"/>
  <c r="Z2027" i="1" a="1"/>
  <c r="Z2027" i="1" s="1"/>
  <c r="Z2028" i="1" a="1"/>
  <c r="Z2028" i="1" s="1"/>
  <c r="Z2029" i="1" a="1"/>
  <c r="Z2029" i="1" s="1"/>
  <c r="Z2030" i="1" a="1"/>
  <c r="Z2030" i="1" s="1"/>
  <c r="Z2031" i="1" a="1"/>
  <c r="Z2031" i="1" s="1"/>
  <c r="Z2032" i="1" a="1"/>
  <c r="Z2032" i="1" s="1"/>
  <c r="Z2033" i="1" a="1"/>
  <c r="Z2033" i="1" s="1"/>
  <c r="Z2034" i="1" a="1"/>
  <c r="Z2034" i="1" s="1"/>
  <c r="Z2035" i="1" a="1"/>
  <c r="Z2035" i="1" s="1"/>
  <c r="Z2036" i="1" a="1"/>
  <c r="Z2036" i="1" s="1"/>
  <c r="Z2037" i="1" a="1"/>
  <c r="Z2037" i="1" s="1"/>
  <c r="Z2038" i="1" a="1"/>
  <c r="Z2038" i="1" s="1"/>
  <c r="Z2039" i="1" a="1"/>
  <c r="Z2039" i="1" s="1"/>
  <c r="Z2040" i="1" a="1"/>
  <c r="Z2040" i="1" s="1"/>
  <c r="Z2041" i="1" a="1"/>
  <c r="Z2041" i="1" s="1"/>
  <c r="Z2042" i="1" a="1"/>
  <c r="Z2042" i="1" s="1"/>
  <c r="Z2043" i="1" a="1"/>
  <c r="Z2043" i="1" s="1"/>
  <c r="Z2044" i="1" a="1"/>
  <c r="Z2044" i="1" s="1"/>
  <c r="Z2045" i="1" a="1"/>
  <c r="Z2045" i="1" s="1"/>
  <c r="Z2046" i="1" a="1"/>
  <c r="Z2046" i="1" s="1"/>
  <c r="Z2047" i="1" a="1"/>
  <c r="Z2047" i="1" s="1"/>
  <c r="Z2048" i="1" a="1"/>
  <c r="Z2048" i="1" s="1"/>
  <c r="Z2049" i="1" a="1"/>
  <c r="Z2049" i="1" s="1"/>
  <c r="Z2050" i="1" a="1"/>
  <c r="Z2050" i="1" s="1"/>
  <c r="Z2051" i="1" a="1"/>
  <c r="Z2051" i="1" s="1"/>
  <c r="Z2052" i="1" a="1"/>
  <c r="Z2052" i="1" s="1"/>
  <c r="Z2053" i="1" a="1"/>
  <c r="Z2053" i="1" s="1"/>
  <c r="Z2054" i="1" a="1"/>
  <c r="Z2054" i="1" s="1"/>
  <c r="Z2055" i="1" a="1"/>
  <c r="Z2055" i="1" s="1"/>
  <c r="Z2056" i="1" a="1"/>
  <c r="Z2056" i="1" s="1"/>
  <c r="Z2057" i="1" a="1"/>
  <c r="Z2057" i="1" s="1"/>
  <c r="Z2058" i="1" a="1"/>
  <c r="Z2058" i="1" s="1"/>
  <c r="Z2059" i="1" a="1"/>
  <c r="Z2059" i="1" s="1"/>
  <c r="Z2060" i="1" a="1"/>
  <c r="Z2060" i="1" s="1"/>
  <c r="Z2061" i="1" a="1"/>
  <c r="Z2061" i="1" s="1"/>
  <c r="Z2062" i="1" a="1"/>
  <c r="Z2062" i="1" s="1"/>
  <c r="Z2063" i="1" a="1"/>
  <c r="Z2063" i="1" s="1"/>
  <c r="Z2064" i="1" a="1"/>
  <c r="Z2064" i="1" s="1"/>
  <c r="Z2065" i="1" a="1"/>
  <c r="Z2065" i="1" s="1"/>
  <c r="Z2066" i="1" a="1"/>
  <c r="Z2066" i="1" s="1"/>
  <c r="Z2067" i="1" a="1"/>
  <c r="Z2067" i="1" s="1"/>
  <c r="Z2068" i="1" a="1"/>
  <c r="Z2068" i="1" s="1"/>
  <c r="Z2069" i="1" a="1"/>
  <c r="Z2069" i="1" s="1"/>
  <c r="Z2070" i="1" a="1"/>
  <c r="Z2070" i="1" s="1"/>
  <c r="Z2071" i="1" a="1"/>
  <c r="Z2071" i="1" s="1"/>
  <c r="Z2072" i="1" a="1"/>
  <c r="Z2072" i="1" s="1"/>
  <c r="Z2073" i="1" a="1"/>
  <c r="Z2073" i="1" s="1"/>
  <c r="Z2074" i="1" a="1"/>
  <c r="Z2074" i="1" s="1"/>
  <c r="Z2075" i="1" a="1"/>
  <c r="Z2075" i="1" s="1"/>
  <c r="Z2076" i="1" a="1"/>
  <c r="Z2076" i="1" s="1"/>
  <c r="Z2077" i="1" a="1"/>
  <c r="Z2077" i="1" s="1"/>
  <c r="Z2078" i="1" a="1"/>
  <c r="Z2078" i="1" s="1"/>
  <c r="Z2079" i="1" a="1"/>
  <c r="Z2079" i="1" s="1"/>
  <c r="Z2080" i="1" a="1"/>
  <c r="Z2080" i="1" s="1"/>
  <c r="Z2081" i="1" a="1"/>
  <c r="Z2081" i="1" s="1"/>
  <c r="Z2082" i="1" a="1"/>
  <c r="Z2082" i="1" s="1"/>
  <c r="Z2083" i="1" a="1"/>
  <c r="Z2083" i="1" s="1"/>
  <c r="Z2084" i="1" a="1"/>
  <c r="Z2084" i="1" s="1"/>
  <c r="Z2085" i="1" a="1"/>
  <c r="Z2085" i="1" s="1"/>
  <c r="Z2086" i="1" a="1"/>
  <c r="Z2086" i="1" s="1"/>
  <c r="Z2087" i="1" a="1"/>
  <c r="Z2087" i="1" s="1"/>
  <c r="Z2088" i="1" a="1"/>
  <c r="Z2088" i="1" s="1"/>
  <c r="Z2089" i="1" a="1"/>
  <c r="Z2089" i="1" s="1"/>
  <c r="Z2090" i="1" a="1"/>
  <c r="Z2090" i="1" s="1"/>
  <c r="Z2091" i="1" a="1"/>
  <c r="Z2091" i="1" s="1"/>
  <c r="Z2092" i="1" a="1"/>
  <c r="Z2092" i="1" s="1"/>
  <c r="Z2093" i="1" a="1"/>
  <c r="Z2093" i="1" s="1"/>
  <c r="Z2094" i="1" a="1"/>
  <c r="Z2094" i="1" s="1"/>
  <c r="Z2095" i="1" a="1"/>
  <c r="Z2095" i="1" s="1"/>
  <c r="Z2096" i="1" a="1"/>
  <c r="Z2096" i="1" s="1"/>
  <c r="Z2097" i="1" a="1"/>
  <c r="Z2097" i="1" s="1"/>
  <c r="Z2098" i="1" a="1"/>
  <c r="Z2098" i="1" s="1"/>
  <c r="Z2099" i="1" a="1"/>
  <c r="Z2099" i="1" s="1"/>
  <c r="Z2100" i="1" a="1"/>
  <c r="Z2100" i="1" s="1"/>
  <c r="Z2101" i="1" a="1"/>
  <c r="Z2101" i="1" s="1"/>
  <c r="Z2102" i="1" a="1"/>
  <c r="Z2102" i="1" s="1"/>
  <c r="Z2103" i="1" a="1"/>
  <c r="Z2103" i="1" s="1"/>
  <c r="Z2104" i="1" a="1"/>
  <c r="Z2104" i="1" s="1"/>
  <c r="Z2105" i="1" a="1"/>
  <c r="Z2105" i="1" s="1"/>
  <c r="Z2106" i="1" a="1"/>
  <c r="Z2106" i="1" s="1"/>
  <c r="Z2107" i="1" a="1"/>
  <c r="Z2107" i="1" s="1"/>
  <c r="Z2108" i="1" a="1"/>
  <c r="Z2108" i="1" s="1"/>
  <c r="Z2109" i="1" a="1"/>
  <c r="Z2109" i="1" s="1"/>
  <c r="Z2110" i="1" a="1"/>
  <c r="Z2110" i="1" s="1"/>
  <c r="Z2111" i="1" a="1"/>
  <c r="Z2111" i="1" s="1"/>
  <c r="Z2112" i="1" a="1"/>
  <c r="Z2112" i="1" s="1"/>
  <c r="Z2113" i="1" a="1"/>
  <c r="Z2113" i="1" s="1"/>
  <c r="Z2114" i="1" a="1"/>
  <c r="Z2114" i="1" s="1"/>
  <c r="Z2115" i="1" a="1"/>
  <c r="Z2115" i="1" s="1"/>
  <c r="Z2116" i="1" a="1"/>
  <c r="Z2116" i="1" s="1"/>
  <c r="Z2117" i="1" a="1"/>
  <c r="Z2117" i="1" s="1"/>
  <c r="Z2118" i="1" a="1"/>
  <c r="Z2118" i="1" s="1"/>
  <c r="Z2119" i="1" a="1"/>
  <c r="Z2119" i="1" s="1"/>
  <c r="Z2120" i="1" a="1"/>
  <c r="Z2120" i="1" s="1"/>
  <c r="Z2121" i="1" a="1"/>
  <c r="Z2121" i="1" s="1"/>
  <c r="Z2122" i="1" a="1"/>
  <c r="Z2122" i="1" s="1"/>
  <c r="Z2123" i="1" a="1"/>
  <c r="Z2123" i="1" s="1"/>
  <c r="Z2124" i="1" a="1"/>
  <c r="Z2124" i="1" s="1"/>
  <c r="Z2125" i="1" a="1"/>
  <c r="Z2125" i="1" s="1"/>
  <c r="Z2126" i="1" a="1"/>
  <c r="Z2126" i="1" s="1"/>
  <c r="Z2127" i="1" a="1"/>
  <c r="Z2127" i="1" s="1"/>
  <c r="Z2128" i="1" a="1"/>
  <c r="Z2128" i="1" s="1"/>
  <c r="Z2" i="1" a="1"/>
  <c r="Z2" i="1" s="1"/>
  <c r="Z3" i="1" a="1"/>
  <c r="Z3" i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/>
  <c r="Z28" i="1" a="1"/>
  <c r="Z28" i="1" s="1"/>
  <c r="Z29" i="1" a="1"/>
  <c r="Z29" i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/>
  <c r="Z66" i="1" a="1"/>
  <c r="Z66" i="1" s="1"/>
  <c r="Z67" i="1" a="1"/>
  <c r="Z67" i="1"/>
  <c r="Z68" i="1" a="1"/>
  <c r="Z68" i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/>
  <c r="Z78" i="1" a="1"/>
  <c r="Z78" i="1" s="1"/>
  <c r="Z79" i="1" a="1"/>
  <c r="Z79" i="1" s="1"/>
  <c r="Z80" i="1" a="1"/>
  <c r="Z80" i="1" s="1"/>
  <c r="Z81" i="1" a="1"/>
  <c r="Z81" i="1" s="1"/>
  <c r="Z82" i="1" a="1"/>
  <c r="Z82" i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/>
  <c r="Z89" i="1" a="1"/>
  <c r="Z89" i="1" s="1"/>
  <c r="Z90" i="1" a="1"/>
  <c r="Z90" i="1" s="1"/>
  <c r="Z91" i="1" a="1"/>
  <c r="Z91" i="1" s="1"/>
  <c r="Z92" i="1" a="1"/>
  <c r="Z92" i="1" s="1"/>
  <c r="Z93" i="1" a="1"/>
  <c r="Z93" i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/>
  <c r="Z119" i="1" a="1"/>
  <c r="Z119" i="1" s="1"/>
  <c r="Z120" i="1" a="1"/>
  <c r="Z120" i="1" s="1"/>
  <c r="Z121" i="1" a="1"/>
  <c r="Z121" i="1" s="1"/>
  <c r="Z122" i="1" a="1"/>
  <c r="Z122" i="1" s="1"/>
  <c r="Z123" i="1" a="1"/>
  <c r="Z123" i="1" s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/>
  <c r="Z133" i="1" a="1"/>
  <c r="Z133" i="1" s="1"/>
  <c r="Z134" i="1" a="1"/>
  <c r="Z134" i="1" s="1"/>
  <c r="Z135" i="1" a="1"/>
  <c r="Z135" i="1" s="1"/>
  <c r="Z136" i="1" a="1"/>
  <c r="Z136" i="1" s="1"/>
  <c r="Z137" i="1" a="1"/>
  <c r="Z137" i="1" s="1"/>
  <c r="Z138" i="1" a="1"/>
  <c r="Z138" i="1"/>
  <c r="Z139" i="1" a="1"/>
  <c r="Z139" i="1"/>
  <c r="Z140" i="1" a="1"/>
  <c r="Z140" i="1" s="1"/>
  <c r="Z141" i="1" a="1"/>
  <c r="Z141" i="1" s="1"/>
  <c r="Z142" i="1" a="1"/>
  <c r="Z142" i="1" s="1"/>
  <c r="Z143" i="1" a="1"/>
  <c r="Z143" i="1" s="1"/>
  <c r="Z144" i="1" a="1"/>
  <c r="Z144" i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/>
  <c r="Z151" i="1" a="1"/>
  <c r="Z151" i="1" s="1"/>
  <c r="Z152" i="1" a="1"/>
  <c r="Z152" i="1" s="1"/>
  <c r="Z153" i="1" a="1"/>
  <c r="Z153" i="1" s="1"/>
  <c r="Z154" i="1" a="1"/>
  <c r="Z154" i="1"/>
  <c r="Z155" i="1" a="1"/>
  <c r="Z155" i="1" s="1"/>
  <c r="Z156" i="1" a="1"/>
  <c r="Z156" i="1" s="1"/>
  <c r="Z157" i="1" a="1"/>
  <c r="Z157" i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/>
  <c r="Z179" i="1" a="1"/>
  <c r="Z179" i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 s="1"/>
  <c r="Z197" i="1" a="1"/>
  <c r="Z197" i="1" s="1"/>
  <c r="Z198" i="1" a="1"/>
  <c r="Z198" i="1"/>
  <c r="Z199" i="1" a="1"/>
  <c r="Z199" i="1" s="1"/>
  <c r="Z200" i="1" a="1"/>
  <c r="Z200" i="1"/>
  <c r="Z201" i="1" a="1"/>
  <c r="Z201" i="1" s="1"/>
  <c r="Z202" i="1" a="1"/>
  <c r="Z202" i="1" s="1"/>
  <c r="Z203" i="1" a="1"/>
  <c r="Z203" i="1" s="1"/>
  <c r="Z204" i="1" a="1"/>
  <c r="Z204" i="1" s="1"/>
  <c r="Z205" i="1" a="1"/>
  <c r="Z205" i="1" s="1"/>
  <c r="Z206" i="1" a="1"/>
  <c r="Z206" i="1" s="1"/>
  <c r="Z207" i="1" a="1"/>
  <c r="Z207" i="1"/>
  <c r="Z208" i="1" a="1"/>
  <c r="Z208" i="1" s="1"/>
  <c r="Z209" i="1" a="1"/>
  <c r="Z209" i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/>
  <c r="Z216" i="1" a="1"/>
  <c r="Z216" i="1" s="1"/>
  <c r="Z217" i="1" a="1"/>
  <c r="Z217" i="1"/>
  <c r="Z218" i="1" a="1"/>
  <c r="Z218" i="1"/>
  <c r="Z219" i="1" a="1"/>
  <c r="Z219" i="1" s="1"/>
  <c r="Z220" i="1" a="1"/>
  <c r="Z220" i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232" i="1" a="1"/>
  <c r="Z232" i="1"/>
  <c r="Z233" i="1" a="1"/>
  <c r="Z233" i="1" s="1"/>
  <c r="Z234" i="1" a="1"/>
  <c r="Z234" i="1" s="1"/>
  <c r="Z235" i="1" a="1"/>
  <c r="Z235" i="1" s="1"/>
  <c r="Z236" i="1" a="1"/>
  <c r="Z236" i="1" s="1"/>
  <c r="Z237" i="1" a="1"/>
  <c r="Z237" i="1" s="1"/>
  <c r="Z238" i="1" a="1"/>
  <c r="Z238" i="1" s="1"/>
  <c r="Z239" i="1" a="1"/>
  <c r="Z239" i="1" s="1"/>
  <c r="Z240" i="1" a="1"/>
  <c r="Z240" i="1" s="1"/>
  <c r="Z241" i="1" a="1"/>
  <c r="Z241" i="1" s="1"/>
  <c r="Z242" i="1" a="1"/>
  <c r="Z242" i="1" s="1"/>
  <c r="Z243" i="1" a="1"/>
  <c r="Z243" i="1"/>
  <c r="Z244" i="1" a="1"/>
  <c r="Z244" i="1" s="1"/>
  <c r="Z245" i="1" a="1"/>
  <c r="Z245" i="1" s="1"/>
  <c r="Z246" i="1" a="1"/>
  <c r="Z246" i="1" s="1"/>
  <c r="Z247" i="1" a="1"/>
  <c r="Z247" i="1" s="1"/>
  <c r="Z248" i="1" a="1"/>
  <c r="Z248" i="1" s="1"/>
  <c r="Z249" i="1" a="1"/>
  <c r="Z249" i="1" s="1"/>
  <c r="Z250" i="1" a="1"/>
  <c r="Z250" i="1" s="1"/>
  <c r="Z251" i="1" a="1"/>
  <c r="Z251" i="1" s="1"/>
  <c r="Z252" i="1" a="1"/>
  <c r="Z252" i="1" s="1"/>
  <c r="Z253" i="1" a="1"/>
  <c r="Z253" i="1" s="1"/>
  <c r="Z254" i="1" a="1"/>
  <c r="Z254" i="1" s="1"/>
  <c r="Z255" i="1" a="1"/>
  <c r="Z255" i="1" s="1"/>
  <c r="Z256" i="1" a="1"/>
  <c r="Z256" i="1" s="1"/>
  <c r="Z257" i="1" a="1"/>
  <c r="Z257" i="1" s="1"/>
  <c r="Z258" i="1" a="1"/>
  <c r="Z258" i="1" s="1"/>
  <c r="Z259" i="1" a="1"/>
  <c r="Z259" i="1" s="1"/>
  <c r="Z260" i="1" a="1"/>
  <c r="Z260" i="1" s="1"/>
  <c r="Z261" i="1" a="1"/>
  <c r="Z261" i="1" s="1"/>
  <c r="Z262" i="1" a="1"/>
  <c r="Z262" i="1" s="1"/>
  <c r="Z263" i="1" a="1"/>
  <c r="Z263" i="1" s="1"/>
  <c r="Z264" i="1" a="1"/>
  <c r="Z264" i="1" s="1"/>
  <c r="Z265" i="1" a="1"/>
  <c r="Z265" i="1" s="1"/>
  <c r="Z266" i="1" a="1"/>
  <c r="Z266" i="1" s="1"/>
  <c r="Z267" i="1" a="1"/>
  <c r="Z267" i="1" s="1"/>
  <c r="Z268" i="1" a="1"/>
  <c r="Z268" i="1"/>
  <c r="Z269" i="1" a="1"/>
  <c r="Z269" i="1" s="1"/>
  <c r="Z270" i="1" a="1"/>
  <c r="Z270" i="1" s="1"/>
  <c r="Z271" i="1" a="1"/>
  <c r="Z271" i="1" s="1"/>
  <c r="Z272" i="1" a="1"/>
  <c r="Z272" i="1" s="1"/>
  <c r="Z273" i="1" a="1"/>
  <c r="Z273" i="1" s="1"/>
  <c r="Z274" i="1" a="1"/>
  <c r="Z274" i="1" s="1"/>
  <c r="Z275" i="1" a="1"/>
  <c r="Z275" i="1" s="1"/>
  <c r="Z276" i="1" a="1"/>
  <c r="Z276" i="1" s="1"/>
  <c r="Z277" i="1" a="1"/>
  <c r="Z277" i="1" s="1"/>
  <c r="Z278" i="1" a="1"/>
  <c r="Z278" i="1"/>
  <c r="Z279" i="1" a="1"/>
  <c r="Z279" i="1"/>
  <c r="Z280" i="1" a="1"/>
  <c r="Z280" i="1" s="1"/>
  <c r="Z281" i="1" a="1"/>
  <c r="Z281" i="1" s="1"/>
  <c r="Z282" i="1" a="1"/>
  <c r="Z282" i="1" s="1"/>
  <c r="Z283" i="1" a="1"/>
  <c r="Z283" i="1" s="1"/>
  <c r="Z284" i="1" a="1"/>
  <c r="Z284" i="1" s="1"/>
  <c r="Z285" i="1" a="1"/>
  <c r="Z285" i="1" s="1"/>
  <c r="Z286" i="1" a="1"/>
  <c r="Z286" i="1" s="1"/>
  <c r="Z287" i="1" a="1"/>
  <c r="Z287" i="1" s="1"/>
  <c r="Z288" i="1" a="1"/>
  <c r="Z288" i="1" s="1"/>
  <c r="Z289" i="1" a="1"/>
  <c r="Z289" i="1" s="1"/>
  <c r="Z290" i="1" a="1"/>
  <c r="Z290" i="1" s="1"/>
  <c r="Z291" i="1" a="1"/>
  <c r="Z291" i="1" s="1"/>
  <c r="Z292" i="1" a="1"/>
  <c r="Z292" i="1" s="1"/>
  <c r="Z293" i="1" a="1"/>
  <c r="Z293" i="1"/>
  <c r="Z294" i="1" a="1"/>
  <c r="Z294" i="1" s="1"/>
  <c r="Z295" i="1" a="1"/>
  <c r="Z295" i="1" s="1"/>
  <c r="Z296" i="1" a="1"/>
  <c r="Z296" i="1" s="1"/>
  <c r="Z297" i="1" a="1"/>
  <c r="Z297" i="1" s="1"/>
  <c r="Z298" i="1" a="1"/>
  <c r="Z298" i="1" s="1"/>
  <c r="Z299" i="1" a="1"/>
  <c r="Z299" i="1"/>
  <c r="Z300" i="1" a="1"/>
  <c r="Z300" i="1" s="1"/>
  <c r="Z301" i="1" a="1"/>
  <c r="Z301" i="1" s="1"/>
  <c r="Z302" i="1" a="1"/>
  <c r="Z302" i="1" s="1"/>
  <c r="Z303" i="1" a="1"/>
  <c r="Z303" i="1" s="1"/>
  <c r="Z304" i="1" a="1"/>
  <c r="Z304" i="1"/>
  <c r="Z305" i="1" a="1"/>
  <c r="Z305" i="1" s="1"/>
  <c r="Z306" i="1" a="1"/>
  <c r="Z306" i="1" s="1"/>
  <c r="Z307" i="1" a="1"/>
  <c r="Z307" i="1" s="1"/>
  <c r="Z308" i="1" a="1"/>
  <c r="Z308" i="1" s="1"/>
  <c r="Z309" i="1" a="1"/>
  <c r="Z309" i="1" s="1"/>
  <c r="Z310" i="1" a="1"/>
  <c r="Z310" i="1" s="1"/>
  <c r="Z311" i="1" a="1"/>
  <c r="Z311" i="1" s="1"/>
  <c r="Z312" i="1" a="1"/>
  <c r="Z312" i="1" s="1"/>
  <c r="Z313" i="1" a="1"/>
  <c r="Z313" i="1" s="1"/>
  <c r="Z314" i="1" a="1"/>
  <c r="Z314" i="1"/>
  <c r="Z315" i="1" a="1"/>
  <c r="Z315" i="1" s="1"/>
  <c r="Z316" i="1" a="1"/>
  <c r="Z316" i="1" s="1"/>
  <c r="Z317" i="1" a="1"/>
  <c r="Z317" i="1"/>
  <c r="Z318" i="1" a="1"/>
  <c r="Z318" i="1" s="1"/>
  <c r="Z319" i="1" a="1"/>
  <c r="Z319" i="1" s="1"/>
  <c r="Z320" i="1" a="1"/>
  <c r="Z320" i="1" s="1"/>
  <c r="Z321" i="1" a="1"/>
  <c r="Z321" i="1" s="1"/>
  <c r="Z322" i="1" a="1"/>
  <c r="Z322" i="1" s="1"/>
  <c r="Z323" i="1" a="1"/>
  <c r="Z323" i="1" s="1"/>
  <c r="Z324" i="1" a="1"/>
  <c r="Z324" i="1" s="1"/>
  <c r="Z325" i="1" a="1"/>
  <c r="Z325" i="1"/>
  <c r="Z326" i="1" a="1"/>
  <c r="Z326" i="1" s="1"/>
  <c r="Z327" i="1" a="1"/>
  <c r="Z327" i="1" s="1"/>
  <c r="Z328" i="1" a="1"/>
  <c r="Z328" i="1" s="1"/>
  <c r="Z329" i="1" a="1"/>
  <c r="Z329" i="1"/>
  <c r="Z330" i="1" a="1"/>
  <c r="Z330" i="1" s="1"/>
  <c r="Z331" i="1" a="1"/>
  <c r="Z331" i="1" s="1"/>
  <c r="Z332" i="1" a="1"/>
  <c r="Z332" i="1"/>
  <c r="Z333" i="1" a="1"/>
  <c r="Z333" i="1" s="1"/>
  <c r="Z334" i="1" a="1"/>
  <c r="Z334" i="1" s="1"/>
  <c r="Z335" i="1" a="1"/>
  <c r="Z335" i="1" s="1"/>
  <c r="Z336" i="1" a="1"/>
  <c r="Z336" i="1" s="1"/>
  <c r="Z337" i="1" a="1"/>
  <c r="Z337" i="1" s="1"/>
  <c r="Z338" i="1" a="1"/>
  <c r="Z338" i="1" s="1"/>
  <c r="Z339" i="1" a="1"/>
  <c r="Z339" i="1"/>
  <c r="Z340" i="1" a="1"/>
  <c r="Z340" i="1"/>
  <c r="Z341" i="1" a="1"/>
  <c r="Z341" i="1" s="1"/>
  <c r="Z342" i="1" a="1"/>
  <c r="Z342" i="1"/>
  <c r="Z343" i="1" a="1"/>
  <c r="Z343" i="1"/>
  <c r="Z344" i="1" a="1"/>
  <c r="Z344" i="1" s="1"/>
  <c r="Z345" i="1" a="1"/>
  <c r="Z345" i="1" s="1"/>
  <c r="Z346" i="1" a="1"/>
  <c r="Z346" i="1" s="1"/>
  <c r="Z347" i="1" a="1"/>
  <c r="Z347" i="1" s="1"/>
  <c r="Z348" i="1" a="1"/>
  <c r="Z348" i="1" s="1"/>
  <c r="Z349" i="1" a="1"/>
  <c r="Z349" i="1" s="1"/>
  <c r="Z350" i="1" a="1"/>
  <c r="Z350" i="1"/>
  <c r="Z351" i="1" a="1"/>
  <c r="Z351" i="1" s="1"/>
  <c r="Z352" i="1" a="1"/>
  <c r="Z352" i="1" s="1"/>
  <c r="Z353" i="1" a="1"/>
  <c r="Z353" i="1" s="1"/>
  <c r="Z354" i="1" a="1"/>
  <c r="Z354" i="1" s="1"/>
  <c r="Z355" i="1" a="1"/>
  <c r="Z355" i="1" s="1"/>
  <c r="Z356" i="1" a="1"/>
  <c r="Z356" i="1" s="1"/>
  <c r="Z357" i="1" a="1"/>
  <c r="Z357" i="1"/>
  <c r="Z358" i="1" a="1"/>
  <c r="Z358" i="1" s="1"/>
  <c r="Z359" i="1" a="1"/>
  <c r="Z359" i="1" s="1"/>
  <c r="Z360" i="1" a="1"/>
  <c r="Z360" i="1" s="1"/>
  <c r="Z361" i="1" a="1"/>
  <c r="Z361" i="1" s="1"/>
  <c r="Z362" i="1" a="1"/>
  <c r="Z362" i="1" s="1"/>
  <c r="Z363" i="1" a="1"/>
  <c r="Z363" i="1" s="1"/>
  <c r="Z364" i="1" a="1"/>
  <c r="Z364" i="1" s="1"/>
  <c r="Z365" i="1" a="1"/>
  <c r="Z365" i="1"/>
  <c r="Z366" i="1" a="1"/>
  <c r="Z366" i="1" s="1"/>
  <c r="Z367" i="1" a="1"/>
  <c r="Z367" i="1"/>
  <c r="Z368" i="1" a="1"/>
  <c r="Z368" i="1"/>
  <c r="Z369" i="1" a="1"/>
  <c r="Z369" i="1" s="1"/>
  <c r="Z370" i="1" a="1"/>
  <c r="Z370" i="1" s="1"/>
  <c r="Z371" i="1" a="1"/>
  <c r="Z371" i="1" s="1"/>
  <c r="Z372" i="1" a="1"/>
  <c r="Z372" i="1" s="1"/>
  <c r="Z373" i="1" a="1"/>
  <c r="Z373" i="1" s="1"/>
  <c r="Z374" i="1" a="1"/>
  <c r="Z374" i="1" s="1"/>
  <c r="Z375" i="1" a="1"/>
  <c r="Z375" i="1"/>
  <c r="Z376" i="1" a="1"/>
  <c r="Z376" i="1" s="1"/>
  <c r="Z377" i="1" a="1"/>
  <c r="Z377" i="1" s="1"/>
  <c r="Z378" i="1" a="1"/>
  <c r="Z378" i="1"/>
  <c r="Z379" i="1" a="1"/>
  <c r="Z379" i="1" s="1"/>
  <c r="Z380" i="1" a="1"/>
  <c r="Z380" i="1" s="1"/>
  <c r="Z381" i="1" a="1"/>
  <c r="Z381" i="1" s="1"/>
  <c r="Z382" i="1" a="1"/>
  <c r="Z382" i="1"/>
  <c r="Z383" i="1" a="1"/>
  <c r="Z383" i="1" s="1"/>
  <c r="Z384" i="1" a="1"/>
  <c r="Z384" i="1" s="1"/>
  <c r="Z385" i="1" a="1"/>
  <c r="Z385" i="1" s="1"/>
  <c r="Z386" i="1" a="1"/>
  <c r="Z386" i="1" s="1"/>
  <c r="Z387" i="1" a="1"/>
  <c r="Z387" i="1" s="1"/>
  <c r="Z388" i="1" a="1"/>
  <c r="Z388" i="1"/>
  <c r="Z389" i="1" a="1"/>
  <c r="Z389" i="1"/>
  <c r="Z390" i="1" a="1"/>
  <c r="Z390" i="1" s="1"/>
  <c r="Z391" i="1" a="1"/>
  <c r="Z391" i="1" s="1"/>
  <c r="Z392" i="1" a="1"/>
  <c r="Z392" i="1"/>
  <c r="Z393" i="1" a="1"/>
  <c r="Z393" i="1" s="1"/>
  <c r="Z394" i="1" a="1"/>
  <c r="Z394" i="1" s="1"/>
  <c r="Z395" i="1" a="1"/>
  <c r="Z395" i="1" s="1"/>
  <c r="Z396" i="1" a="1"/>
  <c r="Z396" i="1" s="1"/>
  <c r="Z397" i="1" a="1"/>
  <c r="Z397" i="1" s="1"/>
  <c r="Z398" i="1" a="1"/>
  <c r="Z398" i="1" s="1"/>
  <c r="Z399" i="1" a="1"/>
  <c r="Z399" i="1" s="1"/>
  <c r="Z400" i="1" a="1"/>
  <c r="Z400" i="1"/>
  <c r="Z401" i="1" a="1"/>
  <c r="Z401" i="1" s="1"/>
  <c r="Z402" i="1" a="1"/>
  <c r="Z402" i="1" s="1"/>
  <c r="Z403" i="1" a="1"/>
  <c r="Z403" i="1" s="1"/>
  <c r="Z404" i="1" a="1"/>
  <c r="Z404" i="1"/>
  <c r="Z405" i="1" a="1"/>
  <c r="Z405" i="1" s="1"/>
  <c r="Z406" i="1" a="1"/>
  <c r="Z406" i="1" s="1"/>
  <c r="Z407" i="1" a="1"/>
  <c r="Z407" i="1" s="1"/>
  <c r="Z408" i="1" a="1"/>
  <c r="Z408" i="1" s="1"/>
  <c r="Z409" i="1" a="1"/>
  <c r="Z409" i="1" s="1"/>
  <c r="Z410" i="1" a="1"/>
  <c r="Z410" i="1" s="1"/>
  <c r="Z411" i="1" a="1"/>
  <c r="Z411" i="1" s="1"/>
  <c r="Z412" i="1" a="1"/>
  <c r="Z412" i="1"/>
  <c r="Z413" i="1" a="1"/>
  <c r="Z413" i="1" s="1"/>
  <c r="Z414" i="1" a="1"/>
  <c r="Z414" i="1"/>
  <c r="Z415" i="1" a="1"/>
  <c r="Z415" i="1"/>
  <c r="Z416" i="1" a="1"/>
  <c r="Z416" i="1" s="1"/>
  <c r="Z417" i="1" a="1"/>
  <c r="Z417" i="1"/>
  <c r="Z418" i="1" a="1"/>
  <c r="Z418" i="1" s="1"/>
  <c r="Z419" i="1" a="1"/>
  <c r="Z419" i="1" s="1"/>
  <c r="Z420" i="1" a="1"/>
  <c r="Z420" i="1" s="1"/>
  <c r="Z421" i="1" a="1"/>
  <c r="Z421" i="1" s="1"/>
  <c r="Z422" i="1" a="1"/>
  <c r="Z422" i="1" s="1"/>
  <c r="Z423" i="1" a="1"/>
  <c r="Z423" i="1" s="1"/>
  <c r="Z424" i="1" a="1"/>
  <c r="Z424" i="1" s="1"/>
  <c r="Z425" i="1" a="1"/>
  <c r="Z425" i="1" s="1"/>
  <c r="Z426" i="1" a="1"/>
  <c r="Z426" i="1" s="1"/>
  <c r="Z427" i="1" a="1"/>
  <c r="Z427" i="1" s="1"/>
  <c r="Z428" i="1" a="1"/>
  <c r="Z428" i="1" s="1"/>
  <c r="Z429" i="1" a="1"/>
  <c r="Z429" i="1" s="1"/>
  <c r="Z430" i="1" a="1"/>
  <c r="Z430" i="1" s="1"/>
  <c r="Z431" i="1" a="1"/>
  <c r="Z431" i="1" s="1"/>
  <c r="Z432" i="1" a="1"/>
  <c r="Z432" i="1"/>
  <c r="Z433" i="1" a="1"/>
  <c r="Z433" i="1"/>
  <c r="Z434" i="1" a="1"/>
  <c r="Z434" i="1" s="1"/>
  <c r="Z435" i="1" a="1"/>
  <c r="Z435" i="1"/>
  <c r="Z436" i="1" a="1"/>
  <c r="Z436" i="1" s="1"/>
  <c r="Z437" i="1" a="1"/>
  <c r="Z437" i="1" s="1"/>
  <c r="Z438" i="1" a="1"/>
  <c r="Z438" i="1" s="1"/>
  <c r="Z439" i="1" a="1"/>
  <c r="Z439" i="1" s="1"/>
  <c r="Z440" i="1" a="1"/>
  <c r="Z440" i="1" s="1"/>
  <c r="Z441" i="1" a="1"/>
  <c r="Z441" i="1" s="1"/>
  <c r="Z442" i="1" a="1"/>
  <c r="Z442" i="1" s="1"/>
  <c r="Z443" i="1" a="1"/>
  <c r="Z443" i="1" s="1"/>
  <c r="Z444" i="1" a="1"/>
  <c r="Z444" i="1"/>
  <c r="Z445" i="1" a="1"/>
  <c r="Z445" i="1" s="1"/>
  <c r="Z446" i="1" a="1"/>
  <c r="Z446" i="1" s="1"/>
  <c r="Z447" i="1" a="1"/>
  <c r="Z447" i="1" s="1"/>
  <c r="Z448" i="1" a="1"/>
  <c r="Z448" i="1" s="1"/>
  <c r="Z449" i="1" a="1"/>
  <c r="Z449" i="1" s="1"/>
  <c r="Z450" i="1" a="1"/>
  <c r="Z450" i="1" s="1"/>
  <c r="Z451" i="1" a="1"/>
  <c r="Z451" i="1" s="1"/>
  <c r="Z452" i="1" a="1"/>
  <c r="Z452" i="1"/>
  <c r="Z453" i="1" a="1"/>
  <c r="Z453" i="1" s="1"/>
  <c r="Z454" i="1" a="1"/>
  <c r="Z454" i="1" s="1"/>
  <c r="Z455" i="1" a="1"/>
  <c r="Z455" i="1"/>
  <c r="Z456" i="1" a="1"/>
  <c r="Z456" i="1" s="1"/>
  <c r="Z457" i="1" a="1"/>
  <c r="Z457" i="1" s="1"/>
  <c r="Z458" i="1" a="1"/>
  <c r="Z458" i="1" s="1"/>
  <c r="Z459" i="1" a="1"/>
  <c r="Z459" i="1" s="1"/>
  <c r="Z460" i="1" a="1"/>
  <c r="Z460" i="1" s="1"/>
  <c r="Z461" i="1" a="1"/>
  <c r="Z461" i="1" s="1"/>
  <c r="Z462" i="1" a="1"/>
  <c r="Z462" i="1"/>
  <c r="Z463" i="1" a="1"/>
  <c r="Z463" i="1" s="1"/>
  <c r="Z464" i="1" a="1"/>
  <c r="Z464" i="1" s="1"/>
  <c r="Z465" i="1" a="1"/>
  <c r="Z465" i="1"/>
  <c r="Z466" i="1" a="1"/>
  <c r="Z466" i="1" s="1"/>
  <c r="Z467" i="1" a="1"/>
  <c r="Z467" i="1" s="1"/>
  <c r="Z468" i="1" a="1"/>
  <c r="Z468" i="1"/>
  <c r="Z469" i="1" a="1"/>
  <c r="Z469" i="1" s="1"/>
  <c r="Z470" i="1" a="1"/>
  <c r="Z470" i="1" s="1"/>
  <c r="Z471" i="1" a="1"/>
  <c r="Z471" i="1" s="1"/>
  <c r="Z472" i="1" a="1"/>
  <c r="Z472" i="1"/>
  <c r="Z473" i="1" a="1"/>
  <c r="Z473" i="1" s="1"/>
  <c r="Z474" i="1" a="1"/>
  <c r="Z474" i="1" s="1"/>
  <c r="Z475" i="1" a="1"/>
  <c r="Z475" i="1"/>
  <c r="Z476" i="1" a="1"/>
  <c r="Z476" i="1" s="1"/>
  <c r="Z477" i="1" a="1"/>
  <c r="Z477" i="1" s="1"/>
  <c r="Z478" i="1" a="1"/>
  <c r="Z478" i="1" s="1"/>
  <c r="Z479" i="1" a="1"/>
  <c r="Z479" i="1"/>
  <c r="Z480" i="1" a="1"/>
  <c r="Z480" i="1" s="1"/>
  <c r="Z481" i="1" a="1"/>
  <c r="Z481" i="1" s="1"/>
  <c r="Z482" i="1" a="1"/>
  <c r="Z482" i="1"/>
  <c r="Z483" i="1" a="1"/>
  <c r="Z483" i="1" s="1"/>
  <c r="Z484" i="1" a="1"/>
  <c r="Z484" i="1" s="1"/>
  <c r="Z485" i="1" a="1"/>
  <c r="Z485" i="1"/>
  <c r="Z486" i="1" a="1"/>
  <c r="Z486" i="1" s="1"/>
  <c r="Z487" i="1" a="1"/>
  <c r="Z487" i="1" s="1"/>
  <c r="Z488" i="1" a="1"/>
  <c r="Z488" i="1" s="1"/>
  <c r="Z489" i="1" a="1"/>
  <c r="Z489" i="1" s="1"/>
  <c r="Z490" i="1" a="1"/>
  <c r="Z490" i="1" s="1"/>
  <c r="Z491" i="1" a="1"/>
  <c r="Z491" i="1" s="1"/>
  <c r="Z492" i="1" a="1"/>
  <c r="Z492" i="1"/>
  <c r="Z493" i="1" a="1"/>
  <c r="Z493" i="1" s="1"/>
  <c r="Z494" i="1" a="1"/>
  <c r="Z494" i="1" s="1"/>
  <c r="Z495" i="1" a="1"/>
  <c r="Z495" i="1"/>
  <c r="Z496" i="1" a="1"/>
  <c r="Z496" i="1" s="1"/>
  <c r="Z497" i="1" a="1"/>
  <c r="Z497" i="1" s="1"/>
  <c r="Z498" i="1" a="1"/>
  <c r="Z498" i="1" s="1"/>
  <c r="Z499" i="1" a="1"/>
  <c r="Z499" i="1" s="1"/>
  <c r="Z500" i="1" a="1"/>
  <c r="Z500" i="1" s="1"/>
  <c r="Z501" i="1" a="1"/>
  <c r="Z501" i="1" s="1"/>
  <c r="Z502" i="1" a="1"/>
  <c r="Z502" i="1" s="1"/>
  <c r="Z503" i="1" a="1"/>
  <c r="Z503" i="1"/>
  <c r="Z504" i="1" a="1"/>
  <c r="Z504" i="1"/>
  <c r="Z505" i="1" a="1"/>
  <c r="Z505" i="1"/>
  <c r="Z506" i="1" a="1"/>
  <c r="Z506" i="1" s="1"/>
  <c r="Z507" i="1" a="1"/>
  <c r="Z507" i="1"/>
  <c r="Z508" i="1" a="1"/>
  <c r="Z508" i="1" s="1"/>
  <c r="Z509" i="1" a="1"/>
  <c r="Z509" i="1" s="1"/>
  <c r="Z510" i="1" a="1"/>
  <c r="Z510" i="1" s="1"/>
  <c r="Z511" i="1" a="1"/>
  <c r="Z511" i="1" s="1"/>
  <c r="Z512" i="1" a="1"/>
  <c r="Z512" i="1" s="1"/>
  <c r="Z513" i="1" a="1"/>
  <c r="Z513" i="1"/>
  <c r="Z514" i="1" a="1"/>
  <c r="Z514" i="1"/>
  <c r="Z515" i="1" a="1"/>
  <c r="Z515" i="1"/>
  <c r="Z516" i="1" a="1"/>
  <c r="Z516" i="1" s="1"/>
  <c r="Z517" i="1" a="1"/>
  <c r="Z517" i="1" s="1"/>
  <c r="Z518" i="1" a="1"/>
  <c r="Z518" i="1" s="1"/>
  <c r="Z519" i="1" a="1"/>
  <c r="Z519" i="1" s="1"/>
  <c r="Z520" i="1" a="1"/>
  <c r="Z520" i="1" s="1"/>
  <c r="Z521" i="1" a="1"/>
  <c r="Z521" i="1" s="1"/>
  <c r="Z522" i="1" a="1"/>
  <c r="Z522" i="1" s="1"/>
  <c r="Z523" i="1" a="1"/>
  <c r="Z523" i="1"/>
  <c r="Z524" i="1" a="1"/>
  <c r="Z524" i="1"/>
  <c r="Z525" i="1" a="1"/>
  <c r="Z525" i="1"/>
  <c r="Z526" i="1" a="1"/>
  <c r="Z526" i="1" s="1"/>
  <c r="Z527" i="1" a="1"/>
  <c r="Z527" i="1" s="1"/>
  <c r="Z528" i="1" a="1"/>
  <c r="Z528" i="1" s="1"/>
  <c r="Z529" i="1" a="1"/>
  <c r="Z529" i="1"/>
  <c r="Z530" i="1" a="1"/>
  <c r="Z530" i="1" s="1"/>
  <c r="Z531" i="1" a="1"/>
  <c r="Z531" i="1" s="1"/>
  <c r="Z532" i="1" a="1"/>
  <c r="Z532" i="1" s="1"/>
  <c r="Z533" i="1" a="1"/>
  <c r="Z533" i="1"/>
  <c r="Z534" i="1" a="1"/>
  <c r="Z534" i="1" s="1"/>
  <c r="Z535" i="1" a="1"/>
  <c r="Z535" i="1" s="1"/>
  <c r="Z536" i="1" a="1"/>
  <c r="Z536" i="1" s="1"/>
  <c r="Z537" i="1" a="1"/>
  <c r="Z537" i="1" s="1"/>
  <c r="Z538" i="1" a="1"/>
  <c r="Z538" i="1" s="1"/>
  <c r="Z539" i="1" a="1"/>
  <c r="Z539" i="1" s="1"/>
  <c r="Z540" i="1" a="1"/>
  <c r="Z540" i="1"/>
  <c r="Z541" i="1" a="1"/>
  <c r="Z541" i="1" s="1"/>
  <c r="Z542" i="1" a="1"/>
  <c r="Z542" i="1"/>
  <c r="Z543" i="1" a="1"/>
  <c r="Z543" i="1"/>
  <c r="Z544" i="1" a="1"/>
  <c r="Z544" i="1" s="1"/>
  <c r="Z545" i="1" a="1"/>
  <c r="Z545" i="1" s="1"/>
  <c r="Z546" i="1" a="1"/>
  <c r="Z546" i="1" s="1"/>
  <c r="Z547" i="1" a="1"/>
  <c r="Z547" i="1" s="1"/>
  <c r="Z548" i="1" a="1"/>
  <c r="Z548" i="1" s="1"/>
  <c r="Z549" i="1" a="1"/>
  <c r="Z549" i="1" s="1"/>
  <c r="Z550" i="1" a="1"/>
  <c r="Z550" i="1" s="1"/>
  <c r="Z551" i="1" a="1"/>
  <c r="Z551" i="1" s="1"/>
  <c r="Z552" i="1" a="1"/>
  <c r="Z552" i="1"/>
  <c r="Z553" i="1" a="1"/>
  <c r="Z553" i="1"/>
  <c r="Z554" i="1" a="1"/>
  <c r="Z554" i="1"/>
  <c r="Z555" i="1" a="1"/>
  <c r="Z555" i="1" s="1"/>
  <c r="Z556" i="1" a="1"/>
  <c r="Z556" i="1" s="1"/>
  <c r="Z557" i="1" a="1"/>
  <c r="Z557" i="1"/>
  <c r="Z558" i="1" a="1"/>
  <c r="Z558" i="1" s="1"/>
  <c r="Z559" i="1" a="1"/>
  <c r="Z559" i="1" s="1"/>
  <c r="Z560" i="1" a="1"/>
  <c r="Z560" i="1" s="1"/>
  <c r="Z561" i="1" a="1"/>
  <c r="Z561" i="1" s="1"/>
  <c r="Z562" i="1" a="1"/>
  <c r="Z562" i="1" s="1"/>
  <c r="Z563" i="1" a="1"/>
  <c r="Z563" i="1" s="1"/>
  <c r="Z564" i="1" a="1"/>
  <c r="Z564" i="1" s="1"/>
  <c r="Z565" i="1" a="1"/>
  <c r="Z565" i="1"/>
  <c r="Z566" i="1" a="1"/>
  <c r="Z566" i="1" s="1"/>
  <c r="Z567" i="1" a="1"/>
  <c r="Z567" i="1" s="1"/>
  <c r="Z568" i="1" a="1"/>
  <c r="Z568" i="1"/>
  <c r="Z569" i="1" a="1"/>
  <c r="Z569" i="1" s="1"/>
  <c r="Z570" i="1" a="1"/>
  <c r="Z570" i="1" s="1"/>
  <c r="Z571" i="1" a="1"/>
  <c r="Z571" i="1" s="1"/>
  <c r="Z572" i="1" a="1"/>
  <c r="Z572" i="1"/>
  <c r="Z573" i="1" a="1"/>
  <c r="Z573" i="1" s="1"/>
  <c r="Z574" i="1" a="1"/>
  <c r="Z574" i="1"/>
  <c r="Z575" i="1" a="1"/>
  <c r="Z575" i="1"/>
  <c r="Z576" i="1" a="1"/>
  <c r="Z576" i="1" s="1"/>
  <c r="Z577" i="1" a="1"/>
  <c r="Z577" i="1" s="1"/>
  <c r="Z578" i="1" a="1"/>
  <c r="Z578" i="1" s="1"/>
  <c r="Z579" i="1" a="1"/>
  <c r="Z579" i="1"/>
  <c r="Z580" i="1" a="1"/>
  <c r="Z580" i="1" s="1"/>
  <c r="Z581" i="1" a="1"/>
  <c r="Z581" i="1" s="1"/>
  <c r="Z582" i="1" a="1"/>
  <c r="Z582" i="1" s="1"/>
  <c r="Z583" i="1" a="1"/>
  <c r="Z583" i="1"/>
  <c r="Z584" i="1" a="1"/>
  <c r="Z584" i="1" s="1"/>
  <c r="Z585" i="1" a="1"/>
  <c r="Z585" i="1" s="1"/>
  <c r="Z586" i="1" a="1"/>
  <c r="Z586" i="1" s="1"/>
  <c r="Z587" i="1" a="1"/>
  <c r="Z587" i="1" s="1"/>
  <c r="Z588" i="1" a="1"/>
  <c r="Z588" i="1" s="1"/>
  <c r="Z589" i="1" a="1"/>
  <c r="Z589" i="1" s="1"/>
  <c r="Z590" i="1" a="1"/>
  <c r="Z590" i="1"/>
  <c r="Z591" i="1" a="1"/>
  <c r="Z591" i="1" s="1"/>
  <c r="Z592" i="1" a="1"/>
  <c r="Z592" i="1" s="1"/>
  <c r="Z593" i="1" a="1"/>
  <c r="Z593" i="1"/>
  <c r="Z594" i="1" a="1"/>
  <c r="Z594" i="1" s="1"/>
  <c r="Z595" i="1" a="1"/>
  <c r="Z595" i="1" s="1"/>
  <c r="Z596" i="1" a="1"/>
  <c r="Z596" i="1" s="1"/>
  <c r="Z597" i="1" a="1"/>
  <c r="Z597" i="1" s="1"/>
  <c r="Z598" i="1" a="1"/>
  <c r="Z598" i="1" s="1"/>
  <c r="Z599" i="1" a="1"/>
  <c r="Z599" i="1" s="1"/>
  <c r="Z600" i="1" a="1"/>
  <c r="Z600" i="1" s="1"/>
  <c r="Z601" i="1" a="1"/>
  <c r="Z601" i="1" s="1"/>
  <c r="Z602" i="1" a="1"/>
  <c r="Z602" i="1"/>
  <c r="Z603" i="1" a="1"/>
  <c r="Z603" i="1"/>
  <c r="Z604" i="1" a="1"/>
  <c r="Z604" i="1"/>
  <c r="Z605" i="1" a="1"/>
  <c r="Z605" i="1" s="1"/>
  <c r="Z606" i="1" a="1"/>
  <c r="Z606" i="1" s="1"/>
  <c r="Z607" i="1" a="1"/>
  <c r="Z607" i="1"/>
  <c r="Z608" i="1" a="1"/>
  <c r="Z608" i="1" s="1"/>
  <c r="Z609" i="1" a="1"/>
  <c r="Z609" i="1" s="1"/>
  <c r="Z610" i="1" a="1"/>
  <c r="Z610" i="1" s="1"/>
  <c r="Z611" i="1" a="1"/>
  <c r="Z611" i="1" s="1"/>
  <c r="Z612" i="1" a="1"/>
  <c r="Z612" i="1" s="1"/>
  <c r="Z613" i="1" a="1"/>
  <c r="Z613" i="1" s="1"/>
  <c r="Z614" i="1" a="1"/>
  <c r="Z614" i="1"/>
  <c r="Z615" i="1" a="1"/>
  <c r="Z615" i="1"/>
  <c r="Z616" i="1" a="1"/>
  <c r="Z616" i="1" s="1"/>
  <c r="Z617" i="1" a="1"/>
  <c r="Z617" i="1" s="1"/>
  <c r="Z618" i="1" a="1"/>
  <c r="Z618" i="1" s="1"/>
  <c r="Z619" i="1" a="1"/>
  <c r="Z619" i="1" s="1"/>
  <c r="Z620" i="1" a="1"/>
  <c r="Z620" i="1" s="1"/>
  <c r="Z621" i="1" a="1"/>
  <c r="Z621" i="1" s="1"/>
  <c r="Z622" i="1" a="1"/>
  <c r="Z622" i="1" s="1"/>
  <c r="Z623" i="1" a="1"/>
  <c r="Z623" i="1" s="1"/>
  <c r="Z624" i="1" a="1"/>
  <c r="Z624" i="1" s="1"/>
  <c r="Z625" i="1" a="1"/>
  <c r="Z625" i="1"/>
  <c r="Z626" i="1" a="1"/>
  <c r="Z626" i="1" s="1"/>
  <c r="Z627" i="1" a="1"/>
  <c r="Z627" i="1" s="1"/>
  <c r="Z628" i="1" a="1"/>
  <c r="Z628" i="1" s="1"/>
  <c r="Z629" i="1" a="1"/>
  <c r="Z629" i="1" s="1"/>
  <c r="Z630" i="1" a="1"/>
  <c r="Z630" i="1" s="1"/>
  <c r="Z631" i="1" a="1"/>
  <c r="Z631" i="1" s="1"/>
  <c r="Z632" i="1" a="1"/>
  <c r="Z632" i="1" s="1"/>
  <c r="Z633" i="1" a="1"/>
  <c r="Z633" i="1" s="1"/>
  <c r="Z634" i="1" a="1"/>
  <c r="Z634" i="1" s="1"/>
  <c r="Z635" i="1" a="1"/>
  <c r="Z635" i="1" s="1"/>
  <c r="Z636" i="1" a="1"/>
  <c r="Z636" i="1" s="1"/>
  <c r="Z637" i="1" a="1"/>
  <c r="Z637" i="1" s="1"/>
  <c r="Z638" i="1" a="1"/>
  <c r="Z638" i="1" s="1"/>
  <c r="Z639" i="1" a="1"/>
  <c r="Z639" i="1" s="1"/>
  <c r="Z640" i="1" a="1"/>
  <c r="Z640" i="1"/>
  <c r="Z641" i="1" a="1"/>
  <c r="Z641" i="1" s="1"/>
  <c r="Z642" i="1" a="1"/>
  <c r="Z642" i="1" s="1"/>
  <c r="Z643" i="1" a="1"/>
  <c r="Z643" i="1" s="1"/>
  <c r="Z644" i="1" a="1"/>
  <c r="Z644" i="1" s="1"/>
  <c r="Z645" i="1" a="1"/>
  <c r="Z645" i="1" s="1"/>
  <c r="Z646" i="1" a="1"/>
  <c r="Z646" i="1" s="1"/>
  <c r="Z647" i="1" a="1"/>
  <c r="Z647" i="1" s="1"/>
  <c r="Z648" i="1" a="1"/>
  <c r="Z648" i="1" s="1"/>
  <c r="Z649" i="1" a="1"/>
  <c r="Z649" i="1" s="1"/>
  <c r="Z650" i="1" a="1"/>
  <c r="Z650" i="1" s="1"/>
  <c r="Z651" i="1" a="1"/>
  <c r="Z651" i="1" s="1"/>
  <c r="Z652" i="1" a="1"/>
  <c r="Z652" i="1"/>
  <c r="Z653" i="1" a="1"/>
  <c r="Z653" i="1"/>
  <c r="Z654" i="1" a="1"/>
  <c r="Z654" i="1" s="1"/>
  <c r="Z655" i="1" a="1"/>
  <c r="Z655" i="1" s="1"/>
  <c r="Z656" i="1" a="1"/>
  <c r="Z656" i="1" s="1"/>
  <c r="Z657" i="1" a="1"/>
  <c r="Z657" i="1" s="1"/>
  <c r="Z658" i="1" a="1"/>
  <c r="Z658" i="1" s="1"/>
  <c r="Z659" i="1" a="1"/>
  <c r="Z659" i="1" s="1"/>
  <c r="Z660" i="1" a="1"/>
  <c r="Z660" i="1" s="1"/>
  <c r="Z661" i="1" a="1"/>
  <c r="Z661" i="1" s="1"/>
  <c r="Z662" i="1" a="1"/>
  <c r="Z662" i="1" s="1"/>
  <c r="Z663" i="1" a="1"/>
  <c r="Z663" i="1" s="1"/>
  <c r="Z664" i="1" a="1"/>
  <c r="Z664" i="1"/>
  <c r="Z665" i="1" a="1"/>
  <c r="Z665" i="1"/>
  <c r="Z666" i="1" a="1"/>
  <c r="Z666" i="1" s="1"/>
  <c r="Z667" i="1" a="1"/>
  <c r="Z667" i="1" s="1"/>
  <c r="Z668" i="1" a="1"/>
  <c r="Z668" i="1" s="1"/>
  <c r="Z669" i="1" a="1"/>
  <c r="Z669" i="1" s="1"/>
  <c r="Z670" i="1" a="1"/>
  <c r="Z670" i="1" s="1"/>
  <c r="Z671" i="1" a="1"/>
  <c r="Z671" i="1" s="1"/>
  <c r="Z672" i="1" a="1"/>
  <c r="Z672" i="1" s="1"/>
  <c r="Z673" i="1" a="1"/>
  <c r="Z673" i="1" s="1"/>
  <c r="Z674" i="1" a="1"/>
  <c r="Z674" i="1"/>
  <c r="Z675" i="1" a="1"/>
  <c r="Z675" i="1" s="1"/>
  <c r="Z676" i="1" a="1"/>
  <c r="Z676" i="1" s="1"/>
  <c r="Z677" i="1" a="1"/>
  <c r="Z677" i="1" s="1"/>
  <c r="Z678" i="1" a="1"/>
  <c r="Z678" i="1" s="1"/>
  <c r="Z679" i="1" a="1"/>
  <c r="Z679" i="1" s="1"/>
  <c r="Z680" i="1" a="1"/>
  <c r="Z680" i="1" s="1"/>
  <c r="Z681" i="1" a="1"/>
  <c r="Z681" i="1" s="1"/>
  <c r="Z682" i="1" a="1"/>
  <c r="Z682" i="1"/>
  <c r="Z683" i="1" a="1"/>
  <c r="Z683" i="1"/>
  <c r="Z684" i="1" a="1"/>
  <c r="Z684" i="1" s="1"/>
  <c r="Z685" i="1" a="1"/>
  <c r="Z685" i="1"/>
  <c r="Z686" i="1" a="1"/>
  <c r="Z686" i="1" s="1"/>
  <c r="Z687" i="1" a="1"/>
  <c r="Z687" i="1" s="1"/>
  <c r="Z688" i="1" a="1"/>
  <c r="Z688" i="1" s="1"/>
  <c r="Z689" i="1" a="1"/>
  <c r="Z689" i="1" s="1"/>
  <c r="Z690" i="1" a="1"/>
  <c r="Z690" i="1" s="1"/>
  <c r="Z691" i="1" a="1"/>
  <c r="Z691" i="1" s="1"/>
  <c r="Z692" i="1" a="1"/>
  <c r="Z692" i="1"/>
  <c r="Z693" i="1" a="1"/>
  <c r="Z693" i="1" s="1"/>
  <c r="Z694" i="1" a="1"/>
  <c r="Z694" i="1" s="1"/>
  <c r="Z695" i="1" a="1"/>
  <c r="Z695" i="1" s="1"/>
  <c r="Z696" i="1" a="1"/>
  <c r="Z696" i="1" s="1"/>
  <c r="Z697" i="1" a="1"/>
  <c r="Z697" i="1"/>
  <c r="Z698" i="1" a="1"/>
  <c r="Z698" i="1" s="1"/>
  <c r="Z699" i="1" a="1"/>
  <c r="Z699" i="1" s="1"/>
  <c r="Z700" i="1" a="1"/>
  <c r="Z700" i="1" s="1"/>
  <c r="Z701" i="1" a="1"/>
  <c r="Z701" i="1" s="1"/>
  <c r="Z702" i="1" a="1"/>
  <c r="Z702" i="1" s="1"/>
  <c r="Z703" i="1" a="1"/>
  <c r="Z703" i="1" s="1"/>
  <c r="Z704" i="1" a="1"/>
  <c r="Z704" i="1"/>
  <c r="Z705" i="1" a="1"/>
  <c r="Z705" i="1"/>
  <c r="Z706" i="1" a="1"/>
  <c r="Z706" i="1" s="1"/>
  <c r="Z707" i="1" a="1"/>
  <c r="Z707" i="1"/>
  <c r="Z708" i="1" a="1"/>
  <c r="Z708" i="1" s="1"/>
  <c r="Z709" i="1" a="1"/>
  <c r="Z709" i="1" s="1"/>
  <c r="Z710" i="1" a="1"/>
  <c r="Z710" i="1" s="1"/>
  <c r="Z711" i="1" a="1"/>
  <c r="Z711" i="1" s="1"/>
  <c r="Z712" i="1" a="1"/>
  <c r="Z712" i="1" s="1"/>
  <c r="Z713" i="1" a="1"/>
  <c r="Z713" i="1" s="1"/>
  <c r="Z714" i="1" a="1"/>
  <c r="Z714" i="1" s="1"/>
  <c r="Z715" i="1" a="1"/>
  <c r="Z715" i="1" s="1"/>
  <c r="Z716" i="1" a="1"/>
  <c r="Z716" i="1" s="1"/>
  <c r="Z717" i="1" a="1"/>
  <c r="Z717" i="1" s="1"/>
  <c r="Z718" i="1" a="1"/>
  <c r="Z718" i="1" s="1"/>
  <c r="Z719" i="1" a="1"/>
  <c r="Z719" i="1" s="1"/>
  <c r="Z720" i="1" a="1"/>
  <c r="Z720" i="1" s="1"/>
  <c r="Z721" i="1" a="1"/>
  <c r="Z721" i="1" s="1"/>
  <c r="Z722" i="1" a="1"/>
  <c r="Z722" i="1" s="1"/>
  <c r="Z723" i="1" a="1"/>
  <c r="Z723" i="1"/>
  <c r="Z724" i="1" a="1"/>
  <c r="Z724" i="1" s="1"/>
  <c r="Z725" i="1" a="1"/>
  <c r="Z725" i="1" s="1"/>
  <c r="Z726" i="1" a="1"/>
  <c r="Z726" i="1" s="1"/>
  <c r="Z727" i="1" a="1"/>
  <c r="Z727" i="1" s="1"/>
  <c r="Z728" i="1" a="1"/>
  <c r="Z728" i="1"/>
  <c r="Z729" i="1" a="1"/>
  <c r="Z729" i="1" s="1"/>
  <c r="Z730" i="1" a="1"/>
  <c r="Z730" i="1" s="1"/>
  <c r="Z731" i="1" a="1"/>
  <c r="Z731" i="1" s="1"/>
  <c r="Z732" i="1" a="1"/>
  <c r="Z732" i="1" s="1"/>
  <c r="Z733" i="1" a="1"/>
  <c r="Z733" i="1" s="1"/>
  <c r="Z734" i="1" a="1"/>
  <c r="Z734" i="1" s="1"/>
  <c r="Z735" i="1" a="1"/>
  <c r="Z735" i="1"/>
  <c r="Z736" i="1" a="1"/>
  <c r="Z736" i="1" s="1"/>
  <c r="Z737" i="1" a="1"/>
  <c r="Z737" i="1" s="1"/>
  <c r="Z738" i="1" a="1"/>
  <c r="Z738" i="1" s="1"/>
  <c r="Z739" i="1" a="1"/>
  <c r="Z739" i="1"/>
  <c r="Z740" i="1" a="1"/>
  <c r="Z740" i="1" s="1"/>
  <c r="Z741" i="1" a="1"/>
  <c r="Z741" i="1" s="1"/>
  <c r="Z742" i="1" a="1"/>
  <c r="Z742" i="1" s="1"/>
  <c r="Z743" i="1" a="1"/>
  <c r="Z743" i="1" s="1"/>
  <c r="Z744" i="1" a="1"/>
  <c r="Z744" i="1" s="1"/>
  <c r="Z745" i="1" a="1"/>
  <c r="Z745" i="1" s="1"/>
  <c r="Z746" i="1" a="1"/>
  <c r="Z746" i="1" s="1"/>
  <c r="Z747" i="1" a="1"/>
  <c r="Z747" i="1" s="1"/>
  <c r="Z748" i="1" a="1"/>
  <c r="Z748" i="1" s="1"/>
  <c r="Z749" i="1" a="1"/>
  <c r="Z749" i="1" s="1"/>
  <c r="Z750" i="1" a="1"/>
  <c r="Z750" i="1"/>
  <c r="Z751" i="1" a="1"/>
  <c r="Z751" i="1" s="1"/>
  <c r="Z752" i="1" a="1"/>
  <c r="Z752" i="1" s="1"/>
  <c r="Z753" i="1" a="1"/>
  <c r="Z753" i="1" s="1"/>
  <c r="Z754" i="1" a="1"/>
  <c r="Z754" i="1" s="1"/>
  <c r="Z755" i="1" a="1"/>
  <c r="Z755" i="1" s="1"/>
  <c r="Z756" i="1" a="1"/>
  <c r="Z756" i="1" s="1"/>
  <c r="Z757" i="1" a="1"/>
  <c r="Z757" i="1" s="1"/>
  <c r="Z758" i="1" a="1"/>
  <c r="Z758" i="1" s="1"/>
  <c r="Z759" i="1" a="1"/>
  <c r="Z759" i="1"/>
  <c r="Z760" i="1" a="1"/>
  <c r="Z760" i="1" s="1"/>
  <c r="Z761" i="1" a="1"/>
  <c r="Z761" i="1" s="1"/>
  <c r="Z762" i="1" a="1"/>
  <c r="Z762" i="1" s="1"/>
  <c r="Z763" i="1" a="1"/>
  <c r="Z763" i="1" s="1"/>
  <c r="Z764" i="1" a="1"/>
  <c r="Z764" i="1" s="1"/>
  <c r="Z765" i="1" a="1"/>
  <c r="Z765" i="1" s="1"/>
  <c r="Z766" i="1" a="1"/>
  <c r="Z766" i="1" s="1"/>
  <c r="Z767" i="1" a="1"/>
  <c r="Z767" i="1" s="1"/>
  <c r="Z768" i="1" a="1"/>
  <c r="Z768" i="1"/>
  <c r="Z769" i="1" a="1"/>
  <c r="Z769" i="1" s="1"/>
  <c r="Z770" i="1" a="1"/>
  <c r="Z770" i="1"/>
  <c r="Z771" i="1" a="1"/>
  <c r="Z771" i="1" s="1"/>
  <c r="Z772" i="1" a="1"/>
  <c r="Z772" i="1" s="1"/>
  <c r="Z773" i="1" a="1"/>
  <c r="Z773" i="1" s="1"/>
  <c r="Z774" i="1" a="1"/>
  <c r="Z774" i="1"/>
  <c r="Z775" i="1" a="1"/>
  <c r="Z775" i="1" s="1"/>
  <c r="Z776" i="1" a="1"/>
  <c r="Z776" i="1" s="1"/>
  <c r="Z777" i="1" a="1"/>
  <c r="Z777" i="1" s="1"/>
  <c r="Z778" i="1" a="1"/>
  <c r="Z778" i="1"/>
  <c r="Z779" i="1" a="1"/>
  <c r="Z779" i="1"/>
  <c r="Z780" i="1" a="1"/>
  <c r="Z780" i="1" s="1"/>
  <c r="Z781" i="1" a="1"/>
  <c r="Z781" i="1"/>
  <c r="Z782" i="1" a="1"/>
  <c r="Z782" i="1" s="1"/>
  <c r="Z783" i="1" a="1"/>
  <c r="Z783" i="1" s="1"/>
  <c r="Z784" i="1" a="1"/>
  <c r="Z784" i="1" s="1"/>
  <c r="Z785" i="1" a="1"/>
  <c r="Z785" i="1"/>
  <c r="Z786" i="1" a="1"/>
  <c r="Z786" i="1" s="1"/>
  <c r="Z787" i="1" a="1"/>
  <c r="Z787" i="1" s="1"/>
  <c r="Z788" i="1" a="1"/>
  <c r="Z788" i="1" s="1"/>
  <c r="Z789" i="1" a="1"/>
  <c r="Z789" i="1"/>
  <c r="Z790" i="1" a="1"/>
  <c r="Z790" i="1"/>
  <c r="Z791" i="1" a="1"/>
  <c r="Z791" i="1" s="1"/>
  <c r="Z792" i="1" a="1"/>
  <c r="Z792" i="1" s="1"/>
  <c r="Z793" i="1" a="1"/>
  <c r="Z793" i="1" s="1"/>
  <c r="Z794" i="1" a="1"/>
  <c r="Z794" i="1" s="1"/>
  <c r="Z795" i="1" a="1"/>
  <c r="Z795" i="1" s="1"/>
  <c r="Z796" i="1" a="1"/>
  <c r="Z796" i="1"/>
  <c r="Z797" i="1" a="1"/>
  <c r="Z797" i="1" s="1"/>
  <c r="Z798" i="1" a="1"/>
  <c r="Z798" i="1"/>
  <c r="Z799" i="1" a="1"/>
  <c r="Z799" i="1" s="1"/>
  <c r="Z800" i="1" a="1"/>
  <c r="Z800" i="1"/>
  <c r="Z801" i="1" a="1"/>
  <c r="Z801" i="1"/>
  <c r="Z802" i="1" a="1"/>
  <c r="Z802" i="1" s="1"/>
  <c r="Z803" i="1" a="1"/>
  <c r="Z803" i="1" s="1"/>
  <c r="Z804" i="1" a="1"/>
  <c r="Z804" i="1" s="1"/>
  <c r="Z805" i="1" a="1"/>
  <c r="Z805" i="1" s="1"/>
  <c r="Z806" i="1" a="1"/>
  <c r="Z806" i="1" s="1"/>
  <c r="Z807" i="1" a="1"/>
  <c r="Z807" i="1" s="1"/>
  <c r="Z808" i="1" a="1"/>
  <c r="Z808" i="1" s="1"/>
  <c r="Z809" i="1" a="1"/>
  <c r="Z809" i="1" s="1"/>
  <c r="Z810" i="1" a="1"/>
  <c r="Z810" i="1" s="1"/>
  <c r="Z811" i="1" a="1"/>
  <c r="Z811" i="1"/>
  <c r="Z812" i="1" a="1"/>
  <c r="Z812" i="1" s="1"/>
  <c r="Z813" i="1" a="1"/>
  <c r="Z813" i="1"/>
  <c r="Z814" i="1" a="1"/>
  <c r="Z814" i="1" s="1"/>
  <c r="Z815" i="1" a="1"/>
  <c r="Z815" i="1" s="1"/>
  <c r="Z816" i="1" a="1"/>
  <c r="Z816" i="1" s="1"/>
  <c r="Z817" i="1" a="1"/>
  <c r="Z817" i="1" s="1"/>
  <c r="Z818" i="1" a="1"/>
  <c r="Z818" i="1" s="1"/>
  <c r="Z819" i="1" a="1"/>
  <c r="Z819" i="1" s="1"/>
  <c r="Z820" i="1" a="1"/>
  <c r="Z820" i="1" s="1"/>
  <c r="Z821" i="1" a="1"/>
  <c r="Z821" i="1" s="1"/>
  <c r="Z822" i="1" a="1"/>
  <c r="Z822" i="1" s="1"/>
  <c r="Z823" i="1" a="1"/>
  <c r="Z823" i="1" s="1"/>
  <c r="Z824" i="1" a="1"/>
  <c r="Z824" i="1" s="1"/>
  <c r="Z825" i="1" a="1"/>
  <c r="Z825" i="1" s="1"/>
  <c r="Z826" i="1" a="1"/>
  <c r="Z826" i="1" s="1"/>
  <c r="Z827" i="1" a="1"/>
  <c r="Z827" i="1" s="1"/>
  <c r="Z828" i="1" a="1"/>
  <c r="Z828" i="1" s="1"/>
  <c r="Z829" i="1" a="1"/>
  <c r="Z829" i="1" s="1"/>
  <c r="Z830" i="1" a="1"/>
  <c r="Z830" i="1" s="1"/>
  <c r="Z831" i="1" a="1"/>
  <c r="Z831" i="1" s="1"/>
  <c r="Z832" i="1" a="1"/>
  <c r="Z832" i="1" s="1"/>
  <c r="Z833" i="1" a="1"/>
  <c r="Z833" i="1" s="1"/>
  <c r="Z834" i="1" a="1"/>
  <c r="Z834" i="1" s="1"/>
  <c r="Z835" i="1" a="1"/>
  <c r="Z835" i="1" s="1"/>
  <c r="Z836" i="1" a="1"/>
  <c r="Z836" i="1" s="1"/>
  <c r="Z837" i="1" a="1"/>
  <c r="Z837" i="1" s="1"/>
  <c r="Z838" i="1" a="1"/>
  <c r="Z838" i="1"/>
  <c r="Z839" i="1" a="1"/>
  <c r="Z839" i="1"/>
  <c r="Z840" i="1" a="1"/>
  <c r="Z840" i="1"/>
  <c r="Z841" i="1" a="1"/>
  <c r="Z841" i="1" s="1"/>
  <c r="Z842" i="1" a="1"/>
  <c r="Z842" i="1" s="1"/>
  <c r="Z843" i="1" a="1"/>
  <c r="Z843" i="1" s="1"/>
  <c r="Z844" i="1" a="1"/>
  <c r="Z844" i="1" s="1"/>
  <c r="Z845" i="1" a="1"/>
  <c r="Z845" i="1" s="1"/>
  <c r="Z846" i="1" a="1"/>
  <c r="Z846" i="1" s="1"/>
  <c r="Z847" i="1" a="1"/>
  <c r="Z847" i="1" s="1"/>
  <c r="Z848" i="1" a="1"/>
  <c r="Z848" i="1" s="1"/>
  <c r="Z849" i="1" a="1"/>
  <c r="Z849" i="1"/>
  <c r="Z850" i="1" a="1"/>
  <c r="Z850" i="1"/>
  <c r="Z851" i="1" a="1"/>
  <c r="Z851" i="1"/>
  <c r="Z852" i="1" a="1"/>
  <c r="Z852" i="1" s="1"/>
  <c r="Z853" i="1" a="1"/>
  <c r="Z853" i="1" s="1"/>
  <c r="Z854" i="1" a="1"/>
  <c r="Z854" i="1" s="1"/>
  <c r="Z855" i="1" a="1"/>
  <c r="Z855" i="1" s="1"/>
  <c r="Z856" i="1" a="1"/>
  <c r="Z856" i="1" s="1"/>
  <c r="Z857" i="1" a="1"/>
  <c r="Z857" i="1" s="1"/>
  <c r="Z858" i="1" a="1"/>
  <c r="Z858" i="1" s="1"/>
  <c r="Z859" i="1" a="1"/>
  <c r="Z859" i="1" s="1"/>
  <c r="Z860" i="1" a="1"/>
  <c r="Z860" i="1"/>
  <c r="Z861" i="1" a="1"/>
  <c r="Z861" i="1"/>
  <c r="Z862" i="1" a="1"/>
  <c r="Z862" i="1" s="1"/>
  <c r="Z863" i="1" a="1"/>
  <c r="Z863" i="1"/>
  <c r="Z864" i="1" a="1"/>
  <c r="Z864" i="1" s="1"/>
  <c r="Z865" i="1" a="1"/>
  <c r="Z865" i="1" s="1"/>
  <c r="Z866" i="1" a="1"/>
  <c r="Z866" i="1" s="1"/>
  <c r="Z867" i="1" a="1"/>
  <c r="Z867" i="1" s="1"/>
  <c r="Z868" i="1" a="1"/>
  <c r="Z868" i="1" s="1"/>
  <c r="Z869" i="1" a="1"/>
  <c r="Z869" i="1" s="1"/>
  <c r="Z870" i="1" a="1"/>
  <c r="Z870" i="1"/>
  <c r="Z871" i="1" a="1"/>
  <c r="Z871" i="1" s="1"/>
  <c r="Z872" i="1" a="1"/>
  <c r="Z872" i="1" s="1"/>
  <c r="Z873" i="1" a="1"/>
  <c r="Z873" i="1" s="1"/>
  <c r="Z874" i="1" a="1"/>
  <c r="Z874" i="1"/>
  <c r="Z875" i="1" a="1"/>
  <c r="Z875" i="1" s="1"/>
  <c r="Z876" i="1" a="1"/>
  <c r="Z876" i="1" s="1"/>
  <c r="Z877" i="1" a="1"/>
  <c r="Z877" i="1" s="1"/>
  <c r="Z878" i="1" a="1"/>
  <c r="Z878" i="1"/>
  <c r="Z879" i="1" a="1"/>
  <c r="Z879" i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/>
  <c r="Z886" i="1" a="1"/>
  <c r="Z886" i="1" s="1"/>
  <c r="Z887" i="1" a="1"/>
  <c r="Z887" i="1" s="1"/>
  <c r="Z888" i="1" a="1"/>
  <c r="Z888" i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/>
  <c r="Z900" i="1" a="1"/>
  <c r="Z900" i="1"/>
  <c r="Z901" i="1" a="1"/>
  <c r="Z901" i="1"/>
  <c r="Z902" i="1" a="1"/>
  <c r="Z902" i="1" s="1"/>
  <c r="Z903" i="1" a="1"/>
  <c r="Z903" i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/>
  <c r="Z919" i="1" a="1"/>
  <c r="Z919" i="1" s="1"/>
  <c r="Z920" i="1" a="1"/>
  <c r="Z920" i="1"/>
  <c r="Z921" i="1" a="1"/>
  <c r="Z921" i="1" s="1"/>
  <c r="Z922" i="1" a="1"/>
  <c r="Z922" i="1" s="1"/>
  <c r="Z923" i="1" a="1"/>
  <c r="Z923" i="1" s="1"/>
  <c r="Z924" i="1" a="1"/>
  <c r="Z924" i="1" s="1"/>
  <c r="Z925" i="1" a="1"/>
  <c r="Z925" i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/>
  <c r="Z940" i="1" a="1"/>
  <c r="Z940" i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0" i="1" a="1"/>
  <c r="Z950" i="1"/>
  <c r="Z951" i="1" a="1"/>
  <c r="Z951" i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/>
  <c r="Z962" i="1" a="1"/>
  <c r="Z962" i="1" s="1"/>
  <c r="Z963" i="1" a="1"/>
  <c r="Z963" i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 s="1"/>
  <c r="Z974" i="1" a="1"/>
  <c r="Z974" i="1"/>
  <c r="Z975" i="1" a="1"/>
  <c r="Z975" i="1" s="1"/>
  <c r="Z976" i="1" a="1"/>
  <c r="Z976" i="1" s="1"/>
  <c r="Z977" i="1" a="1"/>
  <c r="Z977" i="1" s="1"/>
  <c r="Z978" i="1" a="1"/>
  <c r="Z978" i="1" s="1"/>
  <c r="Z979" i="1" a="1"/>
  <c r="Z979" i="1" s="1"/>
  <c r="Z980" i="1" a="1"/>
  <c r="Z980" i="1" s="1"/>
  <c r="Z981" i="1" a="1"/>
  <c r="Z981" i="1" s="1"/>
  <c r="Z982" i="1" a="1"/>
  <c r="Z982" i="1" s="1"/>
  <c r="Z983" i="1" a="1"/>
  <c r="Z983" i="1" s="1"/>
  <c r="Z984" i="1" a="1"/>
  <c r="Z984" i="1" s="1"/>
  <c r="Z985" i="1" a="1"/>
  <c r="Z985" i="1"/>
  <c r="Z986" i="1" a="1"/>
  <c r="Z986" i="1" s="1"/>
  <c r="Z987" i="1" a="1"/>
  <c r="Z987" i="1" s="1"/>
  <c r="Z988" i="1" a="1"/>
  <c r="Z988" i="1"/>
  <c r="Z989" i="1" a="1"/>
  <c r="Z989" i="1" s="1"/>
  <c r="Z990" i="1" a="1"/>
  <c r="Z990" i="1" s="1"/>
  <c r="Z991" i="1" a="1"/>
  <c r="Z991" i="1" s="1"/>
  <c r="Z992" i="1" a="1"/>
  <c r="Z992" i="1" s="1"/>
  <c r="Z993" i="1" a="1"/>
  <c r="Z993" i="1" s="1"/>
  <c r="Z994" i="1" a="1"/>
  <c r="Z994" i="1" s="1"/>
  <c r="Z995" i="1" a="1"/>
  <c r="Z995" i="1" s="1"/>
  <c r="Z996" i="1" a="1"/>
  <c r="Z996" i="1" s="1"/>
  <c r="Z997" i="1" a="1"/>
  <c r="Z997" i="1" s="1"/>
  <c r="Z998" i="1" a="1"/>
  <c r="Z998" i="1" s="1"/>
  <c r="Z999" i="1" a="1"/>
  <c r="Z999" i="1"/>
  <c r="Z1000" i="1" a="1"/>
  <c r="Z1000" i="1"/>
  <c r="Z1001" i="1" a="1"/>
  <c r="Z1001" i="1"/>
  <c r="Z1002" i="1" a="1"/>
  <c r="Z1002" i="1" s="1"/>
  <c r="Z1003" i="1" a="1"/>
  <c r="Z1003" i="1" s="1"/>
  <c r="Z1004" i="1" a="1"/>
  <c r="Z1004" i="1" s="1"/>
  <c r="Z1005" i="1" a="1"/>
  <c r="Z1005" i="1" s="1"/>
  <c r="Z1006" i="1" a="1"/>
  <c r="Z1006" i="1" s="1"/>
  <c r="Z1007" i="1" a="1"/>
  <c r="Z1007" i="1" s="1"/>
  <c r="Z1008" i="1" a="1"/>
  <c r="Z1008" i="1" s="1"/>
  <c r="Z1009" i="1" a="1"/>
  <c r="Z1009" i="1" s="1"/>
  <c r="Z1010" i="1" a="1"/>
  <c r="Z1010" i="1" s="1"/>
  <c r="Z1011" i="1" a="1"/>
  <c r="Z1011" i="1"/>
  <c r="Z1012" i="1" a="1"/>
  <c r="Z1012" i="1" s="1"/>
  <c r="Z1013" i="1" a="1"/>
  <c r="Z1013" i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 s="1"/>
  <c r="Z1019" i="1" a="1"/>
  <c r="Z1019" i="1" s="1"/>
  <c r="Z1020" i="1" a="1"/>
  <c r="Z1020" i="1" s="1"/>
  <c r="Z1021" i="1" a="1"/>
  <c r="Z1021" i="1" s="1"/>
  <c r="Z1022" i="1" a="1"/>
  <c r="Z1022" i="1" s="1"/>
  <c r="Z1023" i="1" a="1"/>
  <c r="Z1023" i="1" s="1"/>
  <c r="Z1024" i="1" a="1"/>
  <c r="Z1024" i="1" s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 s="1"/>
  <c r="Z1031" i="1" a="1"/>
  <c r="Z1031" i="1" s="1"/>
  <c r="Z1032" i="1" a="1"/>
  <c r="Z1032" i="1" s="1"/>
  <c r="Z1033" i="1" a="1"/>
  <c r="Z1033" i="1"/>
  <c r="Z1034" i="1" a="1"/>
  <c r="Z1034" i="1" s="1"/>
  <c r="Z1035" i="1" a="1"/>
  <c r="Z1035" i="1" s="1"/>
  <c r="Z1036" i="1" a="1"/>
  <c r="Z1036" i="1" s="1"/>
  <c r="Z1037" i="1" a="1"/>
  <c r="Z1037" i="1" s="1"/>
  <c r="Z1038" i="1" a="1"/>
  <c r="Z1038" i="1" s="1"/>
  <c r="Z1039" i="1" a="1"/>
  <c r="Z1039" i="1"/>
  <c r="Z1040" i="1" a="1"/>
  <c r="Z1040" i="1" s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 s="1"/>
  <c r="Z1047" i="1" a="1"/>
  <c r="Z1047" i="1" s="1"/>
  <c r="Z1048" i="1" a="1"/>
  <c r="Z1048" i="1" s="1"/>
  <c r="Z1049" i="1" a="1"/>
  <c r="Z1049" i="1" s="1"/>
  <c r="Z1050" i="1" a="1"/>
  <c r="Z1050" i="1" s="1"/>
  <c r="Z1051" i="1" a="1"/>
  <c r="Z1051" i="1"/>
  <c r="Z1052" i="1" a="1"/>
  <c r="Z1052" i="1"/>
  <c r="Z1053" i="1" a="1"/>
  <c r="Z1053" i="1" s="1"/>
  <c r="Z1054" i="1" a="1"/>
  <c r="Z1054" i="1"/>
  <c r="Z1055" i="1" a="1"/>
  <c r="Z1055" i="1"/>
  <c r="Z1056" i="1" a="1"/>
  <c r="Z1056" i="1" s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1064" i="1" a="1"/>
  <c r="Z1064" i="1" s="1"/>
  <c r="Z1065" i="1" a="1"/>
  <c r="Z1065" i="1" s="1"/>
  <c r="Z1066" i="1" a="1"/>
  <c r="Z1066" i="1" s="1"/>
  <c r="Z1067" i="1" a="1"/>
  <c r="Z1067" i="1" s="1"/>
  <c r="Z1068" i="1" a="1"/>
  <c r="Z1068" i="1" s="1"/>
  <c r="Z1069" i="1" a="1"/>
  <c r="Z1069" i="1"/>
  <c r="Z1070" i="1" a="1"/>
  <c r="Z1070" i="1"/>
  <c r="Z1071" i="1" a="1"/>
  <c r="Z1071" i="1" s="1"/>
  <c r="Z1072" i="1" a="1"/>
  <c r="Z1072" i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 s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88" i="1" a="1"/>
  <c r="Z1088" i="1" s="1"/>
  <c r="Z1089" i="1" a="1"/>
  <c r="Z1089" i="1"/>
  <c r="Z1090" i="1" a="1"/>
  <c r="Z1090" i="1" s="1"/>
  <c r="Z1091" i="1" a="1"/>
  <c r="Z1091" i="1" s="1"/>
  <c r="Z1092" i="1" a="1"/>
  <c r="Z1092" i="1" s="1"/>
  <c r="Z1093" i="1" a="1"/>
  <c r="Z1093" i="1" s="1"/>
  <c r="Z1094" i="1" a="1"/>
  <c r="Z1094" i="1" s="1"/>
  <c r="Z1095" i="1" a="1"/>
  <c r="Z1095" i="1" s="1"/>
  <c r="Z1096" i="1" a="1"/>
  <c r="Z1096" i="1" s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/>
  <c r="Z1102" i="1" a="1"/>
  <c r="Z1102" i="1"/>
  <c r="Z1103" i="1" a="1"/>
  <c r="Z1103" i="1" s="1"/>
  <c r="Z1104" i="1" a="1"/>
  <c r="Z1104" i="1" s="1"/>
  <c r="Z1105" i="1" a="1"/>
  <c r="Z1105" i="1" s="1"/>
  <c r="Z1106" i="1" a="1"/>
  <c r="Z1106" i="1" s="1"/>
  <c r="Z1107" i="1" a="1"/>
  <c r="Z1107" i="1" s="1"/>
  <c r="Z1108" i="1" a="1"/>
  <c r="Z1108" i="1" s="1"/>
  <c r="Z1109" i="1" a="1"/>
  <c r="Z1109" i="1" s="1"/>
  <c r="Z1110" i="1" a="1"/>
  <c r="Z1110" i="1" s="1"/>
  <c r="Z1111" i="1" a="1"/>
  <c r="Z1111" i="1" s="1"/>
  <c r="Z1112" i="1" a="1"/>
  <c r="Z1112" i="1" s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 s="1"/>
  <c r="Z1119" i="1" a="1"/>
  <c r="Z1119" i="1"/>
  <c r="Z1120" i="1" a="1"/>
  <c r="Z1120" i="1"/>
  <c r="Z1121" i="1" a="1"/>
  <c r="Z1121" i="1" s="1"/>
  <c r="Z1122" i="1" a="1"/>
  <c r="Z1122" i="1"/>
  <c r="Z1123" i="1" a="1"/>
  <c r="Z1123" i="1" s="1"/>
  <c r="Z1124" i="1" a="1"/>
  <c r="Z1124" i="1" s="1"/>
  <c r="Z1125" i="1" a="1"/>
  <c r="Z1125" i="1" s="1"/>
  <c r="Z1126" i="1" a="1"/>
  <c r="Z1126" i="1" s="1"/>
  <c r="Z1127" i="1" a="1"/>
  <c r="Z1127" i="1" s="1"/>
  <c r="Z1128" i="1" a="1"/>
  <c r="Z1128" i="1" s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 s="1"/>
  <c r="Z1135" i="1" a="1"/>
  <c r="Z1135" i="1" s="1"/>
  <c r="Z1136" i="1" a="1"/>
  <c r="Z1136" i="1" s="1"/>
  <c r="Z1137" i="1" a="1"/>
  <c r="Z1137" i="1" s="1"/>
  <c r="Z1138" i="1" a="1"/>
  <c r="Z1138" i="1" s="1"/>
  <c r="Z1139" i="1" a="1"/>
  <c r="Z1139" i="1"/>
  <c r="Z1140" i="1" a="1"/>
  <c r="Z1140" i="1" s="1"/>
  <c r="Z1141" i="1" a="1"/>
  <c r="Z1141" i="1" s="1"/>
  <c r="Z1142" i="1" a="1"/>
  <c r="Z1142" i="1" s="1"/>
  <c r="Z1143" i="1" a="1"/>
  <c r="Z1143" i="1" s="1"/>
  <c r="Z1144" i="1" a="1"/>
  <c r="Z1144" i="1" s="1"/>
  <c r="Z1145" i="1" a="1"/>
  <c r="Z1145" i="1" s="1"/>
  <c r="Z1146" i="1" a="1"/>
  <c r="Z1146" i="1" s="1"/>
  <c r="Z1147" i="1" a="1"/>
  <c r="Z1147" i="1" s="1"/>
  <c r="Z1148" i="1" a="1"/>
  <c r="Z1148" i="1" s="1"/>
  <c r="Z1149" i="1" a="1"/>
  <c r="Z1149" i="1" s="1"/>
  <c r="Z1150" i="1" a="1"/>
  <c r="Z1150" i="1" s="1"/>
  <c r="Z1151" i="1" a="1"/>
  <c r="Z1151" i="1"/>
  <c r="Z1152" i="1" a="1"/>
  <c r="Z1152" i="1"/>
  <c r="Z1153" i="1" a="1"/>
  <c r="Z1153" i="1" s="1"/>
  <c r="Z1154" i="1" a="1"/>
  <c r="Z1154" i="1" s="1"/>
  <c r="Z1155" i="1" a="1"/>
  <c r="Z1155" i="1" s="1"/>
  <c r="Z1156" i="1" a="1"/>
  <c r="Z1156" i="1" s="1"/>
  <c r="Z1157" i="1" a="1"/>
  <c r="Z1157" i="1" s="1"/>
  <c r="Z1158" i="1" a="1"/>
  <c r="Z1158" i="1" s="1"/>
  <c r="Z1159" i="1" a="1"/>
  <c r="Z1159" i="1" s="1"/>
  <c r="Z1160" i="1" a="1"/>
  <c r="Z1160" i="1" s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 s="1"/>
  <c r="Z1167" i="1" a="1"/>
  <c r="Z1167" i="1" s="1"/>
  <c r="Z1168" i="1" a="1"/>
  <c r="Z1168" i="1" s="1"/>
  <c r="Z1169" i="1" a="1"/>
  <c r="Z1169" i="1"/>
  <c r="Z1170" i="1" a="1"/>
  <c r="Z1170" i="1"/>
  <c r="Z1171" i="1" a="1"/>
  <c r="Z1171" i="1" s="1"/>
  <c r="Z1172" i="1" a="1"/>
  <c r="Z1172" i="1"/>
  <c r="Z1173" i="1" a="1"/>
  <c r="Z1173" i="1" s="1"/>
  <c r="Z1174" i="1" a="1"/>
  <c r="Z1174" i="1" s="1"/>
  <c r="Z1175" i="1" a="1"/>
  <c r="Z1175" i="1" s="1"/>
  <c r="Z1176" i="1" a="1"/>
  <c r="Z1176" i="1" s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 s="1"/>
  <c r="Z1187" i="1" a="1"/>
  <c r="Z1187" i="1" s="1"/>
  <c r="Z1188" i="1" a="1"/>
  <c r="Z1188" i="1" s="1"/>
  <c r="Z1189" i="1" a="1"/>
  <c r="Z1189" i="1"/>
  <c r="Z1190" i="1" a="1"/>
  <c r="Z1190" i="1" s="1"/>
  <c r="Z1191" i="1" a="1"/>
  <c r="Z1191" i="1" s="1"/>
  <c r="Z1192" i="1" a="1"/>
  <c r="Z1192" i="1"/>
  <c r="Z1193" i="1" a="1"/>
  <c r="Z1193" i="1" s="1"/>
  <c r="Z1194" i="1" a="1"/>
  <c r="Z1194" i="1" s="1"/>
  <c r="Z1195" i="1" a="1"/>
  <c r="Z1195" i="1" s="1"/>
  <c r="Z1196" i="1" a="1"/>
  <c r="Z1196" i="1" s="1"/>
  <c r="Z1197" i="1" a="1"/>
  <c r="Z1197" i="1" s="1"/>
  <c r="Z1198" i="1" a="1"/>
  <c r="Z1198" i="1" s="1"/>
  <c r="Z1199" i="1" a="1"/>
  <c r="Z1199" i="1" s="1"/>
  <c r="Z1200" i="1" a="1"/>
  <c r="Z1200" i="1" s="1"/>
  <c r="Z1201" i="1" a="1"/>
  <c r="Z1201" i="1"/>
  <c r="Z1202" i="1" a="1"/>
  <c r="Z1202" i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 s="1"/>
  <c r="Z1209" i="1" a="1"/>
  <c r="Z1209" i="1" s="1"/>
  <c r="Z1210" i="1" a="1"/>
  <c r="Z1210" i="1" s="1"/>
  <c r="Z1211" i="1" a="1"/>
  <c r="Z1211" i="1" s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 s="1"/>
  <c r="Z1217" i="1" a="1"/>
  <c r="Z1217" i="1" s="1"/>
  <c r="Z1218" i="1" a="1"/>
  <c r="Z1218" i="1" s="1"/>
  <c r="Z1219" i="1" a="1"/>
  <c r="Z1219" i="1"/>
  <c r="Z1220" i="1" a="1"/>
  <c r="Z1220" i="1" s="1"/>
  <c r="Z1221" i="1" a="1"/>
  <c r="Z1221" i="1" s="1"/>
  <c r="Z1222" i="1" a="1"/>
  <c r="Z1222" i="1" s="1"/>
  <c r="Z1223" i="1" a="1"/>
  <c r="Z1223" i="1" s="1"/>
  <c r="Z1224" i="1" a="1"/>
  <c r="Z1224" i="1" s="1"/>
  <c r="Z1225" i="1" a="1"/>
  <c r="Z1225" i="1" s="1"/>
  <c r="Z1226" i="1" a="1"/>
  <c r="Z1226" i="1" s="1"/>
  <c r="Z1227" i="1" a="1"/>
  <c r="Z1227" i="1"/>
  <c r="Z1228" i="1" a="1"/>
  <c r="Z1228" i="1" s="1"/>
  <c r="Z1229" i="1" a="1"/>
  <c r="Z1229" i="1" s="1"/>
  <c r="Z1230" i="1" a="1"/>
  <c r="Z1230" i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8" i="1" a="1"/>
  <c r="Z1238" i="1" s="1"/>
  <c r="Z1239" i="1" a="1"/>
  <c r="Z1239" i="1"/>
  <c r="Z1240" i="1" a="1"/>
  <c r="Z1240" i="1"/>
  <c r="Z1241" i="1" a="1"/>
  <c r="Z1241" i="1" s="1"/>
  <c r="Z1242" i="1" a="1"/>
  <c r="Z1242" i="1" s="1"/>
  <c r="Z1243" i="1" a="1"/>
  <c r="Z1243" i="1" s="1"/>
  <c r="Z1244" i="1" a="1"/>
  <c r="Z1244" i="1" s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 s="1"/>
  <c r="Z1251" i="1" a="1"/>
  <c r="Z1251" i="1" s="1"/>
  <c r="Z1252" i="1" a="1"/>
  <c r="Z1252" i="1"/>
  <c r="Z1253" i="1" a="1"/>
  <c r="Z1253" i="1" s="1"/>
  <c r="Z1254" i="1" a="1"/>
  <c r="Z1254" i="1"/>
  <c r="Z1255" i="1" a="1"/>
  <c r="Z1255" i="1"/>
  <c r="Z1256" i="1" a="1"/>
  <c r="Z1256" i="1" s="1"/>
  <c r="Z1257" i="1" a="1"/>
  <c r="Z1257" i="1" s="1"/>
  <c r="Z1258" i="1" a="1"/>
  <c r="Z1258" i="1" s="1"/>
  <c r="Z1259" i="1" a="1"/>
  <c r="Z1259" i="1"/>
  <c r="Z1260" i="1" a="1"/>
  <c r="Z1260" i="1" s="1"/>
  <c r="Z1261" i="1" a="1"/>
  <c r="Z1261" i="1"/>
  <c r="Z1262" i="1" a="1"/>
  <c r="Z1262" i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 s="1"/>
  <c r="Z1268" i="1" a="1"/>
  <c r="Z1268" i="1" s="1"/>
  <c r="Z1269" i="1" a="1"/>
  <c r="Z1269" i="1" s="1"/>
  <c r="Z1270" i="1" a="1"/>
  <c r="Z1270" i="1"/>
  <c r="Z1271" i="1" a="1"/>
  <c r="Z1271" i="1" s="1"/>
  <c r="Z1272" i="1" a="1"/>
  <c r="Z1272" i="1"/>
  <c r="Z1273" i="1" a="1"/>
  <c r="Z1273" i="1" s="1"/>
  <c r="Z1274" i="1" a="1"/>
  <c r="Z1274" i="1" s="1"/>
  <c r="Z1275" i="1" a="1"/>
  <c r="Z1275" i="1" s="1"/>
  <c r="Z1276" i="1" a="1"/>
  <c r="Z1276" i="1" s="1"/>
  <c r="Z1277" i="1" a="1"/>
  <c r="Z1277" i="1" s="1"/>
  <c r="Z1278" i="1" a="1"/>
  <c r="Z1278" i="1" s="1"/>
  <c r="Z1279" i="1" a="1"/>
  <c r="Z1279" i="1" s="1"/>
  <c r="Z1280" i="1" a="1"/>
  <c r="Z1280" i="1" s="1"/>
  <c r="Z1281" i="1" a="1"/>
  <c r="Z1281" i="1"/>
  <c r="Z1282" i="1" a="1"/>
  <c r="Z1282" i="1" s="1"/>
  <c r="Z1283" i="1" a="1"/>
  <c r="Z1283" i="1" s="1"/>
  <c r="Z1284" i="1" a="1"/>
  <c r="Z1284" i="1" s="1"/>
  <c r="Z1285" i="1" a="1"/>
  <c r="Z1285" i="1" s="1"/>
  <c r="Z1286" i="1" a="1"/>
  <c r="Z1286" i="1" s="1"/>
  <c r="Z1287" i="1" a="1"/>
  <c r="Z1287" i="1" s="1"/>
  <c r="Z1288" i="1" a="1"/>
  <c r="Z1288" i="1" s="1"/>
  <c r="Z1289" i="1" a="1"/>
  <c r="Z1289" i="1"/>
  <c r="Z1290" i="1" a="1"/>
  <c r="Z1290" i="1" s="1"/>
  <c r="Z1291" i="1" a="1"/>
  <c r="Z1291" i="1" s="1"/>
  <c r="Z1292" i="1" a="1"/>
  <c r="Z1292" i="1"/>
  <c r="Z1293" i="1" a="1"/>
  <c r="Z1293" i="1" s="1"/>
  <c r="Z1294" i="1" a="1"/>
  <c r="Z1294" i="1" s="1"/>
  <c r="Z1295" i="1" a="1"/>
  <c r="Z1295" i="1" s="1"/>
  <c r="Z1296" i="1" a="1"/>
  <c r="Z1296" i="1" s="1"/>
  <c r="Z1297" i="1" a="1"/>
  <c r="Z1297" i="1" s="1"/>
  <c r="Z1298" i="1" a="1"/>
  <c r="Z1298" i="1" s="1"/>
  <c r="Z1299" i="1" a="1"/>
  <c r="Z1299" i="1" s="1"/>
  <c r="Z1300" i="1" a="1"/>
  <c r="Z1300" i="1" s="1"/>
  <c r="Z1301" i="1" a="1"/>
  <c r="Z1301" i="1"/>
  <c r="Z1302" i="1" a="1"/>
  <c r="Z1302" i="1"/>
  <c r="Z1303" i="1" a="1"/>
  <c r="Z1303" i="1" s="1"/>
  <c r="Z1304" i="1" a="1"/>
  <c r="Z1304" i="1" s="1"/>
  <c r="Z1305" i="1" a="1"/>
  <c r="Z1305" i="1" s="1"/>
  <c r="Z1306" i="1" a="1"/>
  <c r="Z1306" i="1" s="1"/>
  <c r="Z1307" i="1" a="1"/>
  <c r="Z1307" i="1" s="1"/>
  <c r="Z1308" i="1" a="1"/>
  <c r="Z1308" i="1" s="1"/>
  <c r="Z1309" i="1" a="1"/>
  <c r="Z1309" i="1" s="1"/>
  <c r="Z1310" i="1" a="1"/>
  <c r="Z1310" i="1" s="1"/>
  <c r="Z1311" i="1" a="1"/>
  <c r="Z1311" i="1" s="1"/>
  <c r="Z1312" i="1" a="1"/>
  <c r="Z1312" i="1" s="1"/>
  <c r="Z1313" i="1" a="1"/>
  <c r="Z1313" i="1" s="1"/>
  <c r="Z1314" i="1" a="1"/>
  <c r="Z1314" i="1" s="1"/>
  <c r="Z1315" i="1" a="1"/>
  <c r="Z1315" i="1" s="1"/>
  <c r="Z1316" i="1" a="1"/>
  <c r="Z1316" i="1"/>
  <c r="Z1317" i="1" a="1"/>
  <c r="Z1317" i="1" s="1"/>
  <c r="Z1318" i="1" a="1"/>
  <c r="Z1318" i="1" s="1"/>
  <c r="Z1319" i="1" a="1"/>
  <c r="Z1319" i="1" s="1"/>
  <c r="Z1320" i="1" a="1"/>
  <c r="Z1320" i="1" s="1"/>
  <c r="Z1321" i="1" a="1"/>
  <c r="Z1321" i="1" s="1"/>
  <c r="Z1322" i="1" a="1"/>
  <c r="Z1322" i="1" s="1"/>
  <c r="Z1323" i="1" a="1"/>
  <c r="Z1323" i="1" s="1"/>
  <c r="Z1324" i="1" a="1"/>
  <c r="Z1324" i="1" s="1"/>
  <c r="Z1325" i="1" a="1"/>
  <c r="Z1325" i="1" s="1"/>
  <c r="Z1326" i="1" a="1"/>
  <c r="Z1326" i="1" s="1"/>
  <c r="Z1327" i="1" a="1"/>
  <c r="Z1327" i="1" s="1"/>
  <c r="Z1328" i="1" a="1"/>
  <c r="Z1328" i="1" s="1"/>
  <c r="Z1329" i="1" a="1"/>
  <c r="Z1329" i="1" s="1"/>
  <c r="Z1330" i="1" a="1"/>
  <c r="Z1330" i="1"/>
  <c r="Z1331" i="1" a="1"/>
  <c r="Z1331" i="1"/>
  <c r="Z1332" i="1" a="1"/>
  <c r="Z1332" i="1" s="1"/>
  <c r="Z1333" i="1" a="1"/>
  <c r="Z1333" i="1" s="1"/>
  <c r="Z1334" i="1" a="1"/>
  <c r="Z1334" i="1" s="1"/>
  <c r="Z1335" i="1" a="1"/>
  <c r="Z1335" i="1" s="1"/>
  <c r="Z1336" i="1" a="1"/>
  <c r="Z1336" i="1" s="1"/>
  <c r="Z1337" i="1" a="1"/>
  <c r="Z1337" i="1"/>
  <c r="Z1338" i="1" a="1"/>
  <c r="Z1338" i="1" s="1"/>
  <c r="Z1339" i="1" a="1"/>
  <c r="Z1339" i="1" s="1"/>
  <c r="Z1340" i="1" a="1"/>
  <c r="Z1340" i="1"/>
  <c r="Z1341" i="1" a="1"/>
  <c r="Z1341" i="1" s="1"/>
  <c r="Z1342" i="1" a="1"/>
  <c r="Z1342" i="1" s="1"/>
  <c r="Z1343" i="1" a="1"/>
  <c r="Z1343" i="1" s="1"/>
  <c r="Z1344" i="1" a="1"/>
  <c r="Z1344" i="1" s="1"/>
  <c r="Z1345" i="1" a="1"/>
  <c r="Z1345" i="1" s="1"/>
  <c r="Z1346" i="1" a="1"/>
  <c r="Z1346" i="1" s="1"/>
  <c r="Z1347" i="1" a="1"/>
  <c r="Z1347" i="1" s="1"/>
  <c r="Z1348" i="1" a="1"/>
  <c r="Z1348" i="1" s="1"/>
  <c r="Z1349" i="1" a="1"/>
  <c r="Z1349" i="1" s="1"/>
  <c r="Z1350" i="1" a="1"/>
  <c r="Z1350" i="1" s="1"/>
  <c r="Z1351" i="1" a="1"/>
  <c r="Z1351" i="1"/>
  <c r="Z1352" i="1" a="1"/>
  <c r="Z1352" i="1" s="1"/>
  <c r="Z1353" i="1" a="1"/>
  <c r="Z1353" i="1" s="1"/>
  <c r="Z1354" i="1" a="1"/>
  <c r="Z1354" i="1" s="1"/>
  <c r="Z1355" i="1" a="1"/>
  <c r="Z1355" i="1" s="1"/>
  <c r="Z1356" i="1" a="1"/>
  <c r="Z1356" i="1" s="1"/>
  <c r="Z1357" i="1" a="1"/>
  <c r="Z1357" i="1" s="1"/>
  <c r="Z1358" i="1" a="1"/>
  <c r="Z1358" i="1" s="1"/>
  <c r="Z1359" i="1" a="1"/>
  <c r="Z1359" i="1" s="1"/>
  <c r="Z1360" i="1" a="1"/>
  <c r="Z1360" i="1" s="1"/>
  <c r="Z1361" i="1" a="1"/>
  <c r="Z1361" i="1"/>
  <c r="Z1362" i="1" a="1"/>
  <c r="Z1362" i="1" s="1"/>
  <c r="Z1363" i="1" a="1"/>
  <c r="Z1363" i="1" s="1"/>
  <c r="Z1364" i="1" a="1"/>
  <c r="Z1364" i="1" s="1"/>
  <c r="Z1365" i="1" a="1"/>
  <c r="Z1365" i="1"/>
  <c r="Z1366" i="1" a="1"/>
  <c r="Z1366" i="1" s="1"/>
  <c r="Z1367" i="1" a="1"/>
  <c r="Z1367" i="1" s="1"/>
  <c r="Z1368" i="1" a="1"/>
  <c r="Z1368" i="1" s="1"/>
  <c r="Z1369" i="1" a="1"/>
  <c r="Z1369" i="1"/>
  <c r="Z1370" i="1" a="1"/>
  <c r="Z1370" i="1" s="1"/>
  <c r="Z1371" i="1" a="1"/>
  <c r="Z1371" i="1" s="1"/>
  <c r="Z1372" i="1" a="1"/>
  <c r="Z1372" i="1"/>
  <c r="Z1373" i="1" a="1"/>
  <c r="Z1373" i="1" s="1"/>
  <c r="Z1374" i="1" a="1"/>
  <c r="Z1374" i="1" s="1"/>
  <c r="Z1375" i="1" a="1"/>
  <c r="Z1375" i="1" s="1"/>
  <c r="Z1376" i="1" a="1"/>
  <c r="Z1376" i="1"/>
  <c r="Z1377" i="1" a="1"/>
  <c r="Z1377" i="1" s="1"/>
  <c r="Z1378" i="1" a="1"/>
  <c r="Z1378" i="1" s="1"/>
  <c r="Z1379" i="1" a="1"/>
  <c r="Z1379" i="1" s="1"/>
  <c r="Z1380" i="1" a="1"/>
  <c r="Z1380" i="1"/>
  <c r="Z1381" i="1" a="1"/>
  <c r="Z1381" i="1" s="1"/>
  <c r="Z1382" i="1" a="1"/>
  <c r="Z1382" i="1" s="1"/>
  <c r="Z1383" i="1" a="1"/>
  <c r="Z1383" i="1" s="1"/>
  <c r="Z1384" i="1" a="1"/>
  <c r="Z1384" i="1" s="1"/>
  <c r="Z1385" i="1" a="1"/>
  <c r="Z1385" i="1" s="1"/>
  <c r="Z1386" i="1" a="1"/>
  <c r="Z1386" i="1" s="1"/>
  <c r="Z1387" i="1" a="1"/>
  <c r="Z1387" i="1" s="1"/>
  <c r="Z1388" i="1" a="1"/>
  <c r="Z1388" i="1" s="1"/>
  <c r="Z1389" i="1" a="1"/>
  <c r="Z1389" i="1" s="1"/>
  <c r="Z1390" i="1" a="1"/>
  <c r="Z1390" i="1" s="1"/>
  <c r="Z1391" i="1" a="1"/>
  <c r="Z1391" i="1"/>
  <c r="Z1392" i="1" a="1"/>
  <c r="Z1392" i="1" s="1"/>
  <c r="Z1393" i="1" a="1"/>
  <c r="Z1393" i="1" s="1"/>
  <c r="Z1394" i="1" a="1"/>
  <c r="Z1394" i="1" s="1"/>
  <c r="Z1395" i="1" a="1"/>
  <c r="Z1395" i="1" s="1"/>
  <c r="Z1396" i="1" a="1"/>
  <c r="Z1396" i="1" s="1"/>
  <c r="Z1397" i="1" a="1"/>
  <c r="Z1397" i="1" s="1"/>
  <c r="Z1398" i="1" a="1"/>
  <c r="Z1398" i="1" s="1"/>
  <c r="Z1399" i="1" a="1"/>
  <c r="Z1399" i="1" s="1"/>
  <c r="Z1400" i="1" a="1"/>
  <c r="Z1400" i="1"/>
  <c r="Z1401" i="1" a="1"/>
  <c r="Z1401" i="1" s="1"/>
  <c r="Z1402" i="1" a="1"/>
  <c r="Z1402" i="1" s="1"/>
  <c r="Z1403" i="1" a="1"/>
  <c r="Z1403" i="1" s="1"/>
  <c r="Z1404" i="1" a="1"/>
  <c r="Z1404" i="1" s="1"/>
  <c r="Z1405" i="1" a="1"/>
  <c r="Z1405" i="1" s="1"/>
  <c r="Z1406" i="1" a="1"/>
  <c r="Z1406" i="1" s="1"/>
  <c r="Z1407" i="1" a="1"/>
  <c r="Z1407" i="1" s="1"/>
  <c r="Z1408" i="1" a="1"/>
  <c r="Z1408" i="1" s="1"/>
  <c r="Z1409" i="1" a="1"/>
  <c r="Z1409" i="1"/>
  <c r="Z1410" i="1" a="1"/>
  <c r="Z1410" i="1" s="1"/>
  <c r="Z1411" i="1" a="1"/>
  <c r="Z1411" i="1"/>
  <c r="Z1412" i="1" a="1"/>
  <c r="Z1412" i="1" s="1"/>
  <c r="Z1413" i="1" a="1"/>
  <c r="Z1413" i="1" s="1"/>
  <c r="Z1414" i="1" a="1"/>
  <c r="Z1414" i="1" s="1"/>
  <c r="Z1415" i="1" a="1"/>
  <c r="Z1415" i="1" s="1"/>
  <c r="Z1416" i="1" a="1"/>
  <c r="Z1416" i="1" s="1"/>
  <c r="Z1417" i="1" a="1"/>
  <c r="Z1417" i="1" s="1"/>
  <c r="Z1418" i="1" a="1"/>
  <c r="Z1418" i="1" s="1"/>
  <c r="Z1419" i="1" a="1"/>
  <c r="Z1419" i="1"/>
  <c r="Z1420" i="1" a="1"/>
  <c r="Z1420" i="1"/>
  <c r="Z1421" i="1" a="1"/>
  <c r="Z1421" i="1" s="1"/>
  <c r="Z1422" i="1" a="1"/>
  <c r="Z1422" i="1" s="1"/>
  <c r="Z1423" i="1" a="1"/>
  <c r="Z1423" i="1" s="1"/>
  <c r="Z1424" i="1" a="1"/>
  <c r="Z1424" i="1" s="1"/>
  <c r="Z1425" i="1" a="1"/>
  <c r="Z1425" i="1" s="1"/>
  <c r="Z1426" i="1" a="1"/>
  <c r="Z1426" i="1"/>
  <c r="Z1427" i="1" a="1"/>
  <c r="Z1427" i="1" s="1"/>
  <c r="Z1428" i="1" a="1"/>
  <c r="Z1428" i="1" s="1"/>
  <c r="Z1429" i="1" a="1"/>
  <c r="Z1429" i="1" s="1"/>
  <c r="Z1430" i="1" a="1"/>
  <c r="Z1430" i="1" s="1"/>
  <c r="Z1431" i="1" a="1"/>
  <c r="Z1431" i="1"/>
  <c r="Z1432" i="1" a="1"/>
  <c r="Z1432" i="1" s="1"/>
  <c r="Z1433" i="1" a="1"/>
  <c r="Z1433" i="1" s="1"/>
  <c r="Z1434" i="1" a="1"/>
  <c r="Z1434" i="1" s="1"/>
  <c r="Z1435" i="1" a="1"/>
  <c r="Z1435" i="1" s="1"/>
  <c r="Z1436" i="1" a="1"/>
  <c r="Z1436" i="1" s="1"/>
  <c r="Z1437" i="1" a="1"/>
  <c r="Z1437" i="1"/>
  <c r="Z1438" i="1" a="1"/>
  <c r="Z1438" i="1" s="1"/>
  <c r="Z1439" i="1" a="1"/>
  <c r="Z1439" i="1"/>
  <c r="Z1440" i="1" a="1"/>
  <c r="Z1440" i="1" s="1"/>
  <c r="Z1441" i="1" a="1"/>
  <c r="Z1441" i="1"/>
  <c r="Z1442" i="1" a="1"/>
  <c r="Z1442" i="1"/>
  <c r="Z1443" i="1" a="1"/>
  <c r="Z1443" i="1" s="1"/>
  <c r="Z1444" i="1" a="1"/>
  <c r="Z1444" i="1" s="1"/>
  <c r="Z1445" i="1" a="1"/>
  <c r="Z1445" i="1" s="1"/>
  <c r="Z1446" i="1" a="1"/>
  <c r="Z1446" i="1" s="1"/>
  <c r="Z1447" i="1" a="1"/>
  <c r="Z1447" i="1" s="1"/>
  <c r="Z1448" i="1" a="1"/>
  <c r="Z1448" i="1" s="1"/>
  <c r="Z1449" i="1" a="1"/>
  <c r="Z1449" i="1" s="1"/>
  <c r="Z1450" i="1" a="1"/>
  <c r="Z1450" i="1"/>
  <c r="Z1451" i="1" a="1"/>
  <c r="Z1451" i="1" s="1"/>
  <c r="Z1452" i="1" a="1"/>
  <c r="Z1452" i="1" s="1"/>
  <c r="Z1453" i="1" a="1"/>
  <c r="Z1453" i="1"/>
  <c r="Z1454" i="1" a="1"/>
  <c r="Z1454" i="1" s="1"/>
  <c r="Z1455" i="1" a="1"/>
  <c r="Z1455" i="1"/>
  <c r="Z1456" i="1" a="1"/>
  <c r="Z1456" i="1" s="1"/>
  <c r="Z1457" i="1" a="1"/>
  <c r="Z1457" i="1" s="1"/>
  <c r="Z1458" i="1" a="1"/>
  <c r="Z1458" i="1" s="1"/>
  <c r="Z1459" i="1" a="1"/>
  <c r="Z1459" i="1" s="1"/>
  <c r="Z1460" i="1" a="1"/>
  <c r="Z1460" i="1" s="1"/>
  <c r="Z1461" i="1" a="1"/>
  <c r="Z1461" i="1" s="1"/>
  <c r="Z1462" i="1" a="1"/>
  <c r="Z1462" i="1" s="1"/>
  <c r="Z1463" i="1" a="1"/>
  <c r="Z1463" i="1" s="1"/>
  <c r="Z1464" i="1" a="1"/>
  <c r="Z1464" i="1" s="1"/>
  <c r="Z1465" i="1" a="1"/>
  <c r="Z1465" i="1" s="1"/>
  <c r="Z1466" i="1" a="1"/>
  <c r="Z1466" i="1" s="1"/>
  <c r="Z1467" i="1" a="1"/>
  <c r="Z1467" i="1"/>
  <c r="Z1468" i="1" a="1"/>
  <c r="Z1468" i="1" s="1"/>
  <c r="Z1469" i="1" a="1"/>
  <c r="Z1469" i="1" s="1"/>
  <c r="Z1470" i="1" a="1"/>
  <c r="Z1470" i="1" s="1"/>
  <c r="Z1471" i="1" a="1"/>
  <c r="Z1471" i="1" s="1"/>
  <c r="Z1472" i="1" a="1"/>
  <c r="Z1472" i="1" s="1"/>
  <c r="Z1473" i="1" a="1"/>
  <c r="Z1473" i="1" s="1"/>
  <c r="Z1474" i="1" a="1"/>
  <c r="Z1474" i="1" s="1"/>
  <c r="Z1475" i="1" a="1"/>
  <c r="Z1475" i="1"/>
  <c r="Z1476" i="1" a="1"/>
  <c r="Z1476" i="1" s="1"/>
  <c r="Z1477" i="1" a="1"/>
  <c r="Z1477" i="1" s="1"/>
  <c r="Z1478" i="1" a="1"/>
  <c r="Z1478" i="1" s="1"/>
  <c r="Z1479" i="1" a="1"/>
  <c r="Z1479" i="1" s="1"/>
  <c r="Z1480" i="1" a="1"/>
  <c r="Z1480" i="1" s="1"/>
  <c r="Z1481" i="1" a="1"/>
  <c r="Z1481" i="1" s="1"/>
  <c r="Z1482" i="1" a="1"/>
  <c r="Z1482" i="1" s="1"/>
  <c r="Z1483" i="1" a="1"/>
  <c r="Z1483" i="1" s="1"/>
  <c r="Z1484" i="1" a="1"/>
  <c r="Z1484" i="1" s="1"/>
  <c r="Z1485" i="1" a="1"/>
  <c r="Z1485" i="1"/>
  <c r="Z1486" i="1" a="1"/>
  <c r="Z1486" i="1" s="1"/>
  <c r="Z1487" i="1" a="1"/>
  <c r="Z1487" i="1" s="1"/>
  <c r="Z1488" i="1" a="1"/>
  <c r="Z1488" i="1" s="1"/>
  <c r="Z1489" i="1" a="1"/>
  <c r="Z1489" i="1" s="1"/>
  <c r="Z1490" i="1" a="1"/>
  <c r="Z1490" i="1" s="1"/>
  <c r="Z1491" i="1" a="1"/>
  <c r="Z1491" i="1" s="1"/>
  <c r="Z1492" i="1" a="1"/>
  <c r="Z1492" i="1" s="1"/>
  <c r="Z1493" i="1" a="1"/>
  <c r="Z1493" i="1" s="1"/>
  <c r="Z1494" i="1" a="1"/>
  <c r="Z1494" i="1" s="1"/>
  <c r="Z1495" i="1" a="1"/>
  <c r="Z1495" i="1"/>
  <c r="Z1496" i="1" a="1"/>
  <c r="Z1496" i="1" s="1"/>
  <c r="Z1497" i="1" a="1"/>
  <c r="Z1497" i="1" s="1"/>
  <c r="Z1498" i="1" a="1"/>
  <c r="Z1498" i="1" s="1"/>
  <c r="Z1499" i="1" a="1"/>
  <c r="Z1499" i="1" s="1"/>
  <c r="Z1500" i="1" a="1"/>
  <c r="Z1500" i="1" s="1"/>
  <c r="Z1501" i="1" a="1"/>
  <c r="Z1501" i="1" s="1"/>
  <c r="I5" i="5" a="1"/>
  <c r="I5" i="5" s="1"/>
  <c r="R1503" i="1"/>
  <c r="R1511" i="1"/>
  <c r="R1517" i="1"/>
  <c r="R1527" i="1"/>
  <c r="R1536" i="1"/>
  <c r="R1541" i="1"/>
  <c r="R1544" i="1"/>
  <c r="R1546" i="1"/>
  <c r="R1587" i="1"/>
  <c r="R1640" i="1"/>
  <c r="R1643" i="1"/>
  <c r="R1648" i="1"/>
  <c r="R1657" i="1"/>
  <c r="R1664" i="1"/>
  <c r="R1675" i="1"/>
  <c r="R1687" i="1"/>
  <c r="R1699" i="1"/>
  <c r="R1728" i="1"/>
  <c r="R1736" i="1"/>
  <c r="R1776" i="1"/>
  <c r="R1803" i="1"/>
  <c r="R1875" i="1"/>
  <c r="R1883" i="1"/>
  <c r="R1905" i="1"/>
  <c r="R1916" i="1"/>
  <c r="W1916" i="1" s="1" a="1"/>
  <c r="W1916" i="1" s="1"/>
  <c r="X1916" i="1" s="1"/>
  <c r="R1957" i="1"/>
  <c r="W1957" i="1" s="1" a="1"/>
  <c r="W1957" i="1" s="1"/>
  <c r="X1957" i="1" s="1"/>
  <c r="R1966" i="1"/>
  <c r="R1970" i="1"/>
  <c r="W1970" i="1" s="1" a="1"/>
  <c r="W1970" i="1" s="1"/>
  <c r="X1970" i="1" s="1"/>
  <c r="R2027" i="1"/>
  <c r="R2047" i="1"/>
  <c r="W2047" i="1" s="1" a="1"/>
  <c r="W2047" i="1" s="1"/>
  <c r="X2047" i="1" s="1"/>
  <c r="R2066" i="1"/>
  <c r="W2066" i="1" s="1" a="1"/>
  <c r="W2066" i="1" s="1"/>
  <c r="X2066" i="1" s="1"/>
  <c r="R2071" i="1"/>
  <c r="R2079" i="1"/>
  <c r="R2096" i="1"/>
  <c r="R13" i="1"/>
  <c r="R55" i="1"/>
  <c r="R131" i="1"/>
  <c r="R149" i="1"/>
  <c r="R165" i="1"/>
  <c r="R193" i="1"/>
  <c r="R194" i="1"/>
  <c r="R276" i="1"/>
  <c r="R296" i="1"/>
  <c r="R323" i="1"/>
  <c r="R401" i="1"/>
  <c r="R427" i="1"/>
  <c r="R451" i="1"/>
  <c r="R481" i="1"/>
  <c r="R517" i="1"/>
  <c r="W517" i="1" s="1" a="1"/>
  <c r="W517" i="1" s="1"/>
  <c r="X517" i="1" s="1"/>
  <c r="R519" i="1"/>
  <c r="R526" i="1"/>
  <c r="R531" i="1"/>
  <c r="R534" i="1"/>
  <c r="R542" i="1"/>
  <c r="R596" i="1"/>
  <c r="R636" i="1"/>
  <c r="R643" i="1"/>
  <c r="R666" i="1"/>
  <c r="R720" i="1"/>
  <c r="R728" i="1"/>
  <c r="R754" i="1"/>
  <c r="R776" i="1"/>
  <c r="R812" i="1"/>
  <c r="R814" i="1"/>
  <c r="R823" i="1"/>
  <c r="R830" i="1"/>
  <c r="R836" i="1"/>
  <c r="R861" i="1"/>
  <c r="R923" i="1"/>
  <c r="W923" i="1" s="1" a="1"/>
  <c r="W923" i="1" s="1"/>
  <c r="X923" i="1" s="1"/>
  <c r="R964" i="1"/>
  <c r="R1015" i="1"/>
  <c r="W1015" i="1" s="1" a="1"/>
  <c r="W1015" i="1" s="1"/>
  <c r="X1015" i="1" s="1"/>
  <c r="R1027" i="1"/>
  <c r="W1027" i="1" s="1" a="1"/>
  <c r="W1027" i="1" s="1"/>
  <c r="X1027" i="1" s="1"/>
  <c r="R1039" i="1"/>
  <c r="W1039" i="1" s="1" a="1"/>
  <c r="W1039" i="1" s="1"/>
  <c r="X1039" i="1" s="1"/>
  <c r="R1067" i="1"/>
  <c r="R1084" i="1"/>
  <c r="R1157" i="1"/>
  <c r="R1159" i="1"/>
  <c r="W1159" i="1" s="1" a="1"/>
  <c r="W1159" i="1" s="1"/>
  <c r="X1159" i="1" s="1"/>
  <c r="R1173" i="1"/>
  <c r="R1211" i="1"/>
  <c r="W1211" i="1" s="1" a="1"/>
  <c r="W1211" i="1" s="1"/>
  <c r="X1211" i="1" s="1"/>
  <c r="R1256" i="1"/>
  <c r="R1267" i="1"/>
  <c r="W1267" i="1" s="1" a="1"/>
  <c r="W1267" i="1" s="1"/>
  <c r="X1267" i="1" s="1"/>
  <c r="R1286" i="1"/>
  <c r="R1300" i="1"/>
  <c r="R1306" i="1"/>
  <c r="R1340" i="1"/>
  <c r="R1349" i="1"/>
  <c r="R1350" i="1"/>
  <c r="R1357" i="1"/>
  <c r="R1377" i="1"/>
  <c r="W1377" i="1" s="1" a="1"/>
  <c r="W1377" i="1" s="1"/>
  <c r="X1377" i="1" s="1"/>
  <c r="R1380" i="1"/>
  <c r="R1442" i="1"/>
  <c r="R1464" i="1"/>
  <c r="R1468" i="1"/>
  <c r="W1468" i="1" s="1" a="1"/>
  <c r="W1468" i="1" s="1"/>
  <c r="X1468" i="1" s="1"/>
  <c r="F5" i="14"/>
  <c r="B2" i="14"/>
  <c r="B5" i="15"/>
  <c r="B4" i="15"/>
  <c r="B3" i="15"/>
  <c r="I20" i="13" a="1"/>
  <c r="I20" i="13" s="1"/>
  <c r="C15" i="13"/>
  <c r="C14" i="13" a="1"/>
  <c r="C14" i="13" s="1"/>
  <c r="C13" i="13" a="1"/>
  <c r="C13" i="13" s="1"/>
  <c r="C8" i="13"/>
  <c r="C6" i="13"/>
  <c r="C5" i="13"/>
  <c r="L6" i="9" a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V2" i="1" a="1"/>
  <c r="V2" i="1" s="1"/>
  <c r="V3" i="1" a="1"/>
  <c r="V3" i="1" s="1"/>
  <c r="V4" i="1" a="1"/>
  <c r="V4" i="1" s="1"/>
  <c r="V5" i="1" a="1"/>
  <c r="V5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V22" i="1" a="1"/>
  <c r="V22" i="1" s="1"/>
  <c r="V23" i="1" a="1"/>
  <c r="V23" i="1" s="1"/>
  <c r="V24" i="1" a="1"/>
  <c r="V24" i="1" s="1"/>
  <c r="V25" i="1" a="1"/>
  <c r="V25" i="1" s="1"/>
  <c r="V26" i="1" a="1"/>
  <c r="V26" i="1" s="1"/>
  <c r="V27" i="1" a="1"/>
  <c r="V27" i="1" s="1"/>
  <c r="V28" i="1" a="1"/>
  <c r="V28" i="1" s="1"/>
  <c r="V29" i="1" a="1"/>
  <c r="V29" i="1" s="1"/>
  <c r="V30" i="1" a="1"/>
  <c r="V30" i="1" s="1"/>
  <c r="V31" i="1" a="1"/>
  <c r="V31" i="1" s="1"/>
  <c r="V32" i="1" a="1"/>
  <c r="V32" i="1" s="1"/>
  <c r="V33" i="1" a="1"/>
  <c r="V33" i="1" s="1"/>
  <c r="V34" i="1" a="1"/>
  <c r="V34" i="1" s="1"/>
  <c r="V35" i="1" a="1"/>
  <c r="V35" i="1" s="1"/>
  <c r="V36" i="1" a="1"/>
  <c r="V36" i="1" s="1"/>
  <c r="V37" i="1" a="1"/>
  <c r="V37" i="1" s="1"/>
  <c r="V38" i="1" a="1"/>
  <c r="V38" i="1" s="1"/>
  <c r="V39" i="1" a="1"/>
  <c r="V39" i="1" s="1"/>
  <c r="V40" i="1" a="1"/>
  <c r="V40" i="1" s="1"/>
  <c r="V41" i="1" a="1"/>
  <c r="V41" i="1" s="1"/>
  <c r="V42" i="1" a="1"/>
  <c r="V42" i="1" s="1"/>
  <c r="V43" i="1" a="1"/>
  <c r="V43" i="1" s="1"/>
  <c r="V44" i="1" a="1"/>
  <c r="V44" i="1" s="1"/>
  <c r="V45" i="1" a="1"/>
  <c r="V45" i="1" s="1"/>
  <c r="V46" i="1" a="1"/>
  <c r="V46" i="1" s="1"/>
  <c r="V47" i="1" a="1"/>
  <c r="V47" i="1" s="1"/>
  <c r="V48" i="1" a="1"/>
  <c r="V48" i="1" s="1"/>
  <c r="V49" i="1" a="1"/>
  <c r="V49" i="1" s="1"/>
  <c r="V50" i="1" a="1"/>
  <c r="V50" i="1" s="1"/>
  <c r="V51" i="1" a="1"/>
  <c r="V51" i="1" s="1"/>
  <c r="V52" i="1" a="1"/>
  <c r="V52" i="1" s="1"/>
  <c r="V53" i="1" a="1"/>
  <c r="V53" i="1" s="1"/>
  <c r="V54" i="1" a="1"/>
  <c r="V54" i="1" s="1"/>
  <c r="V55" i="1" a="1"/>
  <c r="V55" i="1" s="1"/>
  <c r="V56" i="1" a="1"/>
  <c r="V56" i="1" s="1"/>
  <c r="V57" i="1" a="1"/>
  <c r="V57" i="1" s="1"/>
  <c r="V58" i="1" a="1"/>
  <c r="V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 s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 s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 s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 s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 s="1"/>
  <c r="V97" i="1" a="1"/>
  <c r="V97" i="1" s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 s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 s="1"/>
  <c r="V111" i="1" a="1"/>
  <c r="V111" i="1" s="1"/>
  <c r="V112" i="1" a="1"/>
  <c r="V112" i="1" s="1"/>
  <c r="V113" i="1" a="1"/>
  <c r="V113" i="1" s="1"/>
  <c r="V114" i="1" a="1"/>
  <c r="V114" i="1" s="1"/>
  <c r="V115" i="1" a="1"/>
  <c r="V115" i="1" s="1"/>
  <c r="V116" i="1" a="1"/>
  <c r="V116" i="1" s="1"/>
  <c r="V117" i="1" a="1"/>
  <c r="V117" i="1" s="1"/>
  <c r="V118" i="1" a="1"/>
  <c r="V118" i="1" s="1"/>
  <c r="V119" i="1" a="1"/>
  <c r="V119" i="1" s="1"/>
  <c r="V120" i="1" a="1"/>
  <c r="V120" i="1" s="1"/>
  <c r="V121" i="1" a="1"/>
  <c r="V121" i="1" s="1"/>
  <c r="V122" i="1" a="1"/>
  <c r="V122" i="1" s="1"/>
  <c r="V123" i="1" a="1"/>
  <c r="V123" i="1" s="1"/>
  <c r="V124" i="1" a="1"/>
  <c r="V124" i="1" s="1"/>
  <c r="V125" i="1" a="1"/>
  <c r="V125" i="1" s="1"/>
  <c r="V126" i="1" a="1"/>
  <c r="V126" i="1" s="1"/>
  <c r="V127" i="1" a="1"/>
  <c r="V127" i="1" s="1"/>
  <c r="V128" i="1" a="1"/>
  <c r="V128" i="1" s="1"/>
  <c r="V129" i="1" a="1"/>
  <c r="V129" i="1" s="1"/>
  <c r="V130" i="1" a="1"/>
  <c r="V130" i="1" s="1"/>
  <c r="V131" i="1" a="1"/>
  <c r="V131" i="1" s="1"/>
  <c r="V132" i="1" a="1"/>
  <c r="V132" i="1" s="1"/>
  <c r="V133" i="1" a="1"/>
  <c r="V133" i="1" s="1"/>
  <c r="V134" i="1" a="1"/>
  <c r="V134" i="1" s="1"/>
  <c r="V135" i="1" a="1"/>
  <c r="V135" i="1" s="1"/>
  <c r="V136" i="1" a="1"/>
  <c r="V136" i="1" s="1"/>
  <c r="V137" i="1" a="1"/>
  <c r="V137" i="1" s="1"/>
  <c r="V138" i="1" a="1"/>
  <c r="V138" i="1" s="1"/>
  <c r="V139" i="1" a="1"/>
  <c r="V139" i="1" s="1"/>
  <c r="V140" i="1" a="1"/>
  <c r="V140" i="1" s="1"/>
  <c r="V141" i="1" a="1"/>
  <c r="V141" i="1" s="1"/>
  <c r="V142" i="1" a="1"/>
  <c r="V142" i="1" s="1"/>
  <c r="V143" i="1" a="1"/>
  <c r="V143" i="1" s="1"/>
  <c r="V144" i="1" a="1"/>
  <c r="V144" i="1" s="1"/>
  <c r="V145" i="1" a="1"/>
  <c r="V145" i="1" s="1"/>
  <c r="V146" i="1" a="1"/>
  <c r="V146" i="1" s="1"/>
  <c r="V147" i="1" a="1"/>
  <c r="V147" i="1" s="1"/>
  <c r="V148" i="1" a="1"/>
  <c r="V148" i="1" s="1"/>
  <c r="V149" i="1" a="1"/>
  <c r="V149" i="1" s="1"/>
  <c r="V150" i="1" a="1"/>
  <c r="V150" i="1" s="1"/>
  <c r="V151" i="1" a="1"/>
  <c r="V151" i="1" s="1"/>
  <c r="V152" i="1" a="1"/>
  <c r="V152" i="1" s="1"/>
  <c r="V153" i="1" a="1"/>
  <c r="V153" i="1" s="1"/>
  <c r="V154" i="1" a="1"/>
  <c r="V154" i="1" s="1"/>
  <c r="V155" i="1" a="1"/>
  <c r="V155" i="1" s="1"/>
  <c r="V156" i="1" a="1"/>
  <c r="V156" i="1" s="1"/>
  <c r="V157" i="1" a="1"/>
  <c r="V157" i="1" s="1"/>
  <c r="V158" i="1" a="1"/>
  <c r="V158" i="1" s="1"/>
  <c r="V159" i="1" a="1"/>
  <c r="V159" i="1" s="1"/>
  <c r="V160" i="1" a="1"/>
  <c r="V160" i="1" s="1"/>
  <c r="V161" i="1" a="1"/>
  <c r="V161" i="1" s="1"/>
  <c r="V162" i="1" a="1"/>
  <c r="V162" i="1" s="1"/>
  <c r="V163" i="1" a="1"/>
  <c r="V163" i="1" s="1"/>
  <c r="V164" i="1" a="1"/>
  <c r="V164" i="1" s="1"/>
  <c r="V165" i="1" a="1"/>
  <c r="V165" i="1" s="1"/>
  <c r="V166" i="1" a="1"/>
  <c r="V166" i="1" s="1"/>
  <c r="V167" i="1" a="1"/>
  <c r="V167" i="1" s="1"/>
  <c r="V168" i="1" a="1"/>
  <c r="V168" i="1" s="1"/>
  <c r="V169" i="1" a="1"/>
  <c r="V169" i="1" s="1"/>
  <c r="V170" i="1" a="1"/>
  <c r="V170" i="1" s="1"/>
  <c r="V171" i="1" a="1"/>
  <c r="V171" i="1" s="1"/>
  <c r="V172" i="1" a="1"/>
  <c r="V172" i="1" s="1"/>
  <c r="V173" i="1" a="1"/>
  <c r="V173" i="1" s="1"/>
  <c r="V174" i="1" a="1"/>
  <c r="V174" i="1" s="1"/>
  <c r="V175" i="1" a="1"/>
  <c r="V175" i="1" s="1"/>
  <c r="V176" i="1" a="1"/>
  <c r="V176" i="1" s="1"/>
  <c r="V177" i="1" a="1"/>
  <c r="V177" i="1" s="1"/>
  <c r="V178" i="1" a="1"/>
  <c r="V178" i="1" s="1"/>
  <c r="V179" i="1" a="1"/>
  <c r="V179" i="1" s="1"/>
  <c r="V180" i="1" a="1"/>
  <c r="V180" i="1" s="1"/>
  <c r="V181" i="1" a="1"/>
  <c r="V181" i="1" s="1"/>
  <c r="V182" i="1" a="1"/>
  <c r="V182" i="1" s="1"/>
  <c r="V183" i="1" a="1"/>
  <c r="V183" i="1" s="1"/>
  <c r="V184" i="1" a="1"/>
  <c r="V184" i="1" s="1"/>
  <c r="V185" i="1" a="1"/>
  <c r="V185" i="1" s="1"/>
  <c r="V186" i="1" a="1"/>
  <c r="V186" i="1" s="1"/>
  <c r="V187" i="1" a="1"/>
  <c r="V187" i="1" s="1"/>
  <c r="V188" i="1" a="1"/>
  <c r="V188" i="1" s="1"/>
  <c r="V189" i="1" a="1"/>
  <c r="V189" i="1" s="1"/>
  <c r="V190" i="1" a="1"/>
  <c r="V190" i="1" s="1"/>
  <c r="V191" i="1" a="1"/>
  <c r="V191" i="1" s="1"/>
  <c r="V192" i="1" a="1"/>
  <c r="V192" i="1" s="1"/>
  <c r="V193" i="1" a="1"/>
  <c r="V193" i="1" s="1"/>
  <c r="V194" i="1" a="1"/>
  <c r="V194" i="1" s="1"/>
  <c r="V195" i="1" a="1"/>
  <c r="V195" i="1" s="1"/>
  <c r="V196" i="1" a="1"/>
  <c r="V196" i="1" s="1"/>
  <c r="V197" i="1" a="1"/>
  <c r="V197" i="1" s="1"/>
  <c r="V198" i="1" a="1"/>
  <c r="V198" i="1" s="1"/>
  <c r="V199" i="1" a="1"/>
  <c r="V199" i="1" s="1"/>
  <c r="V200" i="1" a="1"/>
  <c r="V200" i="1" s="1"/>
  <c r="V201" i="1" a="1"/>
  <c r="V201" i="1" s="1"/>
  <c r="V202" i="1" a="1"/>
  <c r="V202" i="1" s="1"/>
  <c r="V203" i="1" a="1"/>
  <c r="V203" i="1" s="1"/>
  <c r="V204" i="1" a="1"/>
  <c r="V204" i="1" s="1"/>
  <c r="V205" i="1" a="1"/>
  <c r="V205" i="1" s="1"/>
  <c r="V206" i="1" a="1"/>
  <c r="V206" i="1" s="1"/>
  <c r="V207" i="1" a="1"/>
  <c r="V207" i="1" s="1"/>
  <c r="V208" i="1" a="1"/>
  <c r="V208" i="1" s="1"/>
  <c r="V209" i="1" a="1"/>
  <c r="V209" i="1" s="1"/>
  <c r="V210" i="1" a="1"/>
  <c r="V210" i="1" s="1"/>
  <c r="V211" i="1" a="1"/>
  <c r="V211" i="1" s="1"/>
  <c r="V212" i="1" a="1"/>
  <c r="V212" i="1" s="1"/>
  <c r="V213" i="1" a="1"/>
  <c r="V213" i="1" s="1"/>
  <c r="V214" i="1" a="1"/>
  <c r="V214" i="1" s="1"/>
  <c r="V215" i="1" a="1"/>
  <c r="V215" i="1" s="1"/>
  <c r="V216" i="1" a="1"/>
  <c r="V216" i="1" s="1"/>
  <c r="V217" i="1" a="1"/>
  <c r="V217" i="1" s="1"/>
  <c r="V218" i="1" a="1"/>
  <c r="V218" i="1" s="1"/>
  <c r="V219" i="1" a="1"/>
  <c r="V219" i="1" s="1"/>
  <c r="V220" i="1" a="1"/>
  <c r="V220" i="1" s="1"/>
  <c r="V221" i="1" a="1"/>
  <c r="V221" i="1" s="1"/>
  <c r="V222" i="1" a="1"/>
  <c r="V222" i="1" s="1"/>
  <c r="V223" i="1" a="1"/>
  <c r="V223" i="1" s="1"/>
  <c r="V224" i="1" a="1"/>
  <c r="V224" i="1" s="1"/>
  <c r="V225" i="1" a="1"/>
  <c r="V225" i="1" s="1"/>
  <c r="V226" i="1" a="1"/>
  <c r="V226" i="1" s="1"/>
  <c r="V227" i="1" a="1"/>
  <c r="V227" i="1" s="1"/>
  <c r="V228" i="1" a="1"/>
  <c r="V228" i="1" s="1"/>
  <c r="V229" i="1" a="1"/>
  <c r="V229" i="1" s="1"/>
  <c r="V230" i="1" a="1"/>
  <c r="V230" i="1" s="1"/>
  <c r="V231" i="1" a="1"/>
  <c r="V231" i="1" s="1"/>
  <c r="V232" i="1" a="1"/>
  <c r="V232" i="1" s="1"/>
  <c r="V233" i="1" a="1"/>
  <c r="V233" i="1" s="1"/>
  <c r="V234" i="1" a="1"/>
  <c r="V234" i="1" s="1"/>
  <c r="V235" i="1" a="1"/>
  <c r="V235" i="1" s="1"/>
  <c r="V236" i="1" a="1"/>
  <c r="V236" i="1" s="1"/>
  <c r="V237" i="1" a="1"/>
  <c r="V237" i="1" s="1"/>
  <c r="V238" i="1" a="1"/>
  <c r="V238" i="1" s="1"/>
  <c r="V239" i="1" a="1"/>
  <c r="V239" i="1" s="1"/>
  <c r="V240" i="1" a="1"/>
  <c r="V240" i="1" s="1"/>
  <c r="V241" i="1" a="1"/>
  <c r="V241" i="1" s="1"/>
  <c r="V242" i="1" a="1"/>
  <c r="V242" i="1" s="1"/>
  <c r="V243" i="1" a="1"/>
  <c r="V243" i="1" s="1"/>
  <c r="V244" i="1" a="1"/>
  <c r="V244" i="1" s="1"/>
  <c r="V245" i="1" a="1"/>
  <c r="V245" i="1" s="1"/>
  <c r="V246" i="1" a="1"/>
  <c r="V246" i="1" s="1"/>
  <c r="V247" i="1" a="1"/>
  <c r="V247" i="1" s="1"/>
  <c r="V248" i="1" a="1"/>
  <c r="V248" i="1" s="1"/>
  <c r="V249" i="1" a="1"/>
  <c r="V249" i="1" s="1"/>
  <c r="V250" i="1" a="1"/>
  <c r="V250" i="1" s="1"/>
  <c r="V251" i="1" a="1"/>
  <c r="V251" i="1" s="1"/>
  <c r="V252" i="1" a="1"/>
  <c r="V252" i="1" s="1"/>
  <c r="V253" i="1" a="1"/>
  <c r="V253" i="1" s="1"/>
  <c r="V254" i="1" a="1"/>
  <c r="V254" i="1" s="1"/>
  <c r="V255" i="1" a="1"/>
  <c r="V255" i="1" s="1"/>
  <c r="V256" i="1" a="1"/>
  <c r="V256" i="1" s="1"/>
  <c r="V257" i="1" a="1"/>
  <c r="V257" i="1" s="1"/>
  <c r="V258" i="1" a="1"/>
  <c r="V258" i="1" s="1"/>
  <c r="V259" i="1" a="1"/>
  <c r="V259" i="1" s="1"/>
  <c r="V260" i="1" a="1"/>
  <c r="V260" i="1" s="1"/>
  <c r="V261" i="1" a="1"/>
  <c r="V261" i="1" s="1"/>
  <c r="V262" i="1" a="1"/>
  <c r="V262" i="1" s="1"/>
  <c r="V263" i="1" a="1"/>
  <c r="V263" i="1" s="1"/>
  <c r="V264" i="1" a="1"/>
  <c r="V264" i="1" s="1"/>
  <c r="V265" i="1" a="1"/>
  <c r="V265" i="1" s="1"/>
  <c r="V266" i="1" a="1"/>
  <c r="V266" i="1" s="1"/>
  <c r="V267" i="1" a="1"/>
  <c r="V267" i="1" s="1"/>
  <c r="V268" i="1" a="1"/>
  <c r="V268" i="1" s="1"/>
  <c r="V269" i="1" a="1"/>
  <c r="V269" i="1" s="1"/>
  <c r="V270" i="1" a="1"/>
  <c r="V270" i="1" s="1"/>
  <c r="V271" i="1" a="1"/>
  <c r="V271" i="1" s="1"/>
  <c r="V272" i="1" a="1"/>
  <c r="V272" i="1" s="1"/>
  <c r="V273" i="1" a="1"/>
  <c r="V273" i="1" s="1"/>
  <c r="V274" i="1" a="1"/>
  <c r="V274" i="1" s="1"/>
  <c r="V275" i="1" a="1"/>
  <c r="V275" i="1" s="1"/>
  <c r="V276" i="1" a="1"/>
  <c r="V276" i="1" s="1"/>
  <c r="V277" i="1" a="1"/>
  <c r="V277" i="1" s="1"/>
  <c r="V278" i="1" a="1"/>
  <c r="V278" i="1" s="1"/>
  <c r="V279" i="1" a="1"/>
  <c r="V279" i="1" s="1"/>
  <c r="V280" i="1" a="1"/>
  <c r="V280" i="1" s="1"/>
  <c r="V281" i="1" a="1"/>
  <c r="V281" i="1" s="1"/>
  <c r="V282" i="1" a="1"/>
  <c r="V282" i="1" s="1"/>
  <c r="V283" i="1" a="1"/>
  <c r="V283" i="1" s="1"/>
  <c r="V284" i="1" a="1"/>
  <c r="V284" i="1" s="1"/>
  <c r="V285" i="1" a="1"/>
  <c r="V285" i="1" s="1"/>
  <c r="V286" i="1" a="1"/>
  <c r="V286" i="1" s="1"/>
  <c r="V287" i="1" a="1"/>
  <c r="V287" i="1" s="1"/>
  <c r="V288" i="1" a="1"/>
  <c r="V288" i="1" s="1"/>
  <c r="V289" i="1" a="1"/>
  <c r="V289" i="1" s="1"/>
  <c r="V290" i="1" a="1"/>
  <c r="V290" i="1" s="1"/>
  <c r="V291" i="1" a="1"/>
  <c r="V291" i="1" s="1"/>
  <c r="V292" i="1" a="1"/>
  <c r="V292" i="1" s="1"/>
  <c r="V293" i="1" a="1"/>
  <c r="V293" i="1" s="1"/>
  <c r="V294" i="1" a="1"/>
  <c r="V294" i="1" s="1"/>
  <c r="V295" i="1" a="1"/>
  <c r="V295" i="1" s="1"/>
  <c r="V296" i="1" a="1"/>
  <c r="V296" i="1" s="1"/>
  <c r="V297" i="1" a="1"/>
  <c r="V297" i="1" s="1"/>
  <c r="V298" i="1" a="1"/>
  <c r="V298" i="1" s="1"/>
  <c r="V299" i="1" a="1"/>
  <c r="V299" i="1" s="1"/>
  <c r="V300" i="1" a="1"/>
  <c r="V300" i="1" s="1"/>
  <c r="V301" i="1" a="1"/>
  <c r="V301" i="1" s="1"/>
  <c r="V302" i="1" a="1"/>
  <c r="V302" i="1" s="1"/>
  <c r="V303" i="1" a="1"/>
  <c r="V303" i="1" s="1"/>
  <c r="V304" i="1" a="1"/>
  <c r="V304" i="1" s="1"/>
  <c r="V305" i="1" a="1"/>
  <c r="V305" i="1" s="1"/>
  <c r="V306" i="1" a="1"/>
  <c r="V306" i="1" s="1"/>
  <c r="V307" i="1" a="1"/>
  <c r="V307" i="1" s="1"/>
  <c r="V308" i="1" a="1"/>
  <c r="V308" i="1" s="1"/>
  <c r="V309" i="1" a="1"/>
  <c r="V309" i="1" s="1"/>
  <c r="V310" i="1" a="1"/>
  <c r="V310" i="1" s="1"/>
  <c r="V311" i="1" a="1"/>
  <c r="V311" i="1" s="1"/>
  <c r="V312" i="1" a="1"/>
  <c r="V312" i="1" s="1"/>
  <c r="V313" i="1" a="1"/>
  <c r="V313" i="1" s="1"/>
  <c r="V314" i="1" a="1"/>
  <c r="V314" i="1" s="1"/>
  <c r="V315" i="1" a="1"/>
  <c r="V315" i="1" s="1"/>
  <c r="V316" i="1" a="1"/>
  <c r="V316" i="1" s="1"/>
  <c r="V317" i="1" a="1"/>
  <c r="V317" i="1" s="1"/>
  <c r="V318" i="1" a="1"/>
  <c r="V318" i="1" s="1"/>
  <c r="V319" i="1" a="1"/>
  <c r="V319" i="1" s="1"/>
  <c r="V320" i="1" a="1"/>
  <c r="V320" i="1" s="1"/>
  <c r="V321" i="1" a="1"/>
  <c r="V321" i="1" s="1"/>
  <c r="V322" i="1" a="1"/>
  <c r="V322" i="1" s="1"/>
  <c r="V323" i="1" a="1"/>
  <c r="V323" i="1" s="1"/>
  <c r="V324" i="1" a="1"/>
  <c r="V324" i="1" s="1"/>
  <c r="V325" i="1" a="1"/>
  <c r="V325" i="1" s="1"/>
  <c r="V326" i="1" a="1"/>
  <c r="V326" i="1" s="1"/>
  <c r="V327" i="1" a="1"/>
  <c r="V327" i="1" s="1"/>
  <c r="V328" i="1" a="1"/>
  <c r="V328" i="1" s="1"/>
  <c r="V329" i="1" a="1"/>
  <c r="V329" i="1" s="1"/>
  <c r="V330" i="1" a="1"/>
  <c r="V330" i="1" s="1"/>
  <c r="V331" i="1" a="1"/>
  <c r="V331" i="1" s="1"/>
  <c r="V332" i="1" a="1"/>
  <c r="V332" i="1" s="1"/>
  <c r="V333" i="1" a="1"/>
  <c r="V333" i="1" s="1"/>
  <c r="V334" i="1" a="1"/>
  <c r="V334" i="1" s="1"/>
  <c r="V335" i="1" a="1"/>
  <c r="V335" i="1" s="1"/>
  <c r="V336" i="1" a="1"/>
  <c r="V336" i="1" s="1"/>
  <c r="V337" i="1" a="1"/>
  <c r="V337" i="1" s="1"/>
  <c r="V338" i="1" a="1"/>
  <c r="V338" i="1" s="1"/>
  <c r="V339" i="1" a="1"/>
  <c r="V339" i="1" s="1"/>
  <c r="V340" i="1" a="1"/>
  <c r="V340" i="1" s="1"/>
  <c r="V341" i="1" a="1"/>
  <c r="V341" i="1" s="1"/>
  <c r="V342" i="1" a="1"/>
  <c r="V342" i="1" s="1"/>
  <c r="V343" i="1" a="1"/>
  <c r="V343" i="1" s="1"/>
  <c r="V344" i="1" a="1"/>
  <c r="V344" i="1" s="1"/>
  <c r="V345" i="1" a="1"/>
  <c r="V345" i="1" s="1"/>
  <c r="V346" i="1" a="1"/>
  <c r="V346" i="1" s="1"/>
  <c r="V347" i="1" a="1"/>
  <c r="V347" i="1" s="1"/>
  <c r="V348" i="1" a="1"/>
  <c r="V348" i="1" s="1"/>
  <c r="V349" i="1" a="1"/>
  <c r="V349" i="1" s="1"/>
  <c r="V350" i="1" a="1"/>
  <c r="V350" i="1" s="1"/>
  <c r="V351" i="1" a="1"/>
  <c r="V351" i="1" s="1"/>
  <c r="V352" i="1" a="1"/>
  <c r="V352" i="1" s="1"/>
  <c r="V353" i="1" a="1"/>
  <c r="V353" i="1" s="1"/>
  <c r="V354" i="1" a="1"/>
  <c r="V354" i="1" s="1"/>
  <c r="V355" i="1" a="1"/>
  <c r="V355" i="1" s="1"/>
  <c r="V356" i="1" a="1"/>
  <c r="V356" i="1" s="1"/>
  <c r="V357" i="1" a="1"/>
  <c r="V357" i="1" s="1"/>
  <c r="V358" i="1" a="1"/>
  <c r="V358" i="1" s="1"/>
  <c r="V359" i="1" a="1"/>
  <c r="V359" i="1" s="1"/>
  <c r="V360" i="1" a="1"/>
  <c r="V360" i="1" s="1"/>
  <c r="V361" i="1" a="1"/>
  <c r="V361" i="1" s="1"/>
  <c r="V362" i="1" a="1"/>
  <c r="V362" i="1" s="1"/>
  <c r="V363" i="1" a="1"/>
  <c r="V363" i="1" s="1"/>
  <c r="V364" i="1" a="1"/>
  <c r="V364" i="1" s="1"/>
  <c r="V365" i="1" a="1"/>
  <c r="V365" i="1" s="1"/>
  <c r="V366" i="1" a="1"/>
  <c r="V366" i="1" s="1"/>
  <c r="V367" i="1" a="1"/>
  <c r="V367" i="1" s="1"/>
  <c r="V368" i="1" a="1"/>
  <c r="V368" i="1" s="1"/>
  <c r="V369" i="1" a="1"/>
  <c r="V369" i="1" s="1"/>
  <c r="V370" i="1" a="1"/>
  <c r="V370" i="1" s="1"/>
  <c r="V371" i="1" a="1"/>
  <c r="V371" i="1" s="1"/>
  <c r="V372" i="1" a="1"/>
  <c r="V372" i="1" s="1"/>
  <c r="V373" i="1" a="1"/>
  <c r="V373" i="1" s="1"/>
  <c r="V374" i="1" a="1"/>
  <c r="V374" i="1" s="1"/>
  <c r="V375" i="1" a="1"/>
  <c r="V375" i="1" s="1"/>
  <c r="V376" i="1" a="1"/>
  <c r="V376" i="1" s="1"/>
  <c r="V377" i="1" a="1"/>
  <c r="V377" i="1" s="1"/>
  <c r="V378" i="1" a="1"/>
  <c r="V378" i="1" s="1"/>
  <c r="V379" i="1" a="1"/>
  <c r="V379" i="1" s="1"/>
  <c r="V380" i="1" a="1"/>
  <c r="V380" i="1" s="1"/>
  <c r="V381" i="1" a="1"/>
  <c r="V381" i="1" s="1"/>
  <c r="V382" i="1" a="1"/>
  <c r="V382" i="1" s="1"/>
  <c r="V383" i="1" a="1"/>
  <c r="V383" i="1" s="1"/>
  <c r="V384" i="1" a="1"/>
  <c r="V384" i="1" s="1"/>
  <c r="V385" i="1" a="1"/>
  <c r="V385" i="1" s="1"/>
  <c r="V386" i="1" a="1"/>
  <c r="V386" i="1" s="1"/>
  <c r="V387" i="1" a="1"/>
  <c r="V387" i="1" s="1"/>
  <c r="V388" i="1" a="1"/>
  <c r="V388" i="1" s="1"/>
  <c r="V389" i="1" a="1"/>
  <c r="V389" i="1" s="1"/>
  <c r="V390" i="1" a="1"/>
  <c r="V390" i="1" s="1"/>
  <c r="V391" i="1" a="1"/>
  <c r="V391" i="1" s="1"/>
  <c r="V392" i="1" a="1"/>
  <c r="V392" i="1" s="1"/>
  <c r="V393" i="1" a="1"/>
  <c r="V393" i="1" s="1"/>
  <c r="V394" i="1" a="1"/>
  <c r="V394" i="1" s="1"/>
  <c r="V395" i="1" a="1"/>
  <c r="V395" i="1" s="1"/>
  <c r="V396" i="1" a="1"/>
  <c r="V396" i="1" s="1"/>
  <c r="V397" i="1" a="1"/>
  <c r="V397" i="1" s="1"/>
  <c r="V398" i="1" a="1"/>
  <c r="V398" i="1" s="1"/>
  <c r="V399" i="1" a="1"/>
  <c r="V399" i="1" s="1"/>
  <c r="V400" i="1" a="1"/>
  <c r="V400" i="1" s="1"/>
  <c r="V401" i="1" a="1"/>
  <c r="V401" i="1" s="1"/>
  <c r="V402" i="1" a="1"/>
  <c r="V402" i="1" s="1"/>
  <c r="V403" i="1" a="1"/>
  <c r="V403" i="1" s="1"/>
  <c r="V404" i="1" a="1"/>
  <c r="V404" i="1" s="1"/>
  <c r="V405" i="1" a="1"/>
  <c r="V405" i="1" s="1"/>
  <c r="V406" i="1" a="1"/>
  <c r="V406" i="1" s="1"/>
  <c r="V407" i="1" a="1"/>
  <c r="V407" i="1" s="1"/>
  <c r="V408" i="1" a="1"/>
  <c r="V408" i="1" s="1"/>
  <c r="V409" i="1" a="1"/>
  <c r="V409" i="1" s="1"/>
  <c r="V410" i="1" a="1"/>
  <c r="V410" i="1" s="1"/>
  <c r="V411" i="1" a="1"/>
  <c r="V411" i="1" s="1"/>
  <c r="V412" i="1" a="1"/>
  <c r="V412" i="1" s="1"/>
  <c r="V413" i="1" a="1"/>
  <c r="V413" i="1" s="1"/>
  <c r="V414" i="1" a="1"/>
  <c r="V414" i="1" s="1"/>
  <c r="V415" i="1" a="1"/>
  <c r="V415" i="1" s="1"/>
  <c r="V416" i="1" a="1"/>
  <c r="V416" i="1" s="1"/>
  <c r="V417" i="1" a="1"/>
  <c r="V417" i="1" s="1"/>
  <c r="V418" i="1" a="1"/>
  <c r="V418" i="1" s="1"/>
  <c r="V419" i="1" a="1"/>
  <c r="V419" i="1" s="1"/>
  <c r="V420" i="1" a="1"/>
  <c r="V420" i="1" s="1"/>
  <c r="V421" i="1" a="1"/>
  <c r="V421" i="1" s="1"/>
  <c r="V422" i="1" a="1"/>
  <c r="V422" i="1" s="1"/>
  <c r="V423" i="1" a="1"/>
  <c r="V423" i="1" s="1"/>
  <c r="V424" i="1" a="1"/>
  <c r="V424" i="1" s="1"/>
  <c r="V425" i="1" a="1"/>
  <c r="V425" i="1" s="1"/>
  <c r="V426" i="1" a="1"/>
  <c r="V426" i="1" s="1"/>
  <c r="V427" i="1" a="1"/>
  <c r="V427" i="1" s="1"/>
  <c r="V428" i="1" a="1"/>
  <c r="V428" i="1" s="1"/>
  <c r="V429" i="1" a="1"/>
  <c r="V429" i="1" s="1"/>
  <c r="V430" i="1" a="1"/>
  <c r="V430" i="1" s="1"/>
  <c r="V431" i="1" a="1"/>
  <c r="V431" i="1" s="1"/>
  <c r="V432" i="1" a="1"/>
  <c r="V432" i="1" s="1"/>
  <c r="V433" i="1" a="1"/>
  <c r="V433" i="1" s="1"/>
  <c r="V434" i="1" a="1"/>
  <c r="V434" i="1" s="1"/>
  <c r="V435" i="1" a="1"/>
  <c r="V435" i="1" s="1"/>
  <c r="V436" i="1" a="1"/>
  <c r="V436" i="1" s="1"/>
  <c r="V437" i="1" a="1"/>
  <c r="V437" i="1" s="1"/>
  <c r="V438" i="1" a="1"/>
  <c r="V438" i="1" s="1"/>
  <c r="V439" i="1" a="1"/>
  <c r="V439" i="1" s="1"/>
  <c r="V440" i="1" a="1"/>
  <c r="V440" i="1" s="1"/>
  <c r="V441" i="1" a="1"/>
  <c r="V441" i="1" s="1"/>
  <c r="V442" i="1" a="1"/>
  <c r="V442" i="1" s="1"/>
  <c r="V443" i="1" a="1"/>
  <c r="V443" i="1" s="1"/>
  <c r="V444" i="1" a="1"/>
  <c r="V444" i="1" s="1"/>
  <c r="V445" i="1" a="1"/>
  <c r="V445" i="1" s="1"/>
  <c r="V446" i="1" a="1"/>
  <c r="V446" i="1" s="1"/>
  <c r="V447" i="1" a="1"/>
  <c r="V447" i="1" s="1"/>
  <c r="V448" i="1" a="1"/>
  <c r="V448" i="1" s="1"/>
  <c r="V449" i="1" a="1"/>
  <c r="V449" i="1" s="1"/>
  <c r="V450" i="1" a="1"/>
  <c r="V450" i="1" s="1"/>
  <c r="V451" i="1" a="1"/>
  <c r="V451" i="1" s="1"/>
  <c r="V452" i="1" a="1"/>
  <c r="V452" i="1" s="1"/>
  <c r="V453" i="1" a="1"/>
  <c r="V453" i="1" s="1"/>
  <c r="V454" i="1" a="1"/>
  <c r="V454" i="1" s="1"/>
  <c r="V455" i="1" a="1"/>
  <c r="V455" i="1" s="1"/>
  <c r="V456" i="1" a="1"/>
  <c r="V456" i="1" s="1"/>
  <c r="V457" i="1" a="1"/>
  <c r="V457" i="1" s="1"/>
  <c r="V458" i="1" a="1"/>
  <c r="V458" i="1" s="1"/>
  <c r="V459" i="1" a="1"/>
  <c r="V459" i="1" s="1"/>
  <c r="V460" i="1" a="1"/>
  <c r="V460" i="1" s="1"/>
  <c r="V461" i="1" a="1"/>
  <c r="V461" i="1" s="1"/>
  <c r="V462" i="1" a="1"/>
  <c r="V462" i="1" s="1"/>
  <c r="V463" i="1" a="1"/>
  <c r="V463" i="1" s="1"/>
  <c r="V464" i="1" a="1"/>
  <c r="V464" i="1" s="1"/>
  <c r="V465" i="1" a="1"/>
  <c r="V465" i="1" s="1"/>
  <c r="V466" i="1" a="1"/>
  <c r="V466" i="1" s="1"/>
  <c r="V467" i="1" a="1"/>
  <c r="V467" i="1" s="1"/>
  <c r="V468" i="1" a="1"/>
  <c r="V468" i="1" s="1"/>
  <c r="V469" i="1" a="1"/>
  <c r="V469" i="1" s="1"/>
  <c r="V470" i="1" a="1"/>
  <c r="V470" i="1" s="1"/>
  <c r="V471" i="1" a="1"/>
  <c r="V471" i="1" s="1"/>
  <c r="V472" i="1" a="1"/>
  <c r="V472" i="1" s="1"/>
  <c r="V473" i="1" a="1"/>
  <c r="V473" i="1" s="1"/>
  <c r="V474" i="1" a="1"/>
  <c r="V474" i="1" s="1"/>
  <c r="V475" i="1" a="1"/>
  <c r="V475" i="1" s="1"/>
  <c r="V476" i="1" a="1"/>
  <c r="V476" i="1" s="1"/>
  <c r="V477" i="1" a="1"/>
  <c r="V477" i="1" s="1"/>
  <c r="V478" i="1" a="1"/>
  <c r="V478" i="1" s="1"/>
  <c r="V479" i="1" a="1"/>
  <c r="V479" i="1" s="1"/>
  <c r="V480" i="1" a="1"/>
  <c r="V480" i="1" s="1"/>
  <c r="V481" i="1" a="1"/>
  <c r="V481" i="1" s="1"/>
  <c r="V482" i="1" a="1"/>
  <c r="V482" i="1" s="1"/>
  <c r="V483" i="1" a="1"/>
  <c r="V483" i="1" s="1"/>
  <c r="V484" i="1" a="1"/>
  <c r="V484" i="1" s="1"/>
  <c r="V485" i="1" a="1"/>
  <c r="V485" i="1" s="1"/>
  <c r="V486" i="1" a="1"/>
  <c r="V486" i="1" s="1"/>
  <c r="V487" i="1" a="1"/>
  <c r="V487" i="1" s="1"/>
  <c r="V488" i="1" a="1"/>
  <c r="V488" i="1" s="1"/>
  <c r="V489" i="1" a="1"/>
  <c r="V489" i="1" s="1"/>
  <c r="V490" i="1" a="1"/>
  <c r="V490" i="1" s="1"/>
  <c r="V491" i="1" a="1"/>
  <c r="V491" i="1" s="1"/>
  <c r="V492" i="1" a="1"/>
  <c r="V492" i="1" s="1"/>
  <c r="V493" i="1" a="1"/>
  <c r="V493" i="1" s="1"/>
  <c r="V494" i="1" a="1"/>
  <c r="V494" i="1" s="1"/>
  <c r="V495" i="1" a="1"/>
  <c r="V495" i="1" s="1"/>
  <c r="V496" i="1" a="1"/>
  <c r="V496" i="1" s="1"/>
  <c r="V497" i="1" a="1"/>
  <c r="V497" i="1" s="1"/>
  <c r="V498" i="1" a="1"/>
  <c r="V498" i="1" s="1"/>
  <c r="V499" i="1" a="1"/>
  <c r="V499" i="1" s="1"/>
  <c r="V500" i="1" a="1"/>
  <c r="V500" i="1" s="1"/>
  <c r="V501" i="1" a="1"/>
  <c r="V501" i="1" s="1"/>
  <c r="V502" i="1" a="1"/>
  <c r="V502" i="1" s="1"/>
  <c r="V503" i="1" a="1"/>
  <c r="V503" i="1" s="1"/>
  <c r="V504" i="1" a="1"/>
  <c r="V504" i="1" s="1"/>
  <c r="V505" i="1" a="1"/>
  <c r="V505" i="1" s="1"/>
  <c r="V506" i="1" a="1"/>
  <c r="V506" i="1" s="1"/>
  <c r="V507" i="1" a="1"/>
  <c r="V507" i="1" s="1"/>
  <c r="V508" i="1" a="1"/>
  <c r="V508" i="1" s="1"/>
  <c r="V509" i="1" a="1"/>
  <c r="V509" i="1" s="1"/>
  <c r="V510" i="1" a="1"/>
  <c r="V510" i="1" s="1"/>
  <c r="V511" i="1" a="1"/>
  <c r="V511" i="1" s="1"/>
  <c r="V512" i="1" a="1"/>
  <c r="V512" i="1" s="1"/>
  <c r="V513" i="1" a="1"/>
  <c r="V513" i="1" s="1"/>
  <c r="V514" i="1" a="1"/>
  <c r="V514" i="1" s="1"/>
  <c r="V515" i="1" a="1"/>
  <c r="V515" i="1" s="1"/>
  <c r="V516" i="1" a="1"/>
  <c r="V516" i="1" s="1"/>
  <c r="V517" i="1" a="1"/>
  <c r="V517" i="1" s="1"/>
  <c r="V518" i="1" a="1"/>
  <c r="V518" i="1" s="1"/>
  <c r="V519" i="1" a="1"/>
  <c r="V519" i="1" s="1"/>
  <c r="V520" i="1" a="1"/>
  <c r="V520" i="1" s="1"/>
  <c r="V521" i="1" a="1"/>
  <c r="V521" i="1" s="1"/>
  <c r="V522" i="1" a="1"/>
  <c r="V522" i="1" s="1"/>
  <c r="V523" i="1" a="1"/>
  <c r="V523" i="1" s="1"/>
  <c r="V524" i="1" a="1"/>
  <c r="V524" i="1" s="1"/>
  <c r="V525" i="1" a="1"/>
  <c r="V525" i="1" s="1"/>
  <c r="V526" i="1" a="1"/>
  <c r="V526" i="1" s="1"/>
  <c r="V527" i="1" a="1"/>
  <c r="V527" i="1" s="1"/>
  <c r="V528" i="1" a="1"/>
  <c r="V528" i="1" s="1"/>
  <c r="V529" i="1" a="1"/>
  <c r="V529" i="1" s="1"/>
  <c r="V530" i="1" a="1"/>
  <c r="V530" i="1" s="1"/>
  <c r="V531" i="1" a="1"/>
  <c r="V531" i="1" s="1"/>
  <c r="V532" i="1" a="1"/>
  <c r="V532" i="1" s="1"/>
  <c r="V533" i="1" a="1"/>
  <c r="V533" i="1" s="1"/>
  <c r="V534" i="1" a="1"/>
  <c r="V534" i="1" s="1"/>
  <c r="V535" i="1" a="1"/>
  <c r="V535" i="1" s="1"/>
  <c r="V536" i="1" a="1"/>
  <c r="V536" i="1" s="1"/>
  <c r="V537" i="1" a="1"/>
  <c r="V537" i="1" s="1"/>
  <c r="V538" i="1" a="1"/>
  <c r="V538" i="1" s="1"/>
  <c r="V539" i="1" a="1"/>
  <c r="V539" i="1" s="1"/>
  <c r="V540" i="1" a="1"/>
  <c r="V540" i="1" s="1"/>
  <c r="V541" i="1" a="1"/>
  <c r="V541" i="1" s="1"/>
  <c r="V542" i="1" a="1"/>
  <c r="V542" i="1" s="1"/>
  <c r="V543" i="1" a="1"/>
  <c r="V543" i="1" s="1"/>
  <c r="V544" i="1" a="1"/>
  <c r="V544" i="1" s="1"/>
  <c r="V545" i="1" a="1"/>
  <c r="V545" i="1" s="1"/>
  <c r="V546" i="1" a="1"/>
  <c r="V546" i="1" s="1"/>
  <c r="V547" i="1" a="1"/>
  <c r="V547" i="1" s="1"/>
  <c r="V548" i="1" a="1"/>
  <c r="V548" i="1" s="1"/>
  <c r="V549" i="1" a="1"/>
  <c r="V549" i="1" s="1"/>
  <c r="V550" i="1" a="1"/>
  <c r="V550" i="1" s="1"/>
  <c r="V551" i="1" a="1"/>
  <c r="V551" i="1" s="1"/>
  <c r="V552" i="1" a="1"/>
  <c r="V552" i="1" s="1"/>
  <c r="V553" i="1" a="1"/>
  <c r="V553" i="1" s="1"/>
  <c r="V554" i="1" a="1"/>
  <c r="V554" i="1" s="1"/>
  <c r="V555" i="1" a="1"/>
  <c r="V555" i="1" s="1"/>
  <c r="V556" i="1" a="1"/>
  <c r="V556" i="1" s="1"/>
  <c r="V557" i="1" a="1"/>
  <c r="V557" i="1" s="1"/>
  <c r="V558" i="1" a="1"/>
  <c r="V558" i="1" s="1"/>
  <c r="V559" i="1" a="1"/>
  <c r="V559" i="1" s="1"/>
  <c r="V560" i="1" a="1"/>
  <c r="V560" i="1" s="1"/>
  <c r="V561" i="1" a="1"/>
  <c r="V561" i="1" s="1"/>
  <c r="V562" i="1" a="1"/>
  <c r="V562" i="1" s="1"/>
  <c r="V563" i="1" a="1"/>
  <c r="V563" i="1" s="1"/>
  <c r="V564" i="1" a="1"/>
  <c r="V564" i="1" s="1"/>
  <c r="V565" i="1" a="1"/>
  <c r="V565" i="1" s="1"/>
  <c r="V566" i="1" a="1"/>
  <c r="V566" i="1" s="1"/>
  <c r="V567" i="1" a="1"/>
  <c r="V567" i="1" s="1"/>
  <c r="V568" i="1" a="1"/>
  <c r="V568" i="1" s="1"/>
  <c r="V569" i="1" a="1"/>
  <c r="V569" i="1" s="1"/>
  <c r="V570" i="1" a="1"/>
  <c r="V570" i="1" s="1"/>
  <c r="V571" i="1" a="1"/>
  <c r="V571" i="1" s="1"/>
  <c r="V572" i="1" a="1"/>
  <c r="V572" i="1" s="1"/>
  <c r="V573" i="1" a="1"/>
  <c r="V573" i="1" s="1"/>
  <c r="V574" i="1" a="1"/>
  <c r="V574" i="1" s="1"/>
  <c r="V575" i="1" a="1"/>
  <c r="V575" i="1" s="1"/>
  <c r="V576" i="1" a="1"/>
  <c r="V576" i="1" s="1"/>
  <c r="V577" i="1" a="1"/>
  <c r="V577" i="1" s="1"/>
  <c r="V578" i="1" a="1"/>
  <c r="V578" i="1" s="1"/>
  <c r="V579" i="1" a="1"/>
  <c r="V579" i="1" s="1"/>
  <c r="V580" i="1" a="1"/>
  <c r="V580" i="1" s="1"/>
  <c r="V581" i="1" a="1"/>
  <c r="V581" i="1" s="1"/>
  <c r="V582" i="1" a="1"/>
  <c r="V582" i="1" s="1"/>
  <c r="V583" i="1" a="1"/>
  <c r="V583" i="1" s="1"/>
  <c r="V584" i="1" a="1"/>
  <c r="V584" i="1" s="1"/>
  <c r="V585" i="1" a="1"/>
  <c r="V585" i="1" s="1"/>
  <c r="V586" i="1" a="1"/>
  <c r="V586" i="1" s="1"/>
  <c r="V587" i="1" a="1"/>
  <c r="V587" i="1" s="1"/>
  <c r="V588" i="1" a="1"/>
  <c r="V588" i="1" s="1"/>
  <c r="V589" i="1" a="1"/>
  <c r="V589" i="1" s="1"/>
  <c r="V590" i="1" a="1"/>
  <c r="V590" i="1" s="1"/>
  <c r="V591" i="1" a="1"/>
  <c r="V591" i="1" s="1"/>
  <c r="V592" i="1" a="1"/>
  <c r="V592" i="1" s="1"/>
  <c r="V593" i="1" a="1"/>
  <c r="V593" i="1" s="1"/>
  <c r="V594" i="1" a="1"/>
  <c r="V594" i="1" s="1"/>
  <c r="V595" i="1" a="1"/>
  <c r="V595" i="1" s="1"/>
  <c r="V596" i="1" a="1"/>
  <c r="V596" i="1" s="1"/>
  <c r="V597" i="1" a="1"/>
  <c r="V597" i="1" s="1"/>
  <c r="V598" i="1" a="1"/>
  <c r="V598" i="1" s="1"/>
  <c r="V599" i="1" a="1"/>
  <c r="V599" i="1" s="1"/>
  <c r="V600" i="1" a="1"/>
  <c r="V600" i="1" s="1"/>
  <c r="V601" i="1" a="1"/>
  <c r="V601" i="1" s="1"/>
  <c r="V602" i="1" a="1"/>
  <c r="V602" i="1" s="1"/>
  <c r="V603" i="1" a="1"/>
  <c r="V603" i="1" s="1"/>
  <c r="V604" i="1" a="1"/>
  <c r="V604" i="1" s="1"/>
  <c r="V605" i="1" a="1"/>
  <c r="V605" i="1" s="1"/>
  <c r="V606" i="1" a="1"/>
  <c r="V606" i="1" s="1"/>
  <c r="V607" i="1" a="1"/>
  <c r="V607" i="1" s="1"/>
  <c r="V608" i="1" a="1"/>
  <c r="V608" i="1" s="1"/>
  <c r="V609" i="1" a="1"/>
  <c r="V609" i="1" s="1"/>
  <c r="V610" i="1" a="1"/>
  <c r="V610" i="1" s="1"/>
  <c r="V611" i="1" a="1"/>
  <c r="V611" i="1" s="1"/>
  <c r="V612" i="1" a="1"/>
  <c r="V612" i="1" s="1"/>
  <c r="V613" i="1" a="1"/>
  <c r="V613" i="1" s="1"/>
  <c r="V614" i="1" a="1"/>
  <c r="V614" i="1" s="1"/>
  <c r="V615" i="1" a="1"/>
  <c r="V615" i="1" s="1"/>
  <c r="V616" i="1" a="1"/>
  <c r="V616" i="1" s="1"/>
  <c r="V617" i="1" a="1"/>
  <c r="V617" i="1" s="1"/>
  <c r="V618" i="1" a="1"/>
  <c r="V618" i="1" s="1"/>
  <c r="V619" i="1" a="1"/>
  <c r="V619" i="1" s="1"/>
  <c r="V620" i="1" a="1"/>
  <c r="V620" i="1" s="1"/>
  <c r="V621" i="1" a="1"/>
  <c r="V621" i="1" s="1"/>
  <c r="V622" i="1" a="1"/>
  <c r="V622" i="1" s="1"/>
  <c r="V623" i="1" a="1"/>
  <c r="V623" i="1" s="1"/>
  <c r="V624" i="1" a="1"/>
  <c r="V624" i="1" s="1"/>
  <c r="V625" i="1" a="1"/>
  <c r="V625" i="1" s="1"/>
  <c r="V626" i="1" a="1"/>
  <c r="V626" i="1" s="1"/>
  <c r="V627" i="1" a="1"/>
  <c r="V627" i="1" s="1"/>
  <c r="V628" i="1" a="1"/>
  <c r="V628" i="1" s="1"/>
  <c r="V629" i="1" a="1"/>
  <c r="V629" i="1" s="1"/>
  <c r="V630" i="1" a="1"/>
  <c r="V630" i="1" s="1"/>
  <c r="V631" i="1" a="1"/>
  <c r="V631" i="1" s="1"/>
  <c r="V632" i="1" a="1"/>
  <c r="V632" i="1" s="1"/>
  <c r="V633" i="1" a="1"/>
  <c r="V633" i="1" s="1"/>
  <c r="V634" i="1" a="1"/>
  <c r="V634" i="1" s="1"/>
  <c r="V635" i="1" a="1"/>
  <c r="V635" i="1" s="1"/>
  <c r="V636" i="1" a="1"/>
  <c r="V636" i="1" s="1"/>
  <c r="V637" i="1" a="1"/>
  <c r="V637" i="1" s="1"/>
  <c r="V638" i="1" a="1"/>
  <c r="V638" i="1" s="1"/>
  <c r="V639" i="1" a="1"/>
  <c r="V639" i="1" s="1"/>
  <c r="V640" i="1" a="1"/>
  <c r="V640" i="1" s="1"/>
  <c r="V641" i="1" a="1"/>
  <c r="V641" i="1" s="1"/>
  <c r="V642" i="1" a="1"/>
  <c r="V642" i="1" s="1"/>
  <c r="V643" i="1" a="1"/>
  <c r="V643" i="1" s="1"/>
  <c r="V644" i="1" a="1"/>
  <c r="V644" i="1" s="1"/>
  <c r="V645" i="1" a="1"/>
  <c r="V645" i="1" s="1"/>
  <c r="V646" i="1" a="1"/>
  <c r="V646" i="1" s="1"/>
  <c r="V647" i="1" a="1"/>
  <c r="V647" i="1" s="1"/>
  <c r="V648" i="1" a="1"/>
  <c r="V648" i="1" s="1"/>
  <c r="V649" i="1" a="1"/>
  <c r="V649" i="1" s="1"/>
  <c r="V650" i="1" a="1"/>
  <c r="V650" i="1" s="1"/>
  <c r="V651" i="1" a="1"/>
  <c r="V651" i="1" s="1"/>
  <c r="V652" i="1" a="1"/>
  <c r="V652" i="1" s="1"/>
  <c r="V653" i="1" a="1"/>
  <c r="V653" i="1" s="1"/>
  <c r="V654" i="1" a="1"/>
  <c r="V654" i="1" s="1"/>
  <c r="V655" i="1" a="1"/>
  <c r="V655" i="1" s="1"/>
  <c r="V656" i="1" a="1"/>
  <c r="V656" i="1" s="1"/>
  <c r="V657" i="1" a="1"/>
  <c r="V657" i="1" s="1"/>
  <c r="V658" i="1" a="1"/>
  <c r="V658" i="1" s="1"/>
  <c r="V659" i="1" a="1"/>
  <c r="V659" i="1" s="1"/>
  <c r="V660" i="1" a="1"/>
  <c r="V660" i="1" s="1"/>
  <c r="V661" i="1" a="1"/>
  <c r="V661" i="1" s="1"/>
  <c r="V662" i="1" a="1"/>
  <c r="V662" i="1" s="1"/>
  <c r="V663" i="1" a="1"/>
  <c r="V663" i="1" s="1"/>
  <c r="V664" i="1" a="1"/>
  <c r="V664" i="1" s="1"/>
  <c r="V665" i="1" a="1"/>
  <c r="V665" i="1" s="1"/>
  <c r="V666" i="1" a="1"/>
  <c r="V666" i="1" s="1"/>
  <c r="V667" i="1" a="1"/>
  <c r="V667" i="1" s="1"/>
  <c r="V668" i="1" a="1"/>
  <c r="V668" i="1" s="1"/>
  <c r="V669" i="1" a="1"/>
  <c r="V669" i="1" s="1"/>
  <c r="V670" i="1" a="1"/>
  <c r="V670" i="1" s="1"/>
  <c r="V671" i="1" a="1"/>
  <c r="V671" i="1" s="1"/>
  <c r="V672" i="1" a="1"/>
  <c r="V672" i="1" s="1"/>
  <c r="V673" i="1" a="1"/>
  <c r="V673" i="1" s="1"/>
  <c r="V674" i="1" a="1"/>
  <c r="V674" i="1" s="1"/>
  <c r="V675" i="1" a="1"/>
  <c r="V675" i="1" s="1"/>
  <c r="V676" i="1" a="1"/>
  <c r="V676" i="1" s="1"/>
  <c r="V677" i="1" a="1"/>
  <c r="V677" i="1" s="1"/>
  <c r="V678" i="1" a="1"/>
  <c r="V678" i="1" s="1"/>
  <c r="V679" i="1" a="1"/>
  <c r="V679" i="1" s="1"/>
  <c r="V680" i="1" a="1"/>
  <c r="V680" i="1" s="1"/>
  <c r="V681" i="1" a="1"/>
  <c r="V681" i="1" s="1"/>
  <c r="V682" i="1" a="1"/>
  <c r="V682" i="1" s="1"/>
  <c r="V683" i="1" a="1"/>
  <c r="V683" i="1" s="1"/>
  <c r="V684" i="1" a="1"/>
  <c r="V684" i="1" s="1"/>
  <c r="V685" i="1" a="1"/>
  <c r="V685" i="1" s="1"/>
  <c r="V686" i="1" a="1"/>
  <c r="V686" i="1" s="1"/>
  <c r="V687" i="1" a="1"/>
  <c r="V687" i="1" s="1"/>
  <c r="V688" i="1" a="1"/>
  <c r="V688" i="1" s="1"/>
  <c r="V689" i="1" a="1"/>
  <c r="V689" i="1" s="1"/>
  <c r="V690" i="1" a="1"/>
  <c r="V690" i="1" s="1"/>
  <c r="V691" i="1" a="1"/>
  <c r="V691" i="1" s="1"/>
  <c r="V692" i="1" a="1"/>
  <c r="V692" i="1" s="1"/>
  <c r="V693" i="1" a="1"/>
  <c r="V693" i="1" s="1"/>
  <c r="V694" i="1" a="1"/>
  <c r="V694" i="1" s="1"/>
  <c r="V695" i="1" a="1"/>
  <c r="V695" i="1" s="1"/>
  <c r="V696" i="1" a="1"/>
  <c r="V696" i="1" s="1"/>
  <c r="V697" i="1" a="1"/>
  <c r="V697" i="1" s="1"/>
  <c r="V698" i="1" a="1"/>
  <c r="V698" i="1" s="1"/>
  <c r="V699" i="1" a="1"/>
  <c r="V699" i="1" s="1"/>
  <c r="V700" i="1" a="1"/>
  <c r="V700" i="1" s="1"/>
  <c r="V701" i="1" a="1"/>
  <c r="V701" i="1" s="1"/>
  <c r="V702" i="1" a="1"/>
  <c r="V702" i="1" s="1"/>
  <c r="V703" i="1" a="1"/>
  <c r="V703" i="1" s="1"/>
  <c r="V704" i="1" a="1"/>
  <c r="V704" i="1" s="1"/>
  <c r="V705" i="1" a="1"/>
  <c r="V705" i="1" s="1"/>
  <c r="V706" i="1" a="1"/>
  <c r="V706" i="1" s="1"/>
  <c r="V707" i="1" a="1"/>
  <c r="V707" i="1" s="1"/>
  <c r="V708" i="1" a="1"/>
  <c r="V708" i="1" s="1"/>
  <c r="V709" i="1" a="1"/>
  <c r="V709" i="1" s="1"/>
  <c r="V710" i="1" a="1"/>
  <c r="V710" i="1" s="1"/>
  <c r="V711" i="1" a="1"/>
  <c r="V711" i="1" s="1"/>
  <c r="V712" i="1" a="1"/>
  <c r="V712" i="1" s="1"/>
  <c r="V713" i="1" a="1"/>
  <c r="V713" i="1" s="1"/>
  <c r="V714" i="1" a="1"/>
  <c r="V714" i="1" s="1"/>
  <c r="V715" i="1" a="1"/>
  <c r="V715" i="1" s="1"/>
  <c r="V716" i="1" a="1"/>
  <c r="V716" i="1" s="1"/>
  <c r="V717" i="1" a="1"/>
  <c r="V717" i="1" s="1"/>
  <c r="V718" i="1" a="1"/>
  <c r="V718" i="1" s="1"/>
  <c r="V719" i="1" a="1"/>
  <c r="V719" i="1" s="1"/>
  <c r="V720" i="1" a="1"/>
  <c r="V720" i="1" s="1"/>
  <c r="V721" i="1" a="1"/>
  <c r="V721" i="1" s="1"/>
  <c r="V722" i="1" a="1"/>
  <c r="V722" i="1" s="1"/>
  <c r="V723" i="1" a="1"/>
  <c r="V723" i="1" s="1"/>
  <c r="V724" i="1" a="1"/>
  <c r="V724" i="1" s="1"/>
  <c r="V725" i="1" a="1"/>
  <c r="V725" i="1" s="1"/>
  <c r="V726" i="1" a="1"/>
  <c r="V726" i="1" s="1"/>
  <c r="V727" i="1" a="1"/>
  <c r="V727" i="1" s="1"/>
  <c r="V728" i="1" a="1"/>
  <c r="V728" i="1" s="1"/>
  <c r="V729" i="1" a="1"/>
  <c r="V729" i="1" s="1"/>
  <c r="V730" i="1" a="1"/>
  <c r="V730" i="1" s="1"/>
  <c r="V731" i="1" a="1"/>
  <c r="V731" i="1" s="1"/>
  <c r="V732" i="1" a="1"/>
  <c r="V732" i="1" s="1"/>
  <c r="V733" i="1" a="1"/>
  <c r="V733" i="1" s="1"/>
  <c r="V734" i="1" a="1"/>
  <c r="V734" i="1" s="1"/>
  <c r="V735" i="1" a="1"/>
  <c r="V735" i="1" s="1"/>
  <c r="V736" i="1" a="1"/>
  <c r="V736" i="1" s="1"/>
  <c r="V737" i="1" a="1"/>
  <c r="V737" i="1" s="1"/>
  <c r="V738" i="1" a="1"/>
  <c r="V738" i="1" s="1"/>
  <c r="V739" i="1" a="1"/>
  <c r="V739" i="1" s="1"/>
  <c r="V740" i="1" a="1"/>
  <c r="V740" i="1" s="1"/>
  <c r="V741" i="1" a="1"/>
  <c r="V741" i="1" s="1"/>
  <c r="V742" i="1" a="1"/>
  <c r="V742" i="1" s="1"/>
  <c r="V743" i="1" a="1"/>
  <c r="V743" i="1" s="1"/>
  <c r="V744" i="1" a="1"/>
  <c r="V744" i="1" s="1"/>
  <c r="V745" i="1" a="1"/>
  <c r="V745" i="1" s="1"/>
  <c r="V746" i="1" a="1"/>
  <c r="V746" i="1" s="1"/>
  <c r="V747" i="1" a="1"/>
  <c r="V747" i="1" s="1"/>
  <c r="V748" i="1" a="1"/>
  <c r="V748" i="1" s="1"/>
  <c r="V749" i="1" a="1"/>
  <c r="V749" i="1" s="1"/>
  <c r="V750" i="1" a="1"/>
  <c r="V750" i="1" s="1"/>
  <c r="V751" i="1" a="1"/>
  <c r="V751" i="1" s="1"/>
  <c r="V752" i="1" a="1"/>
  <c r="V752" i="1" s="1"/>
  <c r="V753" i="1" a="1"/>
  <c r="V753" i="1" s="1"/>
  <c r="V754" i="1" a="1"/>
  <c r="V754" i="1" s="1"/>
  <c r="V755" i="1" a="1"/>
  <c r="V755" i="1" s="1"/>
  <c r="V756" i="1" a="1"/>
  <c r="V756" i="1" s="1"/>
  <c r="V757" i="1" a="1"/>
  <c r="V757" i="1" s="1"/>
  <c r="V758" i="1" a="1"/>
  <c r="V758" i="1" s="1"/>
  <c r="V759" i="1" a="1"/>
  <c r="V759" i="1" s="1"/>
  <c r="V760" i="1" a="1"/>
  <c r="V760" i="1" s="1"/>
  <c r="V761" i="1" a="1"/>
  <c r="V761" i="1" s="1"/>
  <c r="V762" i="1" a="1"/>
  <c r="V762" i="1" s="1"/>
  <c r="V763" i="1" a="1"/>
  <c r="V763" i="1" s="1"/>
  <c r="V764" i="1" a="1"/>
  <c r="V764" i="1" s="1"/>
  <c r="V765" i="1" a="1"/>
  <c r="V765" i="1" s="1"/>
  <c r="V766" i="1" a="1"/>
  <c r="V766" i="1" s="1"/>
  <c r="V767" i="1" a="1"/>
  <c r="V767" i="1" s="1"/>
  <c r="V768" i="1" a="1"/>
  <c r="V768" i="1" s="1"/>
  <c r="V769" i="1" a="1"/>
  <c r="V769" i="1" s="1"/>
  <c r="V770" i="1" a="1"/>
  <c r="V770" i="1" s="1"/>
  <c r="V771" i="1" a="1"/>
  <c r="V771" i="1" s="1"/>
  <c r="V772" i="1" a="1"/>
  <c r="V772" i="1" s="1"/>
  <c r="V773" i="1" a="1"/>
  <c r="V773" i="1" s="1"/>
  <c r="V774" i="1" a="1"/>
  <c r="V774" i="1" s="1"/>
  <c r="V775" i="1" a="1"/>
  <c r="V775" i="1" s="1"/>
  <c r="V776" i="1" a="1"/>
  <c r="V776" i="1" s="1"/>
  <c r="V777" i="1" a="1"/>
  <c r="V777" i="1" s="1"/>
  <c r="V778" i="1" a="1"/>
  <c r="V778" i="1" s="1"/>
  <c r="V779" i="1" a="1"/>
  <c r="V779" i="1" s="1"/>
  <c r="V780" i="1" a="1"/>
  <c r="V780" i="1" s="1"/>
  <c r="V781" i="1" a="1"/>
  <c r="V781" i="1" s="1"/>
  <c r="V782" i="1" a="1"/>
  <c r="V782" i="1" s="1"/>
  <c r="V783" i="1" a="1"/>
  <c r="V783" i="1" s="1"/>
  <c r="V784" i="1" a="1"/>
  <c r="V784" i="1" s="1"/>
  <c r="V785" i="1" a="1"/>
  <c r="V785" i="1" s="1"/>
  <c r="V786" i="1" a="1"/>
  <c r="V786" i="1" s="1"/>
  <c r="V787" i="1" a="1"/>
  <c r="V787" i="1" s="1"/>
  <c r="V788" i="1" a="1"/>
  <c r="V788" i="1" s="1"/>
  <c r="V789" i="1" a="1"/>
  <c r="V789" i="1" s="1"/>
  <c r="V790" i="1" a="1"/>
  <c r="V790" i="1" s="1"/>
  <c r="V791" i="1" a="1"/>
  <c r="V791" i="1" s="1"/>
  <c r="V792" i="1" a="1"/>
  <c r="V792" i="1" s="1"/>
  <c r="V793" i="1" a="1"/>
  <c r="V793" i="1" s="1"/>
  <c r="V794" i="1" a="1"/>
  <c r="V794" i="1" s="1"/>
  <c r="V795" i="1" a="1"/>
  <c r="V795" i="1" s="1"/>
  <c r="V796" i="1" a="1"/>
  <c r="V796" i="1" s="1"/>
  <c r="V797" i="1" a="1"/>
  <c r="V797" i="1" s="1"/>
  <c r="V798" i="1" a="1"/>
  <c r="V798" i="1" s="1"/>
  <c r="V799" i="1" a="1"/>
  <c r="V799" i="1" s="1"/>
  <c r="V800" i="1" a="1"/>
  <c r="V800" i="1" s="1"/>
  <c r="V801" i="1" a="1"/>
  <c r="V801" i="1" s="1"/>
  <c r="V802" i="1" a="1"/>
  <c r="V802" i="1" s="1"/>
  <c r="V803" i="1" a="1"/>
  <c r="V803" i="1" s="1"/>
  <c r="V804" i="1" a="1"/>
  <c r="V804" i="1" s="1"/>
  <c r="V805" i="1" a="1"/>
  <c r="V805" i="1" s="1"/>
  <c r="V806" i="1" a="1"/>
  <c r="V806" i="1" s="1"/>
  <c r="V807" i="1" a="1"/>
  <c r="V807" i="1" s="1"/>
  <c r="V808" i="1" a="1"/>
  <c r="V808" i="1" s="1"/>
  <c r="V809" i="1" a="1"/>
  <c r="V809" i="1" s="1"/>
  <c r="V810" i="1" a="1"/>
  <c r="V810" i="1" s="1"/>
  <c r="V811" i="1" a="1"/>
  <c r="V811" i="1" s="1"/>
  <c r="V812" i="1" a="1"/>
  <c r="V812" i="1" s="1"/>
  <c r="V813" i="1" a="1"/>
  <c r="V813" i="1" s="1"/>
  <c r="V814" i="1" a="1"/>
  <c r="V814" i="1" s="1"/>
  <c r="V815" i="1" a="1"/>
  <c r="V815" i="1" s="1"/>
  <c r="V816" i="1" a="1"/>
  <c r="V816" i="1" s="1"/>
  <c r="V817" i="1" a="1"/>
  <c r="V817" i="1" s="1"/>
  <c r="V818" i="1" a="1"/>
  <c r="V818" i="1" s="1"/>
  <c r="V819" i="1" a="1"/>
  <c r="V819" i="1" s="1"/>
  <c r="V820" i="1" a="1"/>
  <c r="V820" i="1" s="1"/>
  <c r="V821" i="1" a="1"/>
  <c r="V821" i="1" s="1"/>
  <c r="V822" i="1" a="1"/>
  <c r="V822" i="1" s="1"/>
  <c r="V823" i="1" a="1"/>
  <c r="V823" i="1" s="1"/>
  <c r="V824" i="1" a="1"/>
  <c r="V824" i="1" s="1"/>
  <c r="V825" i="1" a="1"/>
  <c r="V825" i="1" s="1"/>
  <c r="V826" i="1" a="1"/>
  <c r="V826" i="1" s="1"/>
  <c r="V827" i="1" a="1"/>
  <c r="V827" i="1" s="1"/>
  <c r="V828" i="1" a="1"/>
  <c r="V828" i="1" s="1"/>
  <c r="V829" i="1" a="1"/>
  <c r="V829" i="1" s="1"/>
  <c r="V830" i="1" a="1"/>
  <c r="V830" i="1" s="1"/>
  <c r="V831" i="1" a="1"/>
  <c r="V831" i="1" s="1"/>
  <c r="V832" i="1" a="1"/>
  <c r="V832" i="1" s="1"/>
  <c r="V833" i="1" a="1"/>
  <c r="V833" i="1" s="1"/>
  <c r="V834" i="1" a="1"/>
  <c r="V834" i="1" s="1"/>
  <c r="V835" i="1" a="1"/>
  <c r="V835" i="1" s="1"/>
  <c r="V836" i="1" a="1"/>
  <c r="V836" i="1" s="1"/>
  <c r="V837" i="1" a="1"/>
  <c r="V837" i="1" s="1"/>
  <c r="V838" i="1" a="1"/>
  <c r="V838" i="1" s="1"/>
  <c r="V839" i="1" a="1"/>
  <c r="V839" i="1" s="1"/>
  <c r="V840" i="1" a="1"/>
  <c r="V840" i="1" s="1"/>
  <c r="V841" i="1" a="1"/>
  <c r="V841" i="1" s="1"/>
  <c r="V842" i="1" a="1"/>
  <c r="V842" i="1" s="1"/>
  <c r="V843" i="1" a="1"/>
  <c r="V843" i="1" s="1"/>
  <c r="V844" i="1" a="1"/>
  <c r="V844" i="1" s="1"/>
  <c r="V845" i="1" a="1"/>
  <c r="V845" i="1" s="1"/>
  <c r="V846" i="1" a="1"/>
  <c r="V846" i="1" s="1"/>
  <c r="V847" i="1" a="1"/>
  <c r="V847" i="1" s="1"/>
  <c r="V848" i="1" a="1"/>
  <c r="V848" i="1" s="1"/>
  <c r="V849" i="1" a="1"/>
  <c r="V849" i="1" s="1"/>
  <c r="V850" i="1" a="1"/>
  <c r="V850" i="1" s="1"/>
  <c r="V851" i="1" a="1"/>
  <c r="V851" i="1" s="1"/>
  <c r="V852" i="1" a="1"/>
  <c r="V852" i="1" s="1"/>
  <c r="V853" i="1" a="1"/>
  <c r="V853" i="1" s="1"/>
  <c r="V854" i="1" a="1"/>
  <c r="V854" i="1" s="1"/>
  <c r="V855" i="1" a="1"/>
  <c r="V855" i="1" s="1"/>
  <c r="V856" i="1" a="1"/>
  <c r="V856" i="1" s="1"/>
  <c r="V857" i="1" a="1"/>
  <c r="V857" i="1" s="1"/>
  <c r="V858" i="1" a="1"/>
  <c r="V858" i="1" s="1"/>
  <c r="V859" i="1" a="1"/>
  <c r="V859" i="1" s="1"/>
  <c r="V860" i="1" a="1"/>
  <c r="V860" i="1" s="1"/>
  <c r="V861" i="1" a="1"/>
  <c r="V861" i="1" s="1"/>
  <c r="V862" i="1" a="1"/>
  <c r="V862" i="1" s="1"/>
  <c r="V863" i="1" a="1"/>
  <c r="V863" i="1" s="1"/>
  <c r="V864" i="1" a="1"/>
  <c r="V864" i="1" s="1"/>
  <c r="V865" i="1" a="1"/>
  <c r="V865" i="1" s="1"/>
  <c r="V866" i="1" a="1"/>
  <c r="V866" i="1" s="1"/>
  <c r="V867" i="1" a="1"/>
  <c r="V867" i="1" s="1"/>
  <c r="V868" i="1" a="1"/>
  <c r="V868" i="1" s="1"/>
  <c r="V869" i="1" a="1"/>
  <c r="V869" i="1" s="1"/>
  <c r="V870" i="1" a="1"/>
  <c r="V870" i="1" s="1"/>
  <c r="V871" i="1" a="1"/>
  <c r="V871" i="1" s="1"/>
  <c r="V872" i="1" a="1"/>
  <c r="V872" i="1" s="1"/>
  <c r="V873" i="1" a="1"/>
  <c r="V873" i="1" s="1"/>
  <c r="V874" i="1" a="1"/>
  <c r="V874" i="1" s="1"/>
  <c r="V875" i="1" a="1"/>
  <c r="V875" i="1" s="1"/>
  <c r="V876" i="1" a="1"/>
  <c r="V876" i="1" s="1"/>
  <c r="V877" i="1" a="1"/>
  <c r="V877" i="1" s="1"/>
  <c r="V878" i="1" a="1"/>
  <c r="V878" i="1" s="1"/>
  <c r="V879" i="1" a="1"/>
  <c r="V879" i="1" s="1"/>
  <c r="V880" i="1" a="1"/>
  <c r="V880" i="1" s="1"/>
  <c r="V881" i="1" a="1"/>
  <c r="V881" i="1" s="1"/>
  <c r="V882" i="1" a="1"/>
  <c r="V882" i="1" s="1"/>
  <c r="V883" i="1" a="1"/>
  <c r="V883" i="1" s="1"/>
  <c r="V884" i="1" a="1"/>
  <c r="V884" i="1" s="1"/>
  <c r="V885" i="1" a="1"/>
  <c r="V885" i="1" s="1"/>
  <c r="V886" i="1" a="1"/>
  <c r="V886" i="1" s="1"/>
  <c r="V887" i="1" a="1"/>
  <c r="V887" i="1" s="1"/>
  <c r="V888" i="1" a="1"/>
  <c r="V888" i="1" s="1"/>
  <c r="V889" i="1" a="1"/>
  <c r="V889" i="1" s="1"/>
  <c r="V890" i="1" a="1"/>
  <c r="V890" i="1" s="1"/>
  <c r="V891" i="1" a="1"/>
  <c r="V891" i="1" s="1"/>
  <c r="V892" i="1" a="1"/>
  <c r="V892" i="1" s="1"/>
  <c r="V893" i="1" a="1"/>
  <c r="V893" i="1" s="1"/>
  <c r="V894" i="1" a="1"/>
  <c r="V894" i="1" s="1"/>
  <c r="V895" i="1" a="1"/>
  <c r="V895" i="1" s="1"/>
  <c r="V896" i="1" a="1"/>
  <c r="V896" i="1" s="1"/>
  <c r="V897" i="1" a="1"/>
  <c r="V897" i="1" s="1"/>
  <c r="V898" i="1" a="1"/>
  <c r="V898" i="1" s="1"/>
  <c r="V899" i="1" a="1"/>
  <c r="V899" i="1" s="1"/>
  <c r="V900" i="1" a="1"/>
  <c r="V900" i="1" s="1"/>
  <c r="V901" i="1" a="1"/>
  <c r="V901" i="1" s="1"/>
  <c r="V902" i="1" a="1"/>
  <c r="V902" i="1" s="1"/>
  <c r="V903" i="1" a="1"/>
  <c r="V903" i="1" s="1"/>
  <c r="V904" i="1" a="1"/>
  <c r="V904" i="1" s="1"/>
  <c r="V905" i="1" a="1"/>
  <c r="V905" i="1" s="1"/>
  <c r="V906" i="1" a="1"/>
  <c r="V906" i="1" s="1"/>
  <c r="V907" i="1" a="1"/>
  <c r="V907" i="1" s="1"/>
  <c r="V908" i="1" a="1"/>
  <c r="V908" i="1" s="1"/>
  <c r="V909" i="1" a="1"/>
  <c r="V909" i="1" s="1"/>
  <c r="V910" i="1" a="1"/>
  <c r="V910" i="1" s="1"/>
  <c r="V911" i="1" a="1"/>
  <c r="V911" i="1" s="1"/>
  <c r="V912" i="1" a="1"/>
  <c r="V912" i="1" s="1"/>
  <c r="V913" i="1" a="1"/>
  <c r="V913" i="1" s="1"/>
  <c r="V914" i="1" a="1"/>
  <c r="V914" i="1" s="1"/>
  <c r="V915" i="1" a="1"/>
  <c r="V915" i="1" s="1"/>
  <c r="V916" i="1" a="1"/>
  <c r="V916" i="1" s="1"/>
  <c r="V917" i="1" a="1"/>
  <c r="V917" i="1" s="1"/>
  <c r="V918" i="1" a="1"/>
  <c r="V918" i="1" s="1"/>
  <c r="V919" i="1" a="1"/>
  <c r="V919" i="1" s="1"/>
  <c r="V920" i="1" a="1"/>
  <c r="V920" i="1" s="1"/>
  <c r="V921" i="1" a="1"/>
  <c r="V921" i="1" s="1"/>
  <c r="V922" i="1" a="1"/>
  <c r="V922" i="1" s="1"/>
  <c r="V923" i="1" a="1"/>
  <c r="V923" i="1" s="1"/>
  <c r="V924" i="1" a="1"/>
  <c r="V924" i="1" s="1"/>
  <c r="V925" i="1" a="1"/>
  <c r="V925" i="1" s="1"/>
  <c r="V926" i="1" a="1"/>
  <c r="V926" i="1" s="1"/>
  <c r="V927" i="1" a="1"/>
  <c r="V927" i="1" s="1"/>
  <c r="V928" i="1" a="1"/>
  <c r="V928" i="1" s="1"/>
  <c r="V929" i="1" a="1"/>
  <c r="V929" i="1" s="1"/>
  <c r="V930" i="1" a="1"/>
  <c r="V930" i="1" s="1"/>
  <c r="V931" i="1" a="1"/>
  <c r="V931" i="1" s="1"/>
  <c r="V932" i="1" a="1"/>
  <c r="V932" i="1" s="1"/>
  <c r="V933" i="1" a="1"/>
  <c r="V933" i="1" s="1"/>
  <c r="V934" i="1" a="1"/>
  <c r="V934" i="1" s="1"/>
  <c r="V935" i="1" a="1"/>
  <c r="V935" i="1" s="1"/>
  <c r="V936" i="1" a="1"/>
  <c r="V936" i="1" s="1"/>
  <c r="V937" i="1" a="1"/>
  <c r="V937" i="1" s="1"/>
  <c r="V938" i="1" a="1"/>
  <c r="V938" i="1" s="1"/>
  <c r="V939" i="1" a="1"/>
  <c r="V939" i="1" s="1"/>
  <c r="V940" i="1" a="1"/>
  <c r="V940" i="1" s="1"/>
  <c r="V941" i="1" a="1"/>
  <c r="V941" i="1" s="1"/>
  <c r="V942" i="1" a="1"/>
  <c r="V942" i="1" s="1"/>
  <c r="V943" i="1" a="1"/>
  <c r="V943" i="1" s="1"/>
  <c r="V944" i="1" a="1"/>
  <c r="V944" i="1" s="1"/>
  <c r="V945" i="1" a="1"/>
  <c r="V945" i="1" s="1"/>
  <c r="V946" i="1" a="1"/>
  <c r="V946" i="1" s="1"/>
  <c r="V947" i="1" a="1"/>
  <c r="V947" i="1" s="1"/>
  <c r="V948" i="1" a="1"/>
  <c r="V948" i="1" s="1"/>
  <c r="V949" i="1" a="1"/>
  <c r="V949" i="1" s="1"/>
  <c r="V950" i="1" a="1"/>
  <c r="V950" i="1" s="1"/>
  <c r="V951" i="1" a="1"/>
  <c r="V951" i="1" s="1"/>
  <c r="V952" i="1" a="1"/>
  <c r="V952" i="1" s="1"/>
  <c r="V953" i="1" a="1"/>
  <c r="V953" i="1" s="1"/>
  <c r="V954" i="1" a="1"/>
  <c r="V954" i="1" s="1"/>
  <c r="V955" i="1" a="1"/>
  <c r="V955" i="1" s="1"/>
  <c r="V956" i="1" a="1"/>
  <c r="V956" i="1" s="1"/>
  <c r="V957" i="1" a="1"/>
  <c r="V957" i="1" s="1"/>
  <c r="V958" i="1" a="1"/>
  <c r="V958" i="1" s="1"/>
  <c r="V959" i="1" a="1"/>
  <c r="V959" i="1" s="1"/>
  <c r="V960" i="1" a="1"/>
  <c r="V960" i="1" s="1"/>
  <c r="V961" i="1" a="1"/>
  <c r="V961" i="1" s="1"/>
  <c r="V962" i="1" a="1"/>
  <c r="V962" i="1" s="1"/>
  <c r="V963" i="1" a="1"/>
  <c r="V963" i="1" s="1"/>
  <c r="V964" i="1" a="1"/>
  <c r="V964" i="1" s="1"/>
  <c r="V965" i="1" a="1"/>
  <c r="V965" i="1" s="1"/>
  <c r="V966" i="1" a="1"/>
  <c r="V966" i="1" s="1"/>
  <c r="V967" i="1" a="1"/>
  <c r="V967" i="1" s="1"/>
  <c r="V968" i="1" a="1"/>
  <c r="V968" i="1" s="1"/>
  <c r="V969" i="1" a="1"/>
  <c r="V969" i="1" s="1"/>
  <c r="V970" i="1" a="1"/>
  <c r="V970" i="1" s="1"/>
  <c r="V971" i="1" a="1"/>
  <c r="V971" i="1" s="1"/>
  <c r="V972" i="1" a="1"/>
  <c r="V972" i="1" s="1"/>
  <c r="V973" i="1" a="1"/>
  <c r="V973" i="1" s="1"/>
  <c r="V974" i="1" a="1"/>
  <c r="V974" i="1" s="1"/>
  <c r="V975" i="1" a="1"/>
  <c r="V975" i="1" s="1"/>
  <c r="V976" i="1" a="1"/>
  <c r="V976" i="1" s="1"/>
  <c r="V977" i="1" a="1"/>
  <c r="V977" i="1" s="1"/>
  <c r="V978" i="1" a="1"/>
  <c r="V978" i="1" s="1"/>
  <c r="V979" i="1" a="1"/>
  <c r="V979" i="1" s="1"/>
  <c r="V980" i="1" a="1"/>
  <c r="V980" i="1" s="1"/>
  <c r="V981" i="1" a="1"/>
  <c r="V981" i="1" s="1"/>
  <c r="V982" i="1" a="1"/>
  <c r="V982" i="1" s="1"/>
  <c r="V983" i="1" a="1"/>
  <c r="V983" i="1" s="1"/>
  <c r="V984" i="1" a="1"/>
  <c r="V984" i="1" s="1"/>
  <c r="V985" i="1" a="1"/>
  <c r="V985" i="1" s="1"/>
  <c r="V986" i="1" a="1"/>
  <c r="V986" i="1" s="1"/>
  <c r="V987" i="1" a="1"/>
  <c r="V987" i="1" s="1"/>
  <c r="V988" i="1" a="1"/>
  <c r="V988" i="1" s="1"/>
  <c r="V989" i="1" a="1"/>
  <c r="V989" i="1" s="1"/>
  <c r="V990" i="1" a="1"/>
  <c r="V990" i="1" s="1"/>
  <c r="V991" i="1" a="1"/>
  <c r="V991" i="1" s="1"/>
  <c r="V992" i="1" a="1"/>
  <c r="V992" i="1" s="1"/>
  <c r="V993" i="1" a="1"/>
  <c r="V993" i="1" s="1"/>
  <c r="V994" i="1" a="1"/>
  <c r="V994" i="1" s="1"/>
  <c r="V995" i="1" a="1"/>
  <c r="V995" i="1" s="1"/>
  <c r="V996" i="1" a="1"/>
  <c r="V996" i="1" s="1"/>
  <c r="V997" i="1" a="1"/>
  <c r="V997" i="1" s="1"/>
  <c r="V998" i="1" a="1"/>
  <c r="V998" i="1" s="1"/>
  <c r="V999" i="1" a="1"/>
  <c r="V999" i="1" s="1"/>
  <c r="V1000" i="1" a="1"/>
  <c r="V1000" i="1" s="1"/>
  <c r="V1001" i="1" a="1"/>
  <c r="V1001" i="1" s="1"/>
  <c r="V1002" i="1" a="1"/>
  <c r="V1002" i="1" s="1"/>
  <c r="V1003" i="1" a="1"/>
  <c r="V1003" i="1" s="1"/>
  <c r="V1004" i="1" a="1"/>
  <c r="V1004" i="1" s="1"/>
  <c r="V1005" i="1" a="1"/>
  <c r="V1005" i="1" s="1"/>
  <c r="V1006" i="1" a="1"/>
  <c r="V1006" i="1" s="1"/>
  <c r="V1007" i="1" a="1"/>
  <c r="V1007" i="1" s="1"/>
  <c r="V1008" i="1" a="1"/>
  <c r="V1008" i="1" s="1"/>
  <c r="V1009" i="1" a="1"/>
  <c r="V1009" i="1" s="1"/>
  <c r="V1010" i="1" a="1"/>
  <c r="V1010" i="1" s="1"/>
  <c r="V1011" i="1" a="1"/>
  <c r="V1011" i="1" s="1"/>
  <c r="V1012" i="1" a="1"/>
  <c r="V1012" i="1" s="1"/>
  <c r="V1013" i="1" a="1"/>
  <c r="V1013" i="1" s="1"/>
  <c r="V1014" i="1" a="1"/>
  <c r="V1014" i="1" s="1"/>
  <c r="V1015" i="1" a="1"/>
  <c r="V1015" i="1" s="1"/>
  <c r="V1016" i="1" a="1"/>
  <c r="V1016" i="1" s="1"/>
  <c r="V1017" i="1" a="1"/>
  <c r="V1017" i="1" s="1"/>
  <c r="V1018" i="1" a="1"/>
  <c r="V1018" i="1" s="1"/>
  <c r="V1019" i="1" a="1"/>
  <c r="V1019" i="1" s="1"/>
  <c r="V1020" i="1" a="1"/>
  <c r="V1020" i="1" s="1"/>
  <c r="V1021" i="1" a="1"/>
  <c r="V1021" i="1" s="1"/>
  <c r="V1022" i="1" a="1"/>
  <c r="V1022" i="1" s="1"/>
  <c r="V1023" i="1" a="1"/>
  <c r="V1023" i="1" s="1"/>
  <c r="V1024" i="1" a="1"/>
  <c r="V1024" i="1" s="1"/>
  <c r="V1025" i="1" a="1"/>
  <c r="V1025" i="1" s="1"/>
  <c r="V1026" i="1" a="1"/>
  <c r="V1026" i="1" s="1"/>
  <c r="V1027" i="1" a="1"/>
  <c r="V1027" i="1" s="1"/>
  <c r="V1028" i="1" a="1"/>
  <c r="V1028" i="1" s="1"/>
  <c r="V1029" i="1" a="1"/>
  <c r="V1029" i="1" s="1"/>
  <c r="V1030" i="1" a="1"/>
  <c r="V1030" i="1" s="1"/>
  <c r="V1031" i="1" a="1"/>
  <c r="V1031" i="1" s="1"/>
  <c r="V1032" i="1" a="1"/>
  <c r="V1032" i="1" s="1"/>
  <c r="V1033" i="1" a="1"/>
  <c r="V1033" i="1" s="1"/>
  <c r="V1034" i="1" a="1"/>
  <c r="V1034" i="1" s="1"/>
  <c r="V1035" i="1" a="1"/>
  <c r="V1035" i="1" s="1"/>
  <c r="V1036" i="1" a="1"/>
  <c r="V1036" i="1" s="1"/>
  <c r="V1037" i="1" a="1"/>
  <c r="V1037" i="1" s="1"/>
  <c r="V1038" i="1" a="1"/>
  <c r="V1038" i="1" s="1"/>
  <c r="V1039" i="1" a="1"/>
  <c r="V1039" i="1" s="1"/>
  <c r="V1040" i="1" a="1"/>
  <c r="V1040" i="1" s="1"/>
  <c r="V1041" i="1" a="1"/>
  <c r="V1041" i="1" s="1"/>
  <c r="V1042" i="1" a="1"/>
  <c r="V1042" i="1" s="1"/>
  <c r="V1043" i="1" a="1"/>
  <c r="V1043" i="1" s="1"/>
  <c r="V1044" i="1" a="1"/>
  <c r="V1044" i="1" s="1"/>
  <c r="V1045" i="1" a="1"/>
  <c r="V1045" i="1" s="1"/>
  <c r="V1046" i="1" a="1"/>
  <c r="V1046" i="1" s="1"/>
  <c r="V1047" i="1" a="1"/>
  <c r="V1047" i="1" s="1"/>
  <c r="V1048" i="1" a="1"/>
  <c r="V1048" i="1" s="1"/>
  <c r="V1049" i="1" a="1"/>
  <c r="V1049" i="1" s="1"/>
  <c r="V1050" i="1" a="1"/>
  <c r="V1050" i="1" s="1"/>
  <c r="V1051" i="1" a="1"/>
  <c r="V1051" i="1" s="1"/>
  <c r="V1052" i="1" a="1"/>
  <c r="V1052" i="1" s="1"/>
  <c r="V1053" i="1" a="1"/>
  <c r="V1053" i="1" s="1"/>
  <c r="V1054" i="1" a="1"/>
  <c r="V1054" i="1" s="1"/>
  <c r="V1055" i="1" a="1"/>
  <c r="V1055" i="1" s="1"/>
  <c r="V1056" i="1" a="1"/>
  <c r="V1056" i="1" s="1"/>
  <c r="V1057" i="1" a="1"/>
  <c r="V1057" i="1" s="1"/>
  <c r="V1058" i="1" a="1"/>
  <c r="V1058" i="1" s="1"/>
  <c r="V1059" i="1" a="1"/>
  <c r="V1059" i="1" s="1"/>
  <c r="V1060" i="1" a="1"/>
  <c r="V1060" i="1" s="1"/>
  <c r="V1061" i="1" a="1"/>
  <c r="V1061" i="1" s="1"/>
  <c r="V1062" i="1" a="1"/>
  <c r="V1062" i="1" s="1"/>
  <c r="V1063" i="1" a="1"/>
  <c r="V1063" i="1" s="1"/>
  <c r="V1064" i="1" a="1"/>
  <c r="V1064" i="1" s="1"/>
  <c r="V1065" i="1" a="1"/>
  <c r="V1065" i="1" s="1"/>
  <c r="V1066" i="1" a="1"/>
  <c r="V1066" i="1" s="1"/>
  <c r="V1067" i="1" a="1"/>
  <c r="V1067" i="1" s="1"/>
  <c r="V1068" i="1" a="1"/>
  <c r="V1068" i="1" s="1"/>
  <c r="V1069" i="1" a="1"/>
  <c r="V1069" i="1" s="1"/>
  <c r="V1070" i="1" a="1"/>
  <c r="V1070" i="1" s="1"/>
  <c r="V1071" i="1" a="1"/>
  <c r="V1071" i="1" s="1"/>
  <c r="V1072" i="1" a="1"/>
  <c r="V1072" i="1" s="1"/>
  <c r="V1073" i="1" a="1"/>
  <c r="V1073" i="1" s="1"/>
  <c r="V1074" i="1" a="1"/>
  <c r="V1074" i="1" s="1"/>
  <c r="V1075" i="1" a="1"/>
  <c r="V1075" i="1" s="1"/>
  <c r="V1076" i="1" a="1"/>
  <c r="V1076" i="1" s="1"/>
  <c r="V1077" i="1" a="1"/>
  <c r="V1077" i="1" s="1"/>
  <c r="V1078" i="1" a="1"/>
  <c r="V1078" i="1" s="1"/>
  <c r="V1079" i="1" a="1"/>
  <c r="V1079" i="1" s="1"/>
  <c r="V1080" i="1" a="1"/>
  <c r="V1080" i="1" s="1"/>
  <c r="V1081" i="1" a="1"/>
  <c r="V1081" i="1" s="1"/>
  <c r="V1082" i="1" a="1"/>
  <c r="V1082" i="1" s="1"/>
  <c r="V1083" i="1" a="1"/>
  <c r="V1083" i="1" s="1"/>
  <c r="V1084" i="1" a="1"/>
  <c r="V1084" i="1" s="1"/>
  <c r="V1085" i="1" a="1"/>
  <c r="V1085" i="1" s="1"/>
  <c r="V1086" i="1" a="1"/>
  <c r="V1086" i="1" s="1"/>
  <c r="V1087" i="1" a="1"/>
  <c r="V1087" i="1" s="1"/>
  <c r="V1088" i="1" a="1"/>
  <c r="V1088" i="1" s="1"/>
  <c r="V1089" i="1" a="1"/>
  <c r="V1089" i="1" s="1"/>
  <c r="V1090" i="1" a="1"/>
  <c r="V1090" i="1" s="1"/>
  <c r="V1091" i="1" a="1"/>
  <c r="V1091" i="1" s="1"/>
  <c r="V1092" i="1" a="1"/>
  <c r="V1092" i="1" s="1"/>
  <c r="V1093" i="1" a="1"/>
  <c r="V1093" i="1" s="1"/>
  <c r="V1094" i="1" a="1"/>
  <c r="V1094" i="1" s="1"/>
  <c r="V1095" i="1" a="1"/>
  <c r="V1095" i="1" s="1"/>
  <c r="V1096" i="1" a="1"/>
  <c r="V1096" i="1" s="1"/>
  <c r="V1097" i="1" a="1"/>
  <c r="V1097" i="1" s="1"/>
  <c r="V1098" i="1" a="1"/>
  <c r="V1098" i="1" s="1"/>
  <c r="V1099" i="1" a="1"/>
  <c r="V1099" i="1" s="1"/>
  <c r="V1100" i="1" a="1"/>
  <c r="V1100" i="1" s="1"/>
  <c r="V1101" i="1" a="1"/>
  <c r="V1101" i="1" s="1"/>
  <c r="V1102" i="1" a="1"/>
  <c r="V1102" i="1" s="1"/>
  <c r="V1103" i="1" a="1"/>
  <c r="V1103" i="1" s="1"/>
  <c r="V1104" i="1" a="1"/>
  <c r="V1104" i="1" s="1"/>
  <c r="V1105" i="1" a="1"/>
  <c r="V1105" i="1" s="1"/>
  <c r="V1106" i="1" a="1"/>
  <c r="V1106" i="1" s="1"/>
  <c r="V1107" i="1" a="1"/>
  <c r="V1107" i="1" s="1"/>
  <c r="V1108" i="1" a="1"/>
  <c r="V1108" i="1" s="1"/>
  <c r="V1109" i="1" a="1"/>
  <c r="V1109" i="1" s="1"/>
  <c r="V1110" i="1" a="1"/>
  <c r="V1110" i="1" s="1"/>
  <c r="V1111" i="1" a="1"/>
  <c r="V1111" i="1" s="1"/>
  <c r="V1112" i="1" a="1"/>
  <c r="V1112" i="1" s="1"/>
  <c r="V1113" i="1" a="1"/>
  <c r="V1113" i="1" s="1"/>
  <c r="V1114" i="1" a="1"/>
  <c r="V1114" i="1" s="1"/>
  <c r="V1115" i="1" a="1"/>
  <c r="V1115" i="1" s="1"/>
  <c r="V1116" i="1" a="1"/>
  <c r="V1116" i="1" s="1"/>
  <c r="V1117" i="1" a="1"/>
  <c r="V1117" i="1" s="1"/>
  <c r="V1118" i="1" a="1"/>
  <c r="V1118" i="1" s="1"/>
  <c r="V1119" i="1" a="1"/>
  <c r="V1119" i="1" s="1"/>
  <c r="V1120" i="1" a="1"/>
  <c r="V1120" i="1" s="1"/>
  <c r="V1121" i="1" a="1"/>
  <c r="V1121" i="1" s="1"/>
  <c r="V1122" i="1" a="1"/>
  <c r="V1122" i="1" s="1"/>
  <c r="V1123" i="1" a="1"/>
  <c r="V1123" i="1" s="1"/>
  <c r="V1124" i="1" a="1"/>
  <c r="V1124" i="1" s="1"/>
  <c r="V1125" i="1" a="1"/>
  <c r="V1125" i="1" s="1"/>
  <c r="V1126" i="1" a="1"/>
  <c r="V1126" i="1" s="1"/>
  <c r="V1127" i="1" a="1"/>
  <c r="V1127" i="1" s="1"/>
  <c r="V1128" i="1" a="1"/>
  <c r="V1128" i="1" s="1"/>
  <c r="V1129" i="1" a="1"/>
  <c r="V1129" i="1" s="1"/>
  <c r="V1130" i="1" a="1"/>
  <c r="V1130" i="1" s="1"/>
  <c r="V1131" i="1" a="1"/>
  <c r="V1131" i="1" s="1"/>
  <c r="V1132" i="1" a="1"/>
  <c r="V1132" i="1" s="1"/>
  <c r="V1133" i="1" a="1"/>
  <c r="V1133" i="1" s="1"/>
  <c r="V1134" i="1" a="1"/>
  <c r="V1134" i="1" s="1"/>
  <c r="V1135" i="1" a="1"/>
  <c r="V1135" i="1" s="1"/>
  <c r="V1136" i="1" a="1"/>
  <c r="V1136" i="1" s="1"/>
  <c r="V1137" i="1" a="1"/>
  <c r="V1137" i="1" s="1"/>
  <c r="V1138" i="1" a="1"/>
  <c r="V1138" i="1" s="1"/>
  <c r="V1139" i="1" a="1"/>
  <c r="V1139" i="1" s="1"/>
  <c r="V1140" i="1" a="1"/>
  <c r="V1140" i="1" s="1"/>
  <c r="V1141" i="1" a="1"/>
  <c r="V1141" i="1" s="1"/>
  <c r="V1142" i="1" a="1"/>
  <c r="V1142" i="1" s="1"/>
  <c r="V1143" i="1" a="1"/>
  <c r="V1143" i="1" s="1"/>
  <c r="V1144" i="1" a="1"/>
  <c r="V1144" i="1" s="1"/>
  <c r="V1145" i="1" a="1"/>
  <c r="V1145" i="1" s="1"/>
  <c r="V1146" i="1" a="1"/>
  <c r="V1146" i="1" s="1"/>
  <c r="V1147" i="1" a="1"/>
  <c r="V1147" i="1" s="1"/>
  <c r="V1148" i="1" a="1"/>
  <c r="V1148" i="1" s="1"/>
  <c r="V1149" i="1" a="1"/>
  <c r="V1149" i="1" s="1"/>
  <c r="V1150" i="1" a="1"/>
  <c r="V1150" i="1" s="1"/>
  <c r="V1151" i="1" a="1"/>
  <c r="V1151" i="1" s="1"/>
  <c r="V1152" i="1" a="1"/>
  <c r="V1152" i="1" s="1"/>
  <c r="V1153" i="1" a="1"/>
  <c r="V1153" i="1" s="1"/>
  <c r="V1154" i="1" a="1"/>
  <c r="V1154" i="1" s="1"/>
  <c r="V1155" i="1" a="1"/>
  <c r="V1155" i="1" s="1"/>
  <c r="V1156" i="1" a="1"/>
  <c r="V1156" i="1" s="1"/>
  <c r="V1157" i="1" a="1"/>
  <c r="V1157" i="1" s="1"/>
  <c r="V1158" i="1" a="1"/>
  <c r="V1158" i="1" s="1"/>
  <c r="V1159" i="1" a="1"/>
  <c r="V1159" i="1" s="1"/>
  <c r="V1160" i="1" a="1"/>
  <c r="V1160" i="1" s="1"/>
  <c r="V1161" i="1" a="1"/>
  <c r="V1161" i="1" s="1"/>
  <c r="V1162" i="1" a="1"/>
  <c r="V1162" i="1" s="1"/>
  <c r="V1163" i="1" a="1"/>
  <c r="V1163" i="1" s="1"/>
  <c r="V1164" i="1" a="1"/>
  <c r="V1164" i="1" s="1"/>
  <c r="V1165" i="1" a="1"/>
  <c r="V1165" i="1" s="1"/>
  <c r="V1166" i="1" a="1"/>
  <c r="V1166" i="1" s="1"/>
  <c r="V1167" i="1" a="1"/>
  <c r="V1167" i="1" s="1"/>
  <c r="V1168" i="1" a="1"/>
  <c r="V1168" i="1" s="1"/>
  <c r="V1169" i="1" a="1"/>
  <c r="V1169" i="1" s="1"/>
  <c r="V1170" i="1" a="1"/>
  <c r="V1170" i="1" s="1"/>
  <c r="V1171" i="1" a="1"/>
  <c r="V1171" i="1" s="1"/>
  <c r="V1172" i="1" a="1"/>
  <c r="V1172" i="1" s="1"/>
  <c r="V1173" i="1" a="1"/>
  <c r="V1173" i="1" s="1"/>
  <c r="V1174" i="1" a="1"/>
  <c r="V1174" i="1" s="1"/>
  <c r="V1175" i="1" a="1"/>
  <c r="V1175" i="1" s="1"/>
  <c r="V1176" i="1" a="1"/>
  <c r="V1176" i="1" s="1"/>
  <c r="V1177" i="1" a="1"/>
  <c r="V1177" i="1" s="1"/>
  <c r="V1178" i="1" a="1"/>
  <c r="V1178" i="1" s="1"/>
  <c r="V1179" i="1" a="1"/>
  <c r="V1179" i="1" s="1"/>
  <c r="V1180" i="1" a="1"/>
  <c r="V1180" i="1" s="1"/>
  <c r="V1181" i="1" a="1"/>
  <c r="V1181" i="1" s="1"/>
  <c r="V1182" i="1" a="1"/>
  <c r="V1182" i="1" s="1"/>
  <c r="V1183" i="1" a="1"/>
  <c r="V1183" i="1" s="1"/>
  <c r="V1184" i="1" a="1"/>
  <c r="V1184" i="1" s="1"/>
  <c r="V1185" i="1" a="1"/>
  <c r="V1185" i="1" s="1"/>
  <c r="V1186" i="1" a="1"/>
  <c r="V1186" i="1" s="1"/>
  <c r="V1187" i="1" a="1"/>
  <c r="V1187" i="1" s="1"/>
  <c r="V1188" i="1" a="1"/>
  <c r="V1188" i="1" s="1"/>
  <c r="V1189" i="1" a="1"/>
  <c r="V1189" i="1" s="1"/>
  <c r="V1190" i="1" a="1"/>
  <c r="V1190" i="1" s="1"/>
  <c r="V1191" i="1" a="1"/>
  <c r="V1191" i="1" s="1"/>
  <c r="V1192" i="1" a="1"/>
  <c r="V1192" i="1" s="1"/>
  <c r="V1193" i="1" a="1"/>
  <c r="V1193" i="1" s="1"/>
  <c r="V1194" i="1" a="1"/>
  <c r="V1194" i="1" s="1"/>
  <c r="V1195" i="1" a="1"/>
  <c r="V1195" i="1" s="1"/>
  <c r="V1196" i="1" a="1"/>
  <c r="V1196" i="1" s="1"/>
  <c r="V1197" i="1" a="1"/>
  <c r="V1197" i="1" s="1"/>
  <c r="V1198" i="1" a="1"/>
  <c r="V1198" i="1" s="1"/>
  <c r="V1199" i="1" a="1"/>
  <c r="V1199" i="1" s="1"/>
  <c r="V1200" i="1" a="1"/>
  <c r="V1200" i="1" s="1"/>
  <c r="V1201" i="1" a="1"/>
  <c r="V1201" i="1" s="1"/>
  <c r="V1202" i="1" a="1"/>
  <c r="V1202" i="1" s="1"/>
  <c r="V1203" i="1" a="1"/>
  <c r="V1203" i="1" s="1"/>
  <c r="V1204" i="1" a="1"/>
  <c r="V1204" i="1" s="1"/>
  <c r="V1205" i="1" a="1"/>
  <c r="V1205" i="1" s="1"/>
  <c r="V1206" i="1" a="1"/>
  <c r="V1206" i="1" s="1"/>
  <c r="V1207" i="1" a="1"/>
  <c r="V1207" i="1" s="1"/>
  <c r="V1208" i="1" a="1"/>
  <c r="V1208" i="1" s="1"/>
  <c r="V1209" i="1" a="1"/>
  <c r="V1209" i="1" s="1"/>
  <c r="V1210" i="1" a="1"/>
  <c r="V1210" i="1" s="1"/>
  <c r="V1211" i="1" a="1"/>
  <c r="V1211" i="1" s="1"/>
  <c r="V1212" i="1" a="1"/>
  <c r="V1212" i="1" s="1"/>
  <c r="V1213" i="1" a="1"/>
  <c r="V1213" i="1" s="1"/>
  <c r="V1214" i="1" a="1"/>
  <c r="V1214" i="1" s="1"/>
  <c r="V1215" i="1" a="1"/>
  <c r="V1215" i="1" s="1"/>
  <c r="V1216" i="1" a="1"/>
  <c r="V1216" i="1" s="1"/>
  <c r="V1217" i="1" a="1"/>
  <c r="V1217" i="1" s="1"/>
  <c r="V1218" i="1" a="1"/>
  <c r="V1218" i="1" s="1"/>
  <c r="V1219" i="1" a="1"/>
  <c r="V1219" i="1" s="1"/>
  <c r="V1220" i="1" a="1"/>
  <c r="V1220" i="1" s="1"/>
  <c r="V1221" i="1" a="1"/>
  <c r="V1221" i="1" s="1"/>
  <c r="V1222" i="1" a="1"/>
  <c r="V1222" i="1" s="1"/>
  <c r="V1223" i="1" a="1"/>
  <c r="V1223" i="1" s="1"/>
  <c r="V1224" i="1" a="1"/>
  <c r="V1224" i="1" s="1"/>
  <c r="V1225" i="1" a="1"/>
  <c r="V1225" i="1" s="1"/>
  <c r="V1226" i="1" a="1"/>
  <c r="V1226" i="1" s="1"/>
  <c r="V1227" i="1" a="1"/>
  <c r="V1227" i="1" s="1"/>
  <c r="V1228" i="1" a="1"/>
  <c r="V1228" i="1" s="1"/>
  <c r="V1229" i="1" a="1"/>
  <c r="V1229" i="1" s="1"/>
  <c r="V1230" i="1" a="1"/>
  <c r="V1230" i="1" s="1"/>
  <c r="V1231" i="1" a="1"/>
  <c r="V1231" i="1" s="1"/>
  <c r="V1232" i="1" a="1"/>
  <c r="V1232" i="1" s="1"/>
  <c r="V1233" i="1" a="1"/>
  <c r="V1233" i="1" s="1"/>
  <c r="V1234" i="1" a="1"/>
  <c r="V1234" i="1" s="1"/>
  <c r="V1235" i="1" a="1"/>
  <c r="V1235" i="1" s="1"/>
  <c r="V1236" i="1" a="1"/>
  <c r="V1236" i="1" s="1"/>
  <c r="V1237" i="1" a="1"/>
  <c r="V1237" i="1" s="1"/>
  <c r="V1238" i="1" a="1"/>
  <c r="V1238" i="1" s="1"/>
  <c r="V1239" i="1" a="1"/>
  <c r="V1239" i="1" s="1"/>
  <c r="V1240" i="1" a="1"/>
  <c r="V1240" i="1" s="1"/>
  <c r="V1241" i="1" a="1"/>
  <c r="V1241" i="1" s="1"/>
  <c r="V1242" i="1" a="1"/>
  <c r="V1242" i="1" s="1"/>
  <c r="V1243" i="1" a="1"/>
  <c r="V1243" i="1" s="1"/>
  <c r="V1244" i="1" a="1"/>
  <c r="V1244" i="1" s="1"/>
  <c r="V1245" i="1" a="1"/>
  <c r="V1245" i="1" s="1"/>
  <c r="V1246" i="1" a="1"/>
  <c r="V1246" i="1" s="1"/>
  <c r="V1247" i="1" a="1"/>
  <c r="V1247" i="1" s="1"/>
  <c r="V1248" i="1" a="1"/>
  <c r="V1248" i="1" s="1"/>
  <c r="V1249" i="1" a="1"/>
  <c r="V1249" i="1" s="1"/>
  <c r="V1250" i="1" a="1"/>
  <c r="V1250" i="1" s="1"/>
  <c r="V1251" i="1" a="1"/>
  <c r="V1251" i="1" s="1"/>
  <c r="V1252" i="1" a="1"/>
  <c r="V1252" i="1" s="1"/>
  <c r="V1253" i="1" a="1"/>
  <c r="V1253" i="1" s="1"/>
  <c r="V1254" i="1" a="1"/>
  <c r="V1254" i="1" s="1"/>
  <c r="V1255" i="1" a="1"/>
  <c r="V1255" i="1" s="1"/>
  <c r="V1256" i="1" a="1"/>
  <c r="V1256" i="1" s="1"/>
  <c r="V1257" i="1" a="1"/>
  <c r="V1257" i="1" s="1"/>
  <c r="V1258" i="1" a="1"/>
  <c r="V1258" i="1" s="1"/>
  <c r="V1259" i="1" a="1"/>
  <c r="V1259" i="1" s="1"/>
  <c r="V1260" i="1" a="1"/>
  <c r="V1260" i="1" s="1"/>
  <c r="V1261" i="1" a="1"/>
  <c r="V1261" i="1" s="1"/>
  <c r="V1262" i="1" a="1"/>
  <c r="V1262" i="1" s="1"/>
  <c r="V1263" i="1" a="1"/>
  <c r="V1263" i="1" s="1"/>
  <c r="V1264" i="1" a="1"/>
  <c r="V1264" i="1" s="1"/>
  <c r="V1265" i="1" a="1"/>
  <c r="V1265" i="1" s="1"/>
  <c r="V1266" i="1" a="1"/>
  <c r="V1266" i="1" s="1"/>
  <c r="V1267" i="1" a="1"/>
  <c r="V1267" i="1" s="1"/>
  <c r="V1268" i="1" a="1"/>
  <c r="V1268" i="1" s="1"/>
  <c r="V1269" i="1" a="1"/>
  <c r="V1269" i="1" s="1"/>
  <c r="V1270" i="1" a="1"/>
  <c r="V1270" i="1" s="1"/>
  <c r="V1271" i="1" a="1"/>
  <c r="V1271" i="1" s="1"/>
  <c r="V1272" i="1" a="1"/>
  <c r="V1272" i="1" s="1"/>
  <c r="V1273" i="1" a="1"/>
  <c r="V1273" i="1" s="1"/>
  <c r="V1274" i="1" a="1"/>
  <c r="V1274" i="1" s="1"/>
  <c r="V1275" i="1" a="1"/>
  <c r="V1275" i="1" s="1"/>
  <c r="V1276" i="1" a="1"/>
  <c r="V1276" i="1" s="1"/>
  <c r="V1277" i="1" a="1"/>
  <c r="V1277" i="1" s="1"/>
  <c r="V1278" i="1" a="1"/>
  <c r="V1278" i="1" s="1"/>
  <c r="V1279" i="1" a="1"/>
  <c r="V1279" i="1" s="1"/>
  <c r="V1280" i="1" a="1"/>
  <c r="V1280" i="1" s="1"/>
  <c r="V1281" i="1" a="1"/>
  <c r="V1281" i="1" s="1"/>
  <c r="V1282" i="1" a="1"/>
  <c r="V1282" i="1" s="1"/>
  <c r="V1283" i="1" a="1"/>
  <c r="V1283" i="1" s="1"/>
  <c r="V1284" i="1" a="1"/>
  <c r="V1284" i="1" s="1"/>
  <c r="V1285" i="1" a="1"/>
  <c r="V1285" i="1" s="1"/>
  <c r="V1286" i="1" a="1"/>
  <c r="V1286" i="1" s="1"/>
  <c r="V1287" i="1" a="1"/>
  <c r="V1287" i="1" s="1"/>
  <c r="V1288" i="1" a="1"/>
  <c r="V1288" i="1" s="1"/>
  <c r="V1289" i="1" a="1"/>
  <c r="V1289" i="1" s="1"/>
  <c r="V1290" i="1" a="1"/>
  <c r="V1290" i="1" s="1"/>
  <c r="V1291" i="1" a="1"/>
  <c r="V1291" i="1" s="1"/>
  <c r="V1292" i="1" a="1"/>
  <c r="V1292" i="1" s="1"/>
  <c r="V1293" i="1" a="1"/>
  <c r="V1293" i="1" s="1"/>
  <c r="V1294" i="1" a="1"/>
  <c r="V1294" i="1" s="1"/>
  <c r="V1295" i="1" a="1"/>
  <c r="V1295" i="1" s="1"/>
  <c r="V1296" i="1" a="1"/>
  <c r="V1296" i="1" s="1"/>
  <c r="V1297" i="1" a="1"/>
  <c r="V1297" i="1" s="1"/>
  <c r="V1298" i="1" a="1"/>
  <c r="V1298" i="1" s="1"/>
  <c r="V1299" i="1" a="1"/>
  <c r="V1299" i="1" s="1"/>
  <c r="V1300" i="1" a="1"/>
  <c r="V1300" i="1" s="1"/>
  <c r="V1301" i="1" a="1"/>
  <c r="V1301" i="1" s="1"/>
  <c r="V1302" i="1" a="1"/>
  <c r="V1302" i="1" s="1"/>
  <c r="V1303" i="1" a="1"/>
  <c r="V1303" i="1" s="1"/>
  <c r="V1304" i="1" a="1"/>
  <c r="V1304" i="1" s="1"/>
  <c r="V1305" i="1" a="1"/>
  <c r="V1305" i="1" s="1"/>
  <c r="V1306" i="1" a="1"/>
  <c r="V1306" i="1" s="1"/>
  <c r="V1307" i="1" a="1"/>
  <c r="V1307" i="1" s="1"/>
  <c r="V1308" i="1" a="1"/>
  <c r="V1308" i="1" s="1"/>
  <c r="V1309" i="1" a="1"/>
  <c r="V1309" i="1" s="1"/>
  <c r="V1310" i="1" a="1"/>
  <c r="V1310" i="1" s="1"/>
  <c r="V1311" i="1" a="1"/>
  <c r="V1311" i="1" s="1"/>
  <c r="V1312" i="1" a="1"/>
  <c r="V1312" i="1" s="1"/>
  <c r="V1313" i="1" a="1"/>
  <c r="V1313" i="1" s="1"/>
  <c r="V1314" i="1" a="1"/>
  <c r="V1314" i="1" s="1"/>
  <c r="V1315" i="1" a="1"/>
  <c r="V1315" i="1" s="1"/>
  <c r="V1316" i="1" a="1"/>
  <c r="V1316" i="1" s="1"/>
  <c r="V1317" i="1" a="1"/>
  <c r="V1317" i="1" s="1"/>
  <c r="V1318" i="1" a="1"/>
  <c r="V1318" i="1" s="1"/>
  <c r="V1319" i="1" a="1"/>
  <c r="V1319" i="1" s="1"/>
  <c r="V1320" i="1" a="1"/>
  <c r="V1320" i="1" s="1"/>
  <c r="V1321" i="1" a="1"/>
  <c r="V1321" i="1" s="1"/>
  <c r="V1322" i="1" a="1"/>
  <c r="V1322" i="1" s="1"/>
  <c r="V1323" i="1" a="1"/>
  <c r="V1323" i="1" s="1"/>
  <c r="V1324" i="1" a="1"/>
  <c r="V1324" i="1" s="1"/>
  <c r="V1325" i="1" a="1"/>
  <c r="V1325" i="1" s="1"/>
  <c r="V1326" i="1" a="1"/>
  <c r="V1326" i="1" s="1"/>
  <c r="V1327" i="1" a="1"/>
  <c r="V1327" i="1" s="1"/>
  <c r="V1328" i="1" a="1"/>
  <c r="V1328" i="1" s="1"/>
  <c r="V1329" i="1" a="1"/>
  <c r="V1329" i="1" s="1"/>
  <c r="V1330" i="1" a="1"/>
  <c r="V1330" i="1" s="1"/>
  <c r="V1331" i="1" a="1"/>
  <c r="V1331" i="1" s="1"/>
  <c r="V1332" i="1" a="1"/>
  <c r="V1332" i="1" s="1"/>
  <c r="V1333" i="1" a="1"/>
  <c r="V1333" i="1" s="1"/>
  <c r="V1334" i="1" a="1"/>
  <c r="V1334" i="1" s="1"/>
  <c r="V1335" i="1" a="1"/>
  <c r="V1335" i="1" s="1"/>
  <c r="V1336" i="1" a="1"/>
  <c r="V1336" i="1" s="1"/>
  <c r="V1337" i="1" a="1"/>
  <c r="V1337" i="1" s="1"/>
  <c r="V1338" i="1" a="1"/>
  <c r="V1338" i="1" s="1"/>
  <c r="V1339" i="1" a="1"/>
  <c r="V1339" i="1" s="1"/>
  <c r="V1340" i="1" a="1"/>
  <c r="V1340" i="1" s="1"/>
  <c r="V1341" i="1" a="1"/>
  <c r="V1341" i="1" s="1"/>
  <c r="V1342" i="1" a="1"/>
  <c r="V1342" i="1" s="1"/>
  <c r="V1343" i="1" a="1"/>
  <c r="V1343" i="1" s="1"/>
  <c r="V1344" i="1" a="1"/>
  <c r="V1344" i="1" s="1"/>
  <c r="V1345" i="1" a="1"/>
  <c r="V1345" i="1" s="1"/>
  <c r="V1346" i="1" a="1"/>
  <c r="V1346" i="1" s="1"/>
  <c r="V1347" i="1" a="1"/>
  <c r="V1347" i="1" s="1"/>
  <c r="V1348" i="1" a="1"/>
  <c r="V1348" i="1" s="1"/>
  <c r="V1349" i="1" a="1"/>
  <c r="V1349" i="1" s="1"/>
  <c r="V1350" i="1" a="1"/>
  <c r="V1350" i="1" s="1"/>
  <c r="V1351" i="1" a="1"/>
  <c r="V1351" i="1" s="1"/>
  <c r="V1352" i="1" a="1"/>
  <c r="V1352" i="1" s="1"/>
  <c r="V1353" i="1" a="1"/>
  <c r="V1353" i="1" s="1"/>
  <c r="V1354" i="1" a="1"/>
  <c r="V1354" i="1" s="1"/>
  <c r="V1355" i="1" a="1"/>
  <c r="V1355" i="1" s="1"/>
  <c r="V1356" i="1" a="1"/>
  <c r="V1356" i="1" s="1"/>
  <c r="V1357" i="1" a="1"/>
  <c r="V1357" i="1" s="1"/>
  <c r="V1358" i="1" a="1"/>
  <c r="V1358" i="1" s="1"/>
  <c r="V1359" i="1" a="1"/>
  <c r="V1359" i="1" s="1"/>
  <c r="V1360" i="1" a="1"/>
  <c r="V1360" i="1" s="1"/>
  <c r="V1361" i="1" a="1"/>
  <c r="V1361" i="1" s="1"/>
  <c r="V1362" i="1" a="1"/>
  <c r="V1362" i="1" s="1"/>
  <c r="V1363" i="1" a="1"/>
  <c r="V1363" i="1" s="1"/>
  <c r="V1364" i="1" a="1"/>
  <c r="V1364" i="1" s="1"/>
  <c r="V1365" i="1" a="1"/>
  <c r="V1365" i="1" s="1"/>
  <c r="V1366" i="1" a="1"/>
  <c r="V1366" i="1" s="1"/>
  <c r="V1367" i="1" a="1"/>
  <c r="V1367" i="1" s="1"/>
  <c r="V1368" i="1" a="1"/>
  <c r="V1368" i="1" s="1"/>
  <c r="V1369" i="1" a="1"/>
  <c r="V1369" i="1" s="1"/>
  <c r="V1370" i="1" a="1"/>
  <c r="V1370" i="1" s="1"/>
  <c r="V1371" i="1" a="1"/>
  <c r="V1371" i="1" s="1"/>
  <c r="V1372" i="1" a="1"/>
  <c r="V1372" i="1" s="1"/>
  <c r="V1373" i="1" a="1"/>
  <c r="V1373" i="1" s="1"/>
  <c r="V1374" i="1" a="1"/>
  <c r="V1374" i="1" s="1"/>
  <c r="V1375" i="1" a="1"/>
  <c r="V1375" i="1" s="1"/>
  <c r="V1376" i="1" a="1"/>
  <c r="V1376" i="1" s="1"/>
  <c r="V1377" i="1" a="1"/>
  <c r="V1377" i="1" s="1"/>
  <c r="V1378" i="1" a="1"/>
  <c r="V1378" i="1" s="1"/>
  <c r="V1379" i="1" a="1"/>
  <c r="V1379" i="1" s="1"/>
  <c r="V1380" i="1" a="1"/>
  <c r="V1380" i="1" s="1"/>
  <c r="V1381" i="1" a="1"/>
  <c r="V1381" i="1" s="1"/>
  <c r="V1382" i="1" a="1"/>
  <c r="V1382" i="1" s="1"/>
  <c r="V1383" i="1" a="1"/>
  <c r="V1383" i="1" s="1"/>
  <c r="V1384" i="1" a="1"/>
  <c r="V1384" i="1" s="1"/>
  <c r="V1385" i="1" a="1"/>
  <c r="V1385" i="1" s="1"/>
  <c r="V1386" i="1" a="1"/>
  <c r="V1386" i="1" s="1"/>
  <c r="V1387" i="1" a="1"/>
  <c r="V1387" i="1" s="1"/>
  <c r="V1388" i="1" a="1"/>
  <c r="V1388" i="1" s="1"/>
  <c r="V1389" i="1" a="1"/>
  <c r="V1389" i="1" s="1"/>
  <c r="V1390" i="1" a="1"/>
  <c r="V1390" i="1" s="1"/>
  <c r="V1391" i="1" a="1"/>
  <c r="V1391" i="1" s="1"/>
  <c r="V1392" i="1" a="1"/>
  <c r="V1392" i="1" s="1"/>
  <c r="V1393" i="1" a="1"/>
  <c r="V1393" i="1" s="1"/>
  <c r="V1394" i="1" a="1"/>
  <c r="V1394" i="1" s="1"/>
  <c r="V1395" i="1" a="1"/>
  <c r="V1395" i="1" s="1"/>
  <c r="V1396" i="1" a="1"/>
  <c r="V1396" i="1" s="1"/>
  <c r="V1397" i="1" a="1"/>
  <c r="V1397" i="1" s="1"/>
  <c r="V1398" i="1" a="1"/>
  <c r="V1398" i="1" s="1"/>
  <c r="V1399" i="1" a="1"/>
  <c r="V1399" i="1" s="1"/>
  <c r="V1400" i="1" a="1"/>
  <c r="V1400" i="1" s="1"/>
  <c r="V1401" i="1" a="1"/>
  <c r="V1401" i="1" s="1"/>
  <c r="V1402" i="1" a="1"/>
  <c r="V1402" i="1" s="1"/>
  <c r="V1403" i="1" a="1"/>
  <c r="V1403" i="1" s="1"/>
  <c r="V1404" i="1" a="1"/>
  <c r="V1404" i="1" s="1"/>
  <c r="V1405" i="1" a="1"/>
  <c r="V1405" i="1" s="1"/>
  <c r="V1406" i="1" a="1"/>
  <c r="V1406" i="1" s="1"/>
  <c r="V1407" i="1" a="1"/>
  <c r="V1407" i="1" s="1"/>
  <c r="V1408" i="1" a="1"/>
  <c r="V1408" i="1" s="1"/>
  <c r="V1409" i="1" a="1"/>
  <c r="V1409" i="1" s="1"/>
  <c r="V1410" i="1" a="1"/>
  <c r="V1410" i="1" s="1"/>
  <c r="V1411" i="1" a="1"/>
  <c r="V1411" i="1" s="1"/>
  <c r="V1412" i="1" a="1"/>
  <c r="V1412" i="1" s="1"/>
  <c r="V1413" i="1" a="1"/>
  <c r="V1413" i="1" s="1"/>
  <c r="V1414" i="1" a="1"/>
  <c r="V1414" i="1" s="1"/>
  <c r="V1415" i="1" a="1"/>
  <c r="V1415" i="1" s="1"/>
  <c r="V1416" i="1" a="1"/>
  <c r="V1416" i="1" s="1"/>
  <c r="V1417" i="1" a="1"/>
  <c r="V1417" i="1" s="1"/>
  <c r="V1418" i="1" a="1"/>
  <c r="V1418" i="1" s="1"/>
  <c r="V1419" i="1" a="1"/>
  <c r="V1419" i="1" s="1"/>
  <c r="V1420" i="1" a="1"/>
  <c r="V1420" i="1" s="1"/>
  <c r="V1421" i="1" a="1"/>
  <c r="V1421" i="1" s="1"/>
  <c r="V1422" i="1" a="1"/>
  <c r="V1422" i="1" s="1"/>
  <c r="V1423" i="1" a="1"/>
  <c r="V1423" i="1" s="1"/>
  <c r="V1424" i="1" a="1"/>
  <c r="V1424" i="1" s="1"/>
  <c r="V1425" i="1" a="1"/>
  <c r="V1425" i="1" s="1"/>
  <c r="V1426" i="1" a="1"/>
  <c r="V1426" i="1" s="1"/>
  <c r="V1427" i="1" a="1"/>
  <c r="V1427" i="1" s="1"/>
  <c r="V1428" i="1" a="1"/>
  <c r="V1428" i="1" s="1"/>
  <c r="V1429" i="1" a="1"/>
  <c r="V1429" i="1" s="1"/>
  <c r="V1430" i="1" a="1"/>
  <c r="V1430" i="1" s="1"/>
  <c r="V1431" i="1" a="1"/>
  <c r="V1431" i="1" s="1"/>
  <c r="V1432" i="1" a="1"/>
  <c r="V1432" i="1" s="1"/>
  <c r="V1433" i="1" a="1"/>
  <c r="V1433" i="1" s="1"/>
  <c r="V1434" i="1" a="1"/>
  <c r="V1434" i="1" s="1"/>
  <c r="V1435" i="1" a="1"/>
  <c r="V1435" i="1" s="1"/>
  <c r="V1436" i="1" a="1"/>
  <c r="V1436" i="1" s="1"/>
  <c r="V1437" i="1" a="1"/>
  <c r="V1437" i="1" s="1"/>
  <c r="V1438" i="1" a="1"/>
  <c r="V1438" i="1" s="1"/>
  <c r="V1439" i="1" a="1"/>
  <c r="V1439" i="1" s="1"/>
  <c r="V1440" i="1" a="1"/>
  <c r="V1440" i="1" s="1"/>
  <c r="V1441" i="1" a="1"/>
  <c r="V1441" i="1" s="1"/>
  <c r="V1442" i="1" a="1"/>
  <c r="V1442" i="1" s="1"/>
  <c r="V1443" i="1" a="1"/>
  <c r="V1443" i="1" s="1"/>
  <c r="V1444" i="1" a="1"/>
  <c r="V1444" i="1" s="1"/>
  <c r="V1445" i="1" a="1"/>
  <c r="V1445" i="1" s="1"/>
  <c r="V1446" i="1" a="1"/>
  <c r="V1446" i="1" s="1"/>
  <c r="V1447" i="1" a="1"/>
  <c r="V1447" i="1" s="1"/>
  <c r="V1448" i="1" a="1"/>
  <c r="V1448" i="1" s="1"/>
  <c r="V1449" i="1" a="1"/>
  <c r="V1449" i="1" s="1"/>
  <c r="V1450" i="1" a="1"/>
  <c r="V1450" i="1" s="1"/>
  <c r="V1451" i="1" a="1"/>
  <c r="V1451" i="1" s="1"/>
  <c r="V1452" i="1" a="1"/>
  <c r="V1452" i="1" s="1"/>
  <c r="V1453" i="1" a="1"/>
  <c r="V1453" i="1" s="1"/>
  <c r="V1454" i="1" a="1"/>
  <c r="V1454" i="1" s="1"/>
  <c r="V1455" i="1" a="1"/>
  <c r="V1455" i="1" s="1"/>
  <c r="V1456" i="1" a="1"/>
  <c r="V1456" i="1" s="1"/>
  <c r="V1457" i="1" a="1"/>
  <c r="V1457" i="1" s="1"/>
  <c r="V1458" i="1" a="1"/>
  <c r="V1458" i="1" s="1"/>
  <c r="V1459" i="1" a="1"/>
  <c r="V1459" i="1" s="1"/>
  <c r="V1460" i="1" a="1"/>
  <c r="V1460" i="1" s="1"/>
  <c r="V1461" i="1" a="1"/>
  <c r="V1461" i="1" s="1"/>
  <c r="V1462" i="1" a="1"/>
  <c r="V1462" i="1" s="1"/>
  <c r="V1463" i="1" a="1"/>
  <c r="V1463" i="1" s="1"/>
  <c r="V1464" i="1" a="1"/>
  <c r="V1464" i="1" s="1"/>
  <c r="V1465" i="1" a="1"/>
  <c r="V1465" i="1" s="1"/>
  <c r="V1466" i="1" a="1"/>
  <c r="V1466" i="1" s="1"/>
  <c r="V1467" i="1" a="1"/>
  <c r="V1467" i="1" s="1"/>
  <c r="V1468" i="1" a="1"/>
  <c r="V1468" i="1" s="1"/>
  <c r="V1469" i="1" a="1"/>
  <c r="V1469" i="1" s="1"/>
  <c r="V1470" i="1" a="1"/>
  <c r="V1470" i="1" s="1"/>
  <c r="V1471" i="1" a="1"/>
  <c r="V1471" i="1" s="1"/>
  <c r="V1472" i="1" a="1"/>
  <c r="V1472" i="1" s="1"/>
  <c r="V1473" i="1" a="1"/>
  <c r="V1473" i="1" s="1"/>
  <c r="V1474" i="1" a="1"/>
  <c r="V1474" i="1" s="1"/>
  <c r="V1475" i="1" a="1"/>
  <c r="V1475" i="1" s="1"/>
  <c r="V1476" i="1" a="1"/>
  <c r="V1476" i="1" s="1"/>
  <c r="V1477" i="1" a="1"/>
  <c r="V1477" i="1" s="1"/>
  <c r="V1478" i="1" a="1"/>
  <c r="V1478" i="1" s="1"/>
  <c r="V1479" i="1" a="1"/>
  <c r="V1479" i="1" s="1"/>
  <c r="V1480" i="1" a="1"/>
  <c r="V1480" i="1" s="1"/>
  <c r="V1481" i="1" a="1"/>
  <c r="V1481" i="1" s="1"/>
  <c r="V1482" i="1" a="1"/>
  <c r="V1482" i="1" s="1"/>
  <c r="V1483" i="1" a="1"/>
  <c r="V1483" i="1" s="1"/>
  <c r="V1484" i="1" a="1"/>
  <c r="V1484" i="1" s="1"/>
  <c r="V1485" i="1" a="1"/>
  <c r="V1485" i="1" s="1"/>
  <c r="V1486" i="1" a="1"/>
  <c r="V1486" i="1" s="1"/>
  <c r="V1487" i="1" a="1"/>
  <c r="V1487" i="1" s="1"/>
  <c r="V1488" i="1" a="1"/>
  <c r="V1488" i="1" s="1"/>
  <c r="V1489" i="1" a="1"/>
  <c r="V1489" i="1" s="1"/>
  <c r="V1490" i="1" a="1"/>
  <c r="V1490" i="1" s="1"/>
  <c r="V1491" i="1" a="1"/>
  <c r="V1491" i="1" s="1"/>
  <c r="V1492" i="1" a="1"/>
  <c r="V1492" i="1" s="1"/>
  <c r="V1493" i="1" a="1"/>
  <c r="V1493" i="1" s="1"/>
  <c r="V1494" i="1" a="1"/>
  <c r="V1494" i="1" s="1"/>
  <c r="V1495" i="1" a="1"/>
  <c r="V1495" i="1" s="1"/>
  <c r="V1496" i="1" a="1"/>
  <c r="V1496" i="1" s="1"/>
  <c r="V1497" i="1" a="1"/>
  <c r="V1497" i="1" s="1"/>
  <c r="V1498" i="1" a="1"/>
  <c r="V1498" i="1" s="1"/>
  <c r="V1499" i="1" a="1"/>
  <c r="V1499" i="1" s="1"/>
  <c r="V1500" i="1" a="1"/>
  <c r="V1500" i="1" s="1"/>
  <c r="V1501" i="1" a="1"/>
  <c r="V1501" i="1" s="1"/>
  <c r="V1502" i="1" a="1"/>
  <c r="V1502" i="1" s="1"/>
  <c r="V1503" i="1" a="1"/>
  <c r="V1503" i="1" s="1"/>
  <c r="V1504" i="1" a="1"/>
  <c r="V1504" i="1" s="1"/>
  <c r="V1505" i="1" a="1"/>
  <c r="V1505" i="1" s="1"/>
  <c r="V1506" i="1" a="1"/>
  <c r="V1506" i="1" s="1"/>
  <c r="V1507" i="1" a="1"/>
  <c r="V1507" i="1" s="1"/>
  <c r="V1508" i="1" a="1"/>
  <c r="V1508" i="1" s="1"/>
  <c r="V1509" i="1" a="1"/>
  <c r="V1509" i="1" s="1"/>
  <c r="V1510" i="1" a="1"/>
  <c r="V1510" i="1" s="1"/>
  <c r="V1511" i="1" a="1"/>
  <c r="V1511" i="1" s="1"/>
  <c r="V1512" i="1" a="1"/>
  <c r="V1512" i="1" s="1"/>
  <c r="V1513" i="1" a="1"/>
  <c r="V1513" i="1" s="1"/>
  <c r="V1514" i="1" a="1"/>
  <c r="V1514" i="1" s="1"/>
  <c r="V1515" i="1" a="1"/>
  <c r="V1515" i="1" s="1"/>
  <c r="V1516" i="1" a="1"/>
  <c r="V1516" i="1" s="1"/>
  <c r="V1517" i="1" a="1"/>
  <c r="V1517" i="1" s="1"/>
  <c r="V1518" i="1" a="1"/>
  <c r="V1518" i="1" s="1"/>
  <c r="V1519" i="1" a="1"/>
  <c r="V1519" i="1" s="1"/>
  <c r="V1520" i="1" a="1"/>
  <c r="V1520" i="1" s="1"/>
  <c r="V1521" i="1" a="1"/>
  <c r="V1521" i="1" s="1"/>
  <c r="V1522" i="1" a="1"/>
  <c r="V1522" i="1" s="1"/>
  <c r="V1523" i="1" a="1"/>
  <c r="V1523" i="1" s="1"/>
  <c r="V1524" i="1" a="1"/>
  <c r="V1524" i="1" s="1"/>
  <c r="V1525" i="1" a="1"/>
  <c r="V1525" i="1" s="1"/>
  <c r="V1526" i="1" a="1"/>
  <c r="V1526" i="1" s="1"/>
  <c r="V1527" i="1" a="1"/>
  <c r="V1527" i="1" s="1"/>
  <c r="V1528" i="1" a="1"/>
  <c r="V1528" i="1" s="1"/>
  <c r="V1529" i="1" a="1"/>
  <c r="V1529" i="1" s="1"/>
  <c r="V1530" i="1" a="1"/>
  <c r="V1530" i="1" s="1"/>
  <c r="V1531" i="1" a="1"/>
  <c r="V1531" i="1" s="1"/>
  <c r="V1532" i="1" a="1"/>
  <c r="V1532" i="1" s="1"/>
  <c r="V1533" i="1" a="1"/>
  <c r="V1533" i="1" s="1"/>
  <c r="V1534" i="1" a="1"/>
  <c r="V1534" i="1" s="1"/>
  <c r="V1535" i="1" a="1"/>
  <c r="V1535" i="1" s="1"/>
  <c r="V1536" i="1" a="1"/>
  <c r="V1536" i="1" s="1"/>
  <c r="V1537" i="1" a="1"/>
  <c r="V1537" i="1" s="1"/>
  <c r="V1538" i="1" a="1"/>
  <c r="V1538" i="1" s="1"/>
  <c r="V1539" i="1" a="1"/>
  <c r="V1539" i="1" s="1"/>
  <c r="V1540" i="1" a="1"/>
  <c r="V1540" i="1" s="1"/>
  <c r="V1541" i="1" a="1"/>
  <c r="V1541" i="1" s="1"/>
  <c r="V1542" i="1" a="1"/>
  <c r="V1542" i="1" s="1"/>
  <c r="V1543" i="1" a="1"/>
  <c r="V1543" i="1" s="1"/>
  <c r="V1544" i="1" a="1"/>
  <c r="V1544" i="1" s="1"/>
  <c r="V1545" i="1" a="1"/>
  <c r="V1545" i="1" s="1"/>
  <c r="V1546" i="1" a="1"/>
  <c r="V1546" i="1" s="1"/>
  <c r="V1547" i="1" a="1"/>
  <c r="V1547" i="1" s="1"/>
  <c r="V1548" i="1" a="1"/>
  <c r="V1548" i="1" s="1"/>
  <c r="V1549" i="1" a="1"/>
  <c r="V1549" i="1" s="1"/>
  <c r="V1550" i="1" a="1"/>
  <c r="V1550" i="1" s="1"/>
  <c r="V1551" i="1" a="1"/>
  <c r="V1551" i="1" s="1"/>
  <c r="V1552" i="1" a="1"/>
  <c r="V1552" i="1" s="1"/>
  <c r="V1553" i="1" a="1"/>
  <c r="V1553" i="1" s="1"/>
  <c r="V1554" i="1" a="1"/>
  <c r="V1554" i="1" s="1"/>
  <c r="V1555" i="1" a="1"/>
  <c r="V1555" i="1" s="1"/>
  <c r="V1556" i="1" a="1"/>
  <c r="V1556" i="1" s="1"/>
  <c r="V1557" i="1" a="1"/>
  <c r="V1557" i="1" s="1"/>
  <c r="V1558" i="1" a="1"/>
  <c r="V1558" i="1" s="1"/>
  <c r="V1559" i="1" a="1"/>
  <c r="V1559" i="1" s="1"/>
  <c r="V1560" i="1" a="1"/>
  <c r="V1560" i="1" s="1"/>
  <c r="V1561" i="1" a="1"/>
  <c r="V1561" i="1" s="1"/>
  <c r="V1562" i="1" a="1"/>
  <c r="V1562" i="1" s="1"/>
  <c r="V1563" i="1" a="1"/>
  <c r="V1563" i="1" s="1"/>
  <c r="V1564" i="1" a="1"/>
  <c r="V1564" i="1" s="1"/>
  <c r="V1565" i="1" a="1"/>
  <c r="V1565" i="1" s="1"/>
  <c r="V1566" i="1" a="1"/>
  <c r="V1566" i="1" s="1"/>
  <c r="V1567" i="1" a="1"/>
  <c r="V1567" i="1" s="1"/>
  <c r="V1568" i="1" a="1"/>
  <c r="V1568" i="1" s="1"/>
  <c r="V1569" i="1" a="1"/>
  <c r="V1569" i="1" s="1"/>
  <c r="V1570" i="1" a="1"/>
  <c r="V1570" i="1" s="1"/>
  <c r="V1571" i="1" a="1"/>
  <c r="V1571" i="1" s="1"/>
  <c r="V1572" i="1" a="1"/>
  <c r="V1572" i="1" s="1"/>
  <c r="V1573" i="1" a="1"/>
  <c r="V1573" i="1" s="1"/>
  <c r="V1574" i="1" a="1"/>
  <c r="V1574" i="1" s="1"/>
  <c r="V1575" i="1" a="1"/>
  <c r="V1575" i="1" s="1"/>
  <c r="V1576" i="1" a="1"/>
  <c r="V1576" i="1" s="1"/>
  <c r="V1577" i="1" a="1"/>
  <c r="V1577" i="1" s="1"/>
  <c r="V1578" i="1" a="1"/>
  <c r="V1578" i="1" s="1"/>
  <c r="V1579" i="1" a="1"/>
  <c r="V1579" i="1" s="1"/>
  <c r="V1580" i="1" a="1"/>
  <c r="V1580" i="1" s="1"/>
  <c r="V1581" i="1" a="1"/>
  <c r="V1581" i="1" s="1"/>
  <c r="V1582" i="1" a="1"/>
  <c r="V1582" i="1" s="1"/>
  <c r="V1583" i="1" a="1"/>
  <c r="V1583" i="1" s="1"/>
  <c r="V1584" i="1" a="1"/>
  <c r="V1584" i="1" s="1"/>
  <c r="V1585" i="1" a="1"/>
  <c r="V1585" i="1" s="1"/>
  <c r="V1586" i="1" a="1"/>
  <c r="V1586" i="1" s="1"/>
  <c r="V1587" i="1" a="1"/>
  <c r="V1587" i="1" s="1"/>
  <c r="V1588" i="1" a="1"/>
  <c r="V1588" i="1" s="1"/>
  <c r="V1589" i="1" a="1"/>
  <c r="V1589" i="1" s="1"/>
  <c r="V1590" i="1" a="1"/>
  <c r="V1590" i="1" s="1"/>
  <c r="V1591" i="1" a="1"/>
  <c r="V1591" i="1" s="1"/>
  <c r="V1592" i="1" a="1"/>
  <c r="V1592" i="1" s="1"/>
  <c r="V1593" i="1" a="1"/>
  <c r="V1593" i="1" s="1"/>
  <c r="V1594" i="1" a="1"/>
  <c r="V1594" i="1" s="1"/>
  <c r="V1595" i="1" a="1"/>
  <c r="V1595" i="1" s="1"/>
  <c r="V1596" i="1" a="1"/>
  <c r="V1596" i="1" s="1"/>
  <c r="V1597" i="1" a="1"/>
  <c r="V1597" i="1" s="1"/>
  <c r="V1598" i="1" a="1"/>
  <c r="V1598" i="1" s="1"/>
  <c r="V1599" i="1" a="1"/>
  <c r="V1599" i="1" s="1"/>
  <c r="V1600" i="1" a="1"/>
  <c r="V1600" i="1" s="1"/>
  <c r="V1601" i="1" a="1"/>
  <c r="V1601" i="1" s="1"/>
  <c r="V1602" i="1" a="1"/>
  <c r="V1602" i="1" s="1"/>
  <c r="V1603" i="1" a="1"/>
  <c r="V1603" i="1" s="1"/>
  <c r="V1604" i="1" a="1"/>
  <c r="V1604" i="1" s="1"/>
  <c r="V1605" i="1" a="1"/>
  <c r="V1605" i="1" s="1"/>
  <c r="V1606" i="1" a="1"/>
  <c r="V1606" i="1" s="1"/>
  <c r="V1607" i="1" a="1"/>
  <c r="V1607" i="1" s="1"/>
  <c r="V1608" i="1" a="1"/>
  <c r="V1608" i="1" s="1"/>
  <c r="V1609" i="1" a="1"/>
  <c r="V1609" i="1" s="1"/>
  <c r="V1610" i="1" a="1"/>
  <c r="V1610" i="1" s="1"/>
  <c r="V1611" i="1" a="1"/>
  <c r="V1611" i="1" s="1"/>
  <c r="V1612" i="1" a="1"/>
  <c r="V1612" i="1" s="1"/>
  <c r="V1613" i="1" a="1"/>
  <c r="V1613" i="1" s="1"/>
  <c r="V1614" i="1" a="1"/>
  <c r="V1614" i="1" s="1"/>
  <c r="V1615" i="1" a="1"/>
  <c r="V1615" i="1" s="1"/>
  <c r="V1616" i="1" a="1"/>
  <c r="V1616" i="1" s="1"/>
  <c r="V1617" i="1" a="1"/>
  <c r="V1617" i="1" s="1"/>
  <c r="V1618" i="1" a="1"/>
  <c r="V1618" i="1" s="1"/>
  <c r="V1619" i="1" a="1"/>
  <c r="V1619" i="1" s="1"/>
  <c r="V1620" i="1" a="1"/>
  <c r="V1620" i="1" s="1"/>
  <c r="V1621" i="1" a="1"/>
  <c r="V1621" i="1" s="1"/>
  <c r="V1622" i="1" a="1"/>
  <c r="V1622" i="1" s="1"/>
  <c r="V1623" i="1" a="1"/>
  <c r="V1623" i="1" s="1"/>
  <c r="V1624" i="1" a="1"/>
  <c r="V1624" i="1" s="1"/>
  <c r="V1625" i="1" a="1"/>
  <c r="V1625" i="1" s="1"/>
  <c r="V1626" i="1" a="1"/>
  <c r="V1626" i="1" s="1"/>
  <c r="V1627" i="1" a="1"/>
  <c r="V1627" i="1" s="1"/>
  <c r="V1628" i="1" a="1"/>
  <c r="V1628" i="1" s="1"/>
  <c r="V1629" i="1" a="1"/>
  <c r="V1629" i="1" s="1"/>
  <c r="V1630" i="1" a="1"/>
  <c r="V1630" i="1" s="1"/>
  <c r="V1631" i="1" a="1"/>
  <c r="V1631" i="1" s="1"/>
  <c r="V1632" i="1" a="1"/>
  <c r="V1632" i="1" s="1"/>
  <c r="V1633" i="1" a="1"/>
  <c r="V1633" i="1" s="1"/>
  <c r="V1634" i="1" a="1"/>
  <c r="V1634" i="1" s="1"/>
  <c r="V1635" i="1" a="1"/>
  <c r="V1635" i="1" s="1"/>
  <c r="V1636" i="1" a="1"/>
  <c r="V1636" i="1" s="1"/>
  <c r="V1637" i="1" a="1"/>
  <c r="V1637" i="1" s="1"/>
  <c r="V1638" i="1" a="1"/>
  <c r="V1638" i="1" s="1"/>
  <c r="V1639" i="1" a="1"/>
  <c r="V1639" i="1" s="1"/>
  <c r="V1640" i="1" a="1"/>
  <c r="V1640" i="1" s="1"/>
  <c r="V1641" i="1" a="1"/>
  <c r="V1641" i="1" s="1"/>
  <c r="V1642" i="1" a="1"/>
  <c r="V1642" i="1" s="1"/>
  <c r="V1643" i="1" a="1"/>
  <c r="V1643" i="1" s="1"/>
  <c r="V1644" i="1" a="1"/>
  <c r="V1644" i="1" s="1"/>
  <c r="V1645" i="1" a="1"/>
  <c r="V1645" i="1" s="1"/>
  <c r="V1646" i="1" a="1"/>
  <c r="V1646" i="1" s="1"/>
  <c r="V1647" i="1" a="1"/>
  <c r="V1647" i="1" s="1"/>
  <c r="V1648" i="1" a="1"/>
  <c r="V1648" i="1" s="1"/>
  <c r="V1649" i="1" a="1"/>
  <c r="V1649" i="1" s="1"/>
  <c r="V1650" i="1" a="1"/>
  <c r="V1650" i="1" s="1"/>
  <c r="V1651" i="1" a="1"/>
  <c r="V1651" i="1" s="1"/>
  <c r="V1652" i="1" a="1"/>
  <c r="V1652" i="1" s="1"/>
  <c r="V1653" i="1" a="1"/>
  <c r="V1653" i="1" s="1"/>
  <c r="V1654" i="1" a="1"/>
  <c r="V1654" i="1" s="1"/>
  <c r="V1655" i="1" a="1"/>
  <c r="V1655" i="1" s="1"/>
  <c r="V1656" i="1" a="1"/>
  <c r="V1656" i="1" s="1"/>
  <c r="V1657" i="1" a="1"/>
  <c r="V1657" i="1" s="1"/>
  <c r="V1658" i="1" a="1"/>
  <c r="V1658" i="1" s="1"/>
  <c r="V1659" i="1" a="1"/>
  <c r="V1659" i="1" s="1"/>
  <c r="V1660" i="1" a="1"/>
  <c r="V1660" i="1" s="1"/>
  <c r="V1661" i="1" a="1"/>
  <c r="V1661" i="1" s="1"/>
  <c r="V1662" i="1" a="1"/>
  <c r="V1662" i="1" s="1"/>
  <c r="V1663" i="1" a="1"/>
  <c r="V1663" i="1" s="1"/>
  <c r="V1664" i="1" a="1"/>
  <c r="V1664" i="1" s="1"/>
  <c r="V1665" i="1" a="1"/>
  <c r="V1665" i="1" s="1"/>
  <c r="V1666" i="1" a="1"/>
  <c r="V1666" i="1" s="1"/>
  <c r="V1667" i="1" a="1"/>
  <c r="V1667" i="1" s="1"/>
  <c r="V1668" i="1" a="1"/>
  <c r="V1668" i="1" s="1"/>
  <c r="V1669" i="1" a="1"/>
  <c r="V1669" i="1" s="1"/>
  <c r="V1670" i="1" a="1"/>
  <c r="V1670" i="1" s="1"/>
  <c r="V1671" i="1" a="1"/>
  <c r="V1671" i="1" s="1"/>
  <c r="V1672" i="1" a="1"/>
  <c r="V1672" i="1" s="1"/>
  <c r="V1673" i="1" a="1"/>
  <c r="V1673" i="1" s="1"/>
  <c r="V1674" i="1" a="1"/>
  <c r="V1674" i="1" s="1"/>
  <c r="V1675" i="1" a="1"/>
  <c r="V1675" i="1" s="1"/>
  <c r="V1676" i="1" a="1"/>
  <c r="V1676" i="1" s="1"/>
  <c r="V1677" i="1" a="1"/>
  <c r="V1677" i="1" s="1"/>
  <c r="V1678" i="1" a="1"/>
  <c r="V1678" i="1" s="1"/>
  <c r="V1679" i="1" a="1"/>
  <c r="V1679" i="1" s="1"/>
  <c r="V1680" i="1" a="1"/>
  <c r="V1680" i="1" s="1"/>
  <c r="V1681" i="1" a="1"/>
  <c r="V1681" i="1" s="1"/>
  <c r="V1682" i="1" a="1"/>
  <c r="V1682" i="1" s="1"/>
  <c r="V1683" i="1" a="1"/>
  <c r="V1683" i="1" s="1"/>
  <c r="V1684" i="1" a="1"/>
  <c r="V1684" i="1" s="1"/>
  <c r="V1685" i="1" a="1"/>
  <c r="V1685" i="1" s="1"/>
  <c r="V1686" i="1" a="1"/>
  <c r="V1686" i="1" s="1"/>
  <c r="V1687" i="1" a="1"/>
  <c r="V1687" i="1" s="1"/>
  <c r="V1688" i="1" a="1"/>
  <c r="V1688" i="1" s="1"/>
  <c r="V1689" i="1" a="1"/>
  <c r="V1689" i="1" s="1"/>
  <c r="V1690" i="1" a="1"/>
  <c r="V1690" i="1" s="1"/>
  <c r="V1691" i="1" a="1"/>
  <c r="V1691" i="1" s="1"/>
  <c r="V1692" i="1" a="1"/>
  <c r="V1692" i="1" s="1"/>
  <c r="V1693" i="1" a="1"/>
  <c r="V1693" i="1" s="1"/>
  <c r="V1694" i="1" a="1"/>
  <c r="V1694" i="1" s="1"/>
  <c r="V1695" i="1" a="1"/>
  <c r="V1695" i="1" s="1"/>
  <c r="V1696" i="1" a="1"/>
  <c r="V1696" i="1" s="1"/>
  <c r="V1697" i="1" a="1"/>
  <c r="V1697" i="1" s="1"/>
  <c r="V1698" i="1" a="1"/>
  <c r="V1698" i="1" s="1"/>
  <c r="V1699" i="1" a="1"/>
  <c r="V1699" i="1" s="1"/>
  <c r="V1700" i="1" a="1"/>
  <c r="V1700" i="1" s="1"/>
  <c r="V1701" i="1" a="1"/>
  <c r="V1701" i="1" s="1"/>
  <c r="V1702" i="1" a="1"/>
  <c r="V1702" i="1" s="1"/>
  <c r="V1703" i="1" a="1"/>
  <c r="V1703" i="1" s="1"/>
  <c r="V1704" i="1" a="1"/>
  <c r="V1704" i="1" s="1"/>
  <c r="V1705" i="1" a="1"/>
  <c r="V1705" i="1" s="1"/>
  <c r="V1706" i="1" a="1"/>
  <c r="V1706" i="1" s="1"/>
  <c r="V1707" i="1" a="1"/>
  <c r="V1707" i="1" s="1"/>
  <c r="V1708" i="1" a="1"/>
  <c r="V1708" i="1" s="1"/>
  <c r="V1709" i="1" a="1"/>
  <c r="V1709" i="1" s="1"/>
  <c r="V1710" i="1" a="1"/>
  <c r="V1710" i="1" s="1"/>
  <c r="V1711" i="1" a="1"/>
  <c r="V1711" i="1" s="1"/>
  <c r="V1712" i="1" a="1"/>
  <c r="V1712" i="1" s="1"/>
  <c r="V1713" i="1" a="1"/>
  <c r="V1713" i="1" s="1"/>
  <c r="V1714" i="1" a="1"/>
  <c r="V1714" i="1" s="1"/>
  <c r="V1715" i="1" a="1"/>
  <c r="V1715" i="1" s="1"/>
  <c r="V1716" i="1" a="1"/>
  <c r="V1716" i="1" s="1"/>
  <c r="V1717" i="1" a="1"/>
  <c r="V1717" i="1" s="1"/>
  <c r="V1718" i="1" a="1"/>
  <c r="V1718" i="1" s="1"/>
  <c r="V1719" i="1" a="1"/>
  <c r="V1719" i="1" s="1"/>
  <c r="V1720" i="1" a="1"/>
  <c r="V1720" i="1" s="1"/>
  <c r="V1721" i="1" a="1"/>
  <c r="V1721" i="1" s="1"/>
  <c r="V1722" i="1" a="1"/>
  <c r="V1722" i="1" s="1"/>
  <c r="V1723" i="1" a="1"/>
  <c r="V1723" i="1" s="1"/>
  <c r="V1724" i="1" a="1"/>
  <c r="V1724" i="1" s="1"/>
  <c r="V1725" i="1" a="1"/>
  <c r="V1725" i="1" s="1"/>
  <c r="V1726" i="1" a="1"/>
  <c r="V1726" i="1" s="1"/>
  <c r="V1727" i="1" a="1"/>
  <c r="V1727" i="1" s="1"/>
  <c r="V1728" i="1" a="1"/>
  <c r="V1728" i="1" s="1"/>
  <c r="V1729" i="1" a="1"/>
  <c r="V1729" i="1" s="1"/>
  <c r="V1730" i="1" a="1"/>
  <c r="V1730" i="1" s="1"/>
  <c r="V1731" i="1" a="1"/>
  <c r="V1731" i="1" s="1"/>
  <c r="V1732" i="1" a="1"/>
  <c r="V1732" i="1" s="1"/>
  <c r="V1733" i="1" a="1"/>
  <c r="V1733" i="1" s="1"/>
  <c r="V1734" i="1" a="1"/>
  <c r="V1734" i="1" s="1"/>
  <c r="V1735" i="1" a="1"/>
  <c r="V1735" i="1" s="1"/>
  <c r="V1736" i="1" a="1"/>
  <c r="V1736" i="1" s="1"/>
  <c r="V1737" i="1" a="1"/>
  <c r="V1737" i="1" s="1"/>
  <c r="V1738" i="1" a="1"/>
  <c r="V1738" i="1" s="1"/>
  <c r="V1739" i="1" a="1"/>
  <c r="V1739" i="1" s="1"/>
  <c r="V1740" i="1" a="1"/>
  <c r="V1740" i="1" s="1"/>
  <c r="V1741" i="1" a="1"/>
  <c r="V1741" i="1" s="1"/>
  <c r="V1742" i="1" a="1"/>
  <c r="V1742" i="1" s="1"/>
  <c r="V1743" i="1" a="1"/>
  <c r="V1743" i="1" s="1"/>
  <c r="V1744" i="1" a="1"/>
  <c r="V1744" i="1" s="1"/>
  <c r="V1745" i="1" a="1"/>
  <c r="V1745" i="1" s="1"/>
  <c r="V1746" i="1" a="1"/>
  <c r="V1746" i="1" s="1"/>
  <c r="V1747" i="1" a="1"/>
  <c r="V1747" i="1" s="1"/>
  <c r="V1748" i="1" a="1"/>
  <c r="V1748" i="1" s="1"/>
  <c r="V1749" i="1" a="1"/>
  <c r="V1749" i="1" s="1"/>
  <c r="V1750" i="1" a="1"/>
  <c r="V1750" i="1" s="1"/>
  <c r="V1751" i="1" a="1"/>
  <c r="V1751" i="1" s="1"/>
  <c r="V1752" i="1" a="1"/>
  <c r="V1752" i="1" s="1"/>
  <c r="V1753" i="1" a="1"/>
  <c r="V1753" i="1" s="1"/>
  <c r="V1754" i="1" a="1"/>
  <c r="V1754" i="1" s="1"/>
  <c r="V1755" i="1" a="1"/>
  <c r="V1755" i="1" s="1"/>
  <c r="V1756" i="1" a="1"/>
  <c r="V1756" i="1" s="1"/>
  <c r="V1757" i="1" a="1"/>
  <c r="V1757" i="1" s="1"/>
  <c r="V1758" i="1" a="1"/>
  <c r="V1758" i="1" s="1"/>
  <c r="V1759" i="1" a="1"/>
  <c r="V1759" i="1" s="1"/>
  <c r="V1760" i="1" a="1"/>
  <c r="V1760" i="1" s="1"/>
  <c r="V1761" i="1" a="1"/>
  <c r="V1761" i="1" s="1"/>
  <c r="V1762" i="1" a="1"/>
  <c r="V1762" i="1" s="1"/>
  <c r="V1763" i="1" a="1"/>
  <c r="V1763" i="1" s="1"/>
  <c r="V1764" i="1" a="1"/>
  <c r="V1764" i="1" s="1"/>
  <c r="V1765" i="1" a="1"/>
  <c r="V1765" i="1" s="1"/>
  <c r="V1766" i="1" a="1"/>
  <c r="V1766" i="1" s="1"/>
  <c r="V1767" i="1" a="1"/>
  <c r="V1767" i="1" s="1"/>
  <c r="V1768" i="1" a="1"/>
  <c r="V1768" i="1" s="1"/>
  <c r="V1769" i="1" a="1"/>
  <c r="V1769" i="1" s="1"/>
  <c r="V1770" i="1" a="1"/>
  <c r="V1770" i="1" s="1"/>
  <c r="V1771" i="1" a="1"/>
  <c r="V1771" i="1" s="1"/>
  <c r="V1772" i="1" a="1"/>
  <c r="V1772" i="1" s="1"/>
  <c r="V1773" i="1" a="1"/>
  <c r="V1773" i="1" s="1"/>
  <c r="V1774" i="1" a="1"/>
  <c r="V1774" i="1" s="1"/>
  <c r="V1775" i="1" a="1"/>
  <c r="V1775" i="1" s="1"/>
  <c r="V1776" i="1" a="1"/>
  <c r="V1776" i="1" s="1"/>
  <c r="V1777" i="1" a="1"/>
  <c r="V1777" i="1" s="1"/>
  <c r="V1778" i="1" a="1"/>
  <c r="V1778" i="1" s="1"/>
  <c r="V1779" i="1" a="1"/>
  <c r="V1779" i="1" s="1"/>
  <c r="V1780" i="1" a="1"/>
  <c r="V1780" i="1" s="1"/>
  <c r="V1781" i="1" a="1"/>
  <c r="V1781" i="1" s="1"/>
  <c r="V1782" i="1" a="1"/>
  <c r="V1782" i="1" s="1"/>
  <c r="V1783" i="1" a="1"/>
  <c r="V1783" i="1" s="1"/>
  <c r="V1784" i="1" a="1"/>
  <c r="V1784" i="1" s="1"/>
  <c r="V1785" i="1" a="1"/>
  <c r="V1785" i="1" s="1"/>
  <c r="V1786" i="1" a="1"/>
  <c r="V1786" i="1" s="1"/>
  <c r="V1787" i="1" a="1"/>
  <c r="V1787" i="1" s="1"/>
  <c r="V1788" i="1" a="1"/>
  <c r="V1788" i="1" s="1"/>
  <c r="V1789" i="1" a="1"/>
  <c r="V1789" i="1" s="1"/>
  <c r="V1790" i="1" a="1"/>
  <c r="V1790" i="1" s="1"/>
  <c r="V1791" i="1" a="1"/>
  <c r="V1791" i="1" s="1"/>
  <c r="V1792" i="1" a="1"/>
  <c r="V1792" i="1" s="1"/>
  <c r="V1793" i="1" a="1"/>
  <c r="V1793" i="1" s="1"/>
  <c r="V1794" i="1" a="1"/>
  <c r="V1794" i="1" s="1"/>
  <c r="V1795" i="1" a="1"/>
  <c r="V1795" i="1" s="1"/>
  <c r="V1796" i="1" a="1"/>
  <c r="V1796" i="1" s="1"/>
  <c r="V1797" i="1" a="1"/>
  <c r="V1797" i="1" s="1"/>
  <c r="V1798" i="1" a="1"/>
  <c r="V1798" i="1" s="1"/>
  <c r="V1799" i="1" a="1"/>
  <c r="V1799" i="1" s="1"/>
  <c r="V1800" i="1" a="1"/>
  <c r="V1800" i="1" s="1"/>
  <c r="V1801" i="1" a="1"/>
  <c r="V1801" i="1" s="1"/>
  <c r="V1802" i="1" a="1"/>
  <c r="V1802" i="1" s="1"/>
  <c r="V1803" i="1" a="1"/>
  <c r="V1803" i="1" s="1"/>
  <c r="V1804" i="1" a="1"/>
  <c r="V1804" i="1" s="1"/>
  <c r="V1805" i="1" a="1"/>
  <c r="V1805" i="1" s="1"/>
  <c r="V1806" i="1" a="1"/>
  <c r="V1806" i="1" s="1"/>
  <c r="V1807" i="1" a="1"/>
  <c r="V1807" i="1" s="1"/>
  <c r="V1808" i="1" a="1"/>
  <c r="V1808" i="1" s="1"/>
  <c r="V1809" i="1" a="1"/>
  <c r="V1809" i="1" s="1"/>
  <c r="V1810" i="1" a="1"/>
  <c r="V1810" i="1" s="1"/>
  <c r="V1811" i="1" a="1"/>
  <c r="V1811" i="1" s="1"/>
  <c r="V1812" i="1" a="1"/>
  <c r="V1812" i="1" s="1"/>
  <c r="V1813" i="1" a="1"/>
  <c r="V1813" i="1" s="1"/>
  <c r="V1814" i="1" a="1"/>
  <c r="V1814" i="1" s="1"/>
  <c r="V1815" i="1" a="1"/>
  <c r="V1815" i="1" s="1"/>
  <c r="V1816" i="1" a="1"/>
  <c r="V1816" i="1" s="1"/>
  <c r="V1817" i="1" a="1"/>
  <c r="V1817" i="1" s="1"/>
  <c r="V1818" i="1" a="1"/>
  <c r="V1818" i="1" s="1"/>
  <c r="V1819" i="1" a="1"/>
  <c r="V1819" i="1" s="1"/>
  <c r="V1820" i="1" a="1"/>
  <c r="V1820" i="1" s="1"/>
  <c r="V1821" i="1" a="1"/>
  <c r="V1821" i="1" s="1"/>
  <c r="V1822" i="1" a="1"/>
  <c r="V1822" i="1" s="1"/>
  <c r="V1823" i="1" a="1"/>
  <c r="V1823" i="1" s="1"/>
  <c r="V1824" i="1" a="1"/>
  <c r="V1824" i="1" s="1"/>
  <c r="V1825" i="1" a="1"/>
  <c r="V1825" i="1" s="1"/>
  <c r="V1826" i="1" a="1"/>
  <c r="V1826" i="1" s="1"/>
  <c r="V1827" i="1" a="1"/>
  <c r="V1827" i="1" s="1"/>
  <c r="V1828" i="1" a="1"/>
  <c r="V1828" i="1" s="1"/>
  <c r="V1829" i="1" a="1"/>
  <c r="V1829" i="1" s="1"/>
  <c r="V1830" i="1" a="1"/>
  <c r="V1830" i="1" s="1"/>
  <c r="V1831" i="1" a="1"/>
  <c r="V1831" i="1" s="1"/>
  <c r="V1832" i="1" a="1"/>
  <c r="V1832" i="1" s="1"/>
  <c r="V1833" i="1" a="1"/>
  <c r="V1833" i="1" s="1"/>
  <c r="V1834" i="1" a="1"/>
  <c r="V1834" i="1" s="1"/>
  <c r="V1835" i="1" a="1"/>
  <c r="V1835" i="1" s="1"/>
  <c r="V1836" i="1" a="1"/>
  <c r="V1836" i="1" s="1"/>
  <c r="V1837" i="1" a="1"/>
  <c r="V1837" i="1" s="1"/>
  <c r="V1838" i="1" a="1"/>
  <c r="V1838" i="1" s="1"/>
  <c r="V1839" i="1" a="1"/>
  <c r="V1839" i="1" s="1"/>
  <c r="V1840" i="1" a="1"/>
  <c r="V1840" i="1" s="1"/>
  <c r="V1841" i="1" a="1"/>
  <c r="V1841" i="1" s="1"/>
  <c r="V1842" i="1" a="1"/>
  <c r="V1842" i="1" s="1"/>
  <c r="V1843" i="1" a="1"/>
  <c r="V1843" i="1" s="1"/>
  <c r="V1844" i="1" a="1"/>
  <c r="V1844" i="1" s="1"/>
  <c r="V1845" i="1" a="1"/>
  <c r="V1845" i="1" s="1"/>
  <c r="V1846" i="1" a="1"/>
  <c r="V1846" i="1" s="1"/>
  <c r="V1847" i="1" a="1"/>
  <c r="V1847" i="1" s="1"/>
  <c r="V1848" i="1" a="1"/>
  <c r="V1848" i="1" s="1"/>
  <c r="V1849" i="1" a="1"/>
  <c r="V1849" i="1" s="1"/>
  <c r="V1850" i="1" a="1"/>
  <c r="V1850" i="1" s="1"/>
  <c r="V1851" i="1" a="1"/>
  <c r="V1851" i="1" s="1"/>
  <c r="V1852" i="1" a="1"/>
  <c r="V1852" i="1" s="1"/>
  <c r="V1853" i="1" a="1"/>
  <c r="V1853" i="1" s="1"/>
  <c r="V1854" i="1" a="1"/>
  <c r="V1854" i="1" s="1"/>
  <c r="V1855" i="1" a="1"/>
  <c r="V1855" i="1" s="1"/>
  <c r="V1856" i="1" a="1"/>
  <c r="V1856" i="1" s="1"/>
  <c r="V1857" i="1" a="1"/>
  <c r="V1857" i="1" s="1"/>
  <c r="V1858" i="1" a="1"/>
  <c r="V1858" i="1" s="1"/>
  <c r="V1859" i="1" a="1"/>
  <c r="V1859" i="1" s="1"/>
  <c r="V1860" i="1" a="1"/>
  <c r="V1860" i="1" s="1"/>
  <c r="V1861" i="1" a="1"/>
  <c r="V1861" i="1" s="1"/>
  <c r="V1862" i="1" a="1"/>
  <c r="V1862" i="1" s="1"/>
  <c r="V1863" i="1" a="1"/>
  <c r="V1863" i="1" s="1"/>
  <c r="V1864" i="1" a="1"/>
  <c r="V1864" i="1" s="1"/>
  <c r="V1865" i="1" a="1"/>
  <c r="V1865" i="1" s="1"/>
  <c r="V1866" i="1" a="1"/>
  <c r="V1866" i="1" s="1"/>
  <c r="V1867" i="1" a="1"/>
  <c r="V1867" i="1" s="1"/>
  <c r="V1868" i="1" a="1"/>
  <c r="V1868" i="1" s="1"/>
  <c r="V1869" i="1" a="1"/>
  <c r="V1869" i="1" s="1"/>
  <c r="V1870" i="1" a="1"/>
  <c r="V1870" i="1" s="1"/>
  <c r="V1871" i="1" a="1"/>
  <c r="V1871" i="1" s="1"/>
  <c r="V1872" i="1" a="1"/>
  <c r="V1872" i="1" s="1"/>
  <c r="V1873" i="1" a="1"/>
  <c r="V1873" i="1" s="1"/>
  <c r="V1874" i="1" a="1"/>
  <c r="V1874" i="1" s="1"/>
  <c r="V1875" i="1" a="1"/>
  <c r="V1875" i="1" s="1"/>
  <c r="V1876" i="1" a="1"/>
  <c r="V1876" i="1" s="1"/>
  <c r="V1877" i="1" a="1"/>
  <c r="V1877" i="1" s="1"/>
  <c r="V1878" i="1" a="1"/>
  <c r="V1878" i="1" s="1"/>
  <c r="V1879" i="1" a="1"/>
  <c r="V1879" i="1" s="1"/>
  <c r="V1880" i="1" a="1"/>
  <c r="V1880" i="1" s="1"/>
  <c r="V1881" i="1" a="1"/>
  <c r="V1881" i="1" s="1"/>
  <c r="V1882" i="1" a="1"/>
  <c r="V1882" i="1" s="1"/>
  <c r="V1883" i="1" a="1"/>
  <c r="V1883" i="1" s="1"/>
  <c r="V1884" i="1" a="1"/>
  <c r="V1884" i="1" s="1"/>
  <c r="V1885" i="1" a="1"/>
  <c r="V1885" i="1" s="1"/>
  <c r="V1886" i="1" a="1"/>
  <c r="V1886" i="1" s="1"/>
  <c r="V1887" i="1" a="1"/>
  <c r="V1887" i="1" s="1"/>
  <c r="V1888" i="1" a="1"/>
  <c r="V1888" i="1" s="1"/>
  <c r="V1889" i="1" a="1"/>
  <c r="V1889" i="1" s="1"/>
  <c r="V1890" i="1" a="1"/>
  <c r="V1890" i="1" s="1"/>
  <c r="V1891" i="1" a="1"/>
  <c r="V1891" i="1" s="1"/>
  <c r="V1892" i="1" a="1"/>
  <c r="V1892" i="1" s="1"/>
  <c r="V1893" i="1" a="1"/>
  <c r="V1893" i="1" s="1"/>
  <c r="V1894" i="1" a="1"/>
  <c r="V1894" i="1" s="1"/>
  <c r="V1895" i="1" a="1"/>
  <c r="V1895" i="1" s="1"/>
  <c r="V1896" i="1" a="1"/>
  <c r="V1896" i="1" s="1"/>
  <c r="V1897" i="1" a="1"/>
  <c r="V1897" i="1" s="1"/>
  <c r="V1898" i="1" a="1"/>
  <c r="V1898" i="1" s="1"/>
  <c r="V1899" i="1" a="1"/>
  <c r="V1899" i="1" s="1"/>
  <c r="V1900" i="1" a="1"/>
  <c r="V1900" i="1" s="1"/>
  <c r="V1901" i="1" a="1"/>
  <c r="V1901" i="1" s="1"/>
  <c r="V1902" i="1" a="1"/>
  <c r="V1902" i="1" s="1"/>
  <c r="V1903" i="1" a="1"/>
  <c r="V1903" i="1" s="1"/>
  <c r="V1904" i="1" a="1"/>
  <c r="V1904" i="1" s="1"/>
  <c r="V1905" i="1" a="1"/>
  <c r="V1905" i="1" s="1"/>
  <c r="V1906" i="1" a="1"/>
  <c r="V1906" i="1" s="1"/>
  <c r="V1907" i="1" a="1"/>
  <c r="V1907" i="1" s="1"/>
  <c r="V1908" i="1" a="1"/>
  <c r="V1908" i="1" s="1"/>
  <c r="V1909" i="1" a="1"/>
  <c r="V1909" i="1" s="1"/>
  <c r="V1910" i="1" a="1"/>
  <c r="V1910" i="1" s="1"/>
  <c r="V1911" i="1" a="1"/>
  <c r="V1911" i="1" s="1"/>
  <c r="V1912" i="1" a="1"/>
  <c r="V1912" i="1" s="1"/>
  <c r="V1913" i="1" a="1"/>
  <c r="V1913" i="1" s="1"/>
  <c r="V1914" i="1" a="1"/>
  <c r="V1914" i="1" s="1"/>
  <c r="V1915" i="1" a="1"/>
  <c r="V1915" i="1" s="1"/>
  <c r="V1916" i="1" a="1"/>
  <c r="V1916" i="1" s="1"/>
  <c r="V1917" i="1" a="1"/>
  <c r="V1917" i="1" s="1"/>
  <c r="V1918" i="1" a="1"/>
  <c r="V1918" i="1" s="1"/>
  <c r="V1919" i="1" a="1"/>
  <c r="V1919" i="1" s="1"/>
  <c r="V1920" i="1" a="1"/>
  <c r="V1920" i="1" s="1"/>
  <c r="V1921" i="1" a="1"/>
  <c r="V1921" i="1" s="1"/>
  <c r="V1922" i="1" a="1"/>
  <c r="V1922" i="1" s="1"/>
  <c r="V1923" i="1" a="1"/>
  <c r="V1923" i="1" s="1"/>
  <c r="V1924" i="1" a="1"/>
  <c r="V1924" i="1" s="1"/>
  <c r="V1925" i="1" a="1"/>
  <c r="V1925" i="1" s="1"/>
  <c r="V1926" i="1" a="1"/>
  <c r="V1926" i="1" s="1"/>
  <c r="V1927" i="1" a="1"/>
  <c r="V1927" i="1" s="1"/>
  <c r="V1928" i="1" a="1"/>
  <c r="V1928" i="1" s="1"/>
  <c r="V1929" i="1" a="1"/>
  <c r="V1929" i="1" s="1"/>
  <c r="V1930" i="1" a="1"/>
  <c r="V1930" i="1" s="1"/>
  <c r="V1931" i="1" a="1"/>
  <c r="V1931" i="1" s="1"/>
  <c r="V1932" i="1" a="1"/>
  <c r="V1932" i="1" s="1"/>
  <c r="V1933" i="1" a="1"/>
  <c r="V1933" i="1" s="1"/>
  <c r="V1934" i="1" a="1"/>
  <c r="V1934" i="1" s="1"/>
  <c r="V1935" i="1" a="1"/>
  <c r="V1935" i="1" s="1"/>
  <c r="V1936" i="1" a="1"/>
  <c r="V1936" i="1" s="1"/>
  <c r="V1937" i="1" a="1"/>
  <c r="V1937" i="1" s="1"/>
  <c r="V1938" i="1" a="1"/>
  <c r="V1938" i="1" s="1"/>
  <c r="V1939" i="1" a="1"/>
  <c r="V1939" i="1" s="1"/>
  <c r="V1940" i="1" a="1"/>
  <c r="V1940" i="1" s="1"/>
  <c r="V1941" i="1" a="1"/>
  <c r="V1941" i="1" s="1"/>
  <c r="V1942" i="1" a="1"/>
  <c r="V1942" i="1" s="1"/>
  <c r="V1943" i="1" a="1"/>
  <c r="V1943" i="1" s="1"/>
  <c r="V1944" i="1" a="1"/>
  <c r="V1944" i="1" s="1"/>
  <c r="V1945" i="1" a="1"/>
  <c r="V1945" i="1" s="1"/>
  <c r="V1946" i="1" a="1"/>
  <c r="V1946" i="1" s="1"/>
  <c r="V1947" i="1" a="1"/>
  <c r="V1947" i="1" s="1"/>
  <c r="V1948" i="1" a="1"/>
  <c r="V1948" i="1" s="1"/>
  <c r="V1949" i="1" a="1"/>
  <c r="V1949" i="1" s="1"/>
  <c r="V1950" i="1" a="1"/>
  <c r="V1950" i="1" s="1"/>
  <c r="V1951" i="1" a="1"/>
  <c r="V1951" i="1" s="1"/>
  <c r="V1952" i="1" a="1"/>
  <c r="V1952" i="1" s="1"/>
  <c r="V1953" i="1" a="1"/>
  <c r="V1953" i="1" s="1"/>
  <c r="V1954" i="1" a="1"/>
  <c r="V1954" i="1" s="1"/>
  <c r="V1955" i="1" a="1"/>
  <c r="V1955" i="1" s="1"/>
  <c r="V1956" i="1" a="1"/>
  <c r="V1956" i="1" s="1"/>
  <c r="V1957" i="1" a="1"/>
  <c r="V1957" i="1" s="1"/>
  <c r="V1958" i="1" a="1"/>
  <c r="V1958" i="1" s="1"/>
  <c r="V1959" i="1" a="1"/>
  <c r="V1959" i="1" s="1"/>
  <c r="V1960" i="1" a="1"/>
  <c r="V1960" i="1" s="1"/>
  <c r="V1961" i="1" a="1"/>
  <c r="V1961" i="1" s="1"/>
  <c r="V1962" i="1" a="1"/>
  <c r="V1962" i="1" s="1"/>
  <c r="V1963" i="1" a="1"/>
  <c r="V1963" i="1" s="1"/>
  <c r="V1964" i="1" a="1"/>
  <c r="V1964" i="1" s="1"/>
  <c r="V1965" i="1" a="1"/>
  <c r="V1965" i="1" s="1"/>
  <c r="V1966" i="1" a="1"/>
  <c r="V1966" i="1" s="1"/>
  <c r="V1967" i="1" a="1"/>
  <c r="V1967" i="1" s="1"/>
  <c r="V1968" i="1" a="1"/>
  <c r="V1968" i="1" s="1"/>
  <c r="V1969" i="1" a="1"/>
  <c r="V1969" i="1" s="1"/>
  <c r="V1970" i="1" a="1"/>
  <c r="V1970" i="1" s="1"/>
  <c r="V1971" i="1" a="1"/>
  <c r="V1971" i="1" s="1"/>
  <c r="V1972" i="1" a="1"/>
  <c r="V1972" i="1" s="1"/>
  <c r="V1973" i="1" a="1"/>
  <c r="V1973" i="1" s="1"/>
  <c r="V1974" i="1" a="1"/>
  <c r="V1974" i="1" s="1"/>
  <c r="V1975" i="1" a="1"/>
  <c r="V1975" i="1" s="1"/>
  <c r="V1976" i="1" a="1"/>
  <c r="V1976" i="1" s="1"/>
  <c r="V1977" i="1" a="1"/>
  <c r="V1977" i="1" s="1"/>
  <c r="V1978" i="1" a="1"/>
  <c r="V1978" i="1" s="1"/>
  <c r="V1979" i="1" a="1"/>
  <c r="V1979" i="1" s="1"/>
  <c r="V1980" i="1" a="1"/>
  <c r="V1980" i="1" s="1"/>
  <c r="V1981" i="1" a="1"/>
  <c r="V1981" i="1" s="1"/>
  <c r="V1982" i="1" a="1"/>
  <c r="V1982" i="1" s="1"/>
  <c r="V1983" i="1" a="1"/>
  <c r="V1983" i="1" s="1"/>
  <c r="V1984" i="1" a="1"/>
  <c r="V1984" i="1" s="1"/>
  <c r="V1985" i="1" a="1"/>
  <c r="V1985" i="1" s="1"/>
  <c r="V1986" i="1" a="1"/>
  <c r="V1986" i="1" s="1"/>
  <c r="V1987" i="1" a="1"/>
  <c r="V1987" i="1" s="1"/>
  <c r="V1988" i="1" a="1"/>
  <c r="V1988" i="1" s="1"/>
  <c r="V1989" i="1" a="1"/>
  <c r="V1989" i="1" s="1"/>
  <c r="V1990" i="1" a="1"/>
  <c r="V1990" i="1" s="1"/>
  <c r="V1991" i="1" a="1"/>
  <c r="V1991" i="1" s="1"/>
  <c r="V1992" i="1" a="1"/>
  <c r="V1992" i="1" s="1"/>
  <c r="V1993" i="1" a="1"/>
  <c r="V1993" i="1" s="1"/>
  <c r="V1994" i="1" a="1"/>
  <c r="V1994" i="1" s="1"/>
  <c r="V1995" i="1" a="1"/>
  <c r="V1995" i="1" s="1"/>
  <c r="V1996" i="1" a="1"/>
  <c r="V1996" i="1" s="1"/>
  <c r="V1997" i="1" a="1"/>
  <c r="V1997" i="1" s="1"/>
  <c r="V1998" i="1" a="1"/>
  <c r="V1998" i="1" s="1"/>
  <c r="V1999" i="1" a="1"/>
  <c r="V1999" i="1" s="1"/>
  <c r="V2000" i="1" a="1"/>
  <c r="V2000" i="1" s="1"/>
  <c r="V2001" i="1" a="1"/>
  <c r="V2001" i="1" s="1"/>
  <c r="V2002" i="1" a="1"/>
  <c r="V2002" i="1" s="1"/>
  <c r="V2003" i="1" a="1"/>
  <c r="V2003" i="1" s="1"/>
  <c r="V2004" i="1" a="1"/>
  <c r="V2004" i="1" s="1"/>
  <c r="V2005" i="1" a="1"/>
  <c r="V2005" i="1" s="1"/>
  <c r="V2006" i="1" a="1"/>
  <c r="V2006" i="1" s="1"/>
  <c r="V2007" i="1" a="1"/>
  <c r="V2007" i="1" s="1"/>
  <c r="V2008" i="1" a="1"/>
  <c r="V2008" i="1" s="1"/>
  <c r="V2009" i="1" a="1"/>
  <c r="V2009" i="1" s="1"/>
  <c r="V2010" i="1" a="1"/>
  <c r="V2010" i="1" s="1"/>
  <c r="V2011" i="1" a="1"/>
  <c r="V2011" i="1" s="1"/>
  <c r="V2012" i="1" a="1"/>
  <c r="V2012" i="1" s="1"/>
  <c r="V2013" i="1" a="1"/>
  <c r="V2013" i="1" s="1"/>
  <c r="V2014" i="1" a="1"/>
  <c r="V2014" i="1" s="1"/>
  <c r="V2015" i="1" a="1"/>
  <c r="V2015" i="1" s="1"/>
  <c r="V2016" i="1" a="1"/>
  <c r="V2016" i="1" s="1"/>
  <c r="V2017" i="1" a="1"/>
  <c r="V2017" i="1" s="1"/>
  <c r="V2018" i="1" a="1"/>
  <c r="V2018" i="1" s="1"/>
  <c r="V2019" i="1" a="1"/>
  <c r="V2019" i="1" s="1"/>
  <c r="V2020" i="1" a="1"/>
  <c r="V2020" i="1" s="1"/>
  <c r="V2021" i="1" a="1"/>
  <c r="V2021" i="1" s="1"/>
  <c r="V2022" i="1" a="1"/>
  <c r="V2022" i="1" s="1"/>
  <c r="V2023" i="1" a="1"/>
  <c r="V2023" i="1" s="1"/>
  <c r="V2024" i="1" a="1"/>
  <c r="V2024" i="1" s="1"/>
  <c r="V2025" i="1" a="1"/>
  <c r="V2025" i="1" s="1"/>
  <c r="V2026" i="1" a="1"/>
  <c r="V2026" i="1" s="1"/>
  <c r="V2027" i="1" a="1"/>
  <c r="V2027" i="1" s="1"/>
  <c r="V2028" i="1" a="1"/>
  <c r="V2028" i="1" s="1"/>
  <c r="V2029" i="1" a="1"/>
  <c r="V2029" i="1" s="1"/>
  <c r="V2030" i="1" a="1"/>
  <c r="V2030" i="1" s="1"/>
  <c r="V2031" i="1" a="1"/>
  <c r="V2031" i="1" s="1"/>
  <c r="V2032" i="1" a="1"/>
  <c r="V2032" i="1" s="1"/>
  <c r="V2033" i="1" a="1"/>
  <c r="V2033" i="1" s="1"/>
  <c r="V2034" i="1" a="1"/>
  <c r="V2034" i="1" s="1"/>
  <c r="V2035" i="1" a="1"/>
  <c r="V2035" i="1" s="1"/>
  <c r="V2036" i="1" a="1"/>
  <c r="V2036" i="1" s="1"/>
  <c r="V2037" i="1" a="1"/>
  <c r="V2037" i="1" s="1"/>
  <c r="V2038" i="1" a="1"/>
  <c r="V2038" i="1" s="1"/>
  <c r="V2039" i="1" a="1"/>
  <c r="V2039" i="1" s="1"/>
  <c r="V2040" i="1" a="1"/>
  <c r="V2040" i="1" s="1"/>
  <c r="V2041" i="1" a="1"/>
  <c r="V2041" i="1" s="1"/>
  <c r="V2042" i="1" a="1"/>
  <c r="V2042" i="1" s="1"/>
  <c r="V2043" i="1" a="1"/>
  <c r="V2043" i="1" s="1"/>
  <c r="V2044" i="1" a="1"/>
  <c r="V2044" i="1" s="1"/>
  <c r="V2045" i="1" a="1"/>
  <c r="V2045" i="1" s="1"/>
  <c r="V2046" i="1" a="1"/>
  <c r="V2046" i="1" s="1"/>
  <c r="V2047" i="1" a="1"/>
  <c r="V2047" i="1" s="1"/>
  <c r="V2048" i="1" a="1"/>
  <c r="V2048" i="1" s="1"/>
  <c r="V2049" i="1" a="1"/>
  <c r="V2049" i="1" s="1"/>
  <c r="V2050" i="1" a="1"/>
  <c r="V2050" i="1" s="1"/>
  <c r="V2051" i="1" a="1"/>
  <c r="V2051" i="1" s="1"/>
  <c r="V2052" i="1" a="1"/>
  <c r="V2052" i="1" s="1"/>
  <c r="V2053" i="1" a="1"/>
  <c r="V2053" i="1" s="1"/>
  <c r="V2054" i="1" a="1"/>
  <c r="V2054" i="1" s="1"/>
  <c r="V2055" i="1" a="1"/>
  <c r="V2055" i="1" s="1"/>
  <c r="V2056" i="1" a="1"/>
  <c r="V2056" i="1" s="1"/>
  <c r="V2057" i="1" a="1"/>
  <c r="V2057" i="1" s="1"/>
  <c r="V2058" i="1" a="1"/>
  <c r="V2058" i="1" s="1"/>
  <c r="V2059" i="1" a="1"/>
  <c r="V2059" i="1" s="1"/>
  <c r="V2060" i="1" a="1"/>
  <c r="V2060" i="1" s="1"/>
  <c r="V2061" i="1" a="1"/>
  <c r="V2061" i="1" s="1"/>
  <c r="V2062" i="1" a="1"/>
  <c r="V2062" i="1" s="1"/>
  <c r="V2063" i="1" a="1"/>
  <c r="V2063" i="1" s="1"/>
  <c r="V2064" i="1" a="1"/>
  <c r="V2064" i="1" s="1"/>
  <c r="V2065" i="1" a="1"/>
  <c r="V2065" i="1" s="1"/>
  <c r="V2066" i="1" a="1"/>
  <c r="V2066" i="1" s="1"/>
  <c r="V2067" i="1" a="1"/>
  <c r="V2067" i="1" s="1"/>
  <c r="V2068" i="1" a="1"/>
  <c r="V2068" i="1" s="1"/>
  <c r="V2069" i="1" a="1"/>
  <c r="V2069" i="1" s="1"/>
  <c r="V2070" i="1" a="1"/>
  <c r="V2070" i="1" s="1"/>
  <c r="V2071" i="1" a="1"/>
  <c r="V2071" i="1" s="1"/>
  <c r="V2072" i="1" a="1"/>
  <c r="V2072" i="1" s="1"/>
  <c r="V2073" i="1" a="1"/>
  <c r="V2073" i="1" s="1"/>
  <c r="V2074" i="1" a="1"/>
  <c r="V2074" i="1" s="1"/>
  <c r="V2075" i="1" a="1"/>
  <c r="V2075" i="1" s="1"/>
  <c r="V2076" i="1" a="1"/>
  <c r="V2076" i="1" s="1"/>
  <c r="V2077" i="1" a="1"/>
  <c r="V2077" i="1" s="1"/>
  <c r="V2078" i="1" a="1"/>
  <c r="V2078" i="1" s="1"/>
  <c r="V2079" i="1" a="1"/>
  <c r="V2079" i="1" s="1"/>
  <c r="V2080" i="1" a="1"/>
  <c r="V2080" i="1" s="1"/>
  <c r="V2081" i="1" a="1"/>
  <c r="V2081" i="1" s="1"/>
  <c r="V2082" i="1" a="1"/>
  <c r="V2082" i="1" s="1"/>
  <c r="V2083" i="1" a="1"/>
  <c r="V2083" i="1" s="1"/>
  <c r="V2084" i="1" a="1"/>
  <c r="V2084" i="1" s="1"/>
  <c r="V2085" i="1" a="1"/>
  <c r="V2085" i="1" s="1"/>
  <c r="V2086" i="1" a="1"/>
  <c r="V2086" i="1" s="1"/>
  <c r="V2087" i="1" a="1"/>
  <c r="V2087" i="1" s="1"/>
  <c r="V2088" i="1" a="1"/>
  <c r="V2088" i="1" s="1"/>
  <c r="V2089" i="1" a="1"/>
  <c r="V2089" i="1" s="1"/>
  <c r="V2090" i="1" a="1"/>
  <c r="V2090" i="1" s="1"/>
  <c r="V2091" i="1" a="1"/>
  <c r="V2091" i="1" s="1"/>
  <c r="V2092" i="1" a="1"/>
  <c r="V2092" i="1" s="1"/>
  <c r="V2093" i="1" a="1"/>
  <c r="V2093" i="1" s="1"/>
  <c r="V2094" i="1" a="1"/>
  <c r="V2094" i="1" s="1"/>
  <c r="V2095" i="1" a="1"/>
  <c r="V2095" i="1" s="1"/>
  <c r="V2096" i="1" a="1"/>
  <c r="V2096" i="1" s="1"/>
  <c r="V2097" i="1" a="1"/>
  <c r="V2097" i="1" s="1"/>
  <c r="V2098" i="1" a="1"/>
  <c r="V2098" i="1" s="1"/>
  <c r="V2099" i="1" a="1"/>
  <c r="V2099" i="1" s="1"/>
  <c r="V2100" i="1" a="1"/>
  <c r="V2100" i="1" s="1"/>
  <c r="V2101" i="1" a="1"/>
  <c r="V2101" i="1" s="1"/>
  <c r="V2102" i="1" a="1"/>
  <c r="V2102" i="1" s="1"/>
  <c r="V2103" i="1" a="1"/>
  <c r="V2103" i="1" s="1"/>
  <c r="V2104" i="1" a="1"/>
  <c r="V2104" i="1" s="1"/>
  <c r="V2105" i="1" a="1"/>
  <c r="V2105" i="1" s="1"/>
  <c r="V2106" i="1" a="1"/>
  <c r="V2106" i="1" s="1"/>
  <c r="V2107" i="1" a="1"/>
  <c r="V2107" i="1" s="1"/>
  <c r="V2108" i="1" a="1"/>
  <c r="V2108" i="1" s="1"/>
  <c r="V2109" i="1" a="1"/>
  <c r="V2109" i="1" s="1"/>
  <c r="V2110" i="1" a="1"/>
  <c r="V2110" i="1" s="1"/>
  <c r="V2111" i="1" a="1"/>
  <c r="V2111" i="1" s="1"/>
  <c r="V2112" i="1" a="1"/>
  <c r="V2112" i="1" s="1"/>
  <c r="V2113" i="1" a="1"/>
  <c r="V2113" i="1" s="1"/>
  <c r="V2114" i="1" a="1"/>
  <c r="V2114" i="1" s="1"/>
  <c r="V2115" i="1" a="1"/>
  <c r="V2115" i="1" s="1"/>
  <c r="V2116" i="1" a="1"/>
  <c r="V2116" i="1" s="1"/>
  <c r="V2117" i="1" a="1"/>
  <c r="V2117" i="1" s="1"/>
  <c r="V2118" i="1" a="1"/>
  <c r="V2118" i="1" s="1"/>
  <c r="V2119" i="1" a="1"/>
  <c r="V2119" i="1" s="1"/>
  <c r="V2120" i="1" a="1"/>
  <c r="V2120" i="1" s="1"/>
  <c r="V2121" i="1" a="1"/>
  <c r="V2121" i="1" s="1"/>
  <c r="V2122" i="1" a="1"/>
  <c r="V2122" i="1" s="1"/>
  <c r="V2123" i="1" a="1"/>
  <c r="V2123" i="1" s="1"/>
  <c r="V2124" i="1" a="1"/>
  <c r="V2124" i="1" s="1"/>
  <c r="V2125" i="1" a="1"/>
  <c r="V2125" i="1" s="1"/>
  <c r="V2126" i="1" a="1"/>
  <c r="V2126" i="1" s="1"/>
  <c r="V2127" i="1" a="1"/>
  <c r="V2127" i="1" s="1"/>
  <c r="V2128" i="1" a="1"/>
  <c r="V2128" i="1" s="1"/>
  <c r="T2" i="1" a="1"/>
  <c r="T2" i="1" s="1"/>
  <c r="T3" i="1" a="1"/>
  <c r="T3" i="1" s="1"/>
  <c r="U3" i="1" s="1" a="1"/>
  <c r="U3" i="1" s="1"/>
  <c r="T4" i="1" a="1"/>
  <c r="T4" i="1" s="1"/>
  <c r="U4" i="1" s="1" a="1"/>
  <c r="U4" i="1" s="1"/>
  <c r="T5" i="1" a="1"/>
  <c r="T5" i="1" s="1"/>
  <c r="U5" i="1" s="1" a="1"/>
  <c r="U5" i="1" s="1"/>
  <c r="T6" i="1" a="1"/>
  <c r="T6" i="1" s="1"/>
  <c r="U6" i="1" s="1" a="1"/>
  <c r="U6" i="1" s="1"/>
  <c r="T7" i="1" a="1"/>
  <c r="T7" i="1" s="1"/>
  <c r="U7" i="1" s="1" a="1"/>
  <c r="U7" i="1" s="1"/>
  <c r="T8" i="1" a="1"/>
  <c r="T8" i="1" s="1"/>
  <c r="U8" i="1" s="1" a="1"/>
  <c r="U8" i="1" s="1"/>
  <c r="T9" i="1" a="1"/>
  <c r="T9" i="1" s="1"/>
  <c r="U9" i="1" s="1" a="1"/>
  <c r="U9" i="1" s="1"/>
  <c r="T10" i="1" a="1"/>
  <c r="T10" i="1" s="1"/>
  <c r="U10" i="1" s="1" a="1"/>
  <c r="U10" i="1" s="1"/>
  <c r="T11" i="1" a="1"/>
  <c r="T11" i="1" s="1"/>
  <c r="U11" i="1" s="1" a="1"/>
  <c r="U11" i="1" s="1"/>
  <c r="T12" i="1" a="1"/>
  <c r="T12" i="1" s="1"/>
  <c r="U12" i="1" s="1" a="1"/>
  <c r="U12" i="1" s="1"/>
  <c r="T13" i="1" a="1"/>
  <c r="T13" i="1" s="1"/>
  <c r="U13" i="1" s="1" a="1"/>
  <c r="U13" i="1" s="1"/>
  <c r="T14" i="1" a="1"/>
  <c r="T14" i="1" s="1"/>
  <c r="U14" i="1" s="1" a="1"/>
  <c r="U14" i="1" s="1"/>
  <c r="T15" i="1" a="1"/>
  <c r="T15" i="1" s="1"/>
  <c r="U15" i="1" s="1" a="1"/>
  <c r="U15" i="1" s="1"/>
  <c r="T16" i="1" a="1"/>
  <c r="T16" i="1" s="1"/>
  <c r="U16" i="1" s="1" a="1"/>
  <c r="U16" i="1" s="1"/>
  <c r="T17" i="1" a="1"/>
  <c r="T17" i="1" s="1"/>
  <c r="U17" i="1" s="1" a="1"/>
  <c r="U17" i="1" s="1"/>
  <c r="T18" i="1" a="1"/>
  <c r="T18" i="1" s="1"/>
  <c r="U18" i="1" s="1" a="1"/>
  <c r="U18" i="1" s="1"/>
  <c r="T19" i="1" a="1"/>
  <c r="T19" i="1" s="1"/>
  <c r="U19" i="1" s="1" a="1"/>
  <c r="U19" i="1" s="1"/>
  <c r="T20" i="1" a="1"/>
  <c r="T20" i="1" s="1"/>
  <c r="U20" i="1" s="1" a="1"/>
  <c r="U20" i="1" s="1"/>
  <c r="T21" i="1" a="1"/>
  <c r="T21" i="1" s="1"/>
  <c r="U21" i="1" s="1" a="1"/>
  <c r="U21" i="1" s="1"/>
  <c r="T22" i="1" a="1"/>
  <c r="T22" i="1" s="1"/>
  <c r="U22" i="1" s="1" a="1"/>
  <c r="U22" i="1" s="1"/>
  <c r="T23" i="1" a="1"/>
  <c r="T23" i="1" s="1"/>
  <c r="U23" i="1" s="1" a="1"/>
  <c r="U23" i="1" s="1"/>
  <c r="T24" i="1" a="1"/>
  <c r="T24" i="1" s="1"/>
  <c r="U24" i="1" s="1" a="1"/>
  <c r="U24" i="1" s="1"/>
  <c r="T25" i="1" a="1"/>
  <c r="T25" i="1" s="1"/>
  <c r="U25" i="1" s="1" a="1"/>
  <c r="U25" i="1" s="1"/>
  <c r="T26" i="1" a="1"/>
  <c r="T26" i="1" s="1"/>
  <c r="U26" i="1" s="1" a="1"/>
  <c r="U26" i="1" s="1"/>
  <c r="T27" i="1" a="1"/>
  <c r="T27" i="1" s="1"/>
  <c r="U27" i="1" s="1" a="1"/>
  <c r="U27" i="1" s="1"/>
  <c r="T28" i="1" a="1"/>
  <c r="T28" i="1" s="1"/>
  <c r="U28" i="1" s="1" a="1"/>
  <c r="U28" i="1" s="1"/>
  <c r="T29" i="1" a="1"/>
  <c r="T29" i="1" s="1"/>
  <c r="U29" i="1" s="1" a="1"/>
  <c r="U29" i="1" s="1"/>
  <c r="T30" i="1" a="1"/>
  <c r="T30" i="1" s="1"/>
  <c r="U30" i="1" s="1" a="1"/>
  <c r="U30" i="1" s="1"/>
  <c r="T31" i="1" a="1"/>
  <c r="T31" i="1" s="1"/>
  <c r="U31" i="1" s="1" a="1"/>
  <c r="U31" i="1" s="1"/>
  <c r="T32" i="1" a="1"/>
  <c r="T32" i="1" s="1"/>
  <c r="U32" i="1" s="1" a="1"/>
  <c r="U32" i="1" s="1"/>
  <c r="T33" i="1" a="1"/>
  <c r="T33" i="1" s="1"/>
  <c r="U33" i="1" s="1" a="1"/>
  <c r="U33" i="1" s="1"/>
  <c r="T34" i="1" a="1"/>
  <c r="T34" i="1" s="1"/>
  <c r="U34" i="1" s="1" a="1"/>
  <c r="U34" i="1" s="1"/>
  <c r="T35" i="1" a="1"/>
  <c r="T35" i="1" s="1"/>
  <c r="U35" i="1" s="1" a="1"/>
  <c r="U35" i="1" s="1"/>
  <c r="T36" i="1" a="1"/>
  <c r="T36" i="1" s="1"/>
  <c r="U36" i="1" s="1" a="1"/>
  <c r="U36" i="1" s="1"/>
  <c r="T37" i="1" a="1"/>
  <c r="T37" i="1" s="1"/>
  <c r="U37" i="1" s="1" a="1"/>
  <c r="U37" i="1" s="1"/>
  <c r="T38" i="1" a="1"/>
  <c r="T38" i="1" s="1"/>
  <c r="U38" i="1" s="1" a="1"/>
  <c r="U38" i="1" s="1"/>
  <c r="T39" i="1" a="1"/>
  <c r="T39" i="1" s="1"/>
  <c r="U39" i="1" s="1" a="1"/>
  <c r="U39" i="1" s="1"/>
  <c r="T40" i="1" a="1"/>
  <c r="T40" i="1" s="1"/>
  <c r="U40" i="1" s="1" a="1"/>
  <c r="U40" i="1" s="1"/>
  <c r="T41" i="1" a="1"/>
  <c r="T41" i="1" s="1"/>
  <c r="U41" i="1" s="1" a="1"/>
  <c r="U41" i="1" s="1"/>
  <c r="T42" i="1" a="1"/>
  <c r="T42" i="1" s="1"/>
  <c r="U42" i="1" s="1" a="1"/>
  <c r="U42" i="1" s="1"/>
  <c r="T43" i="1" a="1"/>
  <c r="T43" i="1" s="1"/>
  <c r="U43" i="1" s="1" a="1"/>
  <c r="U43" i="1" s="1"/>
  <c r="T44" i="1" a="1"/>
  <c r="T44" i="1" s="1"/>
  <c r="U44" i="1" s="1" a="1"/>
  <c r="U44" i="1" s="1"/>
  <c r="T45" i="1" a="1"/>
  <c r="T45" i="1" s="1"/>
  <c r="U45" i="1" s="1" a="1"/>
  <c r="U45" i="1" s="1"/>
  <c r="T46" i="1" a="1"/>
  <c r="T46" i="1" s="1"/>
  <c r="U46" i="1" s="1" a="1"/>
  <c r="U46" i="1" s="1"/>
  <c r="T47" i="1" a="1"/>
  <c r="T47" i="1" s="1"/>
  <c r="U47" i="1" s="1" a="1"/>
  <c r="U47" i="1" s="1"/>
  <c r="T48" i="1" a="1"/>
  <c r="T48" i="1" s="1"/>
  <c r="U48" i="1" s="1" a="1"/>
  <c r="U48" i="1" s="1"/>
  <c r="T49" i="1" a="1"/>
  <c r="T49" i="1" s="1"/>
  <c r="U49" i="1" s="1" a="1"/>
  <c r="U49" i="1" s="1"/>
  <c r="T50" i="1" a="1"/>
  <c r="T50" i="1" s="1"/>
  <c r="U50" i="1" s="1" a="1"/>
  <c r="U50" i="1" s="1"/>
  <c r="T51" i="1" a="1"/>
  <c r="T51" i="1" s="1"/>
  <c r="U51" i="1" s="1" a="1"/>
  <c r="U51" i="1" s="1"/>
  <c r="T52" i="1" a="1"/>
  <c r="T52" i="1" s="1"/>
  <c r="U52" i="1" s="1" a="1"/>
  <c r="U52" i="1" s="1"/>
  <c r="T53" i="1" a="1"/>
  <c r="T53" i="1" s="1"/>
  <c r="U53" i="1" s="1" a="1"/>
  <c r="U53" i="1" s="1"/>
  <c r="T54" i="1" a="1"/>
  <c r="T54" i="1" s="1"/>
  <c r="U54" i="1" s="1" a="1"/>
  <c r="U54" i="1" s="1"/>
  <c r="T55" i="1" a="1"/>
  <c r="T55" i="1" s="1"/>
  <c r="U55" i="1" s="1" a="1"/>
  <c r="U55" i="1" s="1"/>
  <c r="T56" i="1" a="1"/>
  <c r="T56" i="1" s="1"/>
  <c r="U56" i="1" s="1" a="1"/>
  <c r="U56" i="1" s="1"/>
  <c r="T57" i="1" a="1"/>
  <c r="T57" i="1" s="1"/>
  <c r="U57" i="1" s="1" a="1"/>
  <c r="U57" i="1" s="1"/>
  <c r="T58" i="1" a="1"/>
  <c r="T58" i="1" s="1"/>
  <c r="U58" i="1" s="1" a="1"/>
  <c r="U58" i="1" s="1"/>
  <c r="T59" i="1" a="1"/>
  <c r="T59" i="1" s="1"/>
  <c r="U59" i="1" s="1" a="1"/>
  <c r="U59" i="1" s="1"/>
  <c r="T60" i="1" a="1"/>
  <c r="T60" i="1" s="1"/>
  <c r="U60" i="1" s="1" a="1"/>
  <c r="U60" i="1" s="1"/>
  <c r="T61" i="1" a="1"/>
  <c r="T61" i="1" s="1"/>
  <c r="U61" i="1" s="1" a="1"/>
  <c r="U61" i="1" s="1"/>
  <c r="T62" i="1" a="1"/>
  <c r="T62" i="1" s="1"/>
  <c r="U62" i="1" s="1" a="1"/>
  <c r="U62" i="1" s="1"/>
  <c r="T63" i="1" a="1"/>
  <c r="T63" i="1" s="1"/>
  <c r="U63" i="1" s="1" a="1"/>
  <c r="U63" i="1" s="1"/>
  <c r="T64" i="1" a="1"/>
  <c r="T64" i="1" s="1"/>
  <c r="U64" i="1" s="1" a="1"/>
  <c r="U64" i="1" s="1"/>
  <c r="T65" i="1" a="1"/>
  <c r="T65" i="1" s="1"/>
  <c r="U65" i="1" s="1" a="1"/>
  <c r="U65" i="1" s="1"/>
  <c r="T66" i="1" a="1"/>
  <c r="T66" i="1" s="1"/>
  <c r="U66" i="1" s="1" a="1"/>
  <c r="U66" i="1" s="1"/>
  <c r="T67" i="1" a="1"/>
  <c r="T67" i="1" s="1"/>
  <c r="U67" i="1" s="1" a="1"/>
  <c r="U67" i="1" s="1"/>
  <c r="T68" i="1" a="1"/>
  <c r="T68" i="1" s="1"/>
  <c r="U68" i="1" s="1" a="1"/>
  <c r="U68" i="1" s="1"/>
  <c r="T69" i="1" a="1"/>
  <c r="T69" i="1" s="1"/>
  <c r="U69" i="1" s="1" a="1"/>
  <c r="U69" i="1" s="1"/>
  <c r="T70" i="1" a="1"/>
  <c r="T70" i="1" s="1"/>
  <c r="U70" i="1" s="1" a="1"/>
  <c r="U70" i="1" s="1"/>
  <c r="T71" i="1" a="1"/>
  <c r="T71" i="1" s="1"/>
  <c r="U71" i="1" s="1" a="1"/>
  <c r="U71" i="1" s="1"/>
  <c r="T72" i="1" a="1"/>
  <c r="T72" i="1" s="1"/>
  <c r="U72" i="1" s="1" a="1"/>
  <c r="U72" i="1" s="1"/>
  <c r="T73" i="1" a="1"/>
  <c r="T73" i="1" s="1"/>
  <c r="U73" i="1" s="1" a="1"/>
  <c r="U73" i="1" s="1"/>
  <c r="T74" i="1" a="1"/>
  <c r="T74" i="1" s="1"/>
  <c r="U74" i="1" s="1" a="1"/>
  <c r="U74" i="1" s="1"/>
  <c r="T75" i="1" a="1"/>
  <c r="T75" i="1" s="1"/>
  <c r="U75" i="1" s="1" a="1"/>
  <c r="U75" i="1" s="1"/>
  <c r="T76" i="1" a="1"/>
  <c r="T76" i="1" s="1"/>
  <c r="U76" i="1" s="1" a="1"/>
  <c r="U76" i="1" s="1"/>
  <c r="T77" i="1" a="1"/>
  <c r="T77" i="1" s="1"/>
  <c r="U77" i="1" s="1" a="1"/>
  <c r="U77" i="1" s="1"/>
  <c r="T78" i="1" a="1"/>
  <c r="T78" i="1" s="1"/>
  <c r="U78" i="1" s="1" a="1"/>
  <c r="U78" i="1" s="1"/>
  <c r="T79" i="1" a="1"/>
  <c r="T79" i="1" s="1"/>
  <c r="U79" i="1" s="1" a="1"/>
  <c r="U79" i="1" s="1"/>
  <c r="T80" i="1" a="1"/>
  <c r="T80" i="1" s="1"/>
  <c r="U80" i="1" s="1" a="1"/>
  <c r="U80" i="1" s="1"/>
  <c r="T81" i="1" a="1"/>
  <c r="T81" i="1" s="1"/>
  <c r="U81" i="1" s="1" a="1"/>
  <c r="U81" i="1" s="1"/>
  <c r="T82" i="1" a="1"/>
  <c r="T82" i="1" s="1"/>
  <c r="U82" i="1" s="1" a="1"/>
  <c r="U82" i="1" s="1"/>
  <c r="T83" i="1" a="1"/>
  <c r="T83" i="1" s="1"/>
  <c r="U83" i="1" s="1" a="1"/>
  <c r="U83" i="1" s="1"/>
  <c r="T84" i="1" a="1"/>
  <c r="T84" i="1" s="1"/>
  <c r="U84" i="1" s="1" a="1"/>
  <c r="U84" i="1" s="1"/>
  <c r="T85" i="1" a="1"/>
  <c r="T85" i="1" s="1"/>
  <c r="U85" i="1" s="1" a="1"/>
  <c r="U85" i="1" s="1"/>
  <c r="T86" i="1" a="1"/>
  <c r="T86" i="1" s="1"/>
  <c r="U86" i="1" s="1" a="1"/>
  <c r="U86" i="1" s="1"/>
  <c r="T87" i="1" a="1"/>
  <c r="T87" i="1" s="1"/>
  <c r="U87" i="1" s="1" a="1"/>
  <c r="U87" i="1" s="1"/>
  <c r="T88" i="1" a="1"/>
  <c r="T88" i="1" s="1"/>
  <c r="U88" i="1" s="1" a="1"/>
  <c r="U88" i="1" s="1"/>
  <c r="T89" i="1" a="1"/>
  <c r="T89" i="1" s="1"/>
  <c r="U89" i="1" s="1" a="1"/>
  <c r="U89" i="1" s="1"/>
  <c r="T90" i="1" a="1"/>
  <c r="T90" i="1" s="1"/>
  <c r="U90" i="1" s="1" a="1"/>
  <c r="U90" i="1" s="1"/>
  <c r="T91" i="1" a="1"/>
  <c r="T91" i="1" s="1"/>
  <c r="U91" i="1" s="1" a="1"/>
  <c r="U91" i="1" s="1"/>
  <c r="T92" i="1" a="1"/>
  <c r="T92" i="1" s="1"/>
  <c r="U92" i="1" s="1" a="1"/>
  <c r="U92" i="1" s="1"/>
  <c r="T93" i="1" a="1"/>
  <c r="T93" i="1" s="1"/>
  <c r="U93" i="1" s="1" a="1"/>
  <c r="U93" i="1" s="1"/>
  <c r="T94" i="1" a="1"/>
  <c r="T94" i="1" s="1"/>
  <c r="U94" i="1" s="1" a="1"/>
  <c r="U94" i="1" s="1"/>
  <c r="T95" i="1" a="1"/>
  <c r="T95" i="1" s="1"/>
  <c r="U95" i="1" s="1" a="1"/>
  <c r="U95" i="1" s="1"/>
  <c r="T96" i="1" a="1"/>
  <c r="T96" i="1" s="1"/>
  <c r="U96" i="1" s="1" a="1"/>
  <c r="U96" i="1" s="1"/>
  <c r="T97" i="1" a="1"/>
  <c r="T97" i="1" s="1"/>
  <c r="U97" i="1" s="1" a="1"/>
  <c r="U97" i="1" s="1"/>
  <c r="T98" i="1" a="1"/>
  <c r="T98" i="1" s="1"/>
  <c r="U98" i="1" s="1" a="1"/>
  <c r="U98" i="1" s="1"/>
  <c r="T99" i="1" a="1"/>
  <c r="T99" i="1" s="1"/>
  <c r="U99" i="1" s="1" a="1"/>
  <c r="U99" i="1" s="1"/>
  <c r="T100" i="1" a="1"/>
  <c r="T100" i="1" s="1"/>
  <c r="U100" i="1" s="1" a="1"/>
  <c r="U100" i="1" s="1"/>
  <c r="T101" i="1" a="1"/>
  <c r="T101" i="1" s="1"/>
  <c r="U101" i="1" s="1" a="1"/>
  <c r="U101" i="1" s="1"/>
  <c r="T102" i="1" a="1"/>
  <c r="T102" i="1" s="1"/>
  <c r="U102" i="1" s="1" a="1"/>
  <c r="U102" i="1" s="1"/>
  <c r="T103" i="1" a="1"/>
  <c r="T103" i="1" s="1"/>
  <c r="U103" i="1" s="1" a="1"/>
  <c r="U103" i="1" s="1"/>
  <c r="T104" i="1" a="1"/>
  <c r="T104" i="1" s="1"/>
  <c r="U104" i="1" s="1" a="1"/>
  <c r="U104" i="1" s="1"/>
  <c r="T105" i="1" a="1"/>
  <c r="T105" i="1" s="1"/>
  <c r="U105" i="1" s="1" a="1"/>
  <c r="U105" i="1" s="1"/>
  <c r="T106" i="1" a="1"/>
  <c r="T106" i="1" s="1"/>
  <c r="U106" i="1" s="1" a="1"/>
  <c r="U106" i="1" s="1"/>
  <c r="T107" i="1" a="1"/>
  <c r="T107" i="1" s="1"/>
  <c r="U107" i="1" s="1" a="1"/>
  <c r="U107" i="1" s="1"/>
  <c r="T108" i="1" a="1"/>
  <c r="T108" i="1" s="1"/>
  <c r="U108" i="1" s="1" a="1"/>
  <c r="U108" i="1" s="1"/>
  <c r="T109" i="1" a="1"/>
  <c r="T109" i="1" s="1"/>
  <c r="U109" i="1" s="1" a="1"/>
  <c r="U109" i="1" s="1"/>
  <c r="T110" i="1" a="1"/>
  <c r="T110" i="1" s="1"/>
  <c r="U110" i="1" s="1" a="1"/>
  <c r="U110" i="1" s="1"/>
  <c r="T111" i="1" a="1"/>
  <c r="T111" i="1" s="1"/>
  <c r="U111" i="1" s="1" a="1"/>
  <c r="U111" i="1" s="1"/>
  <c r="T112" i="1" a="1"/>
  <c r="T112" i="1" s="1"/>
  <c r="U112" i="1" s="1" a="1"/>
  <c r="U112" i="1" s="1"/>
  <c r="T113" i="1" a="1"/>
  <c r="T113" i="1" s="1"/>
  <c r="U113" i="1" s="1" a="1"/>
  <c r="U113" i="1" s="1"/>
  <c r="T114" i="1" a="1"/>
  <c r="T114" i="1" s="1"/>
  <c r="U114" i="1" s="1" a="1"/>
  <c r="U114" i="1" s="1"/>
  <c r="T115" i="1" a="1"/>
  <c r="T115" i="1" s="1"/>
  <c r="U115" i="1" s="1" a="1"/>
  <c r="U115" i="1" s="1"/>
  <c r="T116" i="1" a="1"/>
  <c r="T116" i="1" s="1"/>
  <c r="U116" i="1" s="1" a="1"/>
  <c r="U116" i="1" s="1"/>
  <c r="T117" i="1" a="1"/>
  <c r="T117" i="1" s="1"/>
  <c r="U117" i="1" s="1" a="1"/>
  <c r="U117" i="1" s="1"/>
  <c r="T118" i="1" a="1"/>
  <c r="T118" i="1" s="1"/>
  <c r="U118" i="1" s="1" a="1"/>
  <c r="U118" i="1" s="1"/>
  <c r="T119" i="1" a="1"/>
  <c r="T119" i="1" s="1"/>
  <c r="U119" i="1" s="1" a="1"/>
  <c r="U119" i="1" s="1"/>
  <c r="T120" i="1" a="1"/>
  <c r="T120" i="1" s="1"/>
  <c r="U120" i="1" s="1" a="1"/>
  <c r="U120" i="1" s="1"/>
  <c r="T121" i="1" a="1"/>
  <c r="T121" i="1" s="1"/>
  <c r="U121" i="1" s="1" a="1"/>
  <c r="U121" i="1" s="1"/>
  <c r="T122" i="1" a="1"/>
  <c r="T122" i="1" s="1"/>
  <c r="U122" i="1" s="1" a="1"/>
  <c r="U122" i="1" s="1"/>
  <c r="T123" i="1" a="1"/>
  <c r="T123" i="1" s="1"/>
  <c r="U123" i="1" s="1" a="1"/>
  <c r="U123" i="1" s="1"/>
  <c r="T124" i="1" a="1"/>
  <c r="T124" i="1" s="1"/>
  <c r="U124" i="1" s="1" a="1"/>
  <c r="U124" i="1" s="1"/>
  <c r="T125" i="1" a="1"/>
  <c r="T125" i="1" s="1"/>
  <c r="U125" i="1" s="1" a="1"/>
  <c r="U125" i="1" s="1"/>
  <c r="T126" i="1" a="1"/>
  <c r="T126" i="1" s="1"/>
  <c r="U126" i="1" s="1" a="1"/>
  <c r="U126" i="1" s="1"/>
  <c r="T127" i="1" a="1"/>
  <c r="T127" i="1" s="1"/>
  <c r="U127" i="1" s="1" a="1"/>
  <c r="U127" i="1" s="1"/>
  <c r="T128" i="1" a="1"/>
  <c r="T128" i="1" s="1"/>
  <c r="U128" i="1" s="1" a="1"/>
  <c r="U128" i="1" s="1"/>
  <c r="T129" i="1" a="1"/>
  <c r="T129" i="1" s="1"/>
  <c r="U129" i="1" s="1" a="1"/>
  <c r="U129" i="1" s="1"/>
  <c r="T130" i="1" a="1"/>
  <c r="T130" i="1" s="1"/>
  <c r="U130" i="1" s="1" a="1"/>
  <c r="U130" i="1" s="1"/>
  <c r="T131" i="1" a="1"/>
  <c r="T131" i="1" s="1"/>
  <c r="U131" i="1" s="1" a="1"/>
  <c r="U131" i="1" s="1"/>
  <c r="T132" i="1" a="1"/>
  <c r="T132" i="1" s="1"/>
  <c r="U132" i="1" s="1" a="1"/>
  <c r="U132" i="1" s="1"/>
  <c r="T133" i="1" a="1"/>
  <c r="T133" i="1" s="1"/>
  <c r="U133" i="1" s="1" a="1"/>
  <c r="U133" i="1" s="1"/>
  <c r="T134" i="1" a="1"/>
  <c r="T134" i="1" s="1"/>
  <c r="U134" i="1" s="1" a="1"/>
  <c r="U134" i="1" s="1"/>
  <c r="T135" i="1" a="1"/>
  <c r="T135" i="1" s="1"/>
  <c r="U135" i="1" s="1" a="1"/>
  <c r="U135" i="1" s="1"/>
  <c r="T136" i="1" a="1"/>
  <c r="T136" i="1" s="1"/>
  <c r="U136" i="1" s="1" a="1"/>
  <c r="U136" i="1" s="1"/>
  <c r="T137" i="1" a="1"/>
  <c r="T137" i="1" s="1"/>
  <c r="U137" i="1" s="1" a="1"/>
  <c r="U137" i="1" s="1"/>
  <c r="T138" i="1" a="1"/>
  <c r="T138" i="1" s="1"/>
  <c r="U138" i="1" s="1" a="1"/>
  <c r="U138" i="1" s="1"/>
  <c r="T139" i="1" a="1"/>
  <c r="T139" i="1" s="1"/>
  <c r="U139" i="1" s="1" a="1"/>
  <c r="U139" i="1" s="1"/>
  <c r="T140" i="1" a="1"/>
  <c r="T140" i="1" s="1"/>
  <c r="U140" i="1" s="1" a="1"/>
  <c r="U140" i="1" s="1"/>
  <c r="T141" i="1" a="1"/>
  <c r="T141" i="1" s="1"/>
  <c r="U141" i="1" s="1" a="1"/>
  <c r="U141" i="1" s="1"/>
  <c r="T142" i="1" a="1"/>
  <c r="T142" i="1" s="1"/>
  <c r="U142" i="1" s="1" a="1"/>
  <c r="U142" i="1" s="1"/>
  <c r="T143" i="1" a="1"/>
  <c r="T143" i="1" s="1"/>
  <c r="U143" i="1" s="1" a="1"/>
  <c r="U143" i="1" s="1"/>
  <c r="T144" i="1" a="1"/>
  <c r="T144" i="1" s="1"/>
  <c r="U144" i="1" s="1" a="1"/>
  <c r="U144" i="1" s="1"/>
  <c r="T145" i="1" a="1"/>
  <c r="T145" i="1" s="1"/>
  <c r="U145" i="1" s="1" a="1"/>
  <c r="U145" i="1" s="1"/>
  <c r="T146" i="1" a="1"/>
  <c r="T146" i="1" s="1"/>
  <c r="U146" i="1" s="1" a="1"/>
  <c r="U146" i="1" s="1"/>
  <c r="T147" i="1" a="1"/>
  <c r="T147" i="1" s="1"/>
  <c r="U147" i="1" s="1" a="1"/>
  <c r="U147" i="1" s="1"/>
  <c r="T148" i="1" a="1"/>
  <c r="T148" i="1" s="1"/>
  <c r="U148" i="1" s="1" a="1"/>
  <c r="U148" i="1" s="1"/>
  <c r="T149" i="1" a="1"/>
  <c r="T149" i="1" s="1"/>
  <c r="U149" i="1" s="1" a="1"/>
  <c r="U149" i="1" s="1"/>
  <c r="T150" i="1" a="1"/>
  <c r="T150" i="1" s="1"/>
  <c r="U150" i="1" s="1" a="1"/>
  <c r="U150" i="1" s="1"/>
  <c r="T151" i="1" a="1"/>
  <c r="T151" i="1" s="1"/>
  <c r="U151" i="1" s="1" a="1"/>
  <c r="U151" i="1" s="1"/>
  <c r="T152" i="1" a="1"/>
  <c r="T152" i="1" s="1"/>
  <c r="U152" i="1" s="1" a="1"/>
  <c r="U152" i="1" s="1"/>
  <c r="T153" i="1" a="1"/>
  <c r="T153" i="1" s="1"/>
  <c r="U153" i="1" s="1" a="1"/>
  <c r="U153" i="1" s="1"/>
  <c r="T154" i="1" a="1"/>
  <c r="T154" i="1" s="1"/>
  <c r="U154" i="1" s="1" a="1"/>
  <c r="U154" i="1" s="1"/>
  <c r="T155" i="1" a="1"/>
  <c r="T155" i="1" s="1"/>
  <c r="U155" i="1" s="1" a="1"/>
  <c r="U155" i="1" s="1"/>
  <c r="T156" i="1" a="1"/>
  <c r="T156" i="1" s="1"/>
  <c r="U156" i="1" s="1" a="1"/>
  <c r="U156" i="1" s="1"/>
  <c r="T157" i="1" a="1"/>
  <c r="T157" i="1" s="1"/>
  <c r="U157" i="1" s="1" a="1"/>
  <c r="U157" i="1" s="1"/>
  <c r="T158" i="1" a="1"/>
  <c r="T158" i="1" s="1"/>
  <c r="U158" i="1" s="1" a="1"/>
  <c r="U158" i="1" s="1"/>
  <c r="T159" i="1" a="1"/>
  <c r="T159" i="1" s="1"/>
  <c r="U159" i="1" s="1" a="1"/>
  <c r="U159" i="1" s="1"/>
  <c r="T160" i="1" a="1"/>
  <c r="T160" i="1" s="1"/>
  <c r="U160" i="1" s="1" a="1"/>
  <c r="U160" i="1" s="1"/>
  <c r="T161" i="1" a="1"/>
  <c r="T161" i="1" s="1"/>
  <c r="U161" i="1" s="1" a="1"/>
  <c r="U161" i="1" s="1"/>
  <c r="T162" i="1" a="1"/>
  <c r="T162" i="1" s="1"/>
  <c r="U162" i="1" s="1" a="1"/>
  <c r="U162" i="1" s="1"/>
  <c r="T163" i="1" a="1"/>
  <c r="T163" i="1" s="1"/>
  <c r="U163" i="1" s="1" a="1"/>
  <c r="U163" i="1" s="1"/>
  <c r="T164" i="1" a="1"/>
  <c r="T164" i="1" s="1"/>
  <c r="U164" i="1" s="1" a="1"/>
  <c r="U164" i="1" s="1"/>
  <c r="T165" i="1" a="1"/>
  <c r="T165" i="1" s="1"/>
  <c r="U165" i="1" s="1" a="1"/>
  <c r="U165" i="1" s="1"/>
  <c r="T166" i="1" a="1"/>
  <c r="T166" i="1" s="1"/>
  <c r="U166" i="1" s="1" a="1"/>
  <c r="U166" i="1" s="1"/>
  <c r="T167" i="1" a="1"/>
  <c r="T167" i="1" s="1"/>
  <c r="U167" i="1" s="1" a="1"/>
  <c r="U167" i="1" s="1"/>
  <c r="T168" i="1" a="1"/>
  <c r="T168" i="1" s="1"/>
  <c r="U168" i="1" s="1" a="1"/>
  <c r="U168" i="1" s="1"/>
  <c r="T169" i="1" a="1"/>
  <c r="T169" i="1" s="1"/>
  <c r="U169" i="1" s="1" a="1"/>
  <c r="U169" i="1" s="1"/>
  <c r="T170" i="1" a="1"/>
  <c r="T170" i="1" s="1"/>
  <c r="U170" i="1" s="1" a="1"/>
  <c r="U170" i="1" s="1"/>
  <c r="T171" i="1" a="1"/>
  <c r="T171" i="1" s="1"/>
  <c r="U171" i="1" s="1" a="1"/>
  <c r="U171" i="1" s="1"/>
  <c r="T172" i="1" a="1"/>
  <c r="T172" i="1" s="1"/>
  <c r="U172" i="1" s="1" a="1"/>
  <c r="U172" i="1" s="1"/>
  <c r="T173" i="1" a="1"/>
  <c r="T173" i="1" s="1"/>
  <c r="U173" i="1" s="1" a="1"/>
  <c r="U173" i="1" s="1"/>
  <c r="T174" i="1" a="1"/>
  <c r="T174" i="1" s="1"/>
  <c r="U174" i="1" s="1" a="1"/>
  <c r="U174" i="1" s="1"/>
  <c r="T175" i="1" a="1"/>
  <c r="T175" i="1" s="1"/>
  <c r="U175" i="1" s="1" a="1"/>
  <c r="U175" i="1" s="1"/>
  <c r="T176" i="1" a="1"/>
  <c r="T176" i="1" s="1"/>
  <c r="U176" i="1" s="1" a="1"/>
  <c r="U176" i="1" s="1"/>
  <c r="T177" i="1" a="1"/>
  <c r="T177" i="1" s="1"/>
  <c r="U177" i="1" s="1" a="1"/>
  <c r="U177" i="1" s="1"/>
  <c r="T178" i="1" a="1"/>
  <c r="T178" i="1" s="1"/>
  <c r="U178" i="1" s="1" a="1"/>
  <c r="U178" i="1" s="1"/>
  <c r="T179" i="1" a="1"/>
  <c r="T179" i="1" s="1"/>
  <c r="U179" i="1" s="1" a="1"/>
  <c r="U179" i="1" s="1"/>
  <c r="T180" i="1" a="1"/>
  <c r="T180" i="1" s="1"/>
  <c r="U180" i="1" s="1" a="1"/>
  <c r="U180" i="1" s="1"/>
  <c r="T181" i="1" a="1"/>
  <c r="T181" i="1" s="1"/>
  <c r="U181" i="1" s="1" a="1"/>
  <c r="U181" i="1" s="1"/>
  <c r="T182" i="1" a="1"/>
  <c r="T182" i="1" s="1"/>
  <c r="U182" i="1" s="1" a="1"/>
  <c r="U182" i="1" s="1"/>
  <c r="T183" i="1" a="1"/>
  <c r="T183" i="1" s="1"/>
  <c r="U183" i="1" s="1" a="1"/>
  <c r="U183" i="1" s="1"/>
  <c r="T184" i="1" a="1"/>
  <c r="T184" i="1" s="1"/>
  <c r="U184" i="1" s="1" a="1"/>
  <c r="U184" i="1" s="1"/>
  <c r="T185" i="1" a="1"/>
  <c r="T185" i="1" s="1"/>
  <c r="U185" i="1" s="1" a="1"/>
  <c r="U185" i="1" s="1"/>
  <c r="T186" i="1" a="1"/>
  <c r="T186" i="1" s="1"/>
  <c r="U186" i="1" s="1" a="1"/>
  <c r="U186" i="1" s="1"/>
  <c r="T187" i="1" a="1"/>
  <c r="T187" i="1" s="1"/>
  <c r="U187" i="1" s="1" a="1"/>
  <c r="U187" i="1" s="1"/>
  <c r="T188" i="1" a="1"/>
  <c r="T188" i="1" s="1"/>
  <c r="U188" i="1" s="1" a="1"/>
  <c r="U188" i="1" s="1"/>
  <c r="T189" i="1" a="1"/>
  <c r="T189" i="1" s="1"/>
  <c r="U189" i="1" s="1" a="1"/>
  <c r="U189" i="1" s="1"/>
  <c r="T190" i="1" a="1"/>
  <c r="T190" i="1" s="1"/>
  <c r="U190" i="1" s="1" a="1"/>
  <c r="U190" i="1" s="1"/>
  <c r="T191" i="1" a="1"/>
  <c r="T191" i="1" s="1"/>
  <c r="U191" i="1" s="1" a="1"/>
  <c r="U191" i="1" s="1"/>
  <c r="T192" i="1" a="1"/>
  <c r="T192" i="1" s="1"/>
  <c r="U192" i="1" s="1" a="1"/>
  <c r="U192" i="1" s="1"/>
  <c r="T193" i="1" a="1"/>
  <c r="T193" i="1" s="1"/>
  <c r="U193" i="1" s="1" a="1"/>
  <c r="U193" i="1" s="1"/>
  <c r="T194" i="1" a="1"/>
  <c r="T194" i="1" s="1"/>
  <c r="U194" i="1" s="1" a="1"/>
  <c r="U194" i="1" s="1"/>
  <c r="T195" i="1" a="1"/>
  <c r="T195" i="1" s="1"/>
  <c r="U195" i="1" s="1" a="1"/>
  <c r="U195" i="1" s="1"/>
  <c r="T196" i="1" a="1"/>
  <c r="T196" i="1" s="1"/>
  <c r="U196" i="1" s="1" a="1"/>
  <c r="U196" i="1" s="1"/>
  <c r="T197" i="1" a="1"/>
  <c r="T197" i="1" s="1"/>
  <c r="U197" i="1" s="1" a="1"/>
  <c r="U197" i="1" s="1"/>
  <c r="T198" i="1" a="1"/>
  <c r="T198" i="1" s="1"/>
  <c r="U198" i="1" s="1" a="1"/>
  <c r="U198" i="1" s="1"/>
  <c r="T199" i="1" a="1"/>
  <c r="T199" i="1" s="1"/>
  <c r="U199" i="1" s="1" a="1"/>
  <c r="U199" i="1" s="1"/>
  <c r="T200" i="1" a="1"/>
  <c r="T200" i="1" s="1"/>
  <c r="U200" i="1" s="1" a="1"/>
  <c r="U200" i="1" s="1"/>
  <c r="T201" i="1" a="1"/>
  <c r="T201" i="1" s="1"/>
  <c r="U201" i="1" s="1" a="1"/>
  <c r="U201" i="1" s="1"/>
  <c r="T202" i="1" a="1"/>
  <c r="T202" i="1" s="1"/>
  <c r="U202" i="1" s="1" a="1"/>
  <c r="U202" i="1" s="1"/>
  <c r="T203" i="1" a="1"/>
  <c r="T203" i="1" s="1"/>
  <c r="U203" i="1" s="1" a="1"/>
  <c r="U203" i="1" s="1"/>
  <c r="T204" i="1" a="1"/>
  <c r="T204" i="1" s="1"/>
  <c r="U204" i="1" s="1" a="1"/>
  <c r="U204" i="1" s="1"/>
  <c r="T205" i="1" a="1"/>
  <c r="T205" i="1" s="1"/>
  <c r="U205" i="1" s="1" a="1"/>
  <c r="U205" i="1" s="1"/>
  <c r="T206" i="1" a="1"/>
  <c r="T206" i="1" s="1"/>
  <c r="U206" i="1" s="1" a="1"/>
  <c r="U206" i="1" s="1"/>
  <c r="T207" i="1" a="1"/>
  <c r="T207" i="1" s="1"/>
  <c r="U207" i="1" s="1" a="1"/>
  <c r="U207" i="1" s="1"/>
  <c r="T208" i="1" a="1"/>
  <c r="T208" i="1" s="1"/>
  <c r="U208" i="1" s="1" a="1"/>
  <c r="U208" i="1" s="1"/>
  <c r="T209" i="1" a="1"/>
  <c r="T209" i="1" s="1"/>
  <c r="U209" i="1" s="1" a="1"/>
  <c r="U209" i="1" s="1"/>
  <c r="T210" i="1" a="1"/>
  <c r="T210" i="1" s="1"/>
  <c r="U210" i="1" s="1" a="1"/>
  <c r="U210" i="1" s="1"/>
  <c r="T211" i="1" a="1"/>
  <c r="T211" i="1" s="1"/>
  <c r="U211" i="1" s="1" a="1"/>
  <c r="U211" i="1" s="1"/>
  <c r="T212" i="1" a="1"/>
  <c r="T212" i="1" s="1"/>
  <c r="U212" i="1" s="1" a="1"/>
  <c r="U212" i="1" s="1"/>
  <c r="T213" i="1" a="1"/>
  <c r="T213" i="1" s="1"/>
  <c r="U213" i="1" s="1" a="1"/>
  <c r="U213" i="1" s="1"/>
  <c r="T214" i="1" a="1"/>
  <c r="T214" i="1" s="1"/>
  <c r="U214" i="1" s="1" a="1"/>
  <c r="U214" i="1" s="1"/>
  <c r="T215" i="1" a="1"/>
  <c r="T215" i="1" s="1"/>
  <c r="U215" i="1" s="1" a="1"/>
  <c r="U215" i="1" s="1"/>
  <c r="T216" i="1" a="1"/>
  <c r="T216" i="1" s="1"/>
  <c r="U216" i="1" s="1" a="1"/>
  <c r="U216" i="1" s="1"/>
  <c r="T217" i="1" a="1"/>
  <c r="T217" i="1" s="1"/>
  <c r="U217" i="1" s="1" a="1"/>
  <c r="U217" i="1" s="1"/>
  <c r="T218" i="1" a="1"/>
  <c r="T218" i="1" s="1"/>
  <c r="U218" i="1" s="1" a="1"/>
  <c r="U218" i="1" s="1"/>
  <c r="T219" i="1" a="1"/>
  <c r="T219" i="1" s="1"/>
  <c r="U219" i="1" s="1" a="1"/>
  <c r="U219" i="1" s="1"/>
  <c r="T220" i="1" a="1"/>
  <c r="T220" i="1" s="1"/>
  <c r="U220" i="1" s="1" a="1"/>
  <c r="U220" i="1" s="1"/>
  <c r="T221" i="1" a="1"/>
  <c r="T221" i="1" s="1"/>
  <c r="U221" i="1" s="1" a="1"/>
  <c r="U221" i="1" s="1"/>
  <c r="T222" i="1" a="1"/>
  <c r="T222" i="1" s="1"/>
  <c r="U222" i="1" s="1" a="1"/>
  <c r="U222" i="1" s="1"/>
  <c r="T223" i="1" a="1"/>
  <c r="T223" i="1" s="1"/>
  <c r="U223" i="1" s="1" a="1"/>
  <c r="U223" i="1" s="1"/>
  <c r="T224" i="1" a="1"/>
  <c r="T224" i="1" s="1"/>
  <c r="U224" i="1" s="1" a="1"/>
  <c r="U224" i="1" s="1"/>
  <c r="T225" i="1" a="1"/>
  <c r="T225" i="1" s="1"/>
  <c r="U225" i="1" s="1" a="1"/>
  <c r="U225" i="1" s="1"/>
  <c r="T226" i="1" a="1"/>
  <c r="T226" i="1" s="1"/>
  <c r="U226" i="1" s="1" a="1"/>
  <c r="U226" i="1" s="1"/>
  <c r="T227" i="1" a="1"/>
  <c r="T227" i="1" s="1"/>
  <c r="U227" i="1" s="1" a="1"/>
  <c r="U227" i="1" s="1"/>
  <c r="T228" i="1" a="1"/>
  <c r="T228" i="1" s="1"/>
  <c r="U228" i="1" s="1" a="1"/>
  <c r="U228" i="1" s="1"/>
  <c r="T229" i="1" a="1"/>
  <c r="T229" i="1" s="1"/>
  <c r="U229" i="1" s="1" a="1"/>
  <c r="U229" i="1" s="1"/>
  <c r="T230" i="1" a="1"/>
  <c r="T230" i="1" s="1"/>
  <c r="U230" i="1" s="1" a="1"/>
  <c r="U230" i="1" s="1"/>
  <c r="T231" i="1" a="1"/>
  <c r="T231" i="1" s="1"/>
  <c r="U231" i="1" s="1" a="1"/>
  <c r="U231" i="1" s="1"/>
  <c r="T232" i="1" a="1"/>
  <c r="T232" i="1" s="1"/>
  <c r="U232" i="1" s="1" a="1"/>
  <c r="U232" i="1" s="1"/>
  <c r="T233" i="1" a="1"/>
  <c r="T233" i="1" s="1"/>
  <c r="U233" i="1" s="1" a="1"/>
  <c r="U233" i="1" s="1"/>
  <c r="T234" i="1" a="1"/>
  <c r="T234" i="1" s="1"/>
  <c r="U234" i="1" s="1" a="1"/>
  <c r="U234" i="1" s="1"/>
  <c r="T235" i="1" a="1"/>
  <c r="T235" i="1" s="1"/>
  <c r="U235" i="1" s="1" a="1"/>
  <c r="U235" i="1" s="1"/>
  <c r="T236" i="1" a="1"/>
  <c r="T236" i="1" s="1"/>
  <c r="U236" i="1" s="1" a="1"/>
  <c r="U236" i="1" s="1"/>
  <c r="T237" i="1" a="1"/>
  <c r="T237" i="1" s="1"/>
  <c r="U237" i="1" s="1" a="1"/>
  <c r="U237" i="1" s="1"/>
  <c r="T238" i="1" a="1"/>
  <c r="T238" i="1" s="1"/>
  <c r="U238" i="1" s="1" a="1"/>
  <c r="U238" i="1" s="1"/>
  <c r="T239" i="1" a="1"/>
  <c r="T239" i="1" s="1"/>
  <c r="U239" i="1" s="1" a="1"/>
  <c r="U239" i="1" s="1"/>
  <c r="T240" i="1" a="1"/>
  <c r="T240" i="1" s="1"/>
  <c r="U240" i="1" s="1" a="1"/>
  <c r="U240" i="1" s="1"/>
  <c r="T241" i="1" a="1"/>
  <c r="T241" i="1" s="1"/>
  <c r="U241" i="1" s="1" a="1"/>
  <c r="U241" i="1" s="1"/>
  <c r="T242" i="1" a="1"/>
  <c r="T242" i="1" s="1"/>
  <c r="U242" i="1" s="1" a="1"/>
  <c r="U242" i="1" s="1"/>
  <c r="T243" i="1" a="1"/>
  <c r="T243" i="1" s="1"/>
  <c r="U243" i="1" s="1" a="1"/>
  <c r="U243" i="1" s="1"/>
  <c r="T244" i="1" a="1"/>
  <c r="T244" i="1" s="1"/>
  <c r="U244" i="1" s="1" a="1"/>
  <c r="U244" i="1" s="1"/>
  <c r="T245" i="1" a="1"/>
  <c r="T245" i="1" s="1"/>
  <c r="U245" i="1" s="1" a="1"/>
  <c r="U245" i="1" s="1"/>
  <c r="T246" i="1" a="1"/>
  <c r="T246" i="1" s="1"/>
  <c r="U246" i="1" s="1" a="1"/>
  <c r="U246" i="1" s="1"/>
  <c r="T247" i="1" a="1"/>
  <c r="T247" i="1" s="1"/>
  <c r="U247" i="1" s="1" a="1"/>
  <c r="U247" i="1" s="1"/>
  <c r="T248" i="1" a="1"/>
  <c r="T248" i="1" s="1"/>
  <c r="U248" i="1" s="1" a="1"/>
  <c r="U248" i="1" s="1"/>
  <c r="T249" i="1" a="1"/>
  <c r="T249" i="1" s="1"/>
  <c r="U249" i="1" s="1" a="1"/>
  <c r="U249" i="1" s="1"/>
  <c r="T250" i="1" a="1"/>
  <c r="T250" i="1" s="1"/>
  <c r="U250" i="1" s="1" a="1"/>
  <c r="U250" i="1" s="1"/>
  <c r="T251" i="1" a="1"/>
  <c r="T251" i="1" s="1"/>
  <c r="U251" i="1" s="1" a="1"/>
  <c r="U251" i="1" s="1"/>
  <c r="T252" i="1" a="1"/>
  <c r="T252" i="1" s="1"/>
  <c r="U252" i="1" s="1" a="1"/>
  <c r="U252" i="1" s="1"/>
  <c r="T253" i="1" a="1"/>
  <c r="T253" i="1" s="1"/>
  <c r="U253" i="1" s="1" a="1"/>
  <c r="U253" i="1" s="1"/>
  <c r="T254" i="1" a="1"/>
  <c r="T254" i="1" s="1"/>
  <c r="U254" i="1" s="1" a="1"/>
  <c r="U254" i="1" s="1"/>
  <c r="T255" i="1" a="1"/>
  <c r="T255" i="1" s="1"/>
  <c r="U255" i="1" s="1" a="1"/>
  <c r="U255" i="1" s="1"/>
  <c r="T256" i="1" a="1"/>
  <c r="T256" i="1" s="1"/>
  <c r="U256" i="1" s="1" a="1"/>
  <c r="U256" i="1" s="1"/>
  <c r="T257" i="1" a="1"/>
  <c r="T257" i="1" s="1"/>
  <c r="U257" i="1" s="1" a="1"/>
  <c r="U257" i="1" s="1"/>
  <c r="T258" i="1" a="1"/>
  <c r="T258" i="1" s="1"/>
  <c r="U258" i="1" s="1" a="1"/>
  <c r="U258" i="1" s="1"/>
  <c r="T259" i="1" a="1"/>
  <c r="T259" i="1" s="1"/>
  <c r="U259" i="1" s="1" a="1"/>
  <c r="U259" i="1" s="1"/>
  <c r="T260" i="1" a="1"/>
  <c r="T260" i="1" s="1"/>
  <c r="U260" i="1" s="1" a="1"/>
  <c r="U260" i="1" s="1"/>
  <c r="T261" i="1" a="1"/>
  <c r="T261" i="1" s="1"/>
  <c r="U261" i="1" s="1" a="1"/>
  <c r="U261" i="1" s="1"/>
  <c r="T262" i="1" a="1"/>
  <c r="T262" i="1" s="1"/>
  <c r="U262" i="1" s="1" a="1"/>
  <c r="U262" i="1" s="1"/>
  <c r="T263" i="1" a="1"/>
  <c r="T263" i="1" s="1"/>
  <c r="U263" i="1" s="1" a="1"/>
  <c r="U263" i="1" s="1"/>
  <c r="T264" i="1" a="1"/>
  <c r="T264" i="1" s="1"/>
  <c r="U264" i="1" s="1" a="1"/>
  <c r="U264" i="1" s="1"/>
  <c r="T265" i="1" a="1"/>
  <c r="T265" i="1" s="1"/>
  <c r="U265" i="1" s="1" a="1"/>
  <c r="U265" i="1" s="1"/>
  <c r="T266" i="1" a="1"/>
  <c r="T266" i="1" s="1"/>
  <c r="U266" i="1" s="1" a="1"/>
  <c r="U266" i="1" s="1"/>
  <c r="T267" i="1" a="1"/>
  <c r="T267" i="1" s="1"/>
  <c r="U267" i="1" s="1" a="1"/>
  <c r="U267" i="1" s="1"/>
  <c r="T268" i="1" a="1"/>
  <c r="T268" i="1" s="1"/>
  <c r="U268" i="1" s="1" a="1"/>
  <c r="U268" i="1" s="1"/>
  <c r="T269" i="1" a="1"/>
  <c r="T269" i="1" s="1"/>
  <c r="U269" i="1" s="1" a="1"/>
  <c r="U269" i="1" s="1"/>
  <c r="T270" i="1" a="1"/>
  <c r="T270" i="1" s="1"/>
  <c r="U270" i="1" s="1" a="1"/>
  <c r="U270" i="1" s="1"/>
  <c r="T271" i="1" a="1"/>
  <c r="T271" i="1" s="1"/>
  <c r="U271" i="1" s="1" a="1"/>
  <c r="U271" i="1" s="1"/>
  <c r="T272" i="1" a="1"/>
  <c r="T272" i="1" s="1"/>
  <c r="U272" i="1" s="1" a="1"/>
  <c r="U272" i="1" s="1"/>
  <c r="T273" i="1" a="1"/>
  <c r="T273" i="1" s="1"/>
  <c r="U273" i="1" s="1" a="1"/>
  <c r="U273" i="1" s="1"/>
  <c r="T274" i="1" a="1"/>
  <c r="T274" i="1" s="1"/>
  <c r="U274" i="1" s="1" a="1"/>
  <c r="U274" i="1" s="1"/>
  <c r="T275" i="1" a="1"/>
  <c r="T275" i="1" s="1"/>
  <c r="U275" i="1" s="1" a="1"/>
  <c r="U275" i="1" s="1"/>
  <c r="T276" i="1" a="1"/>
  <c r="T276" i="1" s="1"/>
  <c r="U276" i="1" s="1" a="1"/>
  <c r="U276" i="1" s="1"/>
  <c r="T277" i="1" a="1"/>
  <c r="T277" i="1" s="1"/>
  <c r="U277" i="1" s="1" a="1"/>
  <c r="U277" i="1" s="1"/>
  <c r="T278" i="1" a="1"/>
  <c r="T278" i="1" s="1"/>
  <c r="U278" i="1" s="1" a="1"/>
  <c r="U278" i="1" s="1"/>
  <c r="T279" i="1" a="1"/>
  <c r="T279" i="1" s="1"/>
  <c r="U279" i="1" s="1" a="1"/>
  <c r="U279" i="1" s="1"/>
  <c r="T280" i="1" a="1"/>
  <c r="T280" i="1" s="1"/>
  <c r="U280" i="1" s="1" a="1"/>
  <c r="U280" i="1" s="1"/>
  <c r="T281" i="1" a="1"/>
  <c r="T281" i="1" s="1"/>
  <c r="U281" i="1" s="1" a="1"/>
  <c r="U281" i="1" s="1"/>
  <c r="T282" i="1" a="1"/>
  <c r="T282" i="1" s="1"/>
  <c r="U282" i="1" s="1" a="1"/>
  <c r="U282" i="1" s="1"/>
  <c r="T283" i="1" a="1"/>
  <c r="T283" i="1" s="1"/>
  <c r="U283" i="1" s="1" a="1"/>
  <c r="U283" i="1" s="1"/>
  <c r="T284" i="1" a="1"/>
  <c r="T284" i="1" s="1"/>
  <c r="U284" i="1" s="1" a="1"/>
  <c r="U284" i="1" s="1"/>
  <c r="T285" i="1" a="1"/>
  <c r="T285" i="1" s="1"/>
  <c r="U285" i="1" s="1" a="1"/>
  <c r="U285" i="1" s="1"/>
  <c r="T286" i="1" a="1"/>
  <c r="T286" i="1" s="1"/>
  <c r="U286" i="1" s="1" a="1"/>
  <c r="U286" i="1" s="1"/>
  <c r="T287" i="1" a="1"/>
  <c r="T287" i="1" s="1"/>
  <c r="U287" i="1" s="1" a="1"/>
  <c r="U287" i="1" s="1"/>
  <c r="T288" i="1" a="1"/>
  <c r="T288" i="1" s="1"/>
  <c r="U288" i="1" s="1" a="1"/>
  <c r="U288" i="1" s="1"/>
  <c r="T289" i="1" a="1"/>
  <c r="T289" i="1" s="1"/>
  <c r="U289" i="1" s="1" a="1"/>
  <c r="U289" i="1" s="1"/>
  <c r="T290" i="1" a="1"/>
  <c r="T290" i="1" s="1"/>
  <c r="U290" i="1" s="1" a="1"/>
  <c r="U290" i="1" s="1"/>
  <c r="T291" i="1" a="1"/>
  <c r="T291" i="1" s="1"/>
  <c r="U291" i="1" s="1" a="1"/>
  <c r="U291" i="1" s="1"/>
  <c r="T292" i="1" a="1"/>
  <c r="T292" i="1" s="1"/>
  <c r="U292" i="1" s="1" a="1"/>
  <c r="U292" i="1" s="1"/>
  <c r="T293" i="1" a="1"/>
  <c r="T293" i="1" s="1"/>
  <c r="U293" i="1" s="1" a="1"/>
  <c r="U293" i="1" s="1"/>
  <c r="T294" i="1" a="1"/>
  <c r="T294" i="1" s="1"/>
  <c r="U294" i="1" s="1" a="1"/>
  <c r="U294" i="1" s="1"/>
  <c r="T295" i="1" a="1"/>
  <c r="T295" i="1" s="1"/>
  <c r="U295" i="1" s="1" a="1"/>
  <c r="U295" i="1" s="1"/>
  <c r="T296" i="1" a="1"/>
  <c r="T296" i="1" s="1"/>
  <c r="U296" i="1" s="1" a="1"/>
  <c r="U296" i="1" s="1"/>
  <c r="T297" i="1" a="1"/>
  <c r="T297" i="1" s="1"/>
  <c r="U297" i="1" s="1" a="1"/>
  <c r="U297" i="1" s="1"/>
  <c r="T298" i="1" a="1"/>
  <c r="T298" i="1" s="1"/>
  <c r="U298" i="1" s="1" a="1"/>
  <c r="U298" i="1" s="1"/>
  <c r="T299" i="1" a="1"/>
  <c r="T299" i="1" s="1"/>
  <c r="U299" i="1" s="1" a="1"/>
  <c r="U299" i="1" s="1"/>
  <c r="T300" i="1" a="1"/>
  <c r="T300" i="1" s="1"/>
  <c r="U300" i="1" s="1" a="1"/>
  <c r="U300" i="1" s="1"/>
  <c r="T301" i="1" a="1"/>
  <c r="T301" i="1" s="1"/>
  <c r="U301" i="1" s="1" a="1"/>
  <c r="U301" i="1" s="1"/>
  <c r="T302" i="1" a="1"/>
  <c r="T302" i="1" s="1"/>
  <c r="U302" i="1" s="1" a="1"/>
  <c r="U302" i="1" s="1"/>
  <c r="T303" i="1" a="1"/>
  <c r="T303" i="1" s="1"/>
  <c r="U303" i="1" s="1" a="1"/>
  <c r="U303" i="1" s="1"/>
  <c r="T304" i="1" a="1"/>
  <c r="T304" i="1" s="1"/>
  <c r="U304" i="1" s="1" a="1"/>
  <c r="U304" i="1" s="1"/>
  <c r="T305" i="1" a="1"/>
  <c r="T305" i="1" s="1"/>
  <c r="U305" i="1" s="1" a="1"/>
  <c r="U305" i="1" s="1"/>
  <c r="T306" i="1" a="1"/>
  <c r="T306" i="1" s="1"/>
  <c r="U306" i="1" s="1" a="1"/>
  <c r="U306" i="1" s="1"/>
  <c r="T307" i="1" a="1"/>
  <c r="T307" i="1" s="1"/>
  <c r="U307" i="1" s="1" a="1"/>
  <c r="U307" i="1" s="1"/>
  <c r="T308" i="1" a="1"/>
  <c r="T308" i="1" s="1"/>
  <c r="U308" i="1" s="1" a="1"/>
  <c r="U308" i="1" s="1"/>
  <c r="T309" i="1" a="1"/>
  <c r="T309" i="1" s="1"/>
  <c r="U309" i="1" s="1" a="1"/>
  <c r="U309" i="1" s="1"/>
  <c r="T310" i="1" a="1"/>
  <c r="T310" i="1" s="1"/>
  <c r="U310" i="1" s="1" a="1"/>
  <c r="U310" i="1" s="1"/>
  <c r="T311" i="1" a="1"/>
  <c r="T311" i="1" s="1"/>
  <c r="U311" i="1" s="1" a="1"/>
  <c r="U311" i="1" s="1"/>
  <c r="T312" i="1" a="1"/>
  <c r="T312" i="1" s="1"/>
  <c r="U312" i="1" s="1" a="1"/>
  <c r="U312" i="1" s="1"/>
  <c r="T313" i="1" a="1"/>
  <c r="T313" i="1" s="1"/>
  <c r="U313" i="1" s="1" a="1"/>
  <c r="U313" i="1" s="1"/>
  <c r="T314" i="1" a="1"/>
  <c r="T314" i="1" s="1"/>
  <c r="U314" i="1" s="1" a="1"/>
  <c r="U314" i="1" s="1"/>
  <c r="T315" i="1" a="1"/>
  <c r="T315" i="1" s="1"/>
  <c r="U315" i="1" s="1" a="1"/>
  <c r="U315" i="1" s="1"/>
  <c r="T316" i="1" a="1"/>
  <c r="T316" i="1" s="1"/>
  <c r="U316" i="1" s="1" a="1"/>
  <c r="U316" i="1" s="1"/>
  <c r="T317" i="1" a="1"/>
  <c r="T317" i="1" s="1"/>
  <c r="U317" i="1" s="1" a="1"/>
  <c r="U317" i="1" s="1"/>
  <c r="T318" i="1" a="1"/>
  <c r="T318" i="1" s="1"/>
  <c r="U318" i="1" s="1" a="1"/>
  <c r="U318" i="1" s="1"/>
  <c r="T319" i="1" a="1"/>
  <c r="T319" i="1" s="1"/>
  <c r="U319" i="1" s="1" a="1"/>
  <c r="U319" i="1" s="1"/>
  <c r="T320" i="1" a="1"/>
  <c r="T320" i="1" s="1"/>
  <c r="U320" i="1" s="1" a="1"/>
  <c r="U320" i="1" s="1"/>
  <c r="T321" i="1" a="1"/>
  <c r="T321" i="1" s="1"/>
  <c r="U321" i="1" s="1" a="1"/>
  <c r="U321" i="1" s="1"/>
  <c r="T322" i="1" a="1"/>
  <c r="T322" i="1" s="1"/>
  <c r="U322" i="1" s="1" a="1"/>
  <c r="U322" i="1" s="1"/>
  <c r="T323" i="1" a="1"/>
  <c r="T323" i="1" s="1"/>
  <c r="U323" i="1" s="1" a="1"/>
  <c r="U323" i="1" s="1"/>
  <c r="T324" i="1" a="1"/>
  <c r="T324" i="1" s="1"/>
  <c r="U324" i="1" s="1" a="1"/>
  <c r="U324" i="1" s="1"/>
  <c r="T325" i="1" a="1"/>
  <c r="T325" i="1" s="1"/>
  <c r="U325" i="1" s="1" a="1"/>
  <c r="U325" i="1" s="1"/>
  <c r="T326" i="1" a="1"/>
  <c r="T326" i="1" s="1"/>
  <c r="U326" i="1" s="1" a="1"/>
  <c r="U326" i="1" s="1"/>
  <c r="T327" i="1" a="1"/>
  <c r="T327" i="1" s="1"/>
  <c r="U327" i="1" s="1" a="1"/>
  <c r="U327" i="1" s="1"/>
  <c r="T328" i="1" a="1"/>
  <c r="T328" i="1" s="1"/>
  <c r="U328" i="1" s="1" a="1"/>
  <c r="U328" i="1" s="1"/>
  <c r="T329" i="1" a="1"/>
  <c r="T329" i="1" s="1"/>
  <c r="U329" i="1" s="1" a="1"/>
  <c r="U329" i="1" s="1"/>
  <c r="T330" i="1" a="1"/>
  <c r="T330" i="1" s="1"/>
  <c r="U330" i="1" s="1" a="1"/>
  <c r="U330" i="1" s="1"/>
  <c r="T331" i="1" a="1"/>
  <c r="T331" i="1" s="1"/>
  <c r="U331" i="1" s="1" a="1"/>
  <c r="U331" i="1" s="1"/>
  <c r="T332" i="1" a="1"/>
  <c r="T332" i="1" s="1"/>
  <c r="U332" i="1" s="1" a="1"/>
  <c r="U332" i="1" s="1"/>
  <c r="T333" i="1" a="1"/>
  <c r="T333" i="1" s="1"/>
  <c r="U333" i="1" s="1" a="1"/>
  <c r="U333" i="1" s="1"/>
  <c r="T334" i="1" a="1"/>
  <c r="T334" i="1" s="1"/>
  <c r="U334" i="1" s="1" a="1"/>
  <c r="U334" i="1" s="1"/>
  <c r="T335" i="1" a="1"/>
  <c r="T335" i="1" s="1"/>
  <c r="U335" i="1" s="1" a="1"/>
  <c r="U335" i="1" s="1"/>
  <c r="T336" i="1" a="1"/>
  <c r="T336" i="1" s="1"/>
  <c r="U336" i="1" s="1" a="1"/>
  <c r="U336" i="1" s="1"/>
  <c r="T337" i="1" a="1"/>
  <c r="T337" i="1" s="1"/>
  <c r="U337" i="1" s="1" a="1"/>
  <c r="U337" i="1" s="1"/>
  <c r="T338" i="1" a="1"/>
  <c r="T338" i="1" s="1"/>
  <c r="U338" i="1" s="1" a="1"/>
  <c r="U338" i="1" s="1"/>
  <c r="T339" i="1" a="1"/>
  <c r="T339" i="1" s="1"/>
  <c r="U339" i="1" s="1" a="1"/>
  <c r="U339" i="1" s="1"/>
  <c r="T340" i="1" a="1"/>
  <c r="T340" i="1" s="1"/>
  <c r="U340" i="1" s="1" a="1"/>
  <c r="U340" i="1" s="1"/>
  <c r="T341" i="1" a="1"/>
  <c r="T341" i="1" s="1"/>
  <c r="U341" i="1" s="1" a="1"/>
  <c r="U341" i="1" s="1"/>
  <c r="T342" i="1" a="1"/>
  <c r="T342" i="1" s="1"/>
  <c r="U342" i="1" s="1" a="1"/>
  <c r="U342" i="1" s="1"/>
  <c r="T343" i="1" a="1"/>
  <c r="T343" i="1" s="1"/>
  <c r="U343" i="1" s="1" a="1"/>
  <c r="U343" i="1" s="1"/>
  <c r="T344" i="1" a="1"/>
  <c r="T344" i="1" s="1"/>
  <c r="U344" i="1" s="1" a="1"/>
  <c r="U344" i="1" s="1"/>
  <c r="T345" i="1" a="1"/>
  <c r="T345" i="1" s="1"/>
  <c r="U345" i="1" s="1" a="1"/>
  <c r="U345" i="1" s="1"/>
  <c r="T346" i="1" a="1"/>
  <c r="T346" i="1" s="1"/>
  <c r="U346" i="1" s="1" a="1"/>
  <c r="U346" i="1" s="1"/>
  <c r="T347" i="1" a="1"/>
  <c r="T347" i="1" s="1"/>
  <c r="U347" i="1" s="1" a="1"/>
  <c r="U347" i="1" s="1"/>
  <c r="T348" i="1" a="1"/>
  <c r="T348" i="1" s="1"/>
  <c r="U348" i="1" s="1" a="1"/>
  <c r="U348" i="1" s="1"/>
  <c r="T349" i="1" a="1"/>
  <c r="T349" i="1" s="1"/>
  <c r="U349" i="1" s="1" a="1"/>
  <c r="U349" i="1" s="1"/>
  <c r="T350" i="1" a="1"/>
  <c r="T350" i="1" s="1"/>
  <c r="U350" i="1" s="1" a="1"/>
  <c r="U350" i="1" s="1"/>
  <c r="T351" i="1" a="1"/>
  <c r="T351" i="1" s="1"/>
  <c r="U351" i="1" s="1" a="1"/>
  <c r="U351" i="1" s="1"/>
  <c r="T352" i="1" a="1"/>
  <c r="T352" i="1" s="1"/>
  <c r="U352" i="1" s="1" a="1"/>
  <c r="U352" i="1" s="1"/>
  <c r="T353" i="1" a="1"/>
  <c r="T353" i="1" s="1"/>
  <c r="U353" i="1" s="1" a="1"/>
  <c r="U353" i="1" s="1"/>
  <c r="T354" i="1" a="1"/>
  <c r="T354" i="1" s="1"/>
  <c r="U354" i="1" s="1" a="1"/>
  <c r="U354" i="1" s="1"/>
  <c r="T355" i="1" a="1"/>
  <c r="T355" i="1" s="1"/>
  <c r="U355" i="1" s="1" a="1"/>
  <c r="U355" i="1" s="1"/>
  <c r="T356" i="1" a="1"/>
  <c r="T356" i="1" s="1"/>
  <c r="U356" i="1" s="1" a="1"/>
  <c r="U356" i="1" s="1"/>
  <c r="T357" i="1" a="1"/>
  <c r="T357" i="1" s="1"/>
  <c r="U357" i="1" s="1" a="1"/>
  <c r="U357" i="1" s="1"/>
  <c r="T358" i="1" a="1"/>
  <c r="T358" i="1" s="1"/>
  <c r="U358" i="1" s="1" a="1"/>
  <c r="U358" i="1" s="1"/>
  <c r="T359" i="1" a="1"/>
  <c r="T359" i="1" s="1"/>
  <c r="U359" i="1" s="1" a="1"/>
  <c r="U359" i="1" s="1"/>
  <c r="T360" i="1" a="1"/>
  <c r="T360" i="1" s="1"/>
  <c r="U360" i="1" s="1" a="1"/>
  <c r="U360" i="1" s="1"/>
  <c r="T361" i="1" a="1"/>
  <c r="T361" i="1" s="1"/>
  <c r="U361" i="1" s="1" a="1"/>
  <c r="U361" i="1" s="1"/>
  <c r="T362" i="1" a="1"/>
  <c r="T362" i="1" s="1"/>
  <c r="U362" i="1" s="1" a="1"/>
  <c r="U362" i="1" s="1"/>
  <c r="T363" i="1" a="1"/>
  <c r="T363" i="1" s="1"/>
  <c r="U363" i="1" s="1" a="1"/>
  <c r="U363" i="1" s="1"/>
  <c r="T364" i="1" a="1"/>
  <c r="T364" i="1" s="1"/>
  <c r="U364" i="1" s="1" a="1"/>
  <c r="U364" i="1" s="1"/>
  <c r="T365" i="1" a="1"/>
  <c r="T365" i="1" s="1"/>
  <c r="U365" i="1" s="1" a="1"/>
  <c r="U365" i="1" s="1"/>
  <c r="T366" i="1" a="1"/>
  <c r="T366" i="1" s="1"/>
  <c r="U366" i="1" s="1" a="1"/>
  <c r="U366" i="1" s="1"/>
  <c r="T367" i="1" a="1"/>
  <c r="T367" i="1" s="1"/>
  <c r="U367" i="1" s="1" a="1"/>
  <c r="U367" i="1" s="1"/>
  <c r="T368" i="1" a="1"/>
  <c r="T368" i="1" s="1"/>
  <c r="U368" i="1" s="1" a="1"/>
  <c r="U368" i="1" s="1"/>
  <c r="T369" i="1" a="1"/>
  <c r="T369" i="1" s="1"/>
  <c r="U369" i="1" s="1" a="1"/>
  <c r="U369" i="1" s="1"/>
  <c r="T370" i="1" a="1"/>
  <c r="T370" i="1" s="1"/>
  <c r="U370" i="1" s="1" a="1"/>
  <c r="U370" i="1" s="1"/>
  <c r="T371" i="1" a="1"/>
  <c r="T371" i="1" s="1"/>
  <c r="U371" i="1" s="1" a="1"/>
  <c r="U371" i="1" s="1"/>
  <c r="T372" i="1" a="1"/>
  <c r="T372" i="1" s="1"/>
  <c r="U372" i="1" s="1" a="1"/>
  <c r="U372" i="1" s="1"/>
  <c r="T373" i="1" a="1"/>
  <c r="T373" i="1" s="1"/>
  <c r="U373" i="1" s="1" a="1"/>
  <c r="U373" i="1" s="1"/>
  <c r="T374" i="1" a="1"/>
  <c r="T374" i="1" s="1"/>
  <c r="U374" i="1" s="1" a="1"/>
  <c r="U374" i="1" s="1"/>
  <c r="T375" i="1" a="1"/>
  <c r="T375" i="1" s="1"/>
  <c r="U375" i="1" s="1" a="1"/>
  <c r="U375" i="1" s="1"/>
  <c r="T376" i="1" a="1"/>
  <c r="T376" i="1" s="1"/>
  <c r="U376" i="1" s="1" a="1"/>
  <c r="U376" i="1" s="1"/>
  <c r="T377" i="1" a="1"/>
  <c r="T377" i="1" s="1"/>
  <c r="U377" i="1" s="1" a="1"/>
  <c r="U377" i="1" s="1"/>
  <c r="T378" i="1" a="1"/>
  <c r="T378" i="1" s="1"/>
  <c r="U378" i="1" s="1" a="1"/>
  <c r="U378" i="1" s="1"/>
  <c r="T379" i="1" a="1"/>
  <c r="T379" i="1" s="1"/>
  <c r="U379" i="1" s="1" a="1"/>
  <c r="U379" i="1" s="1"/>
  <c r="T380" i="1" a="1"/>
  <c r="T380" i="1" s="1"/>
  <c r="U380" i="1" s="1" a="1"/>
  <c r="U380" i="1" s="1"/>
  <c r="T381" i="1" a="1"/>
  <c r="T381" i="1" s="1"/>
  <c r="U381" i="1" s="1" a="1"/>
  <c r="U381" i="1" s="1"/>
  <c r="T382" i="1" a="1"/>
  <c r="T382" i="1" s="1"/>
  <c r="U382" i="1" s="1" a="1"/>
  <c r="U382" i="1" s="1"/>
  <c r="T383" i="1" a="1"/>
  <c r="T383" i="1" s="1"/>
  <c r="U383" i="1" s="1" a="1"/>
  <c r="U383" i="1" s="1"/>
  <c r="T384" i="1" a="1"/>
  <c r="T384" i="1" s="1"/>
  <c r="U384" i="1" s="1" a="1"/>
  <c r="U384" i="1" s="1"/>
  <c r="T385" i="1" a="1"/>
  <c r="T385" i="1" s="1"/>
  <c r="U385" i="1" s="1" a="1"/>
  <c r="U385" i="1" s="1"/>
  <c r="T386" i="1" a="1"/>
  <c r="T386" i="1" s="1"/>
  <c r="U386" i="1" s="1" a="1"/>
  <c r="U386" i="1" s="1"/>
  <c r="T387" i="1" a="1"/>
  <c r="T387" i="1" s="1"/>
  <c r="U387" i="1" s="1" a="1"/>
  <c r="U387" i="1" s="1"/>
  <c r="T388" i="1" a="1"/>
  <c r="T388" i="1" s="1"/>
  <c r="U388" i="1" s="1" a="1"/>
  <c r="U388" i="1" s="1"/>
  <c r="T389" i="1" a="1"/>
  <c r="T389" i="1" s="1"/>
  <c r="U389" i="1" s="1" a="1"/>
  <c r="U389" i="1" s="1"/>
  <c r="T390" i="1" a="1"/>
  <c r="T390" i="1" s="1"/>
  <c r="U390" i="1" s="1" a="1"/>
  <c r="U390" i="1" s="1"/>
  <c r="T391" i="1" a="1"/>
  <c r="T391" i="1" s="1"/>
  <c r="U391" i="1" s="1" a="1"/>
  <c r="U391" i="1" s="1"/>
  <c r="T392" i="1" a="1"/>
  <c r="T392" i="1" s="1"/>
  <c r="U392" i="1" s="1" a="1"/>
  <c r="U392" i="1" s="1"/>
  <c r="T393" i="1" a="1"/>
  <c r="T393" i="1" s="1"/>
  <c r="U393" i="1" s="1" a="1"/>
  <c r="U393" i="1" s="1"/>
  <c r="T394" i="1" a="1"/>
  <c r="T394" i="1" s="1"/>
  <c r="U394" i="1" s="1" a="1"/>
  <c r="U394" i="1" s="1"/>
  <c r="T395" i="1" a="1"/>
  <c r="T395" i="1" s="1"/>
  <c r="U395" i="1" s="1" a="1"/>
  <c r="U395" i="1" s="1"/>
  <c r="T396" i="1" a="1"/>
  <c r="T396" i="1" s="1"/>
  <c r="U396" i="1" s="1" a="1"/>
  <c r="U396" i="1" s="1"/>
  <c r="T397" i="1" a="1"/>
  <c r="T397" i="1" s="1"/>
  <c r="U397" i="1" s="1" a="1"/>
  <c r="U397" i="1" s="1"/>
  <c r="T398" i="1" a="1"/>
  <c r="T398" i="1" s="1"/>
  <c r="U398" i="1" s="1" a="1"/>
  <c r="U398" i="1" s="1"/>
  <c r="T399" i="1" a="1"/>
  <c r="T399" i="1" s="1"/>
  <c r="U399" i="1" s="1" a="1"/>
  <c r="U399" i="1" s="1"/>
  <c r="T400" i="1" a="1"/>
  <c r="T400" i="1" s="1"/>
  <c r="U400" i="1" s="1" a="1"/>
  <c r="U400" i="1" s="1"/>
  <c r="T401" i="1" a="1"/>
  <c r="T401" i="1" s="1"/>
  <c r="U401" i="1" s="1" a="1"/>
  <c r="U401" i="1" s="1"/>
  <c r="T402" i="1" a="1"/>
  <c r="T402" i="1" s="1"/>
  <c r="U402" i="1" s="1" a="1"/>
  <c r="U402" i="1" s="1"/>
  <c r="T403" i="1" a="1"/>
  <c r="T403" i="1" s="1"/>
  <c r="U403" i="1" s="1" a="1"/>
  <c r="U403" i="1" s="1"/>
  <c r="T404" i="1" a="1"/>
  <c r="T404" i="1" s="1"/>
  <c r="U404" i="1" s="1" a="1"/>
  <c r="U404" i="1" s="1"/>
  <c r="T405" i="1" a="1"/>
  <c r="T405" i="1" s="1"/>
  <c r="U405" i="1" s="1" a="1"/>
  <c r="U405" i="1" s="1"/>
  <c r="T406" i="1" a="1"/>
  <c r="T406" i="1" s="1"/>
  <c r="U406" i="1" s="1" a="1"/>
  <c r="U406" i="1" s="1"/>
  <c r="T407" i="1" a="1"/>
  <c r="T407" i="1" s="1"/>
  <c r="U407" i="1" s="1" a="1"/>
  <c r="U407" i="1" s="1"/>
  <c r="T408" i="1" a="1"/>
  <c r="T408" i="1" s="1"/>
  <c r="U408" i="1" s="1" a="1"/>
  <c r="U408" i="1" s="1"/>
  <c r="T409" i="1" a="1"/>
  <c r="T409" i="1" s="1"/>
  <c r="U409" i="1" s="1" a="1"/>
  <c r="U409" i="1" s="1"/>
  <c r="T410" i="1" a="1"/>
  <c r="T410" i="1" s="1"/>
  <c r="U410" i="1" s="1" a="1"/>
  <c r="U410" i="1" s="1"/>
  <c r="T411" i="1" a="1"/>
  <c r="T411" i="1" s="1"/>
  <c r="U411" i="1" s="1" a="1"/>
  <c r="U411" i="1" s="1"/>
  <c r="T412" i="1" a="1"/>
  <c r="T412" i="1" s="1"/>
  <c r="U412" i="1" s="1" a="1"/>
  <c r="U412" i="1" s="1"/>
  <c r="T413" i="1" a="1"/>
  <c r="T413" i="1" s="1"/>
  <c r="U413" i="1" s="1" a="1"/>
  <c r="U413" i="1" s="1"/>
  <c r="T414" i="1" a="1"/>
  <c r="T414" i="1" s="1"/>
  <c r="U414" i="1" s="1" a="1"/>
  <c r="U414" i="1" s="1"/>
  <c r="T415" i="1" a="1"/>
  <c r="T415" i="1" s="1"/>
  <c r="U415" i="1" s="1" a="1"/>
  <c r="U415" i="1" s="1"/>
  <c r="T416" i="1" a="1"/>
  <c r="T416" i="1" s="1"/>
  <c r="U416" i="1" s="1" a="1"/>
  <c r="U416" i="1" s="1"/>
  <c r="T417" i="1" a="1"/>
  <c r="T417" i="1" s="1"/>
  <c r="U417" i="1" s="1" a="1"/>
  <c r="U417" i="1" s="1"/>
  <c r="T418" i="1" a="1"/>
  <c r="T418" i="1" s="1"/>
  <c r="U418" i="1" s="1" a="1"/>
  <c r="U418" i="1" s="1"/>
  <c r="T419" i="1" a="1"/>
  <c r="T419" i="1" s="1"/>
  <c r="U419" i="1" s="1" a="1"/>
  <c r="U419" i="1" s="1"/>
  <c r="T420" i="1" a="1"/>
  <c r="T420" i="1" s="1"/>
  <c r="U420" i="1" s="1" a="1"/>
  <c r="U420" i="1" s="1"/>
  <c r="T421" i="1" a="1"/>
  <c r="T421" i="1" s="1"/>
  <c r="U421" i="1" s="1" a="1"/>
  <c r="U421" i="1" s="1"/>
  <c r="T422" i="1" a="1"/>
  <c r="T422" i="1" s="1"/>
  <c r="U422" i="1" s="1" a="1"/>
  <c r="U422" i="1" s="1"/>
  <c r="T423" i="1" a="1"/>
  <c r="T423" i="1" s="1"/>
  <c r="U423" i="1" s="1" a="1"/>
  <c r="U423" i="1" s="1"/>
  <c r="T424" i="1" a="1"/>
  <c r="T424" i="1" s="1"/>
  <c r="U424" i="1" s="1" a="1"/>
  <c r="U424" i="1" s="1"/>
  <c r="T425" i="1" a="1"/>
  <c r="T425" i="1" s="1"/>
  <c r="U425" i="1" s="1" a="1"/>
  <c r="U425" i="1" s="1"/>
  <c r="T426" i="1" a="1"/>
  <c r="T426" i="1" s="1"/>
  <c r="U426" i="1" s="1" a="1"/>
  <c r="U426" i="1" s="1"/>
  <c r="T427" i="1" a="1"/>
  <c r="T427" i="1" s="1"/>
  <c r="U427" i="1" s="1" a="1"/>
  <c r="U427" i="1" s="1"/>
  <c r="T428" i="1" a="1"/>
  <c r="T428" i="1" s="1"/>
  <c r="U428" i="1" s="1" a="1"/>
  <c r="U428" i="1" s="1"/>
  <c r="T429" i="1" a="1"/>
  <c r="T429" i="1" s="1"/>
  <c r="U429" i="1" s="1" a="1"/>
  <c r="U429" i="1" s="1"/>
  <c r="T430" i="1" a="1"/>
  <c r="T430" i="1" s="1"/>
  <c r="U430" i="1" s="1" a="1"/>
  <c r="U430" i="1" s="1"/>
  <c r="T431" i="1" a="1"/>
  <c r="T431" i="1" s="1"/>
  <c r="U431" i="1" s="1" a="1"/>
  <c r="U431" i="1" s="1"/>
  <c r="T432" i="1" a="1"/>
  <c r="T432" i="1" s="1"/>
  <c r="U432" i="1" s="1" a="1"/>
  <c r="U432" i="1" s="1"/>
  <c r="T433" i="1" a="1"/>
  <c r="T433" i="1" s="1"/>
  <c r="U433" i="1" s="1" a="1"/>
  <c r="U433" i="1" s="1"/>
  <c r="T434" i="1" a="1"/>
  <c r="T434" i="1" s="1"/>
  <c r="U434" i="1" s="1" a="1"/>
  <c r="U434" i="1" s="1"/>
  <c r="T435" i="1" a="1"/>
  <c r="T435" i="1" s="1"/>
  <c r="U435" i="1" s="1" a="1"/>
  <c r="U435" i="1" s="1"/>
  <c r="T436" i="1" a="1"/>
  <c r="T436" i="1" s="1"/>
  <c r="U436" i="1" s="1" a="1"/>
  <c r="U436" i="1" s="1"/>
  <c r="T437" i="1" a="1"/>
  <c r="T437" i="1" s="1"/>
  <c r="U437" i="1" s="1" a="1"/>
  <c r="U437" i="1" s="1"/>
  <c r="T438" i="1" a="1"/>
  <c r="T438" i="1" s="1"/>
  <c r="U438" i="1" s="1" a="1"/>
  <c r="U438" i="1" s="1"/>
  <c r="T439" i="1" a="1"/>
  <c r="T439" i="1" s="1"/>
  <c r="U439" i="1" s="1" a="1"/>
  <c r="U439" i="1" s="1"/>
  <c r="T440" i="1" a="1"/>
  <c r="T440" i="1" s="1"/>
  <c r="U440" i="1" s="1" a="1"/>
  <c r="U440" i="1" s="1"/>
  <c r="T441" i="1" a="1"/>
  <c r="T441" i="1" s="1"/>
  <c r="U441" i="1" s="1" a="1"/>
  <c r="U441" i="1" s="1"/>
  <c r="T442" i="1" a="1"/>
  <c r="T442" i="1" s="1"/>
  <c r="U442" i="1" s="1" a="1"/>
  <c r="U442" i="1" s="1"/>
  <c r="T443" i="1" a="1"/>
  <c r="T443" i="1" s="1"/>
  <c r="U443" i="1" s="1" a="1"/>
  <c r="U443" i="1" s="1"/>
  <c r="T444" i="1" a="1"/>
  <c r="T444" i="1" s="1"/>
  <c r="U444" i="1" s="1" a="1"/>
  <c r="U444" i="1" s="1"/>
  <c r="T445" i="1" a="1"/>
  <c r="T445" i="1" s="1"/>
  <c r="U445" i="1" s="1" a="1"/>
  <c r="U445" i="1" s="1"/>
  <c r="T446" i="1" a="1"/>
  <c r="T446" i="1" s="1"/>
  <c r="U446" i="1" s="1" a="1"/>
  <c r="U446" i="1" s="1"/>
  <c r="T447" i="1" a="1"/>
  <c r="T447" i="1" s="1"/>
  <c r="U447" i="1" s="1" a="1"/>
  <c r="U447" i="1" s="1"/>
  <c r="T448" i="1" a="1"/>
  <c r="T448" i="1" s="1"/>
  <c r="U448" i="1" s="1" a="1"/>
  <c r="U448" i="1" s="1"/>
  <c r="T449" i="1" a="1"/>
  <c r="T449" i="1" s="1"/>
  <c r="U449" i="1" s="1" a="1"/>
  <c r="U449" i="1" s="1"/>
  <c r="T450" i="1" a="1"/>
  <c r="T450" i="1" s="1"/>
  <c r="U450" i="1" s="1" a="1"/>
  <c r="U450" i="1" s="1"/>
  <c r="T451" i="1" a="1"/>
  <c r="T451" i="1" s="1"/>
  <c r="U451" i="1" s="1" a="1"/>
  <c r="U451" i="1" s="1"/>
  <c r="T452" i="1" a="1"/>
  <c r="T452" i="1" s="1"/>
  <c r="U452" i="1" s="1" a="1"/>
  <c r="U452" i="1" s="1"/>
  <c r="T453" i="1" a="1"/>
  <c r="T453" i="1" s="1"/>
  <c r="U453" i="1" s="1" a="1"/>
  <c r="U453" i="1" s="1"/>
  <c r="T454" i="1" a="1"/>
  <c r="T454" i="1" s="1"/>
  <c r="U454" i="1" s="1" a="1"/>
  <c r="U454" i="1" s="1"/>
  <c r="T455" i="1" a="1"/>
  <c r="T455" i="1" s="1"/>
  <c r="U455" i="1" s="1" a="1"/>
  <c r="U455" i="1" s="1"/>
  <c r="T456" i="1" a="1"/>
  <c r="T456" i="1" s="1"/>
  <c r="U456" i="1" s="1" a="1"/>
  <c r="U456" i="1" s="1"/>
  <c r="T457" i="1" a="1"/>
  <c r="T457" i="1" s="1"/>
  <c r="U457" i="1" s="1" a="1"/>
  <c r="U457" i="1" s="1"/>
  <c r="T458" i="1" a="1"/>
  <c r="T458" i="1" s="1"/>
  <c r="U458" i="1" s="1" a="1"/>
  <c r="U458" i="1" s="1"/>
  <c r="T459" i="1" a="1"/>
  <c r="T459" i="1" s="1"/>
  <c r="U459" i="1" s="1" a="1"/>
  <c r="U459" i="1" s="1"/>
  <c r="T460" i="1" a="1"/>
  <c r="T460" i="1" s="1"/>
  <c r="U460" i="1" s="1" a="1"/>
  <c r="U460" i="1" s="1"/>
  <c r="T461" i="1" a="1"/>
  <c r="T461" i="1" s="1"/>
  <c r="U461" i="1" s="1" a="1"/>
  <c r="U461" i="1" s="1"/>
  <c r="T462" i="1" a="1"/>
  <c r="T462" i="1" s="1"/>
  <c r="U462" i="1" s="1" a="1"/>
  <c r="U462" i="1" s="1"/>
  <c r="T463" i="1" a="1"/>
  <c r="T463" i="1" s="1"/>
  <c r="U463" i="1" s="1" a="1"/>
  <c r="U463" i="1" s="1"/>
  <c r="T464" i="1" a="1"/>
  <c r="T464" i="1" s="1"/>
  <c r="U464" i="1" s="1" a="1"/>
  <c r="U464" i="1" s="1"/>
  <c r="T465" i="1" a="1"/>
  <c r="T465" i="1" s="1"/>
  <c r="U465" i="1" s="1" a="1"/>
  <c r="U465" i="1" s="1"/>
  <c r="T466" i="1" a="1"/>
  <c r="T466" i="1" s="1"/>
  <c r="U466" i="1" s="1" a="1"/>
  <c r="U466" i="1" s="1"/>
  <c r="T467" i="1" a="1"/>
  <c r="T467" i="1" s="1"/>
  <c r="U467" i="1" s="1" a="1"/>
  <c r="U467" i="1" s="1"/>
  <c r="T468" i="1" a="1"/>
  <c r="T468" i="1" s="1"/>
  <c r="U468" i="1" s="1" a="1"/>
  <c r="U468" i="1" s="1"/>
  <c r="T469" i="1" a="1"/>
  <c r="T469" i="1" s="1"/>
  <c r="U469" i="1" s="1" a="1"/>
  <c r="U469" i="1" s="1"/>
  <c r="T470" i="1" a="1"/>
  <c r="T470" i="1" s="1"/>
  <c r="U470" i="1" s="1" a="1"/>
  <c r="U470" i="1" s="1"/>
  <c r="T471" i="1" a="1"/>
  <c r="T471" i="1" s="1"/>
  <c r="U471" i="1" s="1" a="1"/>
  <c r="U471" i="1" s="1"/>
  <c r="T472" i="1" a="1"/>
  <c r="T472" i="1" s="1"/>
  <c r="U472" i="1" s="1" a="1"/>
  <c r="U472" i="1" s="1"/>
  <c r="T473" i="1" a="1"/>
  <c r="T473" i="1" s="1"/>
  <c r="U473" i="1" s="1" a="1"/>
  <c r="U473" i="1" s="1"/>
  <c r="T474" i="1" a="1"/>
  <c r="T474" i="1" s="1"/>
  <c r="U474" i="1" s="1" a="1"/>
  <c r="U474" i="1" s="1"/>
  <c r="T475" i="1" a="1"/>
  <c r="T475" i="1" s="1"/>
  <c r="U475" i="1" s="1" a="1"/>
  <c r="U475" i="1" s="1"/>
  <c r="T476" i="1" a="1"/>
  <c r="T476" i="1" s="1"/>
  <c r="U476" i="1" s="1" a="1"/>
  <c r="U476" i="1" s="1"/>
  <c r="T477" i="1" a="1"/>
  <c r="T477" i="1" s="1"/>
  <c r="U477" i="1" s="1" a="1"/>
  <c r="U477" i="1" s="1"/>
  <c r="T478" i="1" a="1"/>
  <c r="T478" i="1" s="1"/>
  <c r="U478" i="1" s="1" a="1"/>
  <c r="U478" i="1" s="1"/>
  <c r="T479" i="1" a="1"/>
  <c r="T479" i="1" s="1"/>
  <c r="U479" i="1" s="1" a="1"/>
  <c r="U479" i="1" s="1"/>
  <c r="T480" i="1" a="1"/>
  <c r="T480" i="1" s="1"/>
  <c r="U480" i="1" s="1" a="1"/>
  <c r="U480" i="1" s="1"/>
  <c r="T481" i="1" a="1"/>
  <c r="T481" i="1" s="1"/>
  <c r="U481" i="1" s="1" a="1"/>
  <c r="U481" i="1" s="1"/>
  <c r="T482" i="1" a="1"/>
  <c r="T482" i="1" s="1"/>
  <c r="U482" i="1" s="1" a="1"/>
  <c r="U482" i="1" s="1"/>
  <c r="T483" i="1" a="1"/>
  <c r="T483" i="1" s="1"/>
  <c r="U483" i="1" s="1" a="1"/>
  <c r="U483" i="1" s="1"/>
  <c r="T484" i="1" a="1"/>
  <c r="T484" i="1" s="1"/>
  <c r="U484" i="1" s="1" a="1"/>
  <c r="U484" i="1" s="1"/>
  <c r="T485" i="1" a="1"/>
  <c r="T485" i="1" s="1"/>
  <c r="U485" i="1" s="1" a="1"/>
  <c r="U485" i="1" s="1"/>
  <c r="T486" i="1" a="1"/>
  <c r="T486" i="1" s="1"/>
  <c r="U486" i="1" s="1" a="1"/>
  <c r="U486" i="1" s="1"/>
  <c r="T487" i="1" a="1"/>
  <c r="T487" i="1" s="1"/>
  <c r="U487" i="1" s="1" a="1"/>
  <c r="U487" i="1" s="1"/>
  <c r="T488" i="1" a="1"/>
  <c r="T488" i="1" s="1"/>
  <c r="U488" i="1" s="1" a="1"/>
  <c r="U488" i="1" s="1"/>
  <c r="T489" i="1" a="1"/>
  <c r="T489" i="1" s="1"/>
  <c r="U489" i="1" s="1" a="1"/>
  <c r="U489" i="1" s="1"/>
  <c r="T490" i="1" a="1"/>
  <c r="T490" i="1" s="1"/>
  <c r="U490" i="1" s="1" a="1"/>
  <c r="U490" i="1" s="1"/>
  <c r="T491" i="1" a="1"/>
  <c r="T491" i="1" s="1"/>
  <c r="U491" i="1" s="1" a="1"/>
  <c r="U491" i="1" s="1"/>
  <c r="T492" i="1" a="1"/>
  <c r="T492" i="1" s="1"/>
  <c r="U492" i="1" s="1" a="1"/>
  <c r="U492" i="1" s="1"/>
  <c r="T493" i="1" a="1"/>
  <c r="T493" i="1" s="1"/>
  <c r="U493" i="1" s="1" a="1"/>
  <c r="U493" i="1" s="1"/>
  <c r="T494" i="1" a="1"/>
  <c r="T494" i="1" s="1"/>
  <c r="U494" i="1" s="1" a="1"/>
  <c r="U494" i="1" s="1"/>
  <c r="T495" i="1" a="1"/>
  <c r="T495" i="1" s="1"/>
  <c r="U495" i="1" s="1" a="1"/>
  <c r="U495" i="1" s="1"/>
  <c r="T496" i="1" a="1"/>
  <c r="T496" i="1" s="1"/>
  <c r="U496" i="1" s="1" a="1"/>
  <c r="U496" i="1" s="1"/>
  <c r="T497" i="1" a="1"/>
  <c r="T497" i="1" s="1"/>
  <c r="U497" i="1" s="1" a="1"/>
  <c r="U497" i="1" s="1"/>
  <c r="T498" i="1" a="1"/>
  <c r="T498" i="1" s="1"/>
  <c r="U498" i="1" s="1" a="1"/>
  <c r="U498" i="1" s="1"/>
  <c r="T499" i="1" a="1"/>
  <c r="T499" i="1" s="1"/>
  <c r="U499" i="1" s="1" a="1"/>
  <c r="U499" i="1" s="1"/>
  <c r="T500" i="1" a="1"/>
  <c r="T500" i="1" s="1"/>
  <c r="U500" i="1" s="1" a="1"/>
  <c r="U500" i="1" s="1"/>
  <c r="T501" i="1" a="1"/>
  <c r="T501" i="1" s="1"/>
  <c r="U501" i="1" s="1" a="1"/>
  <c r="U501" i="1" s="1"/>
  <c r="T502" i="1" a="1"/>
  <c r="T502" i="1" s="1"/>
  <c r="U502" i="1" s="1" a="1"/>
  <c r="U502" i="1" s="1"/>
  <c r="T503" i="1" a="1"/>
  <c r="T503" i="1" s="1"/>
  <c r="U503" i="1" s="1" a="1"/>
  <c r="U503" i="1" s="1"/>
  <c r="T504" i="1" a="1"/>
  <c r="T504" i="1" s="1"/>
  <c r="U504" i="1" s="1" a="1"/>
  <c r="U504" i="1" s="1"/>
  <c r="T505" i="1" a="1"/>
  <c r="T505" i="1" s="1"/>
  <c r="U505" i="1" s="1" a="1"/>
  <c r="U505" i="1" s="1"/>
  <c r="T506" i="1" a="1"/>
  <c r="T506" i="1" s="1"/>
  <c r="U506" i="1" s="1" a="1"/>
  <c r="U506" i="1" s="1"/>
  <c r="T507" i="1" a="1"/>
  <c r="T507" i="1" s="1"/>
  <c r="U507" i="1" s="1" a="1"/>
  <c r="U507" i="1" s="1"/>
  <c r="T508" i="1" a="1"/>
  <c r="T508" i="1" s="1"/>
  <c r="U508" i="1" s="1" a="1"/>
  <c r="U508" i="1" s="1"/>
  <c r="T509" i="1" a="1"/>
  <c r="T509" i="1" s="1"/>
  <c r="U509" i="1" s="1" a="1"/>
  <c r="U509" i="1" s="1"/>
  <c r="T510" i="1" a="1"/>
  <c r="T510" i="1" s="1"/>
  <c r="U510" i="1" s="1" a="1"/>
  <c r="U510" i="1" s="1"/>
  <c r="T511" i="1" a="1"/>
  <c r="T511" i="1" s="1"/>
  <c r="U511" i="1" s="1" a="1"/>
  <c r="U511" i="1" s="1"/>
  <c r="T512" i="1" a="1"/>
  <c r="T512" i="1" s="1"/>
  <c r="U512" i="1" s="1" a="1"/>
  <c r="U512" i="1" s="1"/>
  <c r="T513" i="1" a="1"/>
  <c r="T513" i="1" s="1"/>
  <c r="U513" i="1" s="1" a="1"/>
  <c r="U513" i="1" s="1"/>
  <c r="T514" i="1" a="1"/>
  <c r="T514" i="1" s="1"/>
  <c r="U514" i="1" s="1" a="1"/>
  <c r="U514" i="1" s="1"/>
  <c r="T515" i="1" a="1"/>
  <c r="T515" i="1" s="1"/>
  <c r="U515" i="1" s="1" a="1"/>
  <c r="U515" i="1" s="1"/>
  <c r="T516" i="1" a="1"/>
  <c r="T516" i="1" s="1"/>
  <c r="U516" i="1" s="1" a="1"/>
  <c r="U516" i="1" s="1"/>
  <c r="T517" i="1" a="1"/>
  <c r="T517" i="1" s="1"/>
  <c r="U517" i="1" s="1" a="1"/>
  <c r="U517" i="1" s="1"/>
  <c r="T518" i="1" a="1"/>
  <c r="T518" i="1" s="1"/>
  <c r="U518" i="1" s="1" a="1"/>
  <c r="U518" i="1" s="1"/>
  <c r="T519" i="1" a="1"/>
  <c r="T519" i="1" s="1"/>
  <c r="U519" i="1" s="1" a="1"/>
  <c r="U519" i="1" s="1"/>
  <c r="T520" i="1" a="1"/>
  <c r="T520" i="1" s="1"/>
  <c r="U520" i="1" s="1" a="1"/>
  <c r="U520" i="1" s="1"/>
  <c r="T521" i="1" a="1"/>
  <c r="T521" i="1" s="1"/>
  <c r="U521" i="1" s="1" a="1"/>
  <c r="U521" i="1" s="1"/>
  <c r="T522" i="1" a="1"/>
  <c r="T522" i="1" s="1"/>
  <c r="U522" i="1" s="1" a="1"/>
  <c r="U522" i="1" s="1"/>
  <c r="T523" i="1" a="1"/>
  <c r="T523" i="1" s="1"/>
  <c r="U523" i="1" s="1" a="1"/>
  <c r="U523" i="1" s="1"/>
  <c r="T524" i="1" a="1"/>
  <c r="T524" i="1" s="1"/>
  <c r="U524" i="1" s="1" a="1"/>
  <c r="U524" i="1" s="1"/>
  <c r="T525" i="1" a="1"/>
  <c r="T525" i="1" s="1"/>
  <c r="U525" i="1" s="1" a="1"/>
  <c r="U525" i="1" s="1"/>
  <c r="T526" i="1" a="1"/>
  <c r="T526" i="1" s="1"/>
  <c r="U526" i="1" s="1" a="1"/>
  <c r="U526" i="1" s="1"/>
  <c r="T527" i="1" a="1"/>
  <c r="T527" i="1" s="1"/>
  <c r="U527" i="1" s="1" a="1"/>
  <c r="U527" i="1" s="1"/>
  <c r="T528" i="1" a="1"/>
  <c r="T528" i="1" s="1"/>
  <c r="U528" i="1" s="1" a="1"/>
  <c r="U528" i="1" s="1"/>
  <c r="T529" i="1" a="1"/>
  <c r="T529" i="1" s="1"/>
  <c r="U529" i="1" s="1" a="1"/>
  <c r="U529" i="1" s="1"/>
  <c r="T530" i="1" a="1"/>
  <c r="T530" i="1" s="1"/>
  <c r="U530" i="1" s="1" a="1"/>
  <c r="U530" i="1" s="1"/>
  <c r="T531" i="1" a="1"/>
  <c r="T531" i="1" s="1"/>
  <c r="U531" i="1" s="1" a="1"/>
  <c r="U531" i="1" s="1"/>
  <c r="T532" i="1" a="1"/>
  <c r="T532" i="1" s="1"/>
  <c r="U532" i="1" s="1" a="1"/>
  <c r="U532" i="1" s="1"/>
  <c r="T533" i="1" a="1"/>
  <c r="T533" i="1" s="1"/>
  <c r="U533" i="1" s="1" a="1"/>
  <c r="U533" i="1" s="1"/>
  <c r="T534" i="1" a="1"/>
  <c r="T534" i="1" s="1"/>
  <c r="U534" i="1" s="1" a="1"/>
  <c r="U534" i="1" s="1"/>
  <c r="T535" i="1" a="1"/>
  <c r="T535" i="1" s="1"/>
  <c r="U535" i="1" s="1" a="1"/>
  <c r="U535" i="1" s="1"/>
  <c r="T536" i="1" a="1"/>
  <c r="T536" i="1" s="1"/>
  <c r="U536" i="1" s="1" a="1"/>
  <c r="U536" i="1" s="1"/>
  <c r="T537" i="1" a="1"/>
  <c r="T537" i="1" s="1"/>
  <c r="U537" i="1" s="1" a="1"/>
  <c r="U537" i="1" s="1"/>
  <c r="T538" i="1" a="1"/>
  <c r="T538" i="1" s="1"/>
  <c r="U538" i="1" s="1" a="1"/>
  <c r="U538" i="1" s="1"/>
  <c r="T539" i="1" a="1"/>
  <c r="T539" i="1" s="1"/>
  <c r="U539" i="1" s="1" a="1"/>
  <c r="U539" i="1" s="1"/>
  <c r="T540" i="1" a="1"/>
  <c r="T540" i="1" s="1"/>
  <c r="U540" i="1" s="1" a="1"/>
  <c r="U540" i="1" s="1"/>
  <c r="T541" i="1" a="1"/>
  <c r="T541" i="1" s="1"/>
  <c r="U541" i="1" s="1" a="1"/>
  <c r="U541" i="1" s="1"/>
  <c r="T542" i="1" a="1"/>
  <c r="T542" i="1" s="1"/>
  <c r="U542" i="1" s="1" a="1"/>
  <c r="U542" i="1" s="1"/>
  <c r="T543" i="1" a="1"/>
  <c r="T543" i="1" s="1"/>
  <c r="U543" i="1" s="1" a="1"/>
  <c r="U543" i="1" s="1"/>
  <c r="T544" i="1" a="1"/>
  <c r="T544" i="1" s="1"/>
  <c r="U544" i="1" s="1" a="1"/>
  <c r="U544" i="1" s="1"/>
  <c r="T545" i="1" a="1"/>
  <c r="T545" i="1" s="1"/>
  <c r="U545" i="1" s="1" a="1"/>
  <c r="U545" i="1" s="1"/>
  <c r="T546" i="1" a="1"/>
  <c r="T546" i="1" s="1"/>
  <c r="U546" i="1" s="1" a="1"/>
  <c r="U546" i="1" s="1"/>
  <c r="T547" i="1" a="1"/>
  <c r="T547" i="1" s="1"/>
  <c r="U547" i="1" s="1" a="1"/>
  <c r="U547" i="1" s="1"/>
  <c r="T548" i="1" a="1"/>
  <c r="T548" i="1" s="1"/>
  <c r="U548" i="1" s="1" a="1"/>
  <c r="U548" i="1" s="1"/>
  <c r="T549" i="1" a="1"/>
  <c r="T549" i="1" s="1"/>
  <c r="U549" i="1" s="1" a="1"/>
  <c r="U549" i="1" s="1"/>
  <c r="T550" i="1" a="1"/>
  <c r="T550" i="1" s="1"/>
  <c r="U550" i="1" s="1" a="1"/>
  <c r="U550" i="1" s="1"/>
  <c r="T551" i="1" a="1"/>
  <c r="T551" i="1" s="1"/>
  <c r="U551" i="1" s="1" a="1"/>
  <c r="U551" i="1" s="1"/>
  <c r="T552" i="1" a="1"/>
  <c r="T552" i="1" s="1"/>
  <c r="U552" i="1" s="1" a="1"/>
  <c r="U552" i="1" s="1"/>
  <c r="T553" i="1" a="1"/>
  <c r="T553" i="1" s="1"/>
  <c r="U553" i="1" s="1" a="1"/>
  <c r="U553" i="1" s="1"/>
  <c r="T554" i="1" a="1"/>
  <c r="T554" i="1" s="1"/>
  <c r="U554" i="1" s="1" a="1"/>
  <c r="U554" i="1" s="1"/>
  <c r="T555" i="1" a="1"/>
  <c r="T555" i="1" s="1"/>
  <c r="U555" i="1" s="1" a="1"/>
  <c r="U555" i="1" s="1"/>
  <c r="T556" i="1" a="1"/>
  <c r="T556" i="1" s="1"/>
  <c r="U556" i="1" s="1" a="1"/>
  <c r="U556" i="1" s="1"/>
  <c r="T557" i="1" a="1"/>
  <c r="T557" i="1" s="1"/>
  <c r="U557" i="1" s="1" a="1"/>
  <c r="U557" i="1" s="1"/>
  <c r="T558" i="1" a="1"/>
  <c r="T558" i="1" s="1"/>
  <c r="U558" i="1" s="1" a="1"/>
  <c r="U558" i="1" s="1"/>
  <c r="T559" i="1" a="1"/>
  <c r="T559" i="1" s="1"/>
  <c r="U559" i="1" s="1" a="1"/>
  <c r="U559" i="1" s="1"/>
  <c r="T560" i="1" a="1"/>
  <c r="T560" i="1" s="1"/>
  <c r="U560" i="1" s="1" a="1"/>
  <c r="U560" i="1" s="1"/>
  <c r="T561" i="1" a="1"/>
  <c r="T561" i="1" s="1"/>
  <c r="U561" i="1" s="1" a="1"/>
  <c r="U561" i="1" s="1"/>
  <c r="T562" i="1" a="1"/>
  <c r="T562" i="1" s="1"/>
  <c r="U562" i="1" s="1" a="1"/>
  <c r="U562" i="1" s="1"/>
  <c r="T563" i="1" a="1"/>
  <c r="T563" i="1" s="1"/>
  <c r="U563" i="1" s="1" a="1"/>
  <c r="U563" i="1" s="1"/>
  <c r="T564" i="1" a="1"/>
  <c r="T564" i="1" s="1"/>
  <c r="U564" i="1" s="1" a="1"/>
  <c r="U564" i="1" s="1"/>
  <c r="T565" i="1" a="1"/>
  <c r="T565" i="1" s="1"/>
  <c r="U565" i="1" s="1" a="1"/>
  <c r="U565" i="1" s="1"/>
  <c r="T566" i="1" a="1"/>
  <c r="T566" i="1" s="1"/>
  <c r="U566" i="1" s="1" a="1"/>
  <c r="U566" i="1" s="1"/>
  <c r="T567" i="1" a="1"/>
  <c r="T567" i="1" s="1"/>
  <c r="U567" i="1" s="1" a="1"/>
  <c r="U567" i="1" s="1"/>
  <c r="T568" i="1" a="1"/>
  <c r="T568" i="1" s="1"/>
  <c r="U568" i="1" s="1" a="1"/>
  <c r="U568" i="1" s="1"/>
  <c r="T569" i="1" a="1"/>
  <c r="T569" i="1" s="1"/>
  <c r="U569" i="1" s="1" a="1"/>
  <c r="U569" i="1" s="1"/>
  <c r="T570" i="1" a="1"/>
  <c r="T570" i="1" s="1"/>
  <c r="U570" i="1" s="1" a="1"/>
  <c r="U570" i="1" s="1"/>
  <c r="T571" i="1" a="1"/>
  <c r="T571" i="1" s="1"/>
  <c r="U571" i="1" s="1" a="1"/>
  <c r="U571" i="1" s="1"/>
  <c r="T572" i="1" a="1"/>
  <c r="T572" i="1" s="1"/>
  <c r="U572" i="1" s="1" a="1"/>
  <c r="U572" i="1" s="1"/>
  <c r="T573" i="1" a="1"/>
  <c r="T573" i="1" s="1"/>
  <c r="U573" i="1" s="1" a="1"/>
  <c r="U573" i="1" s="1"/>
  <c r="T574" i="1" a="1"/>
  <c r="T574" i="1" s="1"/>
  <c r="U574" i="1" s="1" a="1"/>
  <c r="U574" i="1" s="1"/>
  <c r="T575" i="1" a="1"/>
  <c r="T575" i="1" s="1"/>
  <c r="U575" i="1" s="1" a="1"/>
  <c r="U575" i="1" s="1"/>
  <c r="T576" i="1" a="1"/>
  <c r="T576" i="1" s="1"/>
  <c r="U576" i="1" s="1" a="1"/>
  <c r="U576" i="1" s="1"/>
  <c r="T577" i="1" a="1"/>
  <c r="T577" i="1" s="1"/>
  <c r="U577" i="1" s="1" a="1"/>
  <c r="U577" i="1" s="1"/>
  <c r="T578" i="1" a="1"/>
  <c r="T578" i="1" s="1"/>
  <c r="U578" i="1" s="1" a="1"/>
  <c r="U578" i="1" s="1"/>
  <c r="T579" i="1" a="1"/>
  <c r="T579" i="1" s="1"/>
  <c r="U579" i="1" s="1" a="1"/>
  <c r="U579" i="1" s="1"/>
  <c r="T580" i="1" a="1"/>
  <c r="T580" i="1" s="1"/>
  <c r="U580" i="1" s="1" a="1"/>
  <c r="U580" i="1" s="1"/>
  <c r="T581" i="1" a="1"/>
  <c r="T581" i="1" s="1"/>
  <c r="U581" i="1" s="1" a="1"/>
  <c r="U581" i="1" s="1"/>
  <c r="T582" i="1" a="1"/>
  <c r="T582" i="1" s="1"/>
  <c r="U582" i="1" s="1" a="1"/>
  <c r="U582" i="1" s="1"/>
  <c r="T583" i="1" a="1"/>
  <c r="T583" i="1" s="1"/>
  <c r="U583" i="1" s="1" a="1"/>
  <c r="U583" i="1" s="1"/>
  <c r="T584" i="1" a="1"/>
  <c r="T584" i="1" s="1"/>
  <c r="U584" i="1" s="1" a="1"/>
  <c r="U584" i="1" s="1"/>
  <c r="T585" i="1" a="1"/>
  <c r="T585" i="1" s="1"/>
  <c r="U585" i="1" s="1" a="1"/>
  <c r="U585" i="1" s="1"/>
  <c r="T586" i="1" a="1"/>
  <c r="T586" i="1" s="1"/>
  <c r="U586" i="1" s="1" a="1"/>
  <c r="U586" i="1" s="1"/>
  <c r="T587" i="1" a="1"/>
  <c r="T587" i="1" s="1"/>
  <c r="U587" i="1" s="1" a="1"/>
  <c r="U587" i="1" s="1"/>
  <c r="T588" i="1" a="1"/>
  <c r="T588" i="1" s="1"/>
  <c r="U588" i="1" s="1" a="1"/>
  <c r="U588" i="1" s="1"/>
  <c r="T589" i="1" a="1"/>
  <c r="T589" i="1" s="1"/>
  <c r="U589" i="1" s="1" a="1"/>
  <c r="U589" i="1" s="1"/>
  <c r="T590" i="1" a="1"/>
  <c r="T590" i="1" s="1"/>
  <c r="U590" i="1" s="1" a="1"/>
  <c r="U590" i="1" s="1"/>
  <c r="T591" i="1" a="1"/>
  <c r="T591" i="1" s="1"/>
  <c r="U591" i="1" s="1" a="1"/>
  <c r="U591" i="1" s="1"/>
  <c r="T592" i="1" a="1"/>
  <c r="T592" i="1" s="1"/>
  <c r="U592" i="1" s="1" a="1"/>
  <c r="U592" i="1" s="1"/>
  <c r="T593" i="1" a="1"/>
  <c r="T593" i="1" s="1"/>
  <c r="U593" i="1" s="1" a="1"/>
  <c r="U593" i="1" s="1"/>
  <c r="T594" i="1" a="1"/>
  <c r="T594" i="1" s="1"/>
  <c r="U594" i="1" s="1" a="1"/>
  <c r="U594" i="1" s="1"/>
  <c r="T595" i="1" a="1"/>
  <c r="T595" i="1" s="1"/>
  <c r="U595" i="1" s="1" a="1"/>
  <c r="U595" i="1" s="1"/>
  <c r="T596" i="1" a="1"/>
  <c r="T596" i="1" s="1"/>
  <c r="U596" i="1" s="1" a="1"/>
  <c r="U596" i="1" s="1"/>
  <c r="T597" i="1" a="1"/>
  <c r="T597" i="1" s="1"/>
  <c r="U597" i="1" s="1" a="1"/>
  <c r="U597" i="1" s="1"/>
  <c r="T598" i="1" a="1"/>
  <c r="T598" i="1" s="1"/>
  <c r="U598" i="1" s="1" a="1"/>
  <c r="U598" i="1" s="1"/>
  <c r="T599" i="1" a="1"/>
  <c r="T599" i="1" s="1"/>
  <c r="U599" i="1" s="1" a="1"/>
  <c r="U599" i="1" s="1"/>
  <c r="T600" i="1" a="1"/>
  <c r="T600" i="1" s="1"/>
  <c r="U600" i="1" s="1" a="1"/>
  <c r="U600" i="1" s="1"/>
  <c r="T601" i="1" a="1"/>
  <c r="T601" i="1" s="1"/>
  <c r="U601" i="1" s="1" a="1"/>
  <c r="U601" i="1" s="1"/>
  <c r="T602" i="1" a="1"/>
  <c r="T602" i="1" s="1"/>
  <c r="U602" i="1" s="1" a="1"/>
  <c r="U602" i="1" s="1"/>
  <c r="T603" i="1" a="1"/>
  <c r="T603" i="1" s="1"/>
  <c r="U603" i="1" s="1" a="1"/>
  <c r="U603" i="1" s="1"/>
  <c r="T604" i="1" a="1"/>
  <c r="T604" i="1" s="1"/>
  <c r="U604" i="1" s="1" a="1"/>
  <c r="U604" i="1" s="1"/>
  <c r="T605" i="1" a="1"/>
  <c r="T605" i="1" s="1"/>
  <c r="U605" i="1" s="1" a="1"/>
  <c r="U605" i="1" s="1"/>
  <c r="T606" i="1" a="1"/>
  <c r="T606" i="1" s="1"/>
  <c r="U606" i="1" s="1" a="1"/>
  <c r="U606" i="1" s="1"/>
  <c r="T607" i="1" a="1"/>
  <c r="T607" i="1" s="1"/>
  <c r="U607" i="1" s="1" a="1"/>
  <c r="U607" i="1" s="1"/>
  <c r="T608" i="1" a="1"/>
  <c r="T608" i="1" s="1"/>
  <c r="U608" i="1" s="1" a="1"/>
  <c r="U608" i="1" s="1"/>
  <c r="T609" i="1" a="1"/>
  <c r="T609" i="1" s="1"/>
  <c r="U609" i="1" s="1" a="1"/>
  <c r="U609" i="1" s="1"/>
  <c r="T610" i="1" a="1"/>
  <c r="T610" i="1" s="1"/>
  <c r="U610" i="1" s="1" a="1"/>
  <c r="U610" i="1" s="1"/>
  <c r="T611" i="1" a="1"/>
  <c r="T611" i="1" s="1"/>
  <c r="U611" i="1" s="1" a="1"/>
  <c r="U611" i="1" s="1"/>
  <c r="T612" i="1" a="1"/>
  <c r="T612" i="1" s="1"/>
  <c r="U612" i="1" s="1" a="1"/>
  <c r="U612" i="1" s="1"/>
  <c r="T613" i="1" a="1"/>
  <c r="T613" i="1" s="1"/>
  <c r="U613" i="1" s="1" a="1"/>
  <c r="U613" i="1" s="1"/>
  <c r="T614" i="1" a="1"/>
  <c r="T614" i="1" s="1"/>
  <c r="U614" i="1" s="1" a="1"/>
  <c r="U614" i="1" s="1"/>
  <c r="T615" i="1" a="1"/>
  <c r="T615" i="1" s="1"/>
  <c r="U615" i="1" s="1" a="1"/>
  <c r="U615" i="1" s="1"/>
  <c r="T616" i="1" a="1"/>
  <c r="T616" i="1" s="1"/>
  <c r="U616" i="1" s="1" a="1"/>
  <c r="U616" i="1" s="1"/>
  <c r="T617" i="1" a="1"/>
  <c r="T617" i="1" s="1"/>
  <c r="U617" i="1" s="1" a="1"/>
  <c r="U617" i="1" s="1"/>
  <c r="T618" i="1" a="1"/>
  <c r="T618" i="1" s="1"/>
  <c r="U618" i="1" s="1" a="1"/>
  <c r="U618" i="1" s="1"/>
  <c r="T619" i="1" a="1"/>
  <c r="T619" i="1" s="1"/>
  <c r="U619" i="1" s="1" a="1"/>
  <c r="U619" i="1" s="1"/>
  <c r="T620" i="1" a="1"/>
  <c r="T620" i="1" s="1"/>
  <c r="U620" i="1" s="1" a="1"/>
  <c r="U620" i="1" s="1"/>
  <c r="T621" i="1" a="1"/>
  <c r="T621" i="1" s="1"/>
  <c r="U621" i="1" s="1" a="1"/>
  <c r="U621" i="1" s="1"/>
  <c r="T622" i="1" a="1"/>
  <c r="T622" i="1" s="1"/>
  <c r="U622" i="1" s="1" a="1"/>
  <c r="U622" i="1" s="1"/>
  <c r="T623" i="1" a="1"/>
  <c r="T623" i="1" s="1"/>
  <c r="U623" i="1" s="1" a="1"/>
  <c r="U623" i="1" s="1"/>
  <c r="T624" i="1" a="1"/>
  <c r="T624" i="1" s="1"/>
  <c r="U624" i="1" s="1" a="1"/>
  <c r="U624" i="1" s="1"/>
  <c r="T625" i="1" a="1"/>
  <c r="T625" i="1" s="1"/>
  <c r="U625" i="1" s="1" a="1"/>
  <c r="U625" i="1" s="1"/>
  <c r="T626" i="1" a="1"/>
  <c r="T626" i="1" s="1"/>
  <c r="U626" i="1" s="1" a="1"/>
  <c r="U626" i="1" s="1"/>
  <c r="T627" i="1" a="1"/>
  <c r="T627" i="1" s="1"/>
  <c r="U627" i="1" s="1" a="1"/>
  <c r="U627" i="1" s="1"/>
  <c r="T628" i="1" a="1"/>
  <c r="T628" i="1" s="1"/>
  <c r="U628" i="1" s="1" a="1"/>
  <c r="U628" i="1" s="1"/>
  <c r="T629" i="1" a="1"/>
  <c r="T629" i="1" s="1"/>
  <c r="U629" i="1" s="1" a="1"/>
  <c r="U629" i="1" s="1"/>
  <c r="T630" i="1" a="1"/>
  <c r="T630" i="1" s="1"/>
  <c r="U630" i="1" s="1" a="1"/>
  <c r="U630" i="1" s="1"/>
  <c r="T631" i="1" a="1"/>
  <c r="T631" i="1" s="1"/>
  <c r="U631" i="1" s="1" a="1"/>
  <c r="U631" i="1" s="1"/>
  <c r="T632" i="1" a="1"/>
  <c r="T632" i="1" s="1"/>
  <c r="U632" i="1" s="1" a="1"/>
  <c r="U632" i="1" s="1"/>
  <c r="T633" i="1" a="1"/>
  <c r="T633" i="1" s="1"/>
  <c r="U633" i="1" s="1" a="1"/>
  <c r="U633" i="1" s="1"/>
  <c r="T634" i="1" a="1"/>
  <c r="T634" i="1" s="1"/>
  <c r="U634" i="1" s="1" a="1"/>
  <c r="U634" i="1" s="1"/>
  <c r="T635" i="1" a="1"/>
  <c r="T635" i="1" s="1"/>
  <c r="U635" i="1" s="1" a="1"/>
  <c r="U635" i="1" s="1"/>
  <c r="T636" i="1" a="1"/>
  <c r="T636" i="1" s="1"/>
  <c r="U636" i="1" s="1" a="1"/>
  <c r="U636" i="1" s="1"/>
  <c r="T637" i="1" a="1"/>
  <c r="T637" i="1" s="1"/>
  <c r="U637" i="1" s="1" a="1"/>
  <c r="U637" i="1" s="1"/>
  <c r="T638" i="1" a="1"/>
  <c r="T638" i="1" s="1"/>
  <c r="U638" i="1" s="1" a="1"/>
  <c r="U638" i="1" s="1"/>
  <c r="T639" i="1" a="1"/>
  <c r="T639" i="1" s="1"/>
  <c r="U639" i="1" s="1" a="1"/>
  <c r="U639" i="1" s="1"/>
  <c r="T640" i="1" a="1"/>
  <c r="T640" i="1" s="1"/>
  <c r="U640" i="1" s="1" a="1"/>
  <c r="U640" i="1" s="1"/>
  <c r="T641" i="1" a="1"/>
  <c r="T641" i="1" s="1"/>
  <c r="U641" i="1" s="1" a="1"/>
  <c r="U641" i="1" s="1"/>
  <c r="T642" i="1" a="1"/>
  <c r="T642" i="1" s="1"/>
  <c r="U642" i="1" s="1" a="1"/>
  <c r="U642" i="1" s="1"/>
  <c r="T643" i="1" a="1"/>
  <c r="T643" i="1" s="1"/>
  <c r="U643" i="1" s="1" a="1"/>
  <c r="U643" i="1" s="1"/>
  <c r="T644" i="1" a="1"/>
  <c r="T644" i="1" s="1"/>
  <c r="U644" i="1" s="1" a="1"/>
  <c r="U644" i="1" s="1"/>
  <c r="T645" i="1" a="1"/>
  <c r="T645" i="1" s="1"/>
  <c r="U645" i="1" s="1" a="1"/>
  <c r="U645" i="1" s="1"/>
  <c r="T646" i="1" a="1"/>
  <c r="T646" i="1" s="1"/>
  <c r="U646" i="1" s="1" a="1"/>
  <c r="U646" i="1" s="1"/>
  <c r="T647" i="1" a="1"/>
  <c r="T647" i="1" s="1"/>
  <c r="U647" i="1" s="1" a="1"/>
  <c r="U647" i="1" s="1"/>
  <c r="T648" i="1" a="1"/>
  <c r="T648" i="1" s="1"/>
  <c r="U648" i="1" s="1" a="1"/>
  <c r="U648" i="1" s="1"/>
  <c r="T649" i="1" a="1"/>
  <c r="T649" i="1" s="1"/>
  <c r="U649" i="1" s="1" a="1"/>
  <c r="U649" i="1" s="1"/>
  <c r="T650" i="1" a="1"/>
  <c r="T650" i="1" s="1"/>
  <c r="U650" i="1" s="1" a="1"/>
  <c r="U650" i="1" s="1"/>
  <c r="T651" i="1" a="1"/>
  <c r="T651" i="1" s="1"/>
  <c r="U651" i="1" s="1" a="1"/>
  <c r="U651" i="1" s="1"/>
  <c r="T652" i="1" a="1"/>
  <c r="T652" i="1" s="1"/>
  <c r="U652" i="1" s="1" a="1"/>
  <c r="U652" i="1" s="1"/>
  <c r="T653" i="1" a="1"/>
  <c r="T653" i="1" s="1"/>
  <c r="U653" i="1" s="1" a="1"/>
  <c r="U653" i="1" s="1"/>
  <c r="T654" i="1" a="1"/>
  <c r="T654" i="1" s="1"/>
  <c r="U654" i="1" s="1" a="1"/>
  <c r="U654" i="1" s="1"/>
  <c r="T655" i="1" a="1"/>
  <c r="T655" i="1" s="1"/>
  <c r="U655" i="1" s="1" a="1"/>
  <c r="U655" i="1" s="1"/>
  <c r="T656" i="1" a="1"/>
  <c r="T656" i="1" s="1"/>
  <c r="U656" i="1" s="1" a="1"/>
  <c r="U656" i="1" s="1"/>
  <c r="T657" i="1" a="1"/>
  <c r="T657" i="1" s="1"/>
  <c r="U657" i="1" s="1" a="1"/>
  <c r="U657" i="1" s="1"/>
  <c r="T658" i="1" a="1"/>
  <c r="T658" i="1" s="1"/>
  <c r="U658" i="1" s="1" a="1"/>
  <c r="U658" i="1" s="1"/>
  <c r="T659" i="1" a="1"/>
  <c r="T659" i="1" s="1"/>
  <c r="U659" i="1" s="1" a="1"/>
  <c r="U659" i="1" s="1"/>
  <c r="T660" i="1" a="1"/>
  <c r="T660" i="1" s="1"/>
  <c r="U660" i="1" s="1" a="1"/>
  <c r="U660" i="1" s="1"/>
  <c r="T661" i="1" a="1"/>
  <c r="T661" i="1" s="1"/>
  <c r="U661" i="1" s="1" a="1"/>
  <c r="U661" i="1" s="1"/>
  <c r="T662" i="1" a="1"/>
  <c r="T662" i="1" s="1"/>
  <c r="U662" i="1" s="1" a="1"/>
  <c r="U662" i="1" s="1"/>
  <c r="T663" i="1" a="1"/>
  <c r="T663" i="1" s="1"/>
  <c r="U663" i="1" s="1" a="1"/>
  <c r="U663" i="1" s="1"/>
  <c r="T664" i="1" a="1"/>
  <c r="T664" i="1" s="1"/>
  <c r="U664" i="1" s="1" a="1"/>
  <c r="U664" i="1" s="1"/>
  <c r="T665" i="1" a="1"/>
  <c r="T665" i="1" s="1"/>
  <c r="U665" i="1" s="1" a="1"/>
  <c r="U665" i="1" s="1"/>
  <c r="T666" i="1" a="1"/>
  <c r="T666" i="1" s="1"/>
  <c r="U666" i="1" s="1" a="1"/>
  <c r="U666" i="1" s="1"/>
  <c r="T667" i="1" a="1"/>
  <c r="T667" i="1" s="1"/>
  <c r="U667" i="1" s="1" a="1"/>
  <c r="U667" i="1" s="1"/>
  <c r="T668" i="1" a="1"/>
  <c r="T668" i="1" s="1"/>
  <c r="U668" i="1" s="1" a="1"/>
  <c r="U668" i="1" s="1"/>
  <c r="T669" i="1" a="1"/>
  <c r="T669" i="1" s="1"/>
  <c r="U669" i="1" s="1" a="1"/>
  <c r="U669" i="1" s="1"/>
  <c r="T670" i="1" a="1"/>
  <c r="T670" i="1" s="1"/>
  <c r="U670" i="1" s="1" a="1"/>
  <c r="U670" i="1" s="1"/>
  <c r="T671" i="1" a="1"/>
  <c r="T671" i="1" s="1"/>
  <c r="U671" i="1" s="1" a="1"/>
  <c r="U671" i="1" s="1"/>
  <c r="T672" i="1" a="1"/>
  <c r="T672" i="1" s="1"/>
  <c r="U672" i="1" s="1" a="1"/>
  <c r="U672" i="1" s="1"/>
  <c r="T673" i="1" a="1"/>
  <c r="T673" i="1" s="1"/>
  <c r="U673" i="1" s="1" a="1"/>
  <c r="U673" i="1" s="1"/>
  <c r="T674" i="1" a="1"/>
  <c r="T674" i="1" s="1"/>
  <c r="U674" i="1" s="1" a="1"/>
  <c r="U674" i="1" s="1"/>
  <c r="T675" i="1" a="1"/>
  <c r="T675" i="1" s="1"/>
  <c r="U675" i="1" s="1" a="1"/>
  <c r="U675" i="1" s="1"/>
  <c r="T676" i="1" a="1"/>
  <c r="T676" i="1" s="1"/>
  <c r="U676" i="1" s="1" a="1"/>
  <c r="U676" i="1" s="1"/>
  <c r="T677" i="1" a="1"/>
  <c r="T677" i="1" s="1"/>
  <c r="U677" i="1" s="1" a="1"/>
  <c r="U677" i="1" s="1"/>
  <c r="T678" i="1" a="1"/>
  <c r="T678" i="1" s="1"/>
  <c r="U678" i="1" s="1" a="1"/>
  <c r="U678" i="1" s="1"/>
  <c r="T679" i="1" a="1"/>
  <c r="T679" i="1" s="1"/>
  <c r="U679" i="1" s="1" a="1"/>
  <c r="U679" i="1" s="1"/>
  <c r="T680" i="1" a="1"/>
  <c r="T680" i="1" s="1"/>
  <c r="U680" i="1" s="1" a="1"/>
  <c r="U680" i="1" s="1"/>
  <c r="T681" i="1" a="1"/>
  <c r="T681" i="1" s="1"/>
  <c r="U681" i="1" s="1" a="1"/>
  <c r="U681" i="1" s="1"/>
  <c r="T682" i="1" a="1"/>
  <c r="T682" i="1" s="1"/>
  <c r="U682" i="1" s="1" a="1"/>
  <c r="U682" i="1" s="1"/>
  <c r="T683" i="1" a="1"/>
  <c r="T683" i="1" s="1"/>
  <c r="U683" i="1" s="1" a="1"/>
  <c r="U683" i="1" s="1"/>
  <c r="T684" i="1" a="1"/>
  <c r="T684" i="1" s="1"/>
  <c r="U684" i="1" s="1" a="1"/>
  <c r="U684" i="1" s="1"/>
  <c r="T685" i="1" a="1"/>
  <c r="T685" i="1" s="1"/>
  <c r="U685" i="1" s="1" a="1"/>
  <c r="U685" i="1" s="1"/>
  <c r="T686" i="1" a="1"/>
  <c r="T686" i="1" s="1"/>
  <c r="U686" i="1" s="1" a="1"/>
  <c r="U686" i="1" s="1"/>
  <c r="T687" i="1" a="1"/>
  <c r="T687" i="1" s="1"/>
  <c r="U687" i="1" s="1" a="1"/>
  <c r="U687" i="1" s="1"/>
  <c r="T688" i="1" a="1"/>
  <c r="T688" i="1" s="1"/>
  <c r="U688" i="1" s="1" a="1"/>
  <c r="U688" i="1" s="1"/>
  <c r="T689" i="1" a="1"/>
  <c r="T689" i="1" s="1"/>
  <c r="U689" i="1" s="1" a="1"/>
  <c r="U689" i="1" s="1"/>
  <c r="T690" i="1" a="1"/>
  <c r="T690" i="1" s="1"/>
  <c r="U690" i="1" s="1" a="1"/>
  <c r="U690" i="1" s="1"/>
  <c r="T691" i="1" a="1"/>
  <c r="T691" i="1" s="1"/>
  <c r="U691" i="1" s="1" a="1"/>
  <c r="U691" i="1" s="1"/>
  <c r="T692" i="1" a="1"/>
  <c r="T692" i="1" s="1"/>
  <c r="U692" i="1" s="1" a="1"/>
  <c r="U692" i="1" s="1"/>
  <c r="T693" i="1" a="1"/>
  <c r="T693" i="1" s="1"/>
  <c r="U693" i="1" s="1" a="1"/>
  <c r="U693" i="1" s="1"/>
  <c r="T694" i="1" a="1"/>
  <c r="T694" i="1" s="1"/>
  <c r="U694" i="1" s="1" a="1"/>
  <c r="U694" i="1" s="1"/>
  <c r="T695" i="1" a="1"/>
  <c r="T695" i="1" s="1"/>
  <c r="U695" i="1" s="1" a="1"/>
  <c r="U695" i="1" s="1"/>
  <c r="T696" i="1" a="1"/>
  <c r="T696" i="1" s="1"/>
  <c r="U696" i="1" s="1" a="1"/>
  <c r="U696" i="1" s="1"/>
  <c r="T697" i="1" a="1"/>
  <c r="T697" i="1" s="1"/>
  <c r="U697" i="1" s="1" a="1"/>
  <c r="U697" i="1" s="1"/>
  <c r="T698" i="1" a="1"/>
  <c r="T698" i="1" s="1"/>
  <c r="U698" i="1" s="1" a="1"/>
  <c r="U698" i="1" s="1"/>
  <c r="T699" i="1" a="1"/>
  <c r="T699" i="1" s="1"/>
  <c r="U699" i="1" s="1" a="1"/>
  <c r="U699" i="1" s="1"/>
  <c r="T700" i="1" a="1"/>
  <c r="T700" i="1" s="1"/>
  <c r="U700" i="1" s="1" a="1"/>
  <c r="U700" i="1" s="1"/>
  <c r="T701" i="1" a="1"/>
  <c r="T701" i="1" s="1"/>
  <c r="U701" i="1" s="1" a="1"/>
  <c r="U701" i="1" s="1"/>
  <c r="T702" i="1" a="1"/>
  <c r="T702" i="1" s="1"/>
  <c r="U702" i="1" s="1" a="1"/>
  <c r="U702" i="1" s="1"/>
  <c r="T703" i="1" a="1"/>
  <c r="T703" i="1" s="1"/>
  <c r="U703" i="1" s="1" a="1"/>
  <c r="U703" i="1" s="1"/>
  <c r="T704" i="1" a="1"/>
  <c r="T704" i="1" s="1"/>
  <c r="U704" i="1" s="1" a="1"/>
  <c r="U704" i="1" s="1"/>
  <c r="T705" i="1" a="1"/>
  <c r="T705" i="1" s="1"/>
  <c r="U705" i="1" s="1" a="1"/>
  <c r="U705" i="1" s="1"/>
  <c r="T706" i="1" a="1"/>
  <c r="T706" i="1" s="1"/>
  <c r="U706" i="1" s="1" a="1"/>
  <c r="U706" i="1" s="1"/>
  <c r="T707" i="1" a="1"/>
  <c r="T707" i="1" s="1"/>
  <c r="U707" i="1" s="1" a="1"/>
  <c r="U707" i="1" s="1"/>
  <c r="T708" i="1" a="1"/>
  <c r="T708" i="1" s="1"/>
  <c r="U708" i="1" s="1" a="1"/>
  <c r="U708" i="1" s="1"/>
  <c r="T709" i="1" a="1"/>
  <c r="T709" i="1" s="1"/>
  <c r="U709" i="1" s="1" a="1"/>
  <c r="U709" i="1" s="1"/>
  <c r="T710" i="1" a="1"/>
  <c r="T710" i="1" s="1"/>
  <c r="U710" i="1" s="1" a="1"/>
  <c r="U710" i="1" s="1"/>
  <c r="T711" i="1" a="1"/>
  <c r="T711" i="1" s="1"/>
  <c r="U711" i="1" s="1" a="1"/>
  <c r="U711" i="1" s="1"/>
  <c r="T712" i="1" a="1"/>
  <c r="T712" i="1" s="1"/>
  <c r="U712" i="1" s="1" a="1"/>
  <c r="U712" i="1" s="1"/>
  <c r="T713" i="1" a="1"/>
  <c r="T713" i="1" s="1"/>
  <c r="U713" i="1" s="1" a="1"/>
  <c r="U713" i="1" s="1"/>
  <c r="T714" i="1" a="1"/>
  <c r="T714" i="1" s="1"/>
  <c r="U714" i="1" s="1" a="1"/>
  <c r="U714" i="1" s="1"/>
  <c r="T715" i="1" a="1"/>
  <c r="T715" i="1" s="1"/>
  <c r="U715" i="1" s="1" a="1"/>
  <c r="U715" i="1" s="1"/>
  <c r="T716" i="1" a="1"/>
  <c r="T716" i="1" s="1"/>
  <c r="U716" i="1" s="1" a="1"/>
  <c r="U716" i="1" s="1"/>
  <c r="T717" i="1" a="1"/>
  <c r="T717" i="1" s="1"/>
  <c r="U717" i="1" s="1" a="1"/>
  <c r="U717" i="1" s="1"/>
  <c r="T718" i="1" a="1"/>
  <c r="T718" i="1" s="1"/>
  <c r="U718" i="1" s="1" a="1"/>
  <c r="U718" i="1" s="1"/>
  <c r="T719" i="1" a="1"/>
  <c r="T719" i="1" s="1"/>
  <c r="U719" i="1" s="1" a="1"/>
  <c r="U719" i="1" s="1"/>
  <c r="T720" i="1" a="1"/>
  <c r="T720" i="1" s="1"/>
  <c r="U720" i="1" s="1" a="1"/>
  <c r="U720" i="1" s="1"/>
  <c r="T721" i="1" a="1"/>
  <c r="T721" i="1" s="1"/>
  <c r="U721" i="1" s="1" a="1"/>
  <c r="U721" i="1" s="1"/>
  <c r="T722" i="1" a="1"/>
  <c r="T722" i="1" s="1"/>
  <c r="U722" i="1" s="1" a="1"/>
  <c r="U722" i="1" s="1"/>
  <c r="T723" i="1" a="1"/>
  <c r="T723" i="1" s="1"/>
  <c r="U723" i="1" s="1" a="1"/>
  <c r="U723" i="1" s="1"/>
  <c r="T724" i="1" a="1"/>
  <c r="T724" i="1" s="1"/>
  <c r="U724" i="1" s="1" a="1"/>
  <c r="U724" i="1" s="1"/>
  <c r="T725" i="1" a="1"/>
  <c r="T725" i="1" s="1"/>
  <c r="U725" i="1" s="1" a="1"/>
  <c r="U725" i="1" s="1"/>
  <c r="T726" i="1" a="1"/>
  <c r="T726" i="1" s="1"/>
  <c r="U726" i="1" s="1" a="1"/>
  <c r="U726" i="1" s="1"/>
  <c r="T727" i="1" a="1"/>
  <c r="T727" i="1" s="1"/>
  <c r="U727" i="1" s="1" a="1"/>
  <c r="U727" i="1" s="1"/>
  <c r="T728" i="1" a="1"/>
  <c r="T728" i="1" s="1"/>
  <c r="U728" i="1" s="1" a="1"/>
  <c r="U728" i="1" s="1"/>
  <c r="T729" i="1" a="1"/>
  <c r="T729" i="1" s="1"/>
  <c r="U729" i="1" s="1" a="1"/>
  <c r="U729" i="1" s="1"/>
  <c r="T730" i="1" a="1"/>
  <c r="T730" i="1" s="1"/>
  <c r="U730" i="1" s="1" a="1"/>
  <c r="U730" i="1" s="1"/>
  <c r="T731" i="1" a="1"/>
  <c r="T731" i="1" s="1"/>
  <c r="U731" i="1" s="1" a="1"/>
  <c r="U731" i="1" s="1"/>
  <c r="T732" i="1" a="1"/>
  <c r="T732" i="1" s="1"/>
  <c r="U732" i="1" s="1" a="1"/>
  <c r="U732" i="1" s="1"/>
  <c r="T733" i="1" a="1"/>
  <c r="T733" i="1" s="1"/>
  <c r="U733" i="1" s="1" a="1"/>
  <c r="U733" i="1" s="1"/>
  <c r="T734" i="1" a="1"/>
  <c r="T734" i="1" s="1"/>
  <c r="U734" i="1" s="1" a="1"/>
  <c r="U734" i="1" s="1"/>
  <c r="T735" i="1" a="1"/>
  <c r="T735" i="1" s="1"/>
  <c r="U735" i="1" s="1" a="1"/>
  <c r="U735" i="1" s="1"/>
  <c r="T736" i="1" a="1"/>
  <c r="T736" i="1" s="1"/>
  <c r="U736" i="1" s="1" a="1"/>
  <c r="U736" i="1" s="1"/>
  <c r="T737" i="1" a="1"/>
  <c r="T737" i="1" s="1"/>
  <c r="U737" i="1" s="1" a="1"/>
  <c r="U737" i="1" s="1"/>
  <c r="T738" i="1" a="1"/>
  <c r="T738" i="1" s="1"/>
  <c r="U738" i="1" s="1" a="1"/>
  <c r="U738" i="1" s="1"/>
  <c r="T739" i="1" a="1"/>
  <c r="T739" i="1" s="1"/>
  <c r="U739" i="1" s="1" a="1"/>
  <c r="U739" i="1" s="1"/>
  <c r="T740" i="1" a="1"/>
  <c r="T740" i="1" s="1"/>
  <c r="U740" i="1" s="1" a="1"/>
  <c r="U740" i="1" s="1"/>
  <c r="T741" i="1" a="1"/>
  <c r="T741" i="1" s="1"/>
  <c r="U741" i="1" s="1" a="1"/>
  <c r="U741" i="1" s="1"/>
  <c r="T742" i="1" a="1"/>
  <c r="T742" i="1" s="1"/>
  <c r="U742" i="1" s="1" a="1"/>
  <c r="U742" i="1" s="1"/>
  <c r="T743" i="1" a="1"/>
  <c r="T743" i="1" s="1"/>
  <c r="U743" i="1" s="1" a="1"/>
  <c r="U743" i="1" s="1"/>
  <c r="T744" i="1" a="1"/>
  <c r="T744" i="1" s="1"/>
  <c r="U744" i="1" s="1" a="1"/>
  <c r="U744" i="1" s="1"/>
  <c r="T745" i="1" a="1"/>
  <c r="T745" i="1" s="1"/>
  <c r="U745" i="1" s="1" a="1"/>
  <c r="U745" i="1" s="1"/>
  <c r="T746" i="1" a="1"/>
  <c r="T746" i="1" s="1"/>
  <c r="U746" i="1" s="1" a="1"/>
  <c r="U746" i="1" s="1"/>
  <c r="T747" i="1" a="1"/>
  <c r="T747" i="1" s="1"/>
  <c r="U747" i="1" s="1" a="1"/>
  <c r="U747" i="1" s="1"/>
  <c r="T748" i="1" a="1"/>
  <c r="T748" i="1" s="1"/>
  <c r="U748" i="1" s="1" a="1"/>
  <c r="U748" i="1" s="1"/>
  <c r="T749" i="1" a="1"/>
  <c r="T749" i="1" s="1"/>
  <c r="U749" i="1" s="1" a="1"/>
  <c r="U749" i="1" s="1"/>
  <c r="T750" i="1" a="1"/>
  <c r="T750" i="1" s="1"/>
  <c r="U750" i="1" s="1" a="1"/>
  <c r="U750" i="1" s="1"/>
  <c r="T751" i="1" a="1"/>
  <c r="T751" i="1" s="1"/>
  <c r="U751" i="1" s="1" a="1"/>
  <c r="U751" i="1" s="1"/>
  <c r="T752" i="1" a="1"/>
  <c r="T752" i="1" s="1"/>
  <c r="U752" i="1" s="1" a="1"/>
  <c r="U752" i="1" s="1"/>
  <c r="T753" i="1" a="1"/>
  <c r="T753" i="1" s="1"/>
  <c r="U753" i="1" s="1" a="1"/>
  <c r="U753" i="1" s="1"/>
  <c r="T754" i="1" a="1"/>
  <c r="T754" i="1" s="1"/>
  <c r="U754" i="1" s="1" a="1"/>
  <c r="U754" i="1" s="1"/>
  <c r="T755" i="1" a="1"/>
  <c r="T755" i="1" s="1"/>
  <c r="U755" i="1" s="1" a="1"/>
  <c r="U755" i="1" s="1"/>
  <c r="T756" i="1" a="1"/>
  <c r="T756" i="1" s="1"/>
  <c r="U756" i="1" s="1" a="1"/>
  <c r="U756" i="1" s="1"/>
  <c r="T757" i="1" a="1"/>
  <c r="T757" i="1" s="1"/>
  <c r="U757" i="1" s="1" a="1"/>
  <c r="U757" i="1" s="1"/>
  <c r="T758" i="1" a="1"/>
  <c r="T758" i="1" s="1"/>
  <c r="U758" i="1" s="1" a="1"/>
  <c r="U758" i="1" s="1"/>
  <c r="T759" i="1" a="1"/>
  <c r="T759" i="1" s="1"/>
  <c r="U759" i="1" s="1" a="1"/>
  <c r="U759" i="1" s="1"/>
  <c r="T760" i="1" a="1"/>
  <c r="T760" i="1" s="1"/>
  <c r="U760" i="1" s="1" a="1"/>
  <c r="U760" i="1" s="1"/>
  <c r="T761" i="1" a="1"/>
  <c r="T761" i="1" s="1"/>
  <c r="U761" i="1" s="1" a="1"/>
  <c r="U761" i="1" s="1"/>
  <c r="T762" i="1" a="1"/>
  <c r="T762" i="1" s="1"/>
  <c r="U762" i="1" s="1" a="1"/>
  <c r="U762" i="1" s="1"/>
  <c r="T763" i="1" a="1"/>
  <c r="T763" i="1" s="1"/>
  <c r="U763" i="1" s="1" a="1"/>
  <c r="U763" i="1" s="1"/>
  <c r="T764" i="1" a="1"/>
  <c r="T764" i="1" s="1"/>
  <c r="U764" i="1" s="1" a="1"/>
  <c r="U764" i="1" s="1"/>
  <c r="T765" i="1" a="1"/>
  <c r="T765" i="1" s="1"/>
  <c r="U765" i="1" s="1" a="1"/>
  <c r="U765" i="1" s="1"/>
  <c r="T766" i="1" a="1"/>
  <c r="T766" i="1" s="1"/>
  <c r="U766" i="1" s="1" a="1"/>
  <c r="U766" i="1" s="1"/>
  <c r="T767" i="1" a="1"/>
  <c r="T767" i="1" s="1"/>
  <c r="U767" i="1" s="1" a="1"/>
  <c r="U767" i="1" s="1"/>
  <c r="T768" i="1" a="1"/>
  <c r="T768" i="1" s="1"/>
  <c r="U768" i="1" s="1" a="1"/>
  <c r="U768" i="1" s="1"/>
  <c r="T769" i="1" a="1"/>
  <c r="T769" i="1" s="1"/>
  <c r="U769" i="1" s="1" a="1"/>
  <c r="U769" i="1" s="1"/>
  <c r="T770" i="1" a="1"/>
  <c r="T770" i="1" s="1"/>
  <c r="U770" i="1" s="1" a="1"/>
  <c r="U770" i="1" s="1"/>
  <c r="T771" i="1" a="1"/>
  <c r="T771" i="1" s="1"/>
  <c r="U771" i="1" s="1" a="1"/>
  <c r="U771" i="1" s="1"/>
  <c r="T772" i="1" a="1"/>
  <c r="T772" i="1" s="1"/>
  <c r="U772" i="1" s="1" a="1"/>
  <c r="U772" i="1" s="1"/>
  <c r="T773" i="1" a="1"/>
  <c r="T773" i="1" s="1"/>
  <c r="U773" i="1" s="1" a="1"/>
  <c r="U773" i="1" s="1"/>
  <c r="T774" i="1" a="1"/>
  <c r="T774" i="1" s="1"/>
  <c r="U774" i="1" s="1" a="1"/>
  <c r="U774" i="1" s="1"/>
  <c r="T775" i="1" a="1"/>
  <c r="T775" i="1" s="1"/>
  <c r="U775" i="1" s="1" a="1"/>
  <c r="U775" i="1" s="1"/>
  <c r="T776" i="1" a="1"/>
  <c r="T776" i="1" s="1"/>
  <c r="U776" i="1" s="1" a="1"/>
  <c r="U776" i="1" s="1"/>
  <c r="T777" i="1" a="1"/>
  <c r="T777" i="1" s="1"/>
  <c r="U777" i="1" s="1" a="1"/>
  <c r="U777" i="1" s="1"/>
  <c r="T778" i="1" a="1"/>
  <c r="T778" i="1" s="1"/>
  <c r="U778" i="1" s="1" a="1"/>
  <c r="U778" i="1" s="1"/>
  <c r="T779" i="1" a="1"/>
  <c r="T779" i="1" s="1"/>
  <c r="U779" i="1" s="1" a="1"/>
  <c r="U779" i="1" s="1"/>
  <c r="T780" i="1" a="1"/>
  <c r="T780" i="1" s="1"/>
  <c r="U780" i="1" s="1" a="1"/>
  <c r="U780" i="1" s="1"/>
  <c r="T781" i="1" a="1"/>
  <c r="T781" i="1" s="1"/>
  <c r="U781" i="1" s="1" a="1"/>
  <c r="U781" i="1" s="1"/>
  <c r="T782" i="1" a="1"/>
  <c r="T782" i="1" s="1"/>
  <c r="U782" i="1" s="1" a="1"/>
  <c r="U782" i="1" s="1"/>
  <c r="T783" i="1" a="1"/>
  <c r="T783" i="1" s="1"/>
  <c r="U783" i="1" s="1" a="1"/>
  <c r="U783" i="1" s="1"/>
  <c r="T784" i="1" a="1"/>
  <c r="T784" i="1" s="1"/>
  <c r="U784" i="1" s="1" a="1"/>
  <c r="U784" i="1" s="1"/>
  <c r="T785" i="1" a="1"/>
  <c r="T785" i="1" s="1"/>
  <c r="U785" i="1" s="1" a="1"/>
  <c r="U785" i="1" s="1"/>
  <c r="T786" i="1" a="1"/>
  <c r="T786" i="1" s="1"/>
  <c r="U786" i="1" s="1" a="1"/>
  <c r="U786" i="1" s="1"/>
  <c r="T787" i="1" a="1"/>
  <c r="T787" i="1" s="1"/>
  <c r="U787" i="1" s="1" a="1"/>
  <c r="U787" i="1" s="1"/>
  <c r="T788" i="1" a="1"/>
  <c r="T788" i="1" s="1"/>
  <c r="U788" i="1" s="1" a="1"/>
  <c r="U788" i="1" s="1"/>
  <c r="T789" i="1" a="1"/>
  <c r="T789" i="1" s="1"/>
  <c r="U789" i="1" s="1" a="1"/>
  <c r="U789" i="1" s="1"/>
  <c r="T790" i="1" a="1"/>
  <c r="T790" i="1" s="1"/>
  <c r="U790" i="1" s="1" a="1"/>
  <c r="U790" i="1" s="1"/>
  <c r="T791" i="1" a="1"/>
  <c r="T791" i="1" s="1"/>
  <c r="U791" i="1" s="1" a="1"/>
  <c r="U791" i="1" s="1"/>
  <c r="T792" i="1" a="1"/>
  <c r="T792" i="1" s="1"/>
  <c r="U792" i="1" s="1" a="1"/>
  <c r="U792" i="1" s="1"/>
  <c r="T793" i="1" a="1"/>
  <c r="T793" i="1" s="1"/>
  <c r="U793" i="1" s="1" a="1"/>
  <c r="U793" i="1" s="1"/>
  <c r="T794" i="1" a="1"/>
  <c r="T794" i="1" s="1"/>
  <c r="U794" i="1" s="1" a="1"/>
  <c r="U794" i="1" s="1"/>
  <c r="T795" i="1" a="1"/>
  <c r="T795" i="1" s="1"/>
  <c r="U795" i="1" s="1" a="1"/>
  <c r="U795" i="1" s="1"/>
  <c r="T796" i="1" a="1"/>
  <c r="T796" i="1" s="1"/>
  <c r="U796" i="1" s="1" a="1"/>
  <c r="U796" i="1" s="1"/>
  <c r="T797" i="1" a="1"/>
  <c r="T797" i="1" s="1"/>
  <c r="U797" i="1" s="1" a="1"/>
  <c r="U797" i="1" s="1"/>
  <c r="T798" i="1" a="1"/>
  <c r="T798" i="1" s="1"/>
  <c r="U798" i="1" s="1" a="1"/>
  <c r="U798" i="1" s="1"/>
  <c r="T799" i="1" a="1"/>
  <c r="T799" i="1" s="1"/>
  <c r="U799" i="1" s="1" a="1"/>
  <c r="U799" i="1" s="1"/>
  <c r="T800" i="1" a="1"/>
  <c r="T800" i="1" s="1"/>
  <c r="U800" i="1" s="1" a="1"/>
  <c r="U800" i="1" s="1"/>
  <c r="T801" i="1" a="1"/>
  <c r="T801" i="1" s="1"/>
  <c r="U801" i="1" s="1" a="1"/>
  <c r="U801" i="1" s="1"/>
  <c r="T802" i="1" a="1"/>
  <c r="T802" i="1" s="1"/>
  <c r="U802" i="1" s="1" a="1"/>
  <c r="U802" i="1" s="1"/>
  <c r="T803" i="1" a="1"/>
  <c r="T803" i="1" s="1"/>
  <c r="U803" i="1" s="1" a="1"/>
  <c r="U803" i="1" s="1"/>
  <c r="T804" i="1" a="1"/>
  <c r="T804" i="1" s="1"/>
  <c r="U804" i="1" s="1" a="1"/>
  <c r="U804" i="1" s="1"/>
  <c r="T805" i="1" a="1"/>
  <c r="T805" i="1" s="1"/>
  <c r="U805" i="1" s="1" a="1"/>
  <c r="U805" i="1" s="1"/>
  <c r="T806" i="1" a="1"/>
  <c r="T806" i="1" s="1"/>
  <c r="U806" i="1" s="1" a="1"/>
  <c r="U806" i="1" s="1"/>
  <c r="T807" i="1" a="1"/>
  <c r="T807" i="1" s="1"/>
  <c r="U807" i="1" s="1" a="1"/>
  <c r="U807" i="1" s="1"/>
  <c r="T808" i="1" a="1"/>
  <c r="T808" i="1" s="1"/>
  <c r="U808" i="1" s="1" a="1"/>
  <c r="U808" i="1" s="1"/>
  <c r="T809" i="1" a="1"/>
  <c r="T809" i="1" s="1"/>
  <c r="U809" i="1" s="1" a="1"/>
  <c r="U809" i="1" s="1"/>
  <c r="T810" i="1" a="1"/>
  <c r="T810" i="1" s="1"/>
  <c r="U810" i="1" s="1" a="1"/>
  <c r="U810" i="1" s="1"/>
  <c r="T811" i="1" a="1"/>
  <c r="T811" i="1" s="1"/>
  <c r="U811" i="1" s="1" a="1"/>
  <c r="U811" i="1" s="1"/>
  <c r="T812" i="1" a="1"/>
  <c r="T812" i="1" s="1"/>
  <c r="U812" i="1" s="1" a="1"/>
  <c r="U812" i="1" s="1"/>
  <c r="T813" i="1" a="1"/>
  <c r="T813" i="1" s="1"/>
  <c r="U813" i="1" s="1" a="1"/>
  <c r="U813" i="1" s="1"/>
  <c r="T814" i="1" a="1"/>
  <c r="T814" i="1" s="1"/>
  <c r="U814" i="1" s="1" a="1"/>
  <c r="U814" i="1" s="1"/>
  <c r="T815" i="1" a="1"/>
  <c r="T815" i="1" s="1"/>
  <c r="U815" i="1" s="1" a="1"/>
  <c r="U815" i="1" s="1"/>
  <c r="T816" i="1" a="1"/>
  <c r="T816" i="1" s="1"/>
  <c r="U816" i="1" s="1" a="1"/>
  <c r="U816" i="1" s="1"/>
  <c r="T817" i="1" a="1"/>
  <c r="T817" i="1" s="1"/>
  <c r="U817" i="1" s="1" a="1"/>
  <c r="U817" i="1" s="1"/>
  <c r="T818" i="1" a="1"/>
  <c r="T818" i="1" s="1"/>
  <c r="U818" i="1" s="1" a="1"/>
  <c r="U818" i="1" s="1"/>
  <c r="T819" i="1" a="1"/>
  <c r="T819" i="1" s="1"/>
  <c r="U819" i="1" s="1" a="1"/>
  <c r="U819" i="1" s="1"/>
  <c r="T820" i="1" a="1"/>
  <c r="T820" i="1" s="1"/>
  <c r="U820" i="1" s="1" a="1"/>
  <c r="U820" i="1" s="1"/>
  <c r="T821" i="1" a="1"/>
  <c r="T821" i="1" s="1"/>
  <c r="U821" i="1" s="1" a="1"/>
  <c r="U821" i="1" s="1"/>
  <c r="T822" i="1" a="1"/>
  <c r="T822" i="1" s="1"/>
  <c r="U822" i="1" s="1" a="1"/>
  <c r="U822" i="1" s="1"/>
  <c r="T823" i="1" a="1"/>
  <c r="T823" i="1" s="1"/>
  <c r="U823" i="1" s="1" a="1"/>
  <c r="U823" i="1" s="1"/>
  <c r="T824" i="1" a="1"/>
  <c r="T824" i="1" s="1"/>
  <c r="U824" i="1" s="1" a="1"/>
  <c r="U824" i="1" s="1"/>
  <c r="T825" i="1" a="1"/>
  <c r="T825" i="1" s="1"/>
  <c r="U825" i="1" s="1" a="1"/>
  <c r="U825" i="1" s="1"/>
  <c r="T826" i="1" a="1"/>
  <c r="T826" i="1" s="1"/>
  <c r="U826" i="1" s="1" a="1"/>
  <c r="U826" i="1" s="1"/>
  <c r="T827" i="1" a="1"/>
  <c r="T827" i="1" s="1"/>
  <c r="U827" i="1" s="1" a="1"/>
  <c r="U827" i="1" s="1"/>
  <c r="T828" i="1" a="1"/>
  <c r="T828" i="1" s="1"/>
  <c r="U828" i="1" s="1" a="1"/>
  <c r="U828" i="1" s="1"/>
  <c r="T829" i="1" a="1"/>
  <c r="T829" i="1" s="1"/>
  <c r="U829" i="1" s="1" a="1"/>
  <c r="U829" i="1" s="1"/>
  <c r="T830" i="1" a="1"/>
  <c r="T830" i="1" s="1"/>
  <c r="U830" i="1" s="1" a="1"/>
  <c r="U830" i="1" s="1"/>
  <c r="T831" i="1" a="1"/>
  <c r="T831" i="1" s="1"/>
  <c r="U831" i="1" s="1" a="1"/>
  <c r="U831" i="1" s="1"/>
  <c r="T832" i="1" a="1"/>
  <c r="T832" i="1" s="1"/>
  <c r="U832" i="1" s="1" a="1"/>
  <c r="U832" i="1" s="1"/>
  <c r="T833" i="1" a="1"/>
  <c r="T833" i="1" s="1"/>
  <c r="U833" i="1" s="1" a="1"/>
  <c r="U833" i="1" s="1"/>
  <c r="T834" i="1" a="1"/>
  <c r="T834" i="1" s="1"/>
  <c r="U834" i="1" s="1" a="1"/>
  <c r="U834" i="1" s="1"/>
  <c r="T835" i="1" a="1"/>
  <c r="T835" i="1" s="1"/>
  <c r="U835" i="1" s="1" a="1"/>
  <c r="U835" i="1" s="1"/>
  <c r="T836" i="1" a="1"/>
  <c r="T836" i="1" s="1"/>
  <c r="U836" i="1" s="1" a="1"/>
  <c r="U836" i="1" s="1"/>
  <c r="T837" i="1" a="1"/>
  <c r="T837" i="1" s="1"/>
  <c r="U837" i="1" s="1" a="1"/>
  <c r="U837" i="1" s="1"/>
  <c r="T838" i="1" a="1"/>
  <c r="T838" i="1" s="1"/>
  <c r="U838" i="1" s="1" a="1"/>
  <c r="U838" i="1" s="1"/>
  <c r="T839" i="1" a="1"/>
  <c r="T839" i="1" s="1"/>
  <c r="U839" i="1" s="1" a="1"/>
  <c r="U839" i="1" s="1"/>
  <c r="T840" i="1" a="1"/>
  <c r="T840" i="1" s="1"/>
  <c r="U840" i="1" s="1" a="1"/>
  <c r="U840" i="1" s="1"/>
  <c r="T841" i="1" a="1"/>
  <c r="T841" i="1" s="1"/>
  <c r="U841" i="1" s="1" a="1"/>
  <c r="U841" i="1" s="1"/>
  <c r="T842" i="1" a="1"/>
  <c r="T842" i="1" s="1"/>
  <c r="U842" i="1" s="1" a="1"/>
  <c r="U842" i="1" s="1"/>
  <c r="T843" i="1" a="1"/>
  <c r="T843" i="1" s="1"/>
  <c r="U843" i="1" s="1" a="1"/>
  <c r="U843" i="1" s="1"/>
  <c r="T844" i="1" a="1"/>
  <c r="T844" i="1" s="1"/>
  <c r="U844" i="1" s="1" a="1"/>
  <c r="U844" i="1" s="1"/>
  <c r="T845" i="1" a="1"/>
  <c r="T845" i="1" s="1"/>
  <c r="U845" i="1" s="1" a="1"/>
  <c r="U845" i="1" s="1"/>
  <c r="T846" i="1" a="1"/>
  <c r="T846" i="1" s="1"/>
  <c r="U846" i="1" s="1" a="1"/>
  <c r="U846" i="1" s="1"/>
  <c r="T847" i="1" a="1"/>
  <c r="T847" i="1" s="1"/>
  <c r="U847" i="1" s="1" a="1"/>
  <c r="U847" i="1" s="1"/>
  <c r="T848" i="1" a="1"/>
  <c r="T848" i="1" s="1"/>
  <c r="U848" i="1" s="1" a="1"/>
  <c r="U848" i="1" s="1"/>
  <c r="T849" i="1" a="1"/>
  <c r="T849" i="1" s="1"/>
  <c r="U849" i="1" s="1" a="1"/>
  <c r="U849" i="1" s="1"/>
  <c r="T850" i="1" a="1"/>
  <c r="T850" i="1" s="1"/>
  <c r="U850" i="1" s="1" a="1"/>
  <c r="U850" i="1" s="1"/>
  <c r="T851" i="1" a="1"/>
  <c r="T851" i="1" s="1"/>
  <c r="U851" i="1" s="1" a="1"/>
  <c r="U851" i="1" s="1"/>
  <c r="T852" i="1" a="1"/>
  <c r="T852" i="1" s="1"/>
  <c r="U852" i="1" s="1" a="1"/>
  <c r="U852" i="1" s="1"/>
  <c r="T853" i="1" a="1"/>
  <c r="T853" i="1" s="1"/>
  <c r="U853" i="1" s="1" a="1"/>
  <c r="U853" i="1" s="1"/>
  <c r="T854" i="1" a="1"/>
  <c r="T854" i="1" s="1"/>
  <c r="U854" i="1" s="1" a="1"/>
  <c r="U854" i="1" s="1"/>
  <c r="T855" i="1" a="1"/>
  <c r="T855" i="1" s="1"/>
  <c r="U855" i="1" s="1" a="1"/>
  <c r="U855" i="1" s="1"/>
  <c r="T856" i="1" a="1"/>
  <c r="T856" i="1" s="1"/>
  <c r="U856" i="1" s="1" a="1"/>
  <c r="U856" i="1" s="1"/>
  <c r="T857" i="1" a="1"/>
  <c r="T857" i="1" s="1"/>
  <c r="U857" i="1" s="1" a="1"/>
  <c r="U857" i="1" s="1"/>
  <c r="T858" i="1" a="1"/>
  <c r="T858" i="1" s="1"/>
  <c r="U858" i="1" s="1" a="1"/>
  <c r="U858" i="1" s="1"/>
  <c r="T859" i="1" a="1"/>
  <c r="T859" i="1" s="1"/>
  <c r="U859" i="1" s="1" a="1"/>
  <c r="U859" i="1" s="1"/>
  <c r="T860" i="1" a="1"/>
  <c r="T860" i="1" s="1"/>
  <c r="U860" i="1" s="1" a="1"/>
  <c r="U860" i="1" s="1"/>
  <c r="T861" i="1" a="1"/>
  <c r="T861" i="1" s="1"/>
  <c r="U861" i="1" s="1" a="1"/>
  <c r="U861" i="1" s="1"/>
  <c r="T862" i="1" a="1"/>
  <c r="T862" i="1" s="1"/>
  <c r="U862" i="1" s="1" a="1"/>
  <c r="U862" i="1" s="1"/>
  <c r="T863" i="1" a="1"/>
  <c r="T863" i="1" s="1"/>
  <c r="U863" i="1" s="1" a="1"/>
  <c r="U863" i="1" s="1"/>
  <c r="T864" i="1" a="1"/>
  <c r="T864" i="1" s="1"/>
  <c r="U864" i="1" s="1" a="1"/>
  <c r="U864" i="1" s="1"/>
  <c r="T865" i="1" a="1"/>
  <c r="T865" i="1" s="1"/>
  <c r="U865" i="1" s="1" a="1"/>
  <c r="U865" i="1" s="1"/>
  <c r="T866" i="1" a="1"/>
  <c r="T866" i="1" s="1"/>
  <c r="U866" i="1" s="1" a="1"/>
  <c r="U866" i="1" s="1"/>
  <c r="T867" i="1" a="1"/>
  <c r="T867" i="1" s="1"/>
  <c r="U867" i="1" s="1" a="1"/>
  <c r="U867" i="1" s="1"/>
  <c r="T868" i="1" a="1"/>
  <c r="T868" i="1" s="1"/>
  <c r="U868" i="1" s="1" a="1"/>
  <c r="U868" i="1" s="1"/>
  <c r="T869" i="1" a="1"/>
  <c r="T869" i="1" s="1"/>
  <c r="U869" i="1" s="1" a="1"/>
  <c r="U869" i="1" s="1"/>
  <c r="T870" i="1" a="1"/>
  <c r="T870" i="1" s="1"/>
  <c r="U870" i="1" s="1" a="1"/>
  <c r="U870" i="1" s="1"/>
  <c r="T871" i="1" a="1"/>
  <c r="T871" i="1" s="1"/>
  <c r="U871" i="1" s="1" a="1"/>
  <c r="U871" i="1" s="1"/>
  <c r="T872" i="1" a="1"/>
  <c r="T872" i="1" s="1"/>
  <c r="U872" i="1" s="1" a="1"/>
  <c r="U872" i="1" s="1"/>
  <c r="T873" i="1" a="1"/>
  <c r="T873" i="1" s="1"/>
  <c r="U873" i="1" s="1" a="1"/>
  <c r="U873" i="1" s="1"/>
  <c r="T874" i="1" a="1"/>
  <c r="T874" i="1" s="1"/>
  <c r="U874" i="1" s="1" a="1"/>
  <c r="U874" i="1" s="1"/>
  <c r="T875" i="1" a="1"/>
  <c r="T875" i="1" s="1"/>
  <c r="U875" i="1" s="1" a="1"/>
  <c r="U875" i="1" s="1"/>
  <c r="T876" i="1" a="1"/>
  <c r="T876" i="1" s="1"/>
  <c r="U876" i="1" s="1" a="1"/>
  <c r="U876" i="1" s="1"/>
  <c r="T877" i="1" a="1"/>
  <c r="T877" i="1" s="1"/>
  <c r="U877" i="1" s="1" a="1"/>
  <c r="U877" i="1" s="1"/>
  <c r="T878" i="1" a="1"/>
  <c r="T878" i="1" s="1"/>
  <c r="U878" i="1" s="1" a="1"/>
  <c r="U878" i="1" s="1"/>
  <c r="T879" i="1" a="1"/>
  <c r="T879" i="1" s="1"/>
  <c r="U879" i="1" s="1" a="1"/>
  <c r="U879" i="1" s="1"/>
  <c r="T880" i="1" a="1"/>
  <c r="T880" i="1" s="1"/>
  <c r="U880" i="1" s="1" a="1"/>
  <c r="U880" i="1" s="1"/>
  <c r="T881" i="1" a="1"/>
  <c r="T881" i="1" s="1"/>
  <c r="U881" i="1" s="1" a="1"/>
  <c r="U881" i="1" s="1"/>
  <c r="T882" i="1" a="1"/>
  <c r="T882" i="1" s="1"/>
  <c r="U882" i="1" s="1" a="1"/>
  <c r="U882" i="1" s="1"/>
  <c r="T883" i="1" a="1"/>
  <c r="T883" i="1" s="1"/>
  <c r="U883" i="1" s="1" a="1"/>
  <c r="U883" i="1" s="1"/>
  <c r="T884" i="1" a="1"/>
  <c r="T884" i="1" s="1"/>
  <c r="U884" i="1" s="1" a="1"/>
  <c r="U884" i="1" s="1"/>
  <c r="T885" i="1" a="1"/>
  <c r="T885" i="1" s="1"/>
  <c r="U885" i="1" s="1" a="1"/>
  <c r="U885" i="1" s="1"/>
  <c r="T886" i="1" a="1"/>
  <c r="T886" i="1" s="1"/>
  <c r="U886" i="1" s="1" a="1"/>
  <c r="U886" i="1" s="1"/>
  <c r="T887" i="1" a="1"/>
  <c r="T887" i="1" s="1"/>
  <c r="U887" i="1" s="1" a="1"/>
  <c r="U887" i="1" s="1"/>
  <c r="T888" i="1" a="1"/>
  <c r="T888" i="1" s="1"/>
  <c r="U888" i="1" s="1" a="1"/>
  <c r="U888" i="1" s="1"/>
  <c r="T889" i="1" a="1"/>
  <c r="T889" i="1" s="1"/>
  <c r="U889" i="1" s="1" a="1"/>
  <c r="U889" i="1" s="1"/>
  <c r="T890" i="1" a="1"/>
  <c r="T890" i="1" s="1"/>
  <c r="U890" i="1" s="1" a="1"/>
  <c r="U890" i="1" s="1"/>
  <c r="T891" i="1" a="1"/>
  <c r="T891" i="1" s="1"/>
  <c r="U891" i="1" s="1" a="1"/>
  <c r="U891" i="1" s="1"/>
  <c r="T892" i="1" a="1"/>
  <c r="T892" i="1" s="1"/>
  <c r="U892" i="1" s="1" a="1"/>
  <c r="U892" i="1" s="1"/>
  <c r="T893" i="1" a="1"/>
  <c r="T893" i="1" s="1"/>
  <c r="U893" i="1" s="1" a="1"/>
  <c r="U893" i="1" s="1"/>
  <c r="T894" i="1" a="1"/>
  <c r="T894" i="1" s="1"/>
  <c r="U894" i="1" s="1" a="1"/>
  <c r="U894" i="1" s="1"/>
  <c r="T895" i="1" a="1"/>
  <c r="T895" i="1" s="1"/>
  <c r="U895" i="1" s="1" a="1"/>
  <c r="U895" i="1" s="1"/>
  <c r="T896" i="1" a="1"/>
  <c r="T896" i="1" s="1"/>
  <c r="U896" i="1" s="1" a="1"/>
  <c r="U896" i="1" s="1"/>
  <c r="T897" i="1" a="1"/>
  <c r="T897" i="1" s="1"/>
  <c r="U897" i="1" s="1" a="1"/>
  <c r="U897" i="1" s="1"/>
  <c r="T898" i="1" a="1"/>
  <c r="T898" i="1" s="1"/>
  <c r="U898" i="1" s="1" a="1"/>
  <c r="U898" i="1" s="1"/>
  <c r="T899" i="1" a="1"/>
  <c r="T899" i="1" s="1"/>
  <c r="U899" i="1" s="1" a="1"/>
  <c r="U899" i="1" s="1"/>
  <c r="T900" i="1" a="1"/>
  <c r="T900" i="1" s="1"/>
  <c r="U900" i="1" s="1" a="1"/>
  <c r="U900" i="1" s="1"/>
  <c r="T901" i="1" a="1"/>
  <c r="T901" i="1" s="1"/>
  <c r="U901" i="1" s="1" a="1"/>
  <c r="U901" i="1" s="1"/>
  <c r="T902" i="1" a="1"/>
  <c r="T902" i="1" s="1"/>
  <c r="U902" i="1" s="1" a="1"/>
  <c r="U902" i="1" s="1"/>
  <c r="T903" i="1" a="1"/>
  <c r="T903" i="1" s="1"/>
  <c r="U903" i="1" s="1" a="1"/>
  <c r="U903" i="1" s="1"/>
  <c r="T904" i="1" a="1"/>
  <c r="T904" i="1" s="1"/>
  <c r="U904" i="1" s="1" a="1"/>
  <c r="U904" i="1" s="1"/>
  <c r="T905" i="1" a="1"/>
  <c r="T905" i="1" s="1"/>
  <c r="U905" i="1" s="1" a="1"/>
  <c r="U905" i="1" s="1"/>
  <c r="T906" i="1" a="1"/>
  <c r="T906" i="1" s="1"/>
  <c r="U906" i="1" s="1" a="1"/>
  <c r="U906" i="1" s="1"/>
  <c r="T907" i="1" a="1"/>
  <c r="T907" i="1" s="1"/>
  <c r="U907" i="1" s="1" a="1"/>
  <c r="U907" i="1" s="1"/>
  <c r="T908" i="1" a="1"/>
  <c r="T908" i="1" s="1"/>
  <c r="U908" i="1" s="1" a="1"/>
  <c r="U908" i="1" s="1"/>
  <c r="T909" i="1" a="1"/>
  <c r="T909" i="1" s="1"/>
  <c r="U909" i="1" s="1" a="1"/>
  <c r="U909" i="1" s="1"/>
  <c r="T910" i="1" a="1"/>
  <c r="T910" i="1" s="1"/>
  <c r="U910" i="1" s="1" a="1"/>
  <c r="U910" i="1" s="1"/>
  <c r="T911" i="1" a="1"/>
  <c r="T911" i="1" s="1"/>
  <c r="U911" i="1" s="1" a="1"/>
  <c r="U911" i="1" s="1"/>
  <c r="T912" i="1" a="1"/>
  <c r="T912" i="1" s="1"/>
  <c r="U912" i="1" s="1" a="1"/>
  <c r="U912" i="1" s="1"/>
  <c r="T913" i="1" a="1"/>
  <c r="T913" i="1" s="1"/>
  <c r="U913" i="1" s="1" a="1"/>
  <c r="U913" i="1" s="1"/>
  <c r="T914" i="1" a="1"/>
  <c r="T914" i="1" s="1"/>
  <c r="U914" i="1" s="1" a="1"/>
  <c r="U914" i="1" s="1"/>
  <c r="T915" i="1" a="1"/>
  <c r="T915" i="1" s="1"/>
  <c r="U915" i="1" s="1" a="1"/>
  <c r="U915" i="1" s="1"/>
  <c r="T916" i="1" a="1"/>
  <c r="T916" i="1" s="1"/>
  <c r="U916" i="1" s="1" a="1"/>
  <c r="U916" i="1" s="1"/>
  <c r="T917" i="1" a="1"/>
  <c r="T917" i="1" s="1"/>
  <c r="U917" i="1" s="1" a="1"/>
  <c r="U917" i="1" s="1"/>
  <c r="T918" i="1" a="1"/>
  <c r="T918" i="1" s="1"/>
  <c r="U918" i="1" s="1" a="1"/>
  <c r="U918" i="1" s="1"/>
  <c r="T919" i="1" a="1"/>
  <c r="T919" i="1" s="1"/>
  <c r="U919" i="1" s="1" a="1"/>
  <c r="U919" i="1" s="1"/>
  <c r="T920" i="1" a="1"/>
  <c r="T920" i="1" s="1"/>
  <c r="U920" i="1" s="1" a="1"/>
  <c r="U920" i="1" s="1"/>
  <c r="T921" i="1" a="1"/>
  <c r="T921" i="1" s="1"/>
  <c r="U921" i="1" s="1" a="1"/>
  <c r="U921" i="1" s="1"/>
  <c r="T922" i="1" a="1"/>
  <c r="T922" i="1" s="1"/>
  <c r="U922" i="1" s="1" a="1"/>
  <c r="U922" i="1" s="1"/>
  <c r="T923" i="1" a="1"/>
  <c r="T923" i="1" s="1"/>
  <c r="U923" i="1" s="1" a="1"/>
  <c r="U923" i="1" s="1"/>
  <c r="T924" i="1" a="1"/>
  <c r="T924" i="1" s="1"/>
  <c r="U924" i="1" s="1" a="1"/>
  <c r="U924" i="1" s="1"/>
  <c r="T925" i="1" a="1"/>
  <c r="T925" i="1" s="1"/>
  <c r="U925" i="1" s="1" a="1"/>
  <c r="U925" i="1" s="1"/>
  <c r="T926" i="1" a="1"/>
  <c r="T926" i="1" s="1"/>
  <c r="U926" i="1" s="1" a="1"/>
  <c r="U926" i="1" s="1"/>
  <c r="T927" i="1" a="1"/>
  <c r="T927" i="1" s="1"/>
  <c r="U927" i="1" s="1" a="1"/>
  <c r="U927" i="1" s="1"/>
  <c r="T928" i="1" a="1"/>
  <c r="T928" i="1" s="1"/>
  <c r="U928" i="1" s="1" a="1"/>
  <c r="U928" i="1" s="1"/>
  <c r="T929" i="1" a="1"/>
  <c r="T929" i="1" s="1"/>
  <c r="U929" i="1" s="1" a="1"/>
  <c r="U929" i="1" s="1"/>
  <c r="T930" i="1" a="1"/>
  <c r="T930" i="1" s="1"/>
  <c r="U930" i="1" s="1" a="1"/>
  <c r="U930" i="1" s="1"/>
  <c r="T931" i="1" a="1"/>
  <c r="T931" i="1" s="1"/>
  <c r="U931" i="1" s="1" a="1"/>
  <c r="U931" i="1" s="1"/>
  <c r="T932" i="1" a="1"/>
  <c r="T932" i="1" s="1"/>
  <c r="U932" i="1" s="1" a="1"/>
  <c r="U932" i="1" s="1"/>
  <c r="T933" i="1" a="1"/>
  <c r="T933" i="1" s="1"/>
  <c r="U933" i="1" s="1" a="1"/>
  <c r="U933" i="1" s="1"/>
  <c r="T934" i="1" a="1"/>
  <c r="T934" i="1" s="1"/>
  <c r="U934" i="1" s="1" a="1"/>
  <c r="U934" i="1" s="1"/>
  <c r="T935" i="1" a="1"/>
  <c r="T935" i="1" s="1"/>
  <c r="U935" i="1" s="1" a="1"/>
  <c r="U935" i="1" s="1"/>
  <c r="T936" i="1" a="1"/>
  <c r="T936" i="1" s="1"/>
  <c r="U936" i="1" s="1" a="1"/>
  <c r="U936" i="1" s="1"/>
  <c r="T937" i="1" a="1"/>
  <c r="T937" i="1" s="1"/>
  <c r="U937" i="1" s="1" a="1"/>
  <c r="U937" i="1" s="1"/>
  <c r="T938" i="1" a="1"/>
  <c r="T938" i="1" s="1"/>
  <c r="U938" i="1" s="1" a="1"/>
  <c r="U938" i="1" s="1"/>
  <c r="T939" i="1" a="1"/>
  <c r="T939" i="1" s="1"/>
  <c r="U939" i="1" s="1" a="1"/>
  <c r="U939" i="1" s="1"/>
  <c r="T940" i="1" a="1"/>
  <c r="T940" i="1" s="1"/>
  <c r="U940" i="1" s="1" a="1"/>
  <c r="U940" i="1" s="1"/>
  <c r="T941" i="1" a="1"/>
  <c r="T941" i="1" s="1"/>
  <c r="U941" i="1" s="1" a="1"/>
  <c r="U941" i="1" s="1"/>
  <c r="T942" i="1" a="1"/>
  <c r="T942" i="1" s="1"/>
  <c r="U942" i="1" s="1" a="1"/>
  <c r="U942" i="1" s="1"/>
  <c r="T943" i="1" a="1"/>
  <c r="T943" i="1" s="1"/>
  <c r="U943" i="1" s="1" a="1"/>
  <c r="U943" i="1" s="1"/>
  <c r="T944" i="1" a="1"/>
  <c r="T944" i="1" s="1"/>
  <c r="U944" i="1" s="1" a="1"/>
  <c r="U944" i="1" s="1"/>
  <c r="T945" i="1" a="1"/>
  <c r="T945" i="1" s="1"/>
  <c r="U945" i="1" s="1" a="1"/>
  <c r="U945" i="1" s="1"/>
  <c r="T946" i="1" a="1"/>
  <c r="T946" i="1" s="1"/>
  <c r="U946" i="1" s="1" a="1"/>
  <c r="U946" i="1" s="1"/>
  <c r="T947" i="1" a="1"/>
  <c r="T947" i="1" s="1"/>
  <c r="U947" i="1" s="1" a="1"/>
  <c r="U947" i="1" s="1"/>
  <c r="T948" i="1" a="1"/>
  <c r="T948" i="1" s="1"/>
  <c r="U948" i="1" s="1" a="1"/>
  <c r="U948" i="1" s="1"/>
  <c r="T949" i="1" a="1"/>
  <c r="T949" i="1" s="1"/>
  <c r="U949" i="1" s="1" a="1"/>
  <c r="U949" i="1" s="1"/>
  <c r="T950" i="1" a="1"/>
  <c r="T950" i="1" s="1"/>
  <c r="U950" i="1" s="1" a="1"/>
  <c r="U950" i="1" s="1"/>
  <c r="T951" i="1" a="1"/>
  <c r="T951" i="1" s="1"/>
  <c r="U951" i="1" s="1" a="1"/>
  <c r="U951" i="1" s="1"/>
  <c r="T952" i="1" a="1"/>
  <c r="T952" i="1" s="1"/>
  <c r="U952" i="1" s="1" a="1"/>
  <c r="U952" i="1" s="1"/>
  <c r="T953" i="1" a="1"/>
  <c r="T953" i="1" s="1"/>
  <c r="U953" i="1" s="1" a="1"/>
  <c r="U953" i="1" s="1"/>
  <c r="T954" i="1" a="1"/>
  <c r="T954" i="1" s="1"/>
  <c r="U954" i="1" s="1" a="1"/>
  <c r="U954" i="1" s="1"/>
  <c r="T955" i="1" a="1"/>
  <c r="T955" i="1" s="1"/>
  <c r="U955" i="1" s="1" a="1"/>
  <c r="U955" i="1" s="1"/>
  <c r="T956" i="1" a="1"/>
  <c r="T956" i="1" s="1"/>
  <c r="U956" i="1" s="1" a="1"/>
  <c r="U956" i="1" s="1"/>
  <c r="T957" i="1" a="1"/>
  <c r="T957" i="1" s="1"/>
  <c r="U957" i="1" s="1" a="1"/>
  <c r="U957" i="1" s="1"/>
  <c r="T958" i="1" a="1"/>
  <c r="T958" i="1" s="1"/>
  <c r="U958" i="1" s="1" a="1"/>
  <c r="U958" i="1" s="1"/>
  <c r="T959" i="1" a="1"/>
  <c r="T959" i="1" s="1"/>
  <c r="U959" i="1" s="1" a="1"/>
  <c r="U959" i="1" s="1"/>
  <c r="T960" i="1" a="1"/>
  <c r="T960" i="1" s="1"/>
  <c r="U960" i="1" s="1" a="1"/>
  <c r="U960" i="1" s="1"/>
  <c r="T961" i="1" a="1"/>
  <c r="T961" i="1" s="1"/>
  <c r="U961" i="1" s="1" a="1"/>
  <c r="U961" i="1" s="1"/>
  <c r="T962" i="1" a="1"/>
  <c r="T962" i="1" s="1"/>
  <c r="U962" i="1" s="1" a="1"/>
  <c r="U962" i="1" s="1"/>
  <c r="T963" i="1" a="1"/>
  <c r="T963" i="1" s="1"/>
  <c r="U963" i="1" s="1" a="1"/>
  <c r="U963" i="1" s="1"/>
  <c r="T964" i="1" a="1"/>
  <c r="T964" i="1" s="1"/>
  <c r="U964" i="1" s="1" a="1"/>
  <c r="U964" i="1" s="1"/>
  <c r="T965" i="1" a="1"/>
  <c r="T965" i="1" s="1"/>
  <c r="U965" i="1" s="1" a="1"/>
  <c r="U965" i="1" s="1"/>
  <c r="T966" i="1" a="1"/>
  <c r="T966" i="1" s="1"/>
  <c r="U966" i="1" s="1" a="1"/>
  <c r="U966" i="1" s="1"/>
  <c r="T967" i="1" a="1"/>
  <c r="T967" i="1" s="1"/>
  <c r="U967" i="1" s="1" a="1"/>
  <c r="U967" i="1" s="1"/>
  <c r="T968" i="1" a="1"/>
  <c r="T968" i="1" s="1"/>
  <c r="U968" i="1" s="1" a="1"/>
  <c r="U968" i="1" s="1"/>
  <c r="T969" i="1" a="1"/>
  <c r="T969" i="1" s="1"/>
  <c r="U969" i="1" s="1" a="1"/>
  <c r="U969" i="1" s="1"/>
  <c r="T970" i="1" a="1"/>
  <c r="T970" i="1" s="1"/>
  <c r="U970" i="1" s="1" a="1"/>
  <c r="U970" i="1" s="1"/>
  <c r="T971" i="1" a="1"/>
  <c r="T971" i="1" s="1"/>
  <c r="U971" i="1" s="1" a="1"/>
  <c r="U971" i="1" s="1"/>
  <c r="T972" i="1" a="1"/>
  <c r="T972" i="1" s="1"/>
  <c r="U972" i="1" s="1" a="1"/>
  <c r="U972" i="1" s="1"/>
  <c r="T973" i="1" a="1"/>
  <c r="T973" i="1" s="1"/>
  <c r="U973" i="1" s="1" a="1"/>
  <c r="U973" i="1" s="1"/>
  <c r="T974" i="1" a="1"/>
  <c r="T974" i="1" s="1"/>
  <c r="U974" i="1" s="1" a="1"/>
  <c r="U974" i="1" s="1"/>
  <c r="T975" i="1" a="1"/>
  <c r="T975" i="1" s="1"/>
  <c r="U975" i="1" s="1" a="1"/>
  <c r="U975" i="1" s="1"/>
  <c r="T976" i="1" a="1"/>
  <c r="T976" i="1" s="1"/>
  <c r="U976" i="1" s="1" a="1"/>
  <c r="U976" i="1" s="1"/>
  <c r="T977" i="1" a="1"/>
  <c r="T977" i="1" s="1"/>
  <c r="U977" i="1" s="1" a="1"/>
  <c r="U977" i="1" s="1"/>
  <c r="T978" i="1" a="1"/>
  <c r="T978" i="1" s="1"/>
  <c r="U978" i="1" s="1" a="1"/>
  <c r="U978" i="1" s="1"/>
  <c r="T979" i="1" a="1"/>
  <c r="T979" i="1" s="1"/>
  <c r="U979" i="1" s="1" a="1"/>
  <c r="U979" i="1" s="1"/>
  <c r="T980" i="1" a="1"/>
  <c r="T980" i="1" s="1"/>
  <c r="U980" i="1" s="1" a="1"/>
  <c r="U980" i="1" s="1"/>
  <c r="T981" i="1" a="1"/>
  <c r="T981" i="1" s="1"/>
  <c r="U981" i="1" s="1" a="1"/>
  <c r="U981" i="1" s="1"/>
  <c r="T982" i="1" a="1"/>
  <c r="T982" i="1" s="1"/>
  <c r="U982" i="1" s="1" a="1"/>
  <c r="U982" i="1" s="1"/>
  <c r="T983" i="1" a="1"/>
  <c r="T983" i="1" s="1"/>
  <c r="U983" i="1" s="1" a="1"/>
  <c r="U983" i="1" s="1"/>
  <c r="T984" i="1" a="1"/>
  <c r="T984" i="1" s="1"/>
  <c r="U984" i="1" s="1" a="1"/>
  <c r="U984" i="1" s="1"/>
  <c r="T985" i="1" a="1"/>
  <c r="T985" i="1" s="1"/>
  <c r="U985" i="1" s="1" a="1"/>
  <c r="U985" i="1" s="1"/>
  <c r="T986" i="1" a="1"/>
  <c r="T986" i="1" s="1"/>
  <c r="U986" i="1" s="1" a="1"/>
  <c r="U986" i="1" s="1"/>
  <c r="T987" i="1" a="1"/>
  <c r="T987" i="1" s="1"/>
  <c r="U987" i="1" s="1" a="1"/>
  <c r="U987" i="1" s="1"/>
  <c r="T988" i="1" a="1"/>
  <c r="T988" i="1" s="1"/>
  <c r="U988" i="1" s="1" a="1"/>
  <c r="U988" i="1" s="1"/>
  <c r="T989" i="1" a="1"/>
  <c r="T989" i="1" s="1"/>
  <c r="U989" i="1" s="1" a="1"/>
  <c r="U989" i="1" s="1"/>
  <c r="T990" i="1" a="1"/>
  <c r="T990" i="1" s="1"/>
  <c r="U990" i="1" s="1" a="1"/>
  <c r="U990" i="1" s="1"/>
  <c r="T991" i="1" a="1"/>
  <c r="T991" i="1" s="1"/>
  <c r="U991" i="1" s="1" a="1"/>
  <c r="U991" i="1" s="1"/>
  <c r="T992" i="1" a="1"/>
  <c r="T992" i="1" s="1"/>
  <c r="U992" i="1" s="1" a="1"/>
  <c r="U992" i="1" s="1"/>
  <c r="T993" i="1" a="1"/>
  <c r="T993" i="1" s="1"/>
  <c r="U993" i="1" s="1" a="1"/>
  <c r="U993" i="1" s="1"/>
  <c r="T994" i="1" a="1"/>
  <c r="T994" i="1" s="1"/>
  <c r="U994" i="1" s="1" a="1"/>
  <c r="U994" i="1" s="1"/>
  <c r="T995" i="1" a="1"/>
  <c r="T995" i="1" s="1"/>
  <c r="U995" i="1" s="1" a="1"/>
  <c r="U995" i="1" s="1"/>
  <c r="T996" i="1" a="1"/>
  <c r="T996" i="1" s="1"/>
  <c r="U996" i="1" s="1" a="1"/>
  <c r="U996" i="1" s="1"/>
  <c r="T997" i="1" a="1"/>
  <c r="T997" i="1" s="1"/>
  <c r="U997" i="1" s="1" a="1"/>
  <c r="U997" i="1" s="1"/>
  <c r="T998" i="1" a="1"/>
  <c r="T998" i="1" s="1"/>
  <c r="U998" i="1" s="1" a="1"/>
  <c r="U998" i="1" s="1"/>
  <c r="T999" i="1" a="1"/>
  <c r="T999" i="1" s="1"/>
  <c r="U999" i="1" s="1" a="1"/>
  <c r="U999" i="1" s="1"/>
  <c r="T1000" i="1" a="1"/>
  <c r="T1000" i="1" s="1"/>
  <c r="U1000" i="1" s="1" a="1"/>
  <c r="U1000" i="1" s="1"/>
  <c r="T1001" i="1" a="1"/>
  <c r="T1001" i="1" s="1"/>
  <c r="U1001" i="1" s="1" a="1"/>
  <c r="U1001" i="1" s="1"/>
  <c r="T1002" i="1" a="1"/>
  <c r="T1002" i="1" s="1"/>
  <c r="U1002" i="1" s="1" a="1"/>
  <c r="U1002" i="1" s="1"/>
  <c r="T1003" i="1" a="1"/>
  <c r="T1003" i="1" s="1"/>
  <c r="U1003" i="1" s="1" a="1"/>
  <c r="U1003" i="1" s="1"/>
  <c r="T1004" i="1" a="1"/>
  <c r="T1004" i="1" s="1"/>
  <c r="U1004" i="1" s="1" a="1"/>
  <c r="U1004" i="1" s="1"/>
  <c r="T1005" i="1" a="1"/>
  <c r="T1005" i="1" s="1"/>
  <c r="U1005" i="1" s="1" a="1"/>
  <c r="U1005" i="1" s="1"/>
  <c r="T1006" i="1" a="1"/>
  <c r="T1006" i="1" s="1"/>
  <c r="U1006" i="1" s="1" a="1"/>
  <c r="U1006" i="1" s="1"/>
  <c r="T1007" i="1" a="1"/>
  <c r="T1007" i="1" s="1"/>
  <c r="U1007" i="1" s="1" a="1"/>
  <c r="U1007" i="1" s="1"/>
  <c r="T1008" i="1" a="1"/>
  <c r="T1008" i="1" s="1"/>
  <c r="U1008" i="1" s="1" a="1"/>
  <c r="U1008" i="1" s="1"/>
  <c r="T1009" i="1" a="1"/>
  <c r="T1009" i="1" s="1"/>
  <c r="U1009" i="1" s="1" a="1"/>
  <c r="U1009" i="1" s="1"/>
  <c r="T1010" i="1" a="1"/>
  <c r="T1010" i="1" s="1"/>
  <c r="U1010" i="1" s="1" a="1"/>
  <c r="U1010" i="1" s="1"/>
  <c r="T1011" i="1" a="1"/>
  <c r="T1011" i="1" s="1"/>
  <c r="U1011" i="1" s="1" a="1"/>
  <c r="U1011" i="1" s="1"/>
  <c r="T1012" i="1" a="1"/>
  <c r="T1012" i="1" s="1"/>
  <c r="U1012" i="1" s="1" a="1"/>
  <c r="U1012" i="1" s="1"/>
  <c r="T1013" i="1" a="1"/>
  <c r="T1013" i="1" s="1"/>
  <c r="U1013" i="1" s="1" a="1"/>
  <c r="U1013" i="1" s="1"/>
  <c r="T1014" i="1" a="1"/>
  <c r="T1014" i="1" s="1"/>
  <c r="U1014" i="1" s="1" a="1"/>
  <c r="U1014" i="1" s="1"/>
  <c r="T1015" i="1" a="1"/>
  <c r="T1015" i="1" s="1"/>
  <c r="U1015" i="1" s="1" a="1"/>
  <c r="U1015" i="1" s="1"/>
  <c r="T1016" i="1" a="1"/>
  <c r="T1016" i="1" s="1"/>
  <c r="U1016" i="1" s="1" a="1"/>
  <c r="U1016" i="1" s="1"/>
  <c r="T1017" i="1" a="1"/>
  <c r="T1017" i="1" s="1"/>
  <c r="U1017" i="1" s="1" a="1"/>
  <c r="U1017" i="1" s="1"/>
  <c r="T1018" i="1" a="1"/>
  <c r="T1018" i="1" s="1"/>
  <c r="U1018" i="1" s="1" a="1"/>
  <c r="U1018" i="1" s="1"/>
  <c r="T1019" i="1" a="1"/>
  <c r="T1019" i="1" s="1"/>
  <c r="U1019" i="1" s="1" a="1"/>
  <c r="U1019" i="1" s="1"/>
  <c r="T1020" i="1" a="1"/>
  <c r="T1020" i="1" s="1"/>
  <c r="U1020" i="1" s="1" a="1"/>
  <c r="U1020" i="1" s="1"/>
  <c r="T1021" i="1" a="1"/>
  <c r="T1021" i="1" s="1"/>
  <c r="U1021" i="1" s="1" a="1"/>
  <c r="U1021" i="1" s="1"/>
  <c r="T1022" i="1" a="1"/>
  <c r="T1022" i="1" s="1"/>
  <c r="U1022" i="1" s="1" a="1"/>
  <c r="U1022" i="1" s="1"/>
  <c r="T1023" i="1" a="1"/>
  <c r="T1023" i="1" s="1"/>
  <c r="U1023" i="1" s="1" a="1"/>
  <c r="U1023" i="1" s="1"/>
  <c r="T1024" i="1" a="1"/>
  <c r="T1024" i="1" s="1"/>
  <c r="U1024" i="1" s="1" a="1"/>
  <c r="U1024" i="1" s="1"/>
  <c r="T1025" i="1" a="1"/>
  <c r="T1025" i="1" s="1"/>
  <c r="U1025" i="1" s="1" a="1"/>
  <c r="U1025" i="1" s="1"/>
  <c r="T1026" i="1" a="1"/>
  <c r="T1026" i="1" s="1"/>
  <c r="U1026" i="1" s="1" a="1"/>
  <c r="U1026" i="1" s="1"/>
  <c r="T1027" i="1" a="1"/>
  <c r="T1027" i="1" s="1"/>
  <c r="U1027" i="1" s="1" a="1"/>
  <c r="U1027" i="1" s="1"/>
  <c r="T1028" i="1" a="1"/>
  <c r="T1028" i="1" s="1"/>
  <c r="U1028" i="1" s="1" a="1"/>
  <c r="U1028" i="1" s="1"/>
  <c r="T1029" i="1" a="1"/>
  <c r="T1029" i="1" s="1"/>
  <c r="U1029" i="1" s="1" a="1"/>
  <c r="U1029" i="1" s="1"/>
  <c r="T1030" i="1" a="1"/>
  <c r="T1030" i="1" s="1"/>
  <c r="U1030" i="1" s="1" a="1"/>
  <c r="U1030" i="1" s="1"/>
  <c r="T1031" i="1" a="1"/>
  <c r="T1031" i="1" s="1"/>
  <c r="U1031" i="1" s="1" a="1"/>
  <c r="U1031" i="1" s="1"/>
  <c r="T1032" i="1" a="1"/>
  <c r="T1032" i="1" s="1"/>
  <c r="U1032" i="1" s="1" a="1"/>
  <c r="U1032" i="1" s="1"/>
  <c r="T1033" i="1" a="1"/>
  <c r="T1033" i="1" s="1"/>
  <c r="U1033" i="1" s="1" a="1"/>
  <c r="U1033" i="1" s="1"/>
  <c r="T1034" i="1" a="1"/>
  <c r="T1034" i="1" s="1"/>
  <c r="U1034" i="1" s="1" a="1"/>
  <c r="U1034" i="1" s="1"/>
  <c r="T1035" i="1" a="1"/>
  <c r="T1035" i="1" s="1"/>
  <c r="U1035" i="1" s="1" a="1"/>
  <c r="U1035" i="1" s="1"/>
  <c r="T1036" i="1" a="1"/>
  <c r="T1036" i="1" s="1"/>
  <c r="U1036" i="1" s="1" a="1"/>
  <c r="U1036" i="1" s="1"/>
  <c r="T1037" i="1" a="1"/>
  <c r="T1037" i="1" s="1"/>
  <c r="U1037" i="1" s="1" a="1"/>
  <c r="U1037" i="1" s="1"/>
  <c r="T1038" i="1" a="1"/>
  <c r="T1038" i="1" s="1"/>
  <c r="U1038" i="1" s="1" a="1"/>
  <c r="U1038" i="1" s="1"/>
  <c r="T1039" i="1" a="1"/>
  <c r="T1039" i="1" s="1"/>
  <c r="U1039" i="1" s="1" a="1"/>
  <c r="U1039" i="1" s="1"/>
  <c r="T1040" i="1" a="1"/>
  <c r="T1040" i="1" s="1"/>
  <c r="U1040" i="1" s="1" a="1"/>
  <c r="U1040" i="1" s="1"/>
  <c r="T1041" i="1" a="1"/>
  <c r="T1041" i="1" s="1"/>
  <c r="U1041" i="1" s="1" a="1"/>
  <c r="U1041" i="1" s="1"/>
  <c r="T1042" i="1" a="1"/>
  <c r="T1042" i="1" s="1"/>
  <c r="U1042" i="1" s="1" a="1"/>
  <c r="U1042" i="1" s="1"/>
  <c r="T1043" i="1" a="1"/>
  <c r="T1043" i="1" s="1"/>
  <c r="U1043" i="1" s="1" a="1"/>
  <c r="U1043" i="1" s="1"/>
  <c r="T1044" i="1" a="1"/>
  <c r="T1044" i="1" s="1"/>
  <c r="U1044" i="1" s="1" a="1"/>
  <c r="U1044" i="1" s="1"/>
  <c r="T1045" i="1" a="1"/>
  <c r="T1045" i="1" s="1"/>
  <c r="U1045" i="1" s="1" a="1"/>
  <c r="U1045" i="1" s="1"/>
  <c r="T1046" i="1" a="1"/>
  <c r="T1046" i="1" s="1"/>
  <c r="U1046" i="1" s="1" a="1"/>
  <c r="U1046" i="1" s="1"/>
  <c r="T1047" i="1" a="1"/>
  <c r="T1047" i="1" s="1"/>
  <c r="U1047" i="1" s="1" a="1"/>
  <c r="U1047" i="1" s="1"/>
  <c r="T1048" i="1" a="1"/>
  <c r="T1048" i="1" s="1"/>
  <c r="U1048" i="1" s="1" a="1"/>
  <c r="U1048" i="1" s="1"/>
  <c r="T1049" i="1" a="1"/>
  <c r="T1049" i="1" s="1"/>
  <c r="U1049" i="1" s="1" a="1"/>
  <c r="U1049" i="1" s="1"/>
  <c r="T1050" i="1" a="1"/>
  <c r="T1050" i="1" s="1"/>
  <c r="U1050" i="1" s="1" a="1"/>
  <c r="U1050" i="1" s="1"/>
  <c r="T1051" i="1" a="1"/>
  <c r="T1051" i="1" s="1"/>
  <c r="U1051" i="1" s="1" a="1"/>
  <c r="U1051" i="1" s="1"/>
  <c r="T1052" i="1" a="1"/>
  <c r="T1052" i="1" s="1"/>
  <c r="U1052" i="1" s="1" a="1"/>
  <c r="U1052" i="1" s="1"/>
  <c r="T1053" i="1" a="1"/>
  <c r="T1053" i="1" s="1"/>
  <c r="U1053" i="1" s="1" a="1"/>
  <c r="U1053" i="1" s="1"/>
  <c r="T1054" i="1" a="1"/>
  <c r="T1054" i="1" s="1"/>
  <c r="U1054" i="1" s="1" a="1"/>
  <c r="U1054" i="1" s="1"/>
  <c r="T1055" i="1" a="1"/>
  <c r="T1055" i="1" s="1"/>
  <c r="U1055" i="1" s="1" a="1"/>
  <c r="U1055" i="1" s="1"/>
  <c r="T1056" i="1" a="1"/>
  <c r="T1056" i="1" s="1"/>
  <c r="U1056" i="1" s="1" a="1"/>
  <c r="U1056" i="1" s="1"/>
  <c r="T1057" i="1" a="1"/>
  <c r="T1057" i="1" s="1"/>
  <c r="U1057" i="1" s="1" a="1"/>
  <c r="U1057" i="1" s="1"/>
  <c r="T1058" i="1" a="1"/>
  <c r="T1058" i="1" s="1"/>
  <c r="U1058" i="1" s="1" a="1"/>
  <c r="U1058" i="1" s="1"/>
  <c r="T1059" i="1" a="1"/>
  <c r="T1059" i="1" s="1"/>
  <c r="U1059" i="1" s="1" a="1"/>
  <c r="U1059" i="1" s="1"/>
  <c r="T1060" i="1" a="1"/>
  <c r="T1060" i="1" s="1"/>
  <c r="U1060" i="1" s="1" a="1"/>
  <c r="U1060" i="1" s="1"/>
  <c r="T1061" i="1" a="1"/>
  <c r="T1061" i="1" s="1"/>
  <c r="U1061" i="1" s="1" a="1"/>
  <c r="U1061" i="1" s="1"/>
  <c r="T1062" i="1" a="1"/>
  <c r="T1062" i="1" s="1"/>
  <c r="U1062" i="1" s="1" a="1"/>
  <c r="U1062" i="1" s="1"/>
  <c r="T1063" i="1" a="1"/>
  <c r="T1063" i="1" s="1"/>
  <c r="U1063" i="1" s="1" a="1"/>
  <c r="U1063" i="1" s="1"/>
  <c r="T1064" i="1" a="1"/>
  <c r="T1064" i="1" s="1"/>
  <c r="U1064" i="1" s="1" a="1"/>
  <c r="U1064" i="1" s="1"/>
  <c r="T1065" i="1" a="1"/>
  <c r="T1065" i="1" s="1"/>
  <c r="U1065" i="1" s="1" a="1"/>
  <c r="U1065" i="1" s="1"/>
  <c r="T1066" i="1" a="1"/>
  <c r="T1066" i="1" s="1"/>
  <c r="U1066" i="1" s="1" a="1"/>
  <c r="U1066" i="1" s="1"/>
  <c r="T1067" i="1" a="1"/>
  <c r="T1067" i="1" s="1"/>
  <c r="U1067" i="1" s="1" a="1"/>
  <c r="U1067" i="1" s="1"/>
  <c r="T1068" i="1" a="1"/>
  <c r="T1068" i="1" s="1"/>
  <c r="U1068" i="1" s="1" a="1"/>
  <c r="U1068" i="1" s="1"/>
  <c r="T1069" i="1" a="1"/>
  <c r="T1069" i="1" s="1"/>
  <c r="U1069" i="1" s="1" a="1"/>
  <c r="U1069" i="1" s="1"/>
  <c r="T1070" i="1" a="1"/>
  <c r="T1070" i="1" s="1"/>
  <c r="U1070" i="1" s="1" a="1"/>
  <c r="U1070" i="1" s="1"/>
  <c r="T1071" i="1" a="1"/>
  <c r="T1071" i="1" s="1"/>
  <c r="U1071" i="1" s="1" a="1"/>
  <c r="U1071" i="1" s="1"/>
  <c r="T1072" i="1" a="1"/>
  <c r="T1072" i="1" s="1"/>
  <c r="U1072" i="1" s="1" a="1"/>
  <c r="U1072" i="1" s="1"/>
  <c r="T1073" i="1" a="1"/>
  <c r="T1073" i="1" s="1"/>
  <c r="U1073" i="1" s="1" a="1"/>
  <c r="U1073" i="1" s="1"/>
  <c r="T1074" i="1" a="1"/>
  <c r="T1074" i="1" s="1"/>
  <c r="U1074" i="1" s="1" a="1"/>
  <c r="U1074" i="1" s="1"/>
  <c r="T1075" i="1" a="1"/>
  <c r="T1075" i="1" s="1"/>
  <c r="U1075" i="1" s="1" a="1"/>
  <c r="U1075" i="1" s="1"/>
  <c r="T1076" i="1" a="1"/>
  <c r="T1076" i="1" s="1"/>
  <c r="U1076" i="1" s="1" a="1"/>
  <c r="U1076" i="1" s="1"/>
  <c r="T1077" i="1" a="1"/>
  <c r="T1077" i="1" s="1"/>
  <c r="U1077" i="1" s="1" a="1"/>
  <c r="U1077" i="1" s="1"/>
  <c r="T1078" i="1" a="1"/>
  <c r="T1078" i="1" s="1"/>
  <c r="U1078" i="1" s="1" a="1"/>
  <c r="U1078" i="1" s="1"/>
  <c r="T1079" i="1" a="1"/>
  <c r="T1079" i="1" s="1"/>
  <c r="U1079" i="1" s="1" a="1"/>
  <c r="U1079" i="1" s="1"/>
  <c r="T1080" i="1" a="1"/>
  <c r="T1080" i="1" s="1"/>
  <c r="U1080" i="1" s="1" a="1"/>
  <c r="U1080" i="1" s="1"/>
  <c r="T1081" i="1" a="1"/>
  <c r="T1081" i="1" s="1"/>
  <c r="U1081" i="1" s="1" a="1"/>
  <c r="U1081" i="1" s="1"/>
  <c r="T1082" i="1" a="1"/>
  <c r="T1082" i="1" s="1"/>
  <c r="U1082" i="1" s="1" a="1"/>
  <c r="U1082" i="1" s="1"/>
  <c r="T1083" i="1" a="1"/>
  <c r="T1083" i="1" s="1"/>
  <c r="U1083" i="1" s="1" a="1"/>
  <c r="U1083" i="1" s="1"/>
  <c r="T1084" i="1" a="1"/>
  <c r="T1084" i="1" s="1"/>
  <c r="U1084" i="1" s="1" a="1"/>
  <c r="U1084" i="1" s="1"/>
  <c r="T1085" i="1" a="1"/>
  <c r="T1085" i="1" s="1"/>
  <c r="U1085" i="1" s="1" a="1"/>
  <c r="U1085" i="1" s="1"/>
  <c r="T1086" i="1" a="1"/>
  <c r="T1086" i="1" s="1"/>
  <c r="U1086" i="1" s="1" a="1"/>
  <c r="U1086" i="1" s="1"/>
  <c r="T1087" i="1" a="1"/>
  <c r="T1087" i="1" s="1"/>
  <c r="U1087" i="1" s="1" a="1"/>
  <c r="U1087" i="1" s="1"/>
  <c r="T1088" i="1" a="1"/>
  <c r="T1088" i="1" s="1"/>
  <c r="U1088" i="1" s="1" a="1"/>
  <c r="U1088" i="1" s="1"/>
  <c r="T1089" i="1" a="1"/>
  <c r="T1089" i="1" s="1"/>
  <c r="U1089" i="1" s="1" a="1"/>
  <c r="U1089" i="1" s="1"/>
  <c r="T1090" i="1" a="1"/>
  <c r="T1090" i="1" s="1"/>
  <c r="U1090" i="1" s="1" a="1"/>
  <c r="U1090" i="1" s="1"/>
  <c r="T1091" i="1" a="1"/>
  <c r="T1091" i="1" s="1"/>
  <c r="U1091" i="1" s="1" a="1"/>
  <c r="U1091" i="1" s="1"/>
  <c r="T1092" i="1" a="1"/>
  <c r="T1092" i="1" s="1"/>
  <c r="U1092" i="1" s="1" a="1"/>
  <c r="U1092" i="1" s="1"/>
  <c r="T1093" i="1" a="1"/>
  <c r="T1093" i="1" s="1"/>
  <c r="U1093" i="1" s="1" a="1"/>
  <c r="U1093" i="1" s="1"/>
  <c r="T1094" i="1" a="1"/>
  <c r="T1094" i="1" s="1"/>
  <c r="U1094" i="1" s="1" a="1"/>
  <c r="U1094" i="1" s="1"/>
  <c r="T1095" i="1" a="1"/>
  <c r="T1095" i="1" s="1"/>
  <c r="U1095" i="1" s="1" a="1"/>
  <c r="U1095" i="1" s="1"/>
  <c r="T1096" i="1" a="1"/>
  <c r="T1096" i="1" s="1"/>
  <c r="U1096" i="1" s="1" a="1"/>
  <c r="U1096" i="1" s="1"/>
  <c r="T1097" i="1" a="1"/>
  <c r="T1097" i="1" s="1"/>
  <c r="U1097" i="1" s="1" a="1"/>
  <c r="U1097" i="1" s="1"/>
  <c r="T1098" i="1" a="1"/>
  <c r="T1098" i="1" s="1"/>
  <c r="U1098" i="1" s="1" a="1"/>
  <c r="U1098" i="1" s="1"/>
  <c r="T1099" i="1" a="1"/>
  <c r="T1099" i="1" s="1"/>
  <c r="U1099" i="1" s="1" a="1"/>
  <c r="U1099" i="1" s="1"/>
  <c r="T1100" i="1" a="1"/>
  <c r="T1100" i="1" s="1"/>
  <c r="U1100" i="1" s="1" a="1"/>
  <c r="U1100" i="1" s="1"/>
  <c r="T1101" i="1" a="1"/>
  <c r="T1101" i="1" s="1"/>
  <c r="U1101" i="1" s="1" a="1"/>
  <c r="U1101" i="1" s="1"/>
  <c r="T1102" i="1" a="1"/>
  <c r="T1102" i="1" s="1"/>
  <c r="U1102" i="1" s="1" a="1"/>
  <c r="U1102" i="1" s="1"/>
  <c r="T1103" i="1" a="1"/>
  <c r="T1103" i="1" s="1"/>
  <c r="U1103" i="1" s="1" a="1"/>
  <c r="U1103" i="1" s="1"/>
  <c r="T1104" i="1" a="1"/>
  <c r="T1104" i="1" s="1"/>
  <c r="U1104" i="1" s="1" a="1"/>
  <c r="U1104" i="1" s="1"/>
  <c r="T1105" i="1" a="1"/>
  <c r="T1105" i="1" s="1"/>
  <c r="U1105" i="1" s="1" a="1"/>
  <c r="U1105" i="1" s="1"/>
  <c r="T1106" i="1" a="1"/>
  <c r="T1106" i="1" s="1"/>
  <c r="U1106" i="1" s="1" a="1"/>
  <c r="U1106" i="1" s="1"/>
  <c r="T1107" i="1" a="1"/>
  <c r="T1107" i="1" s="1"/>
  <c r="U1107" i="1" s="1" a="1"/>
  <c r="U1107" i="1" s="1"/>
  <c r="T1108" i="1" a="1"/>
  <c r="T1108" i="1" s="1"/>
  <c r="U1108" i="1" s="1" a="1"/>
  <c r="U1108" i="1" s="1"/>
  <c r="T1109" i="1" a="1"/>
  <c r="T1109" i="1" s="1"/>
  <c r="U1109" i="1" s="1" a="1"/>
  <c r="U1109" i="1" s="1"/>
  <c r="T1110" i="1" a="1"/>
  <c r="T1110" i="1" s="1"/>
  <c r="U1110" i="1" s="1" a="1"/>
  <c r="U1110" i="1" s="1"/>
  <c r="T1111" i="1" a="1"/>
  <c r="T1111" i="1" s="1"/>
  <c r="U1111" i="1" s="1" a="1"/>
  <c r="U1111" i="1" s="1"/>
  <c r="T1112" i="1" a="1"/>
  <c r="T1112" i="1" s="1"/>
  <c r="U1112" i="1" s="1" a="1"/>
  <c r="U1112" i="1" s="1"/>
  <c r="T1113" i="1" a="1"/>
  <c r="T1113" i="1" s="1"/>
  <c r="U1113" i="1" s="1" a="1"/>
  <c r="U1113" i="1" s="1"/>
  <c r="T1114" i="1" a="1"/>
  <c r="T1114" i="1" s="1"/>
  <c r="U1114" i="1" s="1" a="1"/>
  <c r="U1114" i="1" s="1"/>
  <c r="T1115" i="1" a="1"/>
  <c r="T1115" i="1" s="1"/>
  <c r="U1115" i="1" s="1" a="1"/>
  <c r="U1115" i="1" s="1"/>
  <c r="T1116" i="1" a="1"/>
  <c r="T1116" i="1" s="1"/>
  <c r="U1116" i="1" s="1" a="1"/>
  <c r="U1116" i="1" s="1"/>
  <c r="T1117" i="1" a="1"/>
  <c r="T1117" i="1" s="1"/>
  <c r="U1117" i="1" s="1" a="1"/>
  <c r="U1117" i="1" s="1"/>
  <c r="T1118" i="1" a="1"/>
  <c r="T1118" i="1" s="1"/>
  <c r="U1118" i="1" s="1" a="1"/>
  <c r="U1118" i="1" s="1"/>
  <c r="T1119" i="1" a="1"/>
  <c r="T1119" i="1" s="1"/>
  <c r="U1119" i="1" s="1" a="1"/>
  <c r="U1119" i="1" s="1"/>
  <c r="T1120" i="1" a="1"/>
  <c r="T1120" i="1" s="1"/>
  <c r="U1120" i="1" s="1" a="1"/>
  <c r="U1120" i="1" s="1"/>
  <c r="T1121" i="1" a="1"/>
  <c r="T1121" i="1" s="1"/>
  <c r="U1121" i="1" s="1" a="1"/>
  <c r="U1121" i="1" s="1"/>
  <c r="T1122" i="1" a="1"/>
  <c r="T1122" i="1" s="1"/>
  <c r="U1122" i="1" s="1" a="1"/>
  <c r="U1122" i="1" s="1"/>
  <c r="T1123" i="1" a="1"/>
  <c r="T1123" i="1" s="1"/>
  <c r="U1123" i="1" s="1" a="1"/>
  <c r="U1123" i="1" s="1"/>
  <c r="T1124" i="1" a="1"/>
  <c r="T1124" i="1" s="1"/>
  <c r="U1124" i="1" s="1" a="1"/>
  <c r="U1124" i="1" s="1"/>
  <c r="T1125" i="1" a="1"/>
  <c r="T1125" i="1" s="1"/>
  <c r="U1125" i="1" s="1" a="1"/>
  <c r="U1125" i="1" s="1"/>
  <c r="T1126" i="1" a="1"/>
  <c r="T1126" i="1" s="1"/>
  <c r="U1126" i="1" s="1" a="1"/>
  <c r="U1126" i="1" s="1"/>
  <c r="T1127" i="1" a="1"/>
  <c r="T1127" i="1" s="1"/>
  <c r="U1127" i="1" s="1" a="1"/>
  <c r="U1127" i="1" s="1"/>
  <c r="T1128" i="1" a="1"/>
  <c r="T1128" i="1" s="1"/>
  <c r="U1128" i="1" s="1" a="1"/>
  <c r="U1128" i="1" s="1"/>
  <c r="T1129" i="1" a="1"/>
  <c r="T1129" i="1" s="1"/>
  <c r="U1129" i="1" s="1" a="1"/>
  <c r="U1129" i="1" s="1"/>
  <c r="T1130" i="1" a="1"/>
  <c r="T1130" i="1" s="1"/>
  <c r="U1130" i="1" s="1" a="1"/>
  <c r="U1130" i="1" s="1"/>
  <c r="T1131" i="1" a="1"/>
  <c r="T1131" i="1" s="1"/>
  <c r="U1131" i="1" s="1" a="1"/>
  <c r="U1131" i="1" s="1"/>
  <c r="T1132" i="1" a="1"/>
  <c r="T1132" i="1" s="1"/>
  <c r="U1132" i="1" s="1" a="1"/>
  <c r="U1132" i="1" s="1"/>
  <c r="T1133" i="1" a="1"/>
  <c r="T1133" i="1" s="1"/>
  <c r="U1133" i="1" s="1" a="1"/>
  <c r="U1133" i="1" s="1"/>
  <c r="T1134" i="1" a="1"/>
  <c r="T1134" i="1" s="1"/>
  <c r="U1134" i="1" s="1" a="1"/>
  <c r="U1134" i="1" s="1"/>
  <c r="T1135" i="1" a="1"/>
  <c r="T1135" i="1" s="1"/>
  <c r="U1135" i="1" s="1" a="1"/>
  <c r="U1135" i="1" s="1"/>
  <c r="T1136" i="1" a="1"/>
  <c r="T1136" i="1" s="1"/>
  <c r="U1136" i="1" s="1" a="1"/>
  <c r="U1136" i="1" s="1"/>
  <c r="T1137" i="1" a="1"/>
  <c r="T1137" i="1" s="1"/>
  <c r="U1137" i="1" s="1" a="1"/>
  <c r="U1137" i="1" s="1"/>
  <c r="T1138" i="1" a="1"/>
  <c r="T1138" i="1" s="1"/>
  <c r="U1138" i="1" s="1" a="1"/>
  <c r="U1138" i="1" s="1"/>
  <c r="T1139" i="1" a="1"/>
  <c r="T1139" i="1" s="1"/>
  <c r="U1139" i="1" s="1" a="1"/>
  <c r="U1139" i="1" s="1"/>
  <c r="T1140" i="1" a="1"/>
  <c r="T1140" i="1" s="1"/>
  <c r="U1140" i="1" s="1" a="1"/>
  <c r="U1140" i="1" s="1"/>
  <c r="T1141" i="1" a="1"/>
  <c r="T1141" i="1" s="1"/>
  <c r="U1141" i="1" s="1" a="1"/>
  <c r="U1141" i="1" s="1"/>
  <c r="T1142" i="1" a="1"/>
  <c r="T1142" i="1" s="1"/>
  <c r="U1142" i="1" s="1" a="1"/>
  <c r="U1142" i="1" s="1"/>
  <c r="T1143" i="1" a="1"/>
  <c r="T1143" i="1" s="1"/>
  <c r="U1143" i="1" s="1" a="1"/>
  <c r="U1143" i="1" s="1"/>
  <c r="T1144" i="1" a="1"/>
  <c r="T1144" i="1" s="1"/>
  <c r="U1144" i="1" s="1" a="1"/>
  <c r="U1144" i="1" s="1"/>
  <c r="T1145" i="1" a="1"/>
  <c r="T1145" i="1" s="1"/>
  <c r="U1145" i="1" s="1" a="1"/>
  <c r="U1145" i="1" s="1"/>
  <c r="T1146" i="1" a="1"/>
  <c r="T1146" i="1" s="1"/>
  <c r="U1146" i="1" s="1" a="1"/>
  <c r="U1146" i="1" s="1"/>
  <c r="T1147" i="1" a="1"/>
  <c r="T1147" i="1" s="1"/>
  <c r="U1147" i="1" s="1" a="1"/>
  <c r="U1147" i="1" s="1"/>
  <c r="T1148" i="1" a="1"/>
  <c r="T1148" i="1" s="1"/>
  <c r="U1148" i="1" s="1" a="1"/>
  <c r="U1148" i="1" s="1"/>
  <c r="T1149" i="1" a="1"/>
  <c r="T1149" i="1" s="1"/>
  <c r="U1149" i="1" s="1" a="1"/>
  <c r="U1149" i="1" s="1"/>
  <c r="T1150" i="1" a="1"/>
  <c r="T1150" i="1" s="1"/>
  <c r="U1150" i="1" s="1" a="1"/>
  <c r="U1150" i="1" s="1"/>
  <c r="T1151" i="1" a="1"/>
  <c r="T1151" i="1" s="1"/>
  <c r="U1151" i="1" s="1" a="1"/>
  <c r="U1151" i="1" s="1"/>
  <c r="T1152" i="1" a="1"/>
  <c r="T1152" i="1" s="1"/>
  <c r="U1152" i="1" s="1" a="1"/>
  <c r="U1152" i="1" s="1"/>
  <c r="T1153" i="1" a="1"/>
  <c r="T1153" i="1" s="1"/>
  <c r="U1153" i="1" s="1" a="1"/>
  <c r="U1153" i="1" s="1"/>
  <c r="T1154" i="1" a="1"/>
  <c r="T1154" i="1" s="1"/>
  <c r="U1154" i="1" s="1" a="1"/>
  <c r="U1154" i="1" s="1"/>
  <c r="T1155" i="1" a="1"/>
  <c r="T1155" i="1" s="1"/>
  <c r="U1155" i="1" s="1" a="1"/>
  <c r="U1155" i="1" s="1"/>
  <c r="T1156" i="1" a="1"/>
  <c r="T1156" i="1" s="1"/>
  <c r="U1156" i="1" s="1" a="1"/>
  <c r="U1156" i="1" s="1"/>
  <c r="T1157" i="1" a="1"/>
  <c r="T1157" i="1" s="1"/>
  <c r="U1157" i="1" s="1" a="1"/>
  <c r="U1157" i="1" s="1"/>
  <c r="T1158" i="1" a="1"/>
  <c r="T1158" i="1" s="1"/>
  <c r="U1158" i="1" s="1" a="1"/>
  <c r="U1158" i="1" s="1"/>
  <c r="T1159" i="1" a="1"/>
  <c r="T1159" i="1" s="1"/>
  <c r="U1159" i="1" s="1" a="1"/>
  <c r="U1159" i="1" s="1"/>
  <c r="T1160" i="1" a="1"/>
  <c r="T1160" i="1" s="1"/>
  <c r="U1160" i="1" s="1" a="1"/>
  <c r="U1160" i="1" s="1"/>
  <c r="T1161" i="1" a="1"/>
  <c r="T1161" i="1" s="1"/>
  <c r="U1161" i="1" s="1" a="1"/>
  <c r="U1161" i="1" s="1"/>
  <c r="T1162" i="1" a="1"/>
  <c r="T1162" i="1" s="1"/>
  <c r="U1162" i="1" s="1" a="1"/>
  <c r="U1162" i="1" s="1"/>
  <c r="T1163" i="1" a="1"/>
  <c r="T1163" i="1" s="1"/>
  <c r="U1163" i="1" s="1" a="1"/>
  <c r="U1163" i="1" s="1"/>
  <c r="T1164" i="1" a="1"/>
  <c r="T1164" i="1" s="1"/>
  <c r="U1164" i="1" s="1" a="1"/>
  <c r="U1164" i="1" s="1"/>
  <c r="T1165" i="1" a="1"/>
  <c r="T1165" i="1" s="1"/>
  <c r="U1165" i="1" s="1" a="1"/>
  <c r="U1165" i="1" s="1"/>
  <c r="T1166" i="1" a="1"/>
  <c r="T1166" i="1" s="1"/>
  <c r="U1166" i="1" s="1" a="1"/>
  <c r="U1166" i="1" s="1"/>
  <c r="T1167" i="1" a="1"/>
  <c r="T1167" i="1" s="1"/>
  <c r="U1167" i="1" s="1" a="1"/>
  <c r="U1167" i="1" s="1"/>
  <c r="T1168" i="1" a="1"/>
  <c r="T1168" i="1" s="1"/>
  <c r="U1168" i="1" s="1" a="1"/>
  <c r="U1168" i="1" s="1"/>
  <c r="T1169" i="1" a="1"/>
  <c r="T1169" i="1" s="1"/>
  <c r="U1169" i="1" s="1" a="1"/>
  <c r="U1169" i="1" s="1"/>
  <c r="T1170" i="1" a="1"/>
  <c r="T1170" i="1" s="1"/>
  <c r="U1170" i="1" s="1" a="1"/>
  <c r="U1170" i="1" s="1"/>
  <c r="T1171" i="1" a="1"/>
  <c r="T1171" i="1" s="1"/>
  <c r="U1171" i="1" s="1" a="1"/>
  <c r="U1171" i="1" s="1"/>
  <c r="T1172" i="1" a="1"/>
  <c r="T1172" i="1" s="1"/>
  <c r="U1172" i="1" s="1" a="1"/>
  <c r="U1172" i="1" s="1"/>
  <c r="T1173" i="1" a="1"/>
  <c r="T1173" i="1" s="1"/>
  <c r="U1173" i="1" s="1" a="1"/>
  <c r="U1173" i="1" s="1"/>
  <c r="T1174" i="1" a="1"/>
  <c r="T1174" i="1" s="1"/>
  <c r="U1174" i="1" s="1" a="1"/>
  <c r="U1174" i="1" s="1"/>
  <c r="T1175" i="1" a="1"/>
  <c r="T1175" i="1" s="1"/>
  <c r="U1175" i="1" s="1" a="1"/>
  <c r="U1175" i="1" s="1"/>
  <c r="T1176" i="1" a="1"/>
  <c r="T1176" i="1" s="1"/>
  <c r="U1176" i="1" s="1" a="1"/>
  <c r="U1176" i="1" s="1"/>
  <c r="T1177" i="1" a="1"/>
  <c r="T1177" i="1" s="1"/>
  <c r="U1177" i="1" s="1" a="1"/>
  <c r="U1177" i="1" s="1"/>
  <c r="T1178" i="1" a="1"/>
  <c r="T1178" i="1" s="1"/>
  <c r="U1178" i="1" s="1" a="1"/>
  <c r="U1178" i="1" s="1"/>
  <c r="T1179" i="1" a="1"/>
  <c r="T1179" i="1" s="1"/>
  <c r="U1179" i="1" s="1" a="1"/>
  <c r="U1179" i="1" s="1"/>
  <c r="T1180" i="1" a="1"/>
  <c r="T1180" i="1" s="1"/>
  <c r="U1180" i="1" s="1" a="1"/>
  <c r="U1180" i="1" s="1"/>
  <c r="T1181" i="1" a="1"/>
  <c r="T1181" i="1" s="1"/>
  <c r="U1181" i="1" s="1" a="1"/>
  <c r="U1181" i="1" s="1"/>
  <c r="T1182" i="1" a="1"/>
  <c r="T1182" i="1" s="1"/>
  <c r="U1182" i="1" s="1" a="1"/>
  <c r="U1182" i="1" s="1"/>
  <c r="T1183" i="1" a="1"/>
  <c r="T1183" i="1" s="1"/>
  <c r="U1183" i="1" s="1" a="1"/>
  <c r="U1183" i="1" s="1"/>
  <c r="T1184" i="1" a="1"/>
  <c r="T1184" i="1" s="1"/>
  <c r="U1184" i="1" s="1" a="1"/>
  <c r="U1184" i="1" s="1"/>
  <c r="T1185" i="1" a="1"/>
  <c r="T1185" i="1" s="1"/>
  <c r="U1185" i="1" s="1" a="1"/>
  <c r="U1185" i="1" s="1"/>
  <c r="T1186" i="1" a="1"/>
  <c r="T1186" i="1" s="1"/>
  <c r="U1186" i="1" s="1" a="1"/>
  <c r="U1186" i="1" s="1"/>
  <c r="T1187" i="1" a="1"/>
  <c r="T1187" i="1" s="1"/>
  <c r="U1187" i="1" s="1" a="1"/>
  <c r="U1187" i="1" s="1"/>
  <c r="T1188" i="1" a="1"/>
  <c r="T1188" i="1" s="1"/>
  <c r="U1188" i="1" s="1" a="1"/>
  <c r="U1188" i="1" s="1"/>
  <c r="T1189" i="1" a="1"/>
  <c r="T1189" i="1" s="1"/>
  <c r="U1189" i="1" s="1" a="1"/>
  <c r="U1189" i="1" s="1"/>
  <c r="T1190" i="1" a="1"/>
  <c r="T1190" i="1" s="1"/>
  <c r="U1190" i="1" s="1" a="1"/>
  <c r="U1190" i="1" s="1"/>
  <c r="T1191" i="1" a="1"/>
  <c r="T1191" i="1" s="1"/>
  <c r="U1191" i="1" s="1" a="1"/>
  <c r="U1191" i="1" s="1"/>
  <c r="T1192" i="1" a="1"/>
  <c r="T1192" i="1" s="1"/>
  <c r="U1192" i="1" s="1" a="1"/>
  <c r="U1192" i="1" s="1"/>
  <c r="T1193" i="1" a="1"/>
  <c r="T1193" i="1" s="1"/>
  <c r="U1193" i="1" s="1" a="1"/>
  <c r="U1193" i="1" s="1"/>
  <c r="T1194" i="1" a="1"/>
  <c r="T1194" i="1" s="1"/>
  <c r="U1194" i="1" s="1" a="1"/>
  <c r="U1194" i="1" s="1"/>
  <c r="T1195" i="1" a="1"/>
  <c r="T1195" i="1" s="1"/>
  <c r="U1195" i="1" s="1" a="1"/>
  <c r="U1195" i="1" s="1"/>
  <c r="T1196" i="1" a="1"/>
  <c r="T1196" i="1" s="1"/>
  <c r="U1196" i="1" s="1" a="1"/>
  <c r="U1196" i="1" s="1"/>
  <c r="T1197" i="1" a="1"/>
  <c r="T1197" i="1" s="1"/>
  <c r="U1197" i="1" s="1" a="1"/>
  <c r="U1197" i="1" s="1"/>
  <c r="T1198" i="1" a="1"/>
  <c r="T1198" i="1" s="1"/>
  <c r="U1198" i="1" s="1" a="1"/>
  <c r="U1198" i="1" s="1"/>
  <c r="T1199" i="1" a="1"/>
  <c r="T1199" i="1" s="1"/>
  <c r="U1199" i="1" s="1" a="1"/>
  <c r="U1199" i="1" s="1"/>
  <c r="T1200" i="1" a="1"/>
  <c r="T1200" i="1" s="1"/>
  <c r="U1200" i="1" s="1" a="1"/>
  <c r="U1200" i="1" s="1"/>
  <c r="T1201" i="1" a="1"/>
  <c r="T1201" i="1" s="1"/>
  <c r="U1201" i="1" s="1" a="1"/>
  <c r="U1201" i="1" s="1"/>
  <c r="T1202" i="1" a="1"/>
  <c r="T1202" i="1" s="1"/>
  <c r="U1202" i="1" s="1" a="1"/>
  <c r="U1202" i="1" s="1"/>
  <c r="T1203" i="1" a="1"/>
  <c r="T1203" i="1" s="1"/>
  <c r="U1203" i="1" s="1" a="1"/>
  <c r="U1203" i="1" s="1"/>
  <c r="T1204" i="1" a="1"/>
  <c r="T1204" i="1" s="1"/>
  <c r="U1204" i="1" s="1" a="1"/>
  <c r="U1204" i="1" s="1"/>
  <c r="T1205" i="1" a="1"/>
  <c r="T1205" i="1" s="1"/>
  <c r="U1205" i="1" s="1" a="1"/>
  <c r="U1205" i="1" s="1"/>
  <c r="T1206" i="1" a="1"/>
  <c r="T1206" i="1" s="1"/>
  <c r="U1206" i="1" s="1" a="1"/>
  <c r="U1206" i="1" s="1"/>
  <c r="T1207" i="1" a="1"/>
  <c r="T1207" i="1" s="1"/>
  <c r="U1207" i="1" s="1" a="1"/>
  <c r="U1207" i="1" s="1"/>
  <c r="T1208" i="1" a="1"/>
  <c r="T1208" i="1" s="1"/>
  <c r="U1208" i="1" s="1" a="1"/>
  <c r="U1208" i="1" s="1"/>
  <c r="T1209" i="1" a="1"/>
  <c r="T1209" i="1" s="1"/>
  <c r="U1209" i="1" s="1" a="1"/>
  <c r="U1209" i="1" s="1"/>
  <c r="T1210" i="1" a="1"/>
  <c r="T1210" i="1" s="1"/>
  <c r="U1210" i="1" s="1" a="1"/>
  <c r="U1210" i="1" s="1"/>
  <c r="T1211" i="1" a="1"/>
  <c r="T1211" i="1" s="1"/>
  <c r="U1211" i="1" s="1" a="1"/>
  <c r="U1211" i="1" s="1"/>
  <c r="T1212" i="1" a="1"/>
  <c r="T1212" i="1" s="1"/>
  <c r="U1212" i="1" s="1" a="1"/>
  <c r="U1212" i="1" s="1"/>
  <c r="T1213" i="1" a="1"/>
  <c r="T1213" i="1" s="1"/>
  <c r="U1213" i="1" s="1" a="1"/>
  <c r="U1213" i="1" s="1"/>
  <c r="T1214" i="1" a="1"/>
  <c r="T1214" i="1" s="1"/>
  <c r="U1214" i="1" s="1" a="1"/>
  <c r="U1214" i="1" s="1"/>
  <c r="T1215" i="1" a="1"/>
  <c r="T1215" i="1" s="1"/>
  <c r="U1215" i="1" s="1" a="1"/>
  <c r="U1215" i="1" s="1"/>
  <c r="T1216" i="1" a="1"/>
  <c r="T1216" i="1" s="1"/>
  <c r="U1216" i="1" s="1" a="1"/>
  <c r="U1216" i="1" s="1"/>
  <c r="T1217" i="1" a="1"/>
  <c r="T1217" i="1" s="1"/>
  <c r="U1217" i="1" s="1" a="1"/>
  <c r="U1217" i="1" s="1"/>
  <c r="T1218" i="1" a="1"/>
  <c r="T1218" i="1" s="1"/>
  <c r="U1218" i="1" s="1" a="1"/>
  <c r="U1218" i="1" s="1"/>
  <c r="T1219" i="1" a="1"/>
  <c r="T1219" i="1" s="1"/>
  <c r="U1219" i="1" s="1" a="1"/>
  <c r="U1219" i="1" s="1"/>
  <c r="T1220" i="1" a="1"/>
  <c r="T1220" i="1" s="1"/>
  <c r="U1220" i="1" s="1" a="1"/>
  <c r="U1220" i="1" s="1"/>
  <c r="T1221" i="1" a="1"/>
  <c r="T1221" i="1" s="1"/>
  <c r="U1221" i="1" s="1" a="1"/>
  <c r="U1221" i="1" s="1"/>
  <c r="T1222" i="1" a="1"/>
  <c r="T1222" i="1" s="1"/>
  <c r="U1222" i="1" s="1" a="1"/>
  <c r="U1222" i="1" s="1"/>
  <c r="T1223" i="1" a="1"/>
  <c r="T1223" i="1" s="1"/>
  <c r="U1223" i="1" s="1" a="1"/>
  <c r="U1223" i="1" s="1"/>
  <c r="T1224" i="1" a="1"/>
  <c r="T1224" i="1" s="1"/>
  <c r="U1224" i="1" s="1" a="1"/>
  <c r="U1224" i="1" s="1"/>
  <c r="T1225" i="1" a="1"/>
  <c r="T1225" i="1" s="1"/>
  <c r="U1225" i="1" s="1" a="1"/>
  <c r="U1225" i="1" s="1"/>
  <c r="T1226" i="1" a="1"/>
  <c r="T1226" i="1" s="1"/>
  <c r="U1226" i="1" s="1" a="1"/>
  <c r="U1226" i="1" s="1"/>
  <c r="T1227" i="1" a="1"/>
  <c r="T1227" i="1" s="1"/>
  <c r="U1227" i="1" s="1" a="1"/>
  <c r="U1227" i="1" s="1"/>
  <c r="T1228" i="1" a="1"/>
  <c r="T1228" i="1" s="1"/>
  <c r="U1228" i="1" s="1" a="1"/>
  <c r="U1228" i="1" s="1"/>
  <c r="T1229" i="1" a="1"/>
  <c r="T1229" i="1" s="1"/>
  <c r="U1229" i="1" s="1" a="1"/>
  <c r="U1229" i="1" s="1"/>
  <c r="T1230" i="1" a="1"/>
  <c r="T1230" i="1" s="1"/>
  <c r="U1230" i="1" s="1" a="1"/>
  <c r="U1230" i="1" s="1"/>
  <c r="T1231" i="1" a="1"/>
  <c r="T1231" i="1" s="1"/>
  <c r="U1231" i="1" s="1" a="1"/>
  <c r="U1231" i="1" s="1"/>
  <c r="T1232" i="1" a="1"/>
  <c r="T1232" i="1" s="1"/>
  <c r="U1232" i="1" s="1" a="1"/>
  <c r="U1232" i="1" s="1"/>
  <c r="T1233" i="1" a="1"/>
  <c r="T1233" i="1" s="1"/>
  <c r="U1233" i="1" s="1" a="1"/>
  <c r="U1233" i="1" s="1"/>
  <c r="T1234" i="1" a="1"/>
  <c r="T1234" i="1" s="1"/>
  <c r="U1234" i="1" s="1" a="1"/>
  <c r="U1234" i="1" s="1"/>
  <c r="T1235" i="1" a="1"/>
  <c r="T1235" i="1" s="1"/>
  <c r="U1235" i="1" s="1" a="1"/>
  <c r="U1235" i="1" s="1"/>
  <c r="T1236" i="1" a="1"/>
  <c r="T1236" i="1" s="1"/>
  <c r="U1236" i="1" s="1" a="1"/>
  <c r="U1236" i="1" s="1"/>
  <c r="T1237" i="1" a="1"/>
  <c r="T1237" i="1" s="1"/>
  <c r="U1237" i="1" s="1" a="1"/>
  <c r="U1237" i="1" s="1"/>
  <c r="T1238" i="1" a="1"/>
  <c r="T1238" i="1" s="1"/>
  <c r="U1238" i="1" s="1" a="1"/>
  <c r="U1238" i="1" s="1"/>
  <c r="T1239" i="1" a="1"/>
  <c r="T1239" i="1" s="1"/>
  <c r="U1239" i="1" s="1" a="1"/>
  <c r="U1239" i="1" s="1"/>
  <c r="T1240" i="1" a="1"/>
  <c r="T1240" i="1" s="1"/>
  <c r="U1240" i="1" s="1" a="1"/>
  <c r="U1240" i="1" s="1"/>
  <c r="T1241" i="1" a="1"/>
  <c r="T1241" i="1" s="1"/>
  <c r="U1241" i="1" s="1" a="1"/>
  <c r="U1241" i="1" s="1"/>
  <c r="T1242" i="1" a="1"/>
  <c r="T1242" i="1" s="1"/>
  <c r="U1242" i="1" s="1" a="1"/>
  <c r="U1242" i="1" s="1"/>
  <c r="T1243" i="1" a="1"/>
  <c r="T1243" i="1" s="1"/>
  <c r="U1243" i="1" s="1" a="1"/>
  <c r="U1243" i="1" s="1"/>
  <c r="T1244" i="1" a="1"/>
  <c r="T1244" i="1" s="1"/>
  <c r="U1244" i="1" s="1" a="1"/>
  <c r="U1244" i="1" s="1"/>
  <c r="T1245" i="1" a="1"/>
  <c r="T1245" i="1" s="1"/>
  <c r="U1245" i="1" s="1" a="1"/>
  <c r="U1245" i="1" s="1"/>
  <c r="T1246" i="1" a="1"/>
  <c r="T1246" i="1" s="1"/>
  <c r="U1246" i="1" s="1" a="1"/>
  <c r="U1246" i="1" s="1"/>
  <c r="T1247" i="1" a="1"/>
  <c r="T1247" i="1" s="1"/>
  <c r="U1247" i="1" s="1" a="1"/>
  <c r="U1247" i="1" s="1"/>
  <c r="T1248" i="1" a="1"/>
  <c r="T1248" i="1" s="1"/>
  <c r="U1248" i="1" s="1" a="1"/>
  <c r="U1248" i="1" s="1"/>
  <c r="T1249" i="1" a="1"/>
  <c r="T1249" i="1" s="1"/>
  <c r="U1249" i="1" s="1" a="1"/>
  <c r="U1249" i="1" s="1"/>
  <c r="T1250" i="1" a="1"/>
  <c r="T1250" i="1" s="1"/>
  <c r="U1250" i="1" s="1" a="1"/>
  <c r="U1250" i="1" s="1"/>
  <c r="T1251" i="1" a="1"/>
  <c r="T1251" i="1" s="1"/>
  <c r="U1251" i="1" s="1" a="1"/>
  <c r="U1251" i="1" s="1"/>
  <c r="T1252" i="1" a="1"/>
  <c r="T1252" i="1" s="1"/>
  <c r="U1252" i="1" s="1" a="1"/>
  <c r="U1252" i="1" s="1"/>
  <c r="T1253" i="1" a="1"/>
  <c r="T1253" i="1" s="1"/>
  <c r="U1253" i="1" s="1" a="1"/>
  <c r="U1253" i="1" s="1"/>
  <c r="T1254" i="1" a="1"/>
  <c r="T1254" i="1" s="1"/>
  <c r="U1254" i="1" s="1" a="1"/>
  <c r="U1254" i="1" s="1"/>
  <c r="T1255" i="1" a="1"/>
  <c r="T1255" i="1" s="1"/>
  <c r="U1255" i="1" s="1" a="1"/>
  <c r="U1255" i="1" s="1"/>
  <c r="T1256" i="1" a="1"/>
  <c r="T1256" i="1" s="1"/>
  <c r="U1256" i="1" s="1" a="1"/>
  <c r="U1256" i="1" s="1"/>
  <c r="T1257" i="1" a="1"/>
  <c r="T1257" i="1" s="1"/>
  <c r="U1257" i="1" s="1" a="1"/>
  <c r="U1257" i="1" s="1"/>
  <c r="T1258" i="1" a="1"/>
  <c r="T1258" i="1" s="1"/>
  <c r="U1258" i="1" s="1" a="1"/>
  <c r="U1258" i="1" s="1"/>
  <c r="T1259" i="1" a="1"/>
  <c r="T1259" i="1" s="1"/>
  <c r="U1259" i="1" s="1" a="1"/>
  <c r="U1259" i="1" s="1"/>
  <c r="T1260" i="1" a="1"/>
  <c r="T1260" i="1" s="1"/>
  <c r="U1260" i="1" s="1" a="1"/>
  <c r="U1260" i="1" s="1"/>
  <c r="T1261" i="1" a="1"/>
  <c r="T1261" i="1" s="1"/>
  <c r="U1261" i="1" s="1" a="1"/>
  <c r="U1261" i="1" s="1"/>
  <c r="T1262" i="1" a="1"/>
  <c r="T1262" i="1" s="1"/>
  <c r="U1262" i="1" s="1" a="1"/>
  <c r="U1262" i="1" s="1"/>
  <c r="T1263" i="1" a="1"/>
  <c r="T1263" i="1" s="1"/>
  <c r="U1263" i="1" s="1" a="1"/>
  <c r="U1263" i="1" s="1"/>
  <c r="T1264" i="1" a="1"/>
  <c r="T1264" i="1" s="1"/>
  <c r="U1264" i="1" s="1" a="1"/>
  <c r="U1264" i="1" s="1"/>
  <c r="T1265" i="1" a="1"/>
  <c r="T1265" i="1" s="1"/>
  <c r="U1265" i="1" s="1" a="1"/>
  <c r="U1265" i="1" s="1"/>
  <c r="T1266" i="1" a="1"/>
  <c r="T1266" i="1" s="1"/>
  <c r="U1266" i="1" s="1" a="1"/>
  <c r="U1266" i="1" s="1"/>
  <c r="T1267" i="1" a="1"/>
  <c r="T1267" i="1" s="1"/>
  <c r="U1267" i="1" s="1" a="1"/>
  <c r="U1267" i="1" s="1"/>
  <c r="T1268" i="1" a="1"/>
  <c r="T1268" i="1" s="1"/>
  <c r="U1268" i="1" s="1" a="1"/>
  <c r="U1268" i="1" s="1"/>
  <c r="T1269" i="1" a="1"/>
  <c r="T1269" i="1" s="1"/>
  <c r="U1269" i="1" s="1" a="1"/>
  <c r="U1269" i="1" s="1"/>
  <c r="T1270" i="1" a="1"/>
  <c r="T1270" i="1" s="1"/>
  <c r="U1270" i="1" s="1" a="1"/>
  <c r="U1270" i="1" s="1"/>
  <c r="T1271" i="1" a="1"/>
  <c r="T1271" i="1" s="1"/>
  <c r="U1271" i="1" s="1" a="1"/>
  <c r="U1271" i="1" s="1"/>
  <c r="T1272" i="1" a="1"/>
  <c r="T1272" i="1" s="1"/>
  <c r="U1272" i="1" s="1" a="1"/>
  <c r="U1272" i="1" s="1"/>
  <c r="T1273" i="1" a="1"/>
  <c r="T1273" i="1" s="1"/>
  <c r="U1273" i="1" s="1" a="1"/>
  <c r="U1273" i="1" s="1"/>
  <c r="T1274" i="1" a="1"/>
  <c r="T1274" i="1" s="1"/>
  <c r="U1274" i="1" s="1" a="1"/>
  <c r="U1274" i="1" s="1"/>
  <c r="T1275" i="1" a="1"/>
  <c r="T1275" i="1" s="1"/>
  <c r="U1275" i="1" s="1" a="1"/>
  <c r="U1275" i="1" s="1"/>
  <c r="T1276" i="1" a="1"/>
  <c r="T1276" i="1" s="1"/>
  <c r="U1276" i="1" s="1" a="1"/>
  <c r="U1276" i="1" s="1"/>
  <c r="T1277" i="1" a="1"/>
  <c r="T1277" i="1" s="1"/>
  <c r="U1277" i="1" s="1" a="1"/>
  <c r="U1277" i="1" s="1"/>
  <c r="T1278" i="1" a="1"/>
  <c r="T1278" i="1" s="1"/>
  <c r="U1278" i="1" s="1" a="1"/>
  <c r="U1278" i="1" s="1"/>
  <c r="T1279" i="1" a="1"/>
  <c r="T1279" i="1" s="1"/>
  <c r="U1279" i="1" s="1" a="1"/>
  <c r="U1279" i="1" s="1"/>
  <c r="T1280" i="1" a="1"/>
  <c r="T1280" i="1" s="1"/>
  <c r="U1280" i="1" s="1" a="1"/>
  <c r="U1280" i="1" s="1"/>
  <c r="T1281" i="1" a="1"/>
  <c r="T1281" i="1" s="1"/>
  <c r="U1281" i="1" s="1" a="1"/>
  <c r="U1281" i="1" s="1"/>
  <c r="T1282" i="1" a="1"/>
  <c r="T1282" i="1" s="1"/>
  <c r="U1282" i="1" s="1" a="1"/>
  <c r="U1282" i="1" s="1"/>
  <c r="T1283" i="1" a="1"/>
  <c r="T1283" i="1" s="1"/>
  <c r="U1283" i="1" s="1" a="1"/>
  <c r="U1283" i="1" s="1"/>
  <c r="T1284" i="1" a="1"/>
  <c r="T1284" i="1" s="1"/>
  <c r="U1284" i="1" s="1" a="1"/>
  <c r="U1284" i="1" s="1"/>
  <c r="T1285" i="1" a="1"/>
  <c r="T1285" i="1" s="1"/>
  <c r="U1285" i="1" s="1" a="1"/>
  <c r="U1285" i="1" s="1"/>
  <c r="T1286" i="1" a="1"/>
  <c r="T1286" i="1" s="1"/>
  <c r="U1286" i="1" s="1" a="1"/>
  <c r="U1286" i="1" s="1"/>
  <c r="T1287" i="1" a="1"/>
  <c r="T1287" i="1" s="1"/>
  <c r="U1287" i="1" s="1" a="1"/>
  <c r="U1287" i="1" s="1"/>
  <c r="T1288" i="1" a="1"/>
  <c r="T1288" i="1" s="1"/>
  <c r="U1288" i="1" s="1" a="1"/>
  <c r="U1288" i="1" s="1"/>
  <c r="T1289" i="1" a="1"/>
  <c r="T1289" i="1" s="1"/>
  <c r="U1289" i="1" s="1" a="1"/>
  <c r="U1289" i="1" s="1"/>
  <c r="T1290" i="1" a="1"/>
  <c r="T1290" i="1" s="1"/>
  <c r="U1290" i="1" s="1" a="1"/>
  <c r="U1290" i="1" s="1"/>
  <c r="T1291" i="1" a="1"/>
  <c r="T1291" i="1" s="1"/>
  <c r="U1291" i="1" s="1" a="1"/>
  <c r="U1291" i="1" s="1"/>
  <c r="T1292" i="1" a="1"/>
  <c r="T1292" i="1" s="1"/>
  <c r="U1292" i="1" s="1" a="1"/>
  <c r="U1292" i="1" s="1"/>
  <c r="T1293" i="1" a="1"/>
  <c r="T1293" i="1" s="1"/>
  <c r="U1293" i="1" s="1" a="1"/>
  <c r="U1293" i="1" s="1"/>
  <c r="T1294" i="1" a="1"/>
  <c r="T1294" i="1" s="1"/>
  <c r="U1294" i="1" s="1" a="1"/>
  <c r="U1294" i="1" s="1"/>
  <c r="T1295" i="1" a="1"/>
  <c r="T1295" i="1" s="1"/>
  <c r="U1295" i="1" s="1" a="1"/>
  <c r="U1295" i="1" s="1"/>
  <c r="T1296" i="1" a="1"/>
  <c r="T1296" i="1" s="1"/>
  <c r="U1296" i="1" s="1" a="1"/>
  <c r="U1296" i="1" s="1"/>
  <c r="T1297" i="1" a="1"/>
  <c r="T1297" i="1" s="1"/>
  <c r="U1297" i="1" s="1" a="1"/>
  <c r="U1297" i="1" s="1"/>
  <c r="T1298" i="1" a="1"/>
  <c r="T1298" i="1" s="1"/>
  <c r="U1298" i="1" s="1" a="1"/>
  <c r="U1298" i="1" s="1"/>
  <c r="T1299" i="1" a="1"/>
  <c r="T1299" i="1" s="1"/>
  <c r="U1299" i="1" s="1" a="1"/>
  <c r="U1299" i="1" s="1"/>
  <c r="T1300" i="1" a="1"/>
  <c r="T1300" i="1" s="1"/>
  <c r="U1300" i="1" s="1" a="1"/>
  <c r="U1300" i="1" s="1"/>
  <c r="T1301" i="1" a="1"/>
  <c r="T1301" i="1" s="1"/>
  <c r="U1301" i="1" s="1" a="1"/>
  <c r="U1301" i="1" s="1"/>
  <c r="T1302" i="1" a="1"/>
  <c r="T1302" i="1" s="1"/>
  <c r="U1302" i="1" s="1" a="1"/>
  <c r="U1302" i="1" s="1"/>
  <c r="T1303" i="1" a="1"/>
  <c r="T1303" i="1" s="1"/>
  <c r="U1303" i="1" s="1" a="1"/>
  <c r="U1303" i="1" s="1"/>
  <c r="T1304" i="1" a="1"/>
  <c r="T1304" i="1" s="1"/>
  <c r="U1304" i="1" s="1" a="1"/>
  <c r="U1304" i="1" s="1"/>
  <c r="T1305" i="1" a="1"/>
  <c r="T1305" i="1" s="1"/>
  <c r="U1305" i="1" s="1" a="1"/>
  <c r="U1305" i="1" s="1"/>
  <c r="T1306" i="1" a="1"/>
  <c r="T1306" i="1" s="1"/>
  <c r="U1306" i="1" s="1" a="1"/>
  <c r="U1306" i="1" s="1"/>
  <c r="T1307" i="1" a="1"/>
  <c r="T1307" i="1" s="1"/>
  <c r="U1307" i="1" s="1" a="1"/>
  <c r="U1307" i="1" s="1"/>
  <c r="T1308" i="1" a="1"/>
  <c r="T1308" i="1" s="1"/>
  <c r="U1308" i="1" s="1" a="1"/>
  <c r="U1308" i="1" s="1"/>
  <c r="T1309" i="1" a="1"/>
  <c r="T1309" i="1" s="1"/>
  <c r="U1309" i="1" s="1" a="1"/>
  <c r="U1309" i="1" s="1"/>
  <c r="T1310" i="1" a="1"/>
  <c r="T1310" i="1" s="1"/>
  <c r="U1310" i="1" s="1" a="1"/>
  <c r="U1310" i="1" s="1"/>
  <c r="T1311" i="1" a="1"/>
  <c r="T1311" i="1" s="1"/>
  <c r="U1311" i="1" s="1" a="1"/>
  <c r="U1311" i="1" s="1"/>
  <c r="T1312" i="1" a="1"/>
  <c r="T1312" i="1" s="1"/>
  <c r="U1312" i="1" s="1" a="1"/>
  <c r="U1312" i="1" s="1"/>
  <c r="T1313" i="1" a="1"/>
  <c r="T1313" i="1" s="1"/>
  <c r="U1313" i="1" s="1" a="1"/>
  <c r="U1313" i="1" s="1"/>
  <c r="T1314" i="1" a="1"/>
  <c r="T1314" i="1" s="1"/>
  <c r="U1314" i="1" s="1" a="1"/>
  <c r="U1314" i="1" s="1"/>
  <c r="T1315" i="1" a="1"/>
  <c r="T1315" i="1" s="1"/>
  <c r="U1315" i="1" s="1" a="1"/>
  <c r="U1315" i="1" s="1"/>
  <c r="T1316" i="1" a="1"/>
  <c r="T1316" i="1" s="1"/>
  <c r="U1316" i="1" s="1" a="1"/>
  <c r="U1316" i="1" s="1"/>
  <c r="T1317" i="1" a="1"/>
  <c r="T1317" i="1" s="1"/>
  <c r="U1317" i="1" s="1" a="1"/>
  <c r="U1317" i="1" s="1"/>
  <c r="T1318" i="1" a="1"/>
  <c r="T1318" i="1" s="1"/>
  <c r="U1318" i="1" s="1" a="1"/>
  <c r="U1318" i="1" s="1"/>
  <c r="T1319" i="1" a="1"/>
  <c r="T1319" i="1" s="1"/>
  <c r="U1319" i="1" s="1" a="1"/>
  <c r="U1319" i="1" s="1"/>
  <c r="T1320" i="1" a="1"/>
  <c r="T1320" i="1" s="1"/>
  <c r="U1320" i="1" s="1" a="1"/>
  <c r="U1320" i="1" s="1"/>
  <c r="T1321" i="1" a="1"/>
  <c r="T1321" i="1" s="1"/>
  <c r="U1321" i="1" s="1" a="1"/>
  <c r="U1321" i="1" s="1"/>
  <c r="T1322" i="1" a="1"/>
  <c r="T1322" i="1" s="1"/>
  <c r="U1322" i="1" s="1" a="1"/>
  <c r="U1322" i="1" s="1"/>
  <c r="T1323" i="1" a="1"/>
  <c r="T1323" i="1" s="1"/>
  <c r="U1323" i="1" s="1" a="1"/>
  <c r="U1323" i="1" s="1"/>
  <c r="T1324" i="1" a="1"/>
  <c r="T1324" i="1" s="1"/>
  <c r="U1324" i="1" s="1" a="1"/>
  <c r="U1324" i="1" s="1"/>
  <c r="T1325" i="1" a="1"/>
  <c r="T1325" i="1" s="1"/>
  <c r="U1325" i="1" s="1" a="1"/>
  <c r="U1325" i="1" s="1"/>
  <c r="T1326" i="1" a="1"/>
  <c r="T1326" i="1" s="1"/>
  <c r="U1326" i="1" s="1" a="1"/>
  <c r="U1326" i="1" s="1"/>
  <c r="T1327" i="1" a="1"/>
  <c r="T1327" i="1" s="1"/>
  <c r="U1327" i="1" s="1" a="1"/>
  <c r="U1327" i="1" s="1"/>
  <c r="T1328" i="1" a="1"/>
  <c r="T1328" i="1" s="1"/>
  <c r="U1328" i="1" s="1" a="1"/>
  <c r="U1328" i="1" s="1"/>
  <c r="T1329" i="1" a="1"/>
  <c r="T1329" i="1" s="1"/>
  <c r="U1329" i="1" s="1" a="1"/>
  <c r="U1329" i="1" s="1"/>
  <c r="T1330" i="1" a="1"/>
  <c r="T1330" i="1" s="1"/>
  <c r="U1330" i="1" s="1" a="1"/>
  <c r="U1330" i="1" s="1"/>
  <c r="T1331" i="1" a="1"/>
  <c r="T1331" i="1" s="1"/>
  <c r="U1331" i="1" s="1" a="1"/>
  <c r="U1331" i="1" s="1"/>
  <c r="T1332" i="1" a="1"/>
  <c r="T1332" i="1" s="1"/>
  <c r="U1332" i="1" s="1" a="1"/>
  <c r="U1332" i="1" s="1"/>
  <c r="T1333" i="1" a="1"/>
  <c r="T1333" i="1" s="1"/>
  <c r="U1333" i="1" s="1" a="1"/>
  <c r="U1333" i="1" s="1"/>
  <c r="T1334" i="1" a="1"/>
  <c r="T1334" i="1" s="1"/>
  <c r="U1334" i="1" s="1" a="1"/>
  <c r="U1334" i="1" s="1"/>
  <c r="T1335" i="1" a="1"/>
  <c r="T1335" i="1" s="1"/>
  <c r="U1335" i="1" s="1" a="1"/>
  <c r="U1335" i="1" s="1"/>
  <c r="T1336" i="1" a="1"/>
  <c r="T1336" i="1" s="1"/>
  <c r="U1336" i="1" s="1" a="1"/>
  <c r="U1336" i="1" s="1"/>
  <c r="T1337" i="1" a="1"/>
  <c r="T1337" i="1" s="1"/>
  <c r="U1337" i="1" s="1" a="1"/>
  <c r="U1337" i="1" s="1"/>
  <c r="T1338" i="1" a="1"/>
  <c r="T1338" i="1" s="1"/>
  <c r="U1338" i="1" s="1" a="1"/>
  <c r="U1338" i="1" s="1"/>
  <c r="T1339" i="1" a="1"/>
  <c r="T1339" i="1" s="1"/>
  <c r="U1339" i="1" s="1" a="1"/>
  <c r="U1339" i="1" s="1"/>
  <c r="T1340" i="1" a="1"/>
  <c r="T1340" i="1" s="1"/>
  <c r="U1340" i="1" s="1" a="1"/>
  <c r="U1340" i="1" s="1"/>
  <c r="T1341" i="1" a="1"/>
  <c r="T1341" i="1" s="1"/>
  <c r="U1341" i="1" s="1" a="1"/>
  <c r="U1341" i="1" s="1"/>
  <c r="T1342" i="1" a="1"/>
  <c r="T1342" i="1" s="1"/>
  <c r="U1342" i="1" s="1" a="1"/>
  <c r="U1342" i="1" s="1"/>
  <c r="T1343" i="1" a="1"/>
  <c r="T1343" i="1" s="1"/>
  <c r="U1343" i="1" s="1" a="1"/>
  <c r="U1343" i="1" s="1"/>
  <c r="T1344" i="1" a="1"/>
  <c r="T1344" i="1" s="1"/>
  <c r="U1344" i="1" s="1" a="1"/>
  <c r="U1344" i="1" s="1"/>
  <c r="T1345" i="1" a="1"/>
  <c r="T1345" i="1" s="1"/>
  <c r="U1345" i="1" s="1" a="1"/>
  <c r="U1345" i="1" s="1"/>
  <c r="T1346" i="1" a="1"/>
  <c r="T1346" i="1" s="1"/>
  <c r="U1346" i="1" s="1" a="1"/>
  <c r="U1346" i="1" s="1"/>
  <c r="T1347" i="1" a="1"/>
  <c r="T1347" i="1" s="1"/>
  <c r="U1347" i="1" s="1" a="1"/>
  <c r="U1347" i="1" s="1"/>
  <c r="T1348" i="1" a="1"/>
  <c r="T1348" i="1" s="1"/>
  <c r="U1348" i="1" s="1" a="1"/>
  <c r="U1348" i="1" s="1"/>
  <c r="T1349" i="1" a="1"/>
  <c r="T1349" i="1" s="1"/>
  <c r="U1349" i="1" s="1" a="1"/>
  <c r="U1349" i="1" s="1"/>
  <c r="T1350" i="1" a="1"/>
  <c r="T1350" i="1" s="1"/>
  <c r="U1350" i="1" s="1" a="1"/>
  <c r="U1350" i="1" s="1"/>
  <c r="T1351" i="1" a="1"/>
  <c r="T1351" i="1" s="1"/>
  <c r="U1351" i="1" s="1" a="1"/>
  <c r="U1351" i="1" s="1"/>
  <c r="T1352" i="1" a="1"/>
  <c r="T1352" i="1" s="1"/>
  <c r="U1352" i="1" s="1" a="1"/>
  <c r="U1352" i="1" s="1"/>
  <c r="T1353" i="1" a="1"/>
  <c r="T1353" i="1" s="1"/>
  <c r="U1353" i="1" s="1" a="1"/>
  <c r="U1353" i="1" s="1"/>
  <c r="T1354" i="1" a="1"/>
  <c r="T1354" i="1" s="1"/>
  <c r="U1354" i="1" s="1" a="1"/>
  <c r="U1354" i="1" s="1"/>
  <c r="T1355" i="1" a="1"/>
  <c r="T1355" i="1" s="1"/>
  <c r="U1355" i="1" s="1" a="1"/>
  <c r="U1355" i="1" s="1"/>
  <c r="T1356" i="1" a="1"/>
  <c r="T1356" i="1" s="1"/>
  <c r="U1356" i="1" s="1" a="1"/>
  <c r="U1356" i="1" s="1"/>
  <c r="T1357" i="1" a="1"/>
  <c r="T1357" i="1" s="1"/>
  <c r="U1357" i="1" s="1" a="1"/>
  <c r="U1357" i="1" s="1"/>
  <c r="T1358" i="1" a="1"/>
  <c r="T1358" i="1" s="1"/>
  <c r="U1358" i="1" s="1" a="1"/>
  <c r="U1358" i="1" s="1"/>
  <c r="T1359" i="1" a="1"/>
  <c r="T1359" i="1" s="1"/>
  <c r="U1359" i="1" s="1" a="1"/>
  <c r="U1359" i="1" s="1"/>
  <c r="T1360" i="1" a="1"/>
  <c r="T1360" i="1" s="1"/>
  <c r="U1360" i="1" s="1" a="1"/>
  <c r="U1360" i="1" s="1"/>
  <c r="T1361" i="1" a="1"/>
  <c r="T1361" i="1" s="1"/>
  <c r="U1361" i="1" s="1" a="1"/>
  <c r="U1361" i="1" s="1"/>
  <c r="T1362" i="1" a="1"/>
  <c r="T1362" i="1" s="1"/>
  <c r="U1362" i="1" s="1" a="1"/>
  <c r="U1362" i="1" s="1"/>
  <c r="T1363" i="1" a="1"/>
  <c r="T1363" i="1" s="1"/>
  <c r="U1363" i="1" s="1" a="1"/>
  <c r="U1363" i="1" s="1"/>
  <c r="T1364" i="1" a="1"/>
  <c r="T1364" i="1" s="1"/>
  <c r="U1364" i="1" s="1" a="1"/>
  <c r="U1364" i="1" s="1"/>
  <c r="T1365" i="1" a="1"/>
  <c r="T1365" i="1" s="1"/>
  <c r="U1365" i="1" s="1" a="1"/>
  <c r="U1365" i="1" s="1"/>
  <c r="T1366" i="1" a="1"/>
  <c r="T1366" i="1" s="1"/>
  <c r="U1366" i="1" s="1" a="1"/>
  <c r="U1366" i="1" s="1"/>
  <c r="T1367" i="1" a="1"/>
  <c r="T1367" i="1" s="1"/>
  <c r="U1367" i="1" s="1" a="1"/>
  <c r="U1367" i="1" s="1"/>
  <c r="T1368" i="1" a="1"/>
  <c r="T1368" i="1" s="1"/>
  <c r="U1368" i="1" s="1" a="1"/>
  <c r="U1368" i="1" s="1"/>
  <c r="T1369" i="1" a="1"/>
  <c r="T1369" i="1" s="1"/>
  <c r="U1369" i="1" s="1" a="1"/>
  <c r="U1369" i="1" s="1"/>
  <c r="T1370" i="1" a="1"/>
  <c r="T1370" i="1" s="1"/>
  <c r="U1370" i="1" s="1" a="1"/>
  <c r="U1370" i="1" s="1"/>
  <c r="T1371" i="1" a="1"/>
  <c r="T1371" i="1" s="1"/>
  <c r="U1371" i="1" s="1" a="1"/>
  <c r="U1371" i="1" s="1"/>
  <c r="T1372" i="1" a="1"/>
  <c r="T1372" i="1" s="1"/>
  <c r="U1372" i="1" s="1" a="1"/>
  <c r="U1372" i="1" s="1"/>
  <c r="T1373" i="1" a="1"/>
  <c r="T1373" i="1" s="1"/>
  <c r="U1373" i="1" s="1" a="1"/>
  <c r="U1373" i="1" s="1"/>
  <c r="T1374" i="1" a="1"/>
  <c r="T1374" i="1" s="1"/>
  <c r="U1374" i="1" s="1" a="1"/>
  <c r="U1374" i="1" s="1"/>
  <c r="T1375" i="1" a="1"/>
  <c r="T1375" i="1" s="1"/>
  <c r="U1375" i="1" s="1" a="1"/>
  <c r="U1375" i="1" s="1"/>
  <c r="T1376" i="1" a="1"/>
  <c r="T1376" i="1" s="1"/>
  <c r="U1376" i="1" s="1" a="1"/>
  <c r="U1376" i="1" s="1"/>
  <c r="T1377" i="1" a="1"/>
  <c r="T1377" i="1" s="1"/>
  <c r="U1377" i="1" s="1" a="1"/>
  <c r="U1377" i="1" s="1"/>
  <c r="T1378" i="1" a="1"/>
  <c r="T1378" i="1" s="1"/>
  <c r="U1378" i="1" s="1" a="1"/>
  <c r="U1378" i="1" s="1"/>
  <c r="T1379" i="1" a="1"/>
  <c r="T1379" i="1" s="1"/>
  <c r="U1379" i="1" s="1" a="1"/>
  <c r="U1379" i="1" s="1"/>
  <c r="T1380" i="1" a="1"/>
  <c r="T1380" i="1" s="1"/>
  <c r="U1380" i="1" s="1" a="1"/>
  <c r="U1380" i="1" s="1"/>
  <c r="T1381" i="1" a="1"/>
  <c r="T1381" i="1" s="1"/>
  <c r="U1381" i="1" s="1" a="1"/>
  <c r="U1381" i="1" s="1"/>
  <c r="T1382" i="1" a="1"/>
  <c r="T1382" i="1" s="1"/>
  <c r="U1382" i="1" s="1" a="1"/>
  <c r="U1382" i="1" s="1"/>
  <c r="T1383" i="1" a="1"/>
  <c r="T1383" i="1" s="1"/>
  <c r="U1383" i="1" s="1" a="1"/>
  <c r="U1383" i="1" s="1"/>
  <c r="T1384" i="1" a="1"/>
  <c r="T1384" i="1" s="1"/>
  <c r="U1384" i="1" s="1" a="1"/>
  <c r="U1384" i="1" s="1"/>
  <c r="T1385" i="1" a="1"/>
  <c r="T1385" i="1" s="1"/>
  <c r="U1385" i="1" s="1" a="1"/>
  <c r="U1385" i="1" s="1"/>
  <c r="T1386" i="1" a="1"/>
  <c r="T1386" i="1" s="1"/>
  <c r="U1386" i="1" s="1" a="1"/>
  <c r="U1386" i="1" s="1"/>
  <c r="T1387" i="1" a="1"/>
  <c r="T1387" i="1" s="1"/>
  <c r="U1387" i="1" s="1" a="1"/>
  <c r="U1387" i="1" s="1"/>
  <c r="T1388" i="1" a="1"/>
  <c r="T1388" i="1" s="1"/>
  <c r="U1388" i="1" s="1" a="1"/>
  <c r="U1388" i="1" s="1"/>
  <c r="T1389" i="1" a="1"/>
  <c r="T1389" i="1" s="1"/>
  <c r="U1389" i="1" s="1" a="1"/>
  <c r="U1389" i="1" s="1"/>
  <c r="T1390" i="1" a="1"/>
  <c r="T1390" i="1" s="1"/>
  <c r="U1390" i="1" s="1" a="1"/>
  <c r="U1390" i="1" s="1"/>
  <c r="T1391" i="1" a="1"/>
  <c r="T1391" i="1" s="1"/>
  <c r="U1391" i="1" s="1" a="1"/>
  <c r="U1391" i="1" s="1"/>
  <c r="T1392" i="1" a="1"/>
  <c r="T1392" i="1" s="1"/>
  <c r="U1392" i="1" s="1" a="1"/>
  <c r="U1392" i="1" s="1"/>
  <c r="T1393" i="1" a="1"/>
  <c r="T1393" i="1" s="1"/>
  <c r="U1393" i="1" s="1" a="1"/>
  <c r="U1393" i="1" s="1"/>
  <c r="T1394" i="1" a="1"/>
  <c r="T1394" i="1" s="1"/>
  <c r="U1394" i="1" s="1" a="1"/>
  <c r="U1394" i="1" s="1"/>
  <c r="T1395" i="1" a="1"/>
  <c r="T1395" i="1" s="1"/>
  <c r="U1395" i="1" s="1" a="1"/>
  <c r="U1395" i="1" s="1"/>
  <c r="T1396" i="1" a="1"/>
  <c r="T1396" i="1" s="1"/>
  <c r="U1396" i="1" s="1" a="1"/>
  <c r="U1396" i="1" s="1"/>
  <c r="T1397" i="1" a="1"/>
  <c r="T1397" i="1" s="1"/>
  <c r="U1397" i="1" s="1" a="1"/>
  <c r="U1397" i="1" s="1"/>
  <c r="T1398" i="1" a="1"/>
  <c r="T1398" i="1" s="1"/>
  <c r="U1398" i="1" s="1" a="1"/>
  <c r="U1398" i="1" s="1"/>
  <c r="T1399" i="1" a="1"/>
  <c r="T1399" i="1" s="1"/>
  <c r="U1399" i="1" s="1" a="1"/>
  <c r="U1399" i="1" s="1"/>
  <c r="T1400" i="1" a="1"/>
  <c r="T1400" i="1" s="1"/>
  <c r="U1400" i="1" s="1" a="1"/>
  <c r="U1400" i="1" s="1"/>
  <c r="T1401" i="1" a="1"/>
  <c r="T1401" i="1" s="1"/>
  <c r="U1401" i="1" s="1" a="1"/>
  <c r="U1401" i="1" s="1"/>
  <c r="T1402" i="1" a="1"/>
  <c r="T1402" i="1" s="1"/>
  <c r="U1402" i="1" s="1" a="1"/>
  <c r="U1402" i="1" s="1"/>
  <c r="T1403" i="1" a="1"/>
  <c r="T1403" i="1" s="1"/>
  <c r="U1403" i="1" s="1" a="1"/>
  <c r="U1403" i="1" s="1"/>
  <c r="T1404" i="1" a="1"/>
  <c r="T1404" i="1" s="1"/>
  <c r="U1404" i="1" s="1" a="1"/>
  <c r="U1404" i="1" s="1"/>
  <c r="T1405" i="1" a="1"/>
  <c r="T1405" i="1" s="1"/>
  <c r="U1405" i="1" s="1" a="1"/>
  <c r="U1405" i="1" s="1"/>
  <c r="T1406" i="1" a="1"/>
  <c r="T1406" i="1" s="1"/>
  <c r="U1406" i="1" s="1" a="1"/>
  <c r="U1406" i="1" s="1"/>
  <c r="T1407" i="1" a="1"/>
  <c r="T1407" i="1" s="1"/>
  <c r="U1407" i="1" s="1" a="1"/>
  <c r="U1407" i="1" s="1"/>
  <c r="T1408" i="1" a="1"/>
  <c r="T1408" i="1" s="1"/>
  <c r="U1408" i="1" s="1" a="1"/>
  <c r="U1408" i="1" s="1"/>
  <c r="T1409" i="1" a="1"/>
  <c r="T1409" i="1" s="1"/>
  <c r="U1409" i="1" s="1" a="1"/>
  <c r="U1409" i="1" s="1"/>
  <c r="T1410" i="1" a="1"/>
  <c r="T1410" i="1" s="1"/>
  <c r="U1410" i="1" s="1" a="1"/>
  <c r="U1410" i="1" s="1"/>
  <c r="T1411" i="1" a="1"/>
  <c r="T1411" i="1" s="1"/>
  <c r="U1411" i="1" s="1" a="1"/>
  <c r="U1411" i="1" s="1"/>
  <c r="T1412" i="1" a="1"/>
  <c r="T1412" i="1" s="1"/>
  <c r="U1412" i="1" s="1" a="1"/>
  <c r="U1412" i="1" s="1"/>
  <c r="T1413" i="1" a="1"/>
  <c r="T1413" i="1" s="1"/>
  <c r="U1413" i="1" s="1" a="1"/>
  <c r="U1413" i="1" s="1"/>
  <c r="T1414" i="1" a="1"/>
  <c r="T1414" i="1" s="1"/>
  <c r="U1414" i="1" s="1" a="1"/>
  <c r="U1414" i="1" s="1"/>
  <c r="T1415" i="1" a="1"/>
  <c r="T1415" i="1" s="1"/>
  <c r="U1415" i="1" s="1" a="1"/>
  <c r="U1415" i="1" s="1"/>
  <c r="T1416" i="1" a="1"/>
  <c r="T1416" i="1" s="1"/>
  <c r="U1416" i="1" s="1" a="1"/>
  <c r="U1416" i="1" s="1"/>
  <c r="T1417" i="1" a="1"/>
  <c r="T1417" i="1" s="1"/>
  <c r="U1417" i="1" s="1" a="1"/>
  <c r="U1417" i="1" s="1"/>
  <c r="T1418" i="1" a="1"/>
  <c r="T1418" i="1" s="1"/>
  <c r="U1418" i="1" s="1" a="1"/>
  <c r="U1418" i="1" s="1"/>
  <c r="T1419" i="1" a="1"/>
  <c r="T1419" i="1" s="1"/>
  <c r="U1419" i="1" s="1" a="1"/>
  <c r="U1419" i="1" s="1"/>
  <c r="T1420" i="1" a="1"/>
  <c r="T1420" i="1" s="1"/>
  <c r="U1420" i="1" s="1" a="1"/>
  <c r="U1420" i="1" s="1"/>
  <c r="T1421" i="1" a="1"/>
  <c r="T1421" i="1" s="1"/>
  <c r="U1421" i="1" s="1" a="1"/>
  <c r="U1421" i="1" s="1"/>
  <c r="T1422" i="1" a="1"/>
  <c r="T1422" i="1" s="1"/>
  <c r="U1422" i="1" s="1" a="1"/>
  <c r="U1422" i="1" s="1"/>
  <c r="T1423" i="1" a="1"/>
  <c r="T1423" i="1" s="1"/>
  <c r="U1423" i="1" s="1" a="1"/>
  <c r="U1423" i="1" s="1"/>
  <c r="T1424" i="1" a="1"/>
  <c r="T1424" i="1" s="1"/>
  <c r="U1424" i="1" s="1" a="1"/>
  <c r="U1424" i="1" s="1"/>
  <c r="T1425" i="1" a="1"/>
  <c r="T1425" i="1" s="1"/>
  <c r="U1425" i="1" s="1" a="1"/>
  <c r="U1425" i="1" s="1"/>
  <c r="T1426" i="1" a="1"/>
  <c r="T1426" i="1" s="1"/>
  <c r="U1426" i="1" s="1" a="1"/>
  <c r="U1426" i="1" s="1"/>
  <c r="T1427" i="1" a="1"/>
  <c r="T1427" i="1" s="1"/>
  <c r="U1427" i="1" s="1" a="1"/>
  <c r="U1427" i="1" s="1"/>
  <c r="T1428" i="1" a="1"/>
  <c r="T1428" i="1" s="1"/>
  <c r="U1428" i="1" s="1" a="1"/>
  <c r="U1428" i="1" s="1"/>
  <c r="T1429" i="1" a="1"/>
  <c r="T1429" i="1" s="1"/>
  <c r="U1429" i="1" s="1" a="1"/>
  <c r="U1429" i="1" s="1"/>
  <c r="T1430" i="1" a="1"/>
  <c r="T1430" i="1" s="1"/>
  <c r="U1430" i="1" s="1" a="1"/>
  <c r="U1430" i="1" s="1"/>
  <c r="T1431" i="1" a="1"/>
  <c r="T1431" i="1" s="1"/>
  <c r="U1431" i="1" s="1" a="1"/>
  <c r="U1431" i="1" s="1"/>
  <c r="T1432" i="1" a="1"/>
  <c r="T1432" i="1" s="1"/>
  <c r="U1432" i="1" s="1" a="1"/>
  <c r="U1432" i="1" s="1"/>
  <c r="T1433" i="1" a="1"/>
  <c r="T1433" i="1" s="1"/>
  <c r="U1433" i="1" s="1" a="1"/>
  <c r="U1433" i="1" s="1"/>
  <c r="T1434" i="1" a="1"/>
  <c r="T1434" i="1" s="1"/>
  <c r="U1434" i="1" s="1" a="1"/>
  <c r="U1434" i="1" s="1"/>
  <c r="T1435" i="1" a="1"/>
  <c r="T1435" i="1" s="1"/>
  <c r="U1435" i="1" s="1" a="1"/>
  <c r="U1435" i="1" s="1"/>
  <c r="T1436" i="1" a="1"/>
  <c r="T1436" i="1" s="1"/>
  <c r="U1436" i="1" s="1" a="1"/>
  <c r="U1436" i="1" s="1"/>
  <c r="T1437" i="1" a="1"/>
  <c r="T1437" i="1" s="1"/>
  <c r="U1437" i="1" s="1" a="1"/>
  <c r="U1437" i="1" s="1"/>
  <c r="T1438" i="1" a="1"/>
  <c r="T1438" i="1" s="1"/>
  <c r="U1438" i="1" s="1" a="1"/>
  <c r="U1438" i="1" s="1"/>
  <c r="T1439" i="1" a="1"/>
  <c r="T1439" i="1" s="1"/>
  <c r="U1439" i="1" s="1" a="1"/>
  <c r="U1439" i="1" s="1"/>
  <c r="T1440" i="1" a="1"/>
  <c r="T1440" i="1" s="1"/>
  <c r="U1440" i="1" s="1" a="1"/>
  <c r="U1440" i="1" s="1"/>
  <c r="T1441" i="1" a="1"/>
  <c r="T1441" i="1" s="1"/>
  <c r="U1441" i="1" s="1" a="1"/>
  <c r="U1441" i="1" s="1"/>
  <c r="T1442" i="1" a="1"/>
  <c r="T1442" i="1" s="1"/>
  <c r="U1442" i="1" s="1" a="1"/>
  <c r="U1442" i="1" s="1"/>
  <c r="T1443" i="1" a="1"/>
  <c r="T1443" i="1" s="1"/>
  <c r="U1443" i="1" s="1" a="1"/>
  <c r="U1443" i="1" s="1"/>
  <c r="T1444" i="1" a="1"/>
  <c r="T1444" i="1" s="1"/>
  <c r="U1444" i="1" s="1" a="1"/>
  <c r="U1444" i="1" s="1"/>
  <c r="T1445" i="1" a="1"/>
  <c r="T1445" i="1" s="1"/>
  <c r="U1445" i="1" s="1" a="1"/>
  <c r="U1445" i="1" s="1"/>
  <c r="T1446" i="1" a="1"/>
  <c r="T1446" i="1" s="1"/>
  <c r="U1446" i="1" s="1" a="1"/>
  <c r="U1446" i="1" s="1"/>
  <c r="T1447" i="1" a="1"/>
  <c r="T1447" i="1" s="1"/>
  <c r="U1447" i="1" s="1" a="1"/>
  <c r="U1447" i="1" s="1"/>
  <c r="T1448" i="1" a="1"/>
  <c r="T1448" i="1" s="1"/>
  <c r="U1448" i="1" s="1" a="1"/>
  <c r="U1448" i="1" s="1"/>
  <c r="T1449" i="1" a="1"/>
  <c r="T1449" i="1" s="1"/>
  <c r="U1449" i="1" s="1" a="1"/>
  <c r="U1449" i="1" s="1"/>
  <c r="T1450" i="1" a="1"/>
  <c r="T1450" i="1" s="1"/>
  <c r="U1450" i="1" s="1" a="1"/>
  <c r="U1450" i="1" s="1"/>
  <c r="T1451" i="1" a="1"/>
  <c r="T1451" i="1" s="1"/>
  <c r="U1451" i="1" s="1" a="1"/>
  <c r="U1451" i="1" s="1"/>
  <c r="T1452" i="1" a="1"/>
  <c r="T1452" i="1" s="1"/>
  <c r="U1452" i="1" s="1" a="1"/>
  <c r="U1452" i="1" s="1"/>
  <c r="T1453" i="1" a="1"/>
  <c r="T1453" i="1" s="1"/>
  <c r="U1453" i="1" s="1" a="1"/>
  <c r="U1453" i="1" s="1"/>
  <c r="T1454" i="1" a="1"/>
  <c r="T1454" i="1" s="1"/>
  <c r="U1454" i="1" s="1" a="1"/>
  <c r="U1454" i="1" s="1"/>
  <c r="T1455" i="1" a="1"/>
  <c r="T1455" i="1" s="1"/>
  <c r="U1455" i="1" s="1" a="1"/>
  <c r="U1455" i="1" s="1"/>
  <c r="T1456" i="1" a="1"/>
  <c r="T1456" i="1" s="1"/>
  <c r="U1456" i="1" s="1" a="1"/>
  <c r="U1456" i="1" s="1"/>
  <c r="T1457" i="1" a="1"/>
  <c r="T1457" i="1" s="1"/>
  <c r="U1457" i="1" s="1" a="1"/>
  <c r="U1457" i="1" s="1"/>
  <c r="T1458" i="1" a="1"/>
  <c r="T1458" i="1" s="1"/>
  <c r="U1458" i="1" s="1" a="1"/>
  <c r="U1458" i="1" s="1"/>
  <c r="T1459" i="1" a="1"/>
  <c r="T1459" i="1" s="1"/>
  <c r="U1459" i="1" s="1" a="1"/>
  <c r="U1459" i="1" s="1"/>
  <c r="T1460" i="1" a="1"/>
  <c r="T1460" i="1" s="1"/>
  <c r="U1460" i="1" s="1" a="1"/>
  <c r="U1460" i="1" s="1"/>
  <c r="T1461" i="1" a="1"/>
  <c r="T1461" i="1" s="1"/>
  <c r="U1461" i="1" s="1" a="1"/>
  <c r="U1461" i="1" s="1"/>
  <c r="T1462" i="1" a="1"/>
  <c r="T1462" i="1" s="1"/>
  <c r="U1462" i="1" s="1" a="1"/>
  <c r="U1462" i="1" s="1"/>
  <c r="T1463" i="1" a="1"/>
  <c r="T1463" i="1" s="1"/>
  <c r="U1463" i="1" s="1" a="1"/>
  <c r="U1463" i="1" s="1"/>
  <c r="T1464" i="1" a="1"/>
  <c r="T1464" i="1" s="1"/>
  <c r="U1464" i="1" s="1" a="1"/>
  <c r="U1464" i="1" s="1"/>
  <c r="T1465" i="1" a="1"/>
  <c r="T1465" i="1" s="1"/>
  <c r="U1465" i="1" s="1" a="1"/>
  <c r="U1465" i="1" s="1"/>
  <c r="T1466" i="1" a="1"/>
  <c r="T1466" i="1" s="1"/>
  <c r="U1466" i="1" s="1" a="1"/>
  <c r="U1466" i="1" s="1"/>
  <c r="T1467" i="1" a="1"/>
  <c r="T1467" i="1" s="1"/>
  <c r="U1467" i="1" s="1" a="1"/>
  <c r="U1467" i="1" s="1"/>
  <c r="T1468" i="1" a="1"/>
  <c r="T1468" i="1" s="1"/>
  <c r="U1468" i="1" s="1" a="1"/>
  <c r="U1468" i="1" s="1"/>
  <c r="T1469" i="1" a="1"/>
  <c r="T1469" i="1" s="1"/>
  <c r="U1469" i="1" s="1" a="1"/>
  <c r="U1469" i="1" s="1"/>
  <c r="T1470" i="1" a="1"/>
  <c r="T1470" i="1" s="1"/>
  <c r="U1470" i="1" s="1" a="1"/>
  <c r="U1470" i="1" s="1"/>
  <c r="T1471" i="1" a="1"/>
  <c r="T1471" i="1" s="1"/>
  <c r="U1471" i="1" s="1" a="1"/>
  <c r="U1471" i="1" s="1"/>
  <c r="T1472" i="1" a="1"/>
  <c r="T1472" i="1" s="1"/>
  <c r="U1472" i="1" s="1" a="1"/>
  <c r="U1472" i="1" s="1"/>
  <c r="T1473" i="1" a="1"/>
  <c r="T1473" i="1" s="1"/>
  <c r="U1473" i="1" s="1" a="1"/>
  <c r="U1473" i="1" s="1"/>
  <c r="T1474" i="1" a="1"/>
  <c r="T1474" i="1" s="1"/>
  <c r="U1474" i="1" s="1" a="1"/>
  <c r="U1474" i="1" s="1"/>
  <c r="T1475" i="1" a="1"/>
  <c r="T1475" i="1" s="1"/>
  <c r="U1475" i="1" s="1" a="1"/>
  <c r="U1475" i="1" s="1"/>
  <c r="T1476" i="1" a="1"/>
  <c r="T1476" i="1" s="1"/>
  <c r="U1476" i="1" s="1" a="1"/>
  <c r="U1476" i="1" s="1"/>
  <c r="T1477" i="1" a="1"/>
  <c r="T1477" i="1" s="1"/>
  <c r="U1477" i="1" s="1" a="1"/>
  <c r="U1477" i="1" s="1"/>
  <c r="T1478" i="1" a="1"/>
  <c r="T1478" i="1" s="1"/>
  <c r="U1478" i="1" s="1" a="1"/>
  <c r="U1478" i="1" s="1"/>
  <c r="T1479" i="1" a="1"/>
  <c r="T1479" i="1" s="1"/>
  <c r="U1479" i="1" s="1" a="1"/>
  <c r="U1479" i="1" s="1"/>
  <c r="T1480" i="1" a="1"/>
  <c r="T1480" i="1" s="1"/>
  <c r="U1480" i="1" s="1" a="1"/>
  <c r="U1480" i="1" s="1"/>
  <c r="T1481" i="1" a="1"/>
  <c r="T1481" i="1" s="1"/>
  <c r="U1481" i="1" s="1" a="1"/>
  <c r="U1481" i="1" s="1"/>
  <c r="T1482" i="1" a="1"/>
  <c r="T1482" i="1" s="1"/>
  <c r="U1482" i="1" s="1" a="1"/>
  <c r="U1482" i="1" s="1"/>
  <c r="T1483" i="1" a="1"/>
  <c r="T1483" i="1" s="1"/>
  <c r="U1483" i="1" s="1" a="1"/>
  <c r="U1483" i="1" s="1"/>
  <c r="T1484" i="1" a="1"/>
  <c r="T1484" i="1" s="1"/>
  <c r="U1484" i="1" s="1" a="1"/>
  <c r="U1484" i="1" s="1"/>
  <c r="T1485" i="1" a="1"/>
  <c r="T1485" i="1" s="1"/>
  <c r="U1485" i="1" s="1" a="1"/>
  <c r="U1485" i="1" s="1"/>
  <c r="T1486" i="1" a="1"/>
  <c r="T1486" i="1" s="1"/>
  <c r="U1486" i="1" s="1" a="1"/>
  <c r="U1486" i="1" s="1"/>
  <c r="T1487" i="1" a="1"/>
  <c r="T1487" i="1" s="1"/>
  <c r="U1487" i="1" s="1" a="1"/>
  <c r="U1487" i="1" s="1"/>
  <c r="T1488" i="1" a="1"/>
  <c r="T1488" i="1" s="1"/>
  <c r="U1488" i="1" s="1" a="1"/>
  <c r="U1488" i="1" s="1"/>
  <c r="T1489" i="1" a="1"/>
  <c r="T1489" i="1" s="1"/>
  <c r="U1489" i="1" s="1" a="1"/>
  <c r="U1489" i="1" s="1"/>
  <c r="T1490" i="1" a="1"/>
  <c r="T1490" i="1" s="1"/>
  <c r="U1490" i="1" s="1" a="1"/>
  <c r="U1490" i="1" s="1"/>
  <c r="T1491" i="1" a="1"/>
  <c r="T1491" i="1" s="1"/>
  <c r="U1491" i="1" s="1" a="1"/>
  <c r="U1491" i="1" s="1"/>
  <c r="T1492" i="1" a="1"/>
  <c r="T1492" i="1" s="1"/>
  <c r="U1492" i="1" s="1" a="1"/>
  <c r="U1492" i="1" s="1"/>
  <c r="T1493" i="1" a="1"/>
  <c r="T1493" i="1" s="1"/>
  <c r="U1493" i="1" s="1" a="1"/>
  <c r="U1493" i="1" s="1"/>
  <c r="T1494" i="1" a="1"/>
  <c r="T1494" i="1" s="1"/>
  <c r="U1494" i="1" s="1" a="1"/>
  <c r="U1494" i="1" s="1"/>
  <c r="T1495" i="1" a="1"/>
  <c r="T1495" i="1" s="1"/>
  <c r="U1495" i="1" s="1" a="1"/>
  <c r="U1495" i="1" s="1"/>
  <c r="T1496" i="1" a="1"/>
  <c r="T1496" i="1" s="1"/>
  <c r="U1496" i="1" s="1" a="1"/>
  <c r="U1496" i="1" s="1"/>
  <c r="T1497" i="1" a="1"/>
  <c r="T1497" i="1" s="1"/>
  <c r="U1497" i="1" s="1" a="1"/>
  <c r="U1497" i="1" s="1"/>
  <c r="T1498" i="1" a="1"/>
  <c r="T1498" i="1" s="1"/>
  <c r="U1498" i="1" s="1" a="1"/>
  <c r="U1498" i="1" s="1"/>
  <c r="T1499" i="1" a="1"/>
  <c r="T1499" i="1" s="1"/>
  <c r="U1499" i="1" s="1" a="1"/>
  <c r="U1499" i="1" s="1"/>
  <c r="T1500" i="1" a="1"/>
  <c r="T1500" i="1" s="1"/>
  <c r="U1500" i="1" s="1" a="1"/>
  <c r="U1500" i="1" s="1"/>
  <c r="T1501" i="1" a="1"/>
  <c r="T1501" i="1" s="1"/>
  <c r="U1501" i="1" s="1" a="1"/>
  <c r="U1501" i="1" s="1"/>
  <c r="T1502" i="1" a="1"/>
  <c r="T1502" i="1" s="1"/>
  <c r="U1502" i="1" s="1" a="1"/>
  <c r="U1502" i="1" s="1"/>
  <c r="T1503" i="1" a="1"/>
  <c r="T1503" i="1" s="1"/>
  <c r="U1503" i="1" s="1" a="1"/>
  <c r="U1503" i="1" s="1"/>
  <c r="T1504" i="1" a="1"/>
  <c r="T1504" i="1" s="1"/>
  <c r="U1504" i="1" s="1" a="1"/>
  <c r="U1504" i="1" s="1"/>
  <c r="T1505" i="1" a="1"/>
  <c r="T1505" i="1" s="1"/>
  <c r="U1505" i="1" s="1" a="1"/>
  <c r="U1505" i="1" s="1"/>
  <c r="T1506" i="1" a="1"/>
  <c r="T1506" i="1" s="1"/>
  <c r="U1506" i="1" s="1" a="1"/>
  <c r="U1506" i="1" s="1"/>
  <c r="T1507" i="1" a="1"/>
  <c r="T1507" i="1" s="1"/>
  <c r="U1507" i="1" s="1" a="1"/>
  <c r="U1507" i="1" s="1"/>
  <c r="T1508" i="1" a="1"/>
  <c r="T1508" i="1" s="1"/>
  <c r="U1508" i="1" s="1" a="1"/>
  <c r="U1508" i="1" s="1"/>
  <c r="T1509" i="1" a="1"/>
  <c r="T1509" i="1" s="1"/>
  <c r="U1509" i="1" s="1" a="1"/>
  <c r="U1509" i="1" s="1"/>
  <c r="T1510" i="1" a="1"/>
  <c r="T1510" i="1" s="1"/>
  <c r="U1510" i="1" s="1" a="1"/>
  <c r="U1510" i="1" s="1"/>
  <c r="T1511" i="1" a="1"/>
  <c r="T1511" i="1" s="1"/>
  <c r="U1511" i="1" s="1" a="1"/>
  <c r="U1511" i="1" s="1"/>
  <c r="T1512" i="1" a="1"/>
  <c r="T1512" i="1" s="1"/>
  <c r="U1512" i="1" s="1" a="1"/>
  <c r="U1512" i="1" s="1"/>
  <c r="T1513" i="1" a="1"/>
  <c r="T1513" i="1" s="1"/>
  <c r="U1513" i="1" s="1" a="1"/>
  <c r="U1513" i="1" s="1"/>
  <c r="T1514" i="1" a="1"/>
  <c r="T1514" i="1" s="1"/>
  <c r="U1514" i="1" s="1" a="1"/>
  <c r="U1514" i="1" s="1"/>
  <c r="T1515" i="1" a="1"/>
  <c r="T1515" i="1" s="1"/>
  <c r="U1515" i="1" s="1" a="1"/>
  <c r="U1515" i="1" s="1"/>
  <c r="T1516" i="1" a="1"/>
  <c r="T1516" i="1" s="1"/>
  <c r="U1516" i="1" s="1" a="1"/>
  <c r="U1516" i="1" s="1"/>
  <c r="T1517" i="1" a="1"/>
  <c r="T1517" i="1" s="1"/>
  <c r="U1517" i="1" s="1" a="1"/>
  <c r="U1517" i="1" s="1"/>
  <c r="T1518" i="1" a="1"/>
  <c r="T1518" i="1" s="1"/>
  <c r="U1518" i="1" s="1" a="1"/>
  <c r="U1518" i="1" s="1"/>
  <c r="T1519" i="1" a="1"/>
  <c r="T1519" i="1" s="1"/>
  <c r="U1519" i="1" s="1" a="1"/>
  <c r="U1519" i="1" s="1"/>
  <c r="T1520" i="1" a="1"/>
  <c r="T1520" i="1" s="1"/>
  <c r="U1520" i="1" s="1" a="1"/>
  <c r="U1520" i="1" s="1"/>
  <c r="T1521" i="1" a="1"/>
  <c r="T1521" i="1" s="1"/>
  <c r="U1521" i="1" s="1" a="1"/>
  <c r="U1521" i="1" s="1"/>
  <c r="T1522" i="1" a="1"/>
  <c r="T1522" i="1" s="1"/>
  <c r="U1522" i="1" s="1" a="1"/>
  <c r="U1522" i="1" s="1"/>
  <c r="T1523" i="1" a="1"/>
  <c r="T1523" i="1" s="1"/>
  <c r="U1523" i="1" s="1" a="1"/>
  <c r="U1523" i="1" s="1"/>
  <c r="T1524" i="1" a="1"/>
  <c r="T1524" i="1" s="1"/>
  <c r="U1524" i="1" s="1" a="1"/>
  <c r="U1524" i="1" s="1"/>
  <c r="T1525" i="1" a="1"/>
  <c r="T1525" i="1" s="1"/>
  <c r="U1525" i="1" s="1" a="1"/>
  <c r="U1525" i="1" s="1"/>
  <c r="T1526" i="1" a="1"/>
  <c r="T1526" i="1" s="1"/>
  <c r="U1526" i="1" s="1" a="1"/>
  <c r="U1526" i="1" s="1"/>
  <c r="T1527" i="1" a="1"/>
  <c r="T1527" i="1" s="1"/>
  <c r="U1527" i="1" s="1" a="1"/>
  <c r="U1527" i="1" s="1"/>
  <c r="T1528" i="1" a="1"/>
  <c r="T1528" i="1" s="1"/>
  <c r="U1528" i="1" s="1" a="1"/>
  <c r="U1528" i="1" s="1"/>
  <c r="T1529" i="1" a="1"/>
  <c r="T1529" i="1" s="1"/>
  <c r="U1529" i="1" s="1" a="1"/>
  <c r="U1529" i="1" s="1"/>
  <c r="T1530" i="1" a="1"/>
  <c r="T1530" i="1" s="1"/>
  <c r="U1530" i="1" s="1" a="1"/>
  <c r="U1530" i="1" s="1"/>
  <c r="T1531" i="1" a="1"/>
  <c r="T1531" i="1" s="1"/>
  <c r="U1531" i="1" s="1" a="1"/>
  <c r="U1531" i="1" s="1"/>
  <c r="T1532" i="1" a="1"/>
  <c r="T1532" i="1" s="1"/>
  <c r="U1532" i="1" s="1" a="1"/>
  <c r="U1532" i="1" s="1"/>
  <c r="T1533" i="1" a="1"/>
  <c r="T1533" i="1" s="1"/>
  <c r="U1533" i="1" s="1" a="1"/>
  <c r="U1533" i="1" s="1"/>
  <c r="T1534" i="1" a="1"/>
  <c r="T1534" i="1" s="1"/>
  <c r="U1534" i="1" s="1" a="1"/>
  <c r="U1534" i="1" s="1"/>
  <c r="T1535" i="1" a="1"/>
  <c r="T1535" i="1" s="1"/>
  <c r="U1535" i="1" s="1" a="1"/>
  <c r="U1535" i="1" s="1"/>
  <c r="T1536" i="1" a="1"/>
  <c r="T1536" i="1" s="1"/>
  <c r="U1536" i="1" s="1" a="1"/>
  <c r="U1536" i="1" s="1"/>
  <c r="T1537" i="1" a="1"/>
  <c r="T1537" i="1" s="1"/>
  <c r="U1537" i="1" s="1" a="1"/>
  <c r="U1537" i="1" s="1"/>
  <c r="T1538" i="1" a="1"/>
  <c r="T1538" i="1" s="1"/>
  <c r="U1538" i="1" s="1" a="1"/>
  <c r="U1538" i="1" s="1"/>
  <c r="T1539" i="1" a="1"/>
  <c r="T1539" i="1" s="1"/>
  <c r="U1539" i="1" s="1" a="1"/>
  <c r="U1539" i="1" s="1"/>
  <c r="T1540" i="1" a="1"/>
  <c r="T1540" i="1" s="1"/>
  <c r="U1540" i="1" s="1" a="1"/>
  <c r="U1540" i="1" s="1"/>
  <c r="T1541" i="1" a="1"/>
  <c r="T1541" i="1" s="1"/>
  <c r="U1541" i="1" s="1" a="1"/>
  <c r="U1541" i="1" s="1"/>
  <c r="T1542" i="1" a="1"/>
  <c r="T1542" i="1" s="1"/>
  <c r="U1542" i="1" s="1" a="1"/>
  <c r="U1542" i="1" s="1"/>
  <c r="T1543" i="1" a="1"/>
  <c r="T1543" i="1" s="1"/>
  <c r="U1543" i="1" s="1" a="1"/>
  <c r="U1543" i="1" s="1"/>
  <c r="T1544" i="1" a="1"/>
  <c r="T1544" i="1" s="1"/>
  <c r="U1544" i="1" s="1" a="1"/>
  <c r="U1544" i="1" s="1"/>
  <c r="T1545" i="1" a="1"/>
  <c r="T1545" i="1" s="1"/>
  <c r="U1545" i="1" s="1" a="1"/>
  <c r="U1545" i="1" s="1"/>
  <c r="T1546" i="1" a="1"/>
  <c r="T1546" i="1" s="1"/>
  <c r="U1546" i="1" s="1" a="1"/>
  <c r="U1546" i="1" s="1"/>
  <c r="T1547" i="1" a="1"/>
  <c r="T1547" i="1" s="1"/>
  <c r="U1547" i="1" s="1" a="1"/>
  <c r="U1547" i="1" s="1"/>
  <c r="T1548" i="1" a="1"/>
  <c r="T1548" i="1" s="1"/>
  <c r="U1548" i="1" s="1" a="1"/>
  <c r="U1548" i="1" s="1"/>
  <c r="T1549" i="1" a="1"/>
  <c r="T1549" i="1" s="1"/>
  <c r="U1549" i="1" s="1" a="1"/>
  <c r="U1549" i="1" s="1"/>
  <c r="T1550" i="1" a="1"/>
  <c r="T1550" i="1" s="1"/>
  <c r="U1550" i="1" s="1" a="1"/>
  <c r="U1550" i="1" s="1"/>
  <c r="T1551" i="1" a="1"/>
  <c r="T1551" i="1" s="1"/>
  <c r="U1551" i="1" s="1" a="1"/>
  <c r="U1551" i="1" s="1"/>
  <c r="T1552" i="1" a="1"/>
  <c r="T1552" i="1" s="1"/>
  <c r="U1552" i="1" s="1" a="1"/>
  <c r="U1552" i="1" s="1"/>
  <c r="T1553" i="1" a="1"/>
  <c r="T1553" i="1" s="1"/>
  <c r="U1553" i="1" s="1" a="1"/>
  <c r="U1553" i="1" s="1"/>
  <c r="T1554" i="1" a="1"/>
  <c r="T1554" i="1" s="1"/>
  <c r="U1554" i="1" s="1" a="1"/>
  <c r="U1554" i="1" s="1"/>
  <c r="T1555" i="1" a="1"/>
  <c r="T1555" i="1" s="1"/>
  <c r="U1555" i="1" s="1" a="1"/>
  <c r="U1555" i="1" s="1"/>
  <c r="T1556" i="1" a="1"/>
  <c r="T1556" i="1" s="1"/>
  <c r="U1556" i="1" s="1" a="1"/>
  <c r="U1556" i="1" s="1"/>
  <c r="T1557" i="1" a="1"/>
  <c r="T1557" i="1" s="1"/>
  <c r="U1557" i="1" s="1" a="1"/>
  <c r="U1557" i="1" s="1"/>
  <c r="T1558" i="1" a="1"/>
  <c r="T1558" i="1" s="1"/>
  <c r="U1558" i="1" s="1" a="1"/>
  <c r="U1558" i="1" s="1"/>
  <c r="T1559" i="1" a="1"/>
  <c r="T1559" i="1" s="1"/>
  <c r="U1559" i="1" s="1" a="1"/>
  <c r="U1559" i="1" s="1"/>
  <c r="T1560" i="1" a="1"/>
  <c r="T1560" i="1" s="1"/>
  <c r="U1560" i="1" s="1" a="1"/>
  <c r="U1560" i="1" s="1"/>
  <c r="T1561" i="1" a="1"/>
  <c r="T1561" i="1" s="1"/>
  <c r="U1561" i="1" s="1" a="1"/>
  <c r="U1561" i="1" s="1"/>
  <c r="T1562" i="1" a="1"/>
  <c r="T1562" i="1" s="1"/>
  <c r="U1562" i="1" s="1" a="1"/>
  <c r="U1562" i="1" s="1"/>
  <c r="T1563" i="1" a="1"/>
  <c r="T1563" i="1" s="1"/>
  <c r="U1563" i="1" s="1" a="1"/>
  <c r="U1563" i="1" s="1"/>
  <c r="T1564" i="1" a="1"/>
  <c r="T1564" i="1" s="1"/>
  <c r="U1564" i="1" s="1" a="1"/>
  <c r="U1564" i="1" s="1"/>
  <c r="T1565" i="1" a="1"/>
  <c r="T1565" i="1" s="1"/>
  <c r="U1565" i="1" s="1" a="1"/>
  <c r="U1565" i="1" s="1"/>
  <c r="T1566" i="1" a="1"/>
  <c r="T1566" i="1" s="1"/>
  <c r="U1566" i="1" s="1" a="1"/>
  <c r="U1566" i="1" s="1"/>
  <c r="T1567" i="1" a="1"/>
  <c r="T1567" i="1" s="1"/>
  <c r="U1567" i="1" s="1" a="1"/>
  <c r="U1567" i="1" s="1"/>
  <c r="T1568" i="1" a="1"/>
  <c r="T1568" i="1" s="1"/>
  <c r="U1568" i="1" s="1" a="1"/>
  <c r="U1568" i="1" s="1"/>
  <c r="T1569" i="1" a="1"/>
  <c r="T1569" i="1" s="1"/>
  <c r="U1569" i="1" s="1" a="1"/>
  <c r="U1569" i="1" s="1"/>
  <c r="T1570" i="1" a="1"/>
  <c r="T1570" i="1" s="1"/>
  <c r="U1570" i="1" s="1" a="1"/>
  <c r="U1570" i="1" s="1"/>
  <c r="T1571" i="1" a="1"/>
  <c r="T1571" i="1" s="1"/>
  <c r="U1571" i="1" s="1" a="1"/>
  <c r="U1571" i="1" s="1"/>
  <c r="T1572" i="1" a="1"/>
  <c r="T1572" i="1" s="1"/>
  <c r="U1572" i="1" s="1" a="1"/>
  <c r="U1572" i="1" s="1"/>
  <c r="T1573" i="1" a="1"/>
  <c r="T1573" i="1" s="1"/>
  <c r="U1573" i="1" s="1" a="1"/>
  <c r="U1573" i="1" s="1"/>
  <c r="T1574" i="1" a="1"/>
  <c r="T1574" i="1" s="1"/>
  <c r="U1574" i="1" s="1" a="1"/>
  <c r="U1574" i="1" s="1"/>
  <c r="T1575" i="1" a="1"/>
  <c r="T1575" i="1" s="1"/>
  <c r="U1575" i="1" s="1" a="1"/>
  <c r="U1575" i="1" s="1"/>
  <c r="T1576" i="1" a="1"/>
  <c r="T1576" i="1" s="1"/>
  <c r="U1576" i="1" s="1" a="1"/>
  <c r="U1576" i="1" s="1"/>
  <c r="T1577" i="1" a="1"/>
  <c r="T1577" i="1" s="1"/>
  <c r="U1577" i="1" s="1" a="1"/>
  <c r="U1577" i="1" s="1"/>
  <c r="T1578" i="1" a="1"/>
  <c r="T1578" i="1" s="1"/>
  <c r="U1578" i="1" s="1" a="1"/>
  <c r="U1578" i="1" s="1"/>
  <c r="T1579" i="1" a="1"/>
  <c r="T1579" i="1" s="1"/>
  <c r="U1579" i="1" s="1" a="1"/>
  <c r="U1579" i="1" s="1"/>
  <c r="T1580" i="1" a="1"/>
  <c r="T1580" i="1" s="1"/>
  <c r="U1580" i="1" s="1" a="1"/>
  <c r="U1580" i="1" s="1"/>
  <c r="T1581" i="1" a="1"/>
  <c r="T1581" i="1" s="1"/>
  <c r="U1581" i="1" s="1" a="1"/>
  <c r="U1581" i="1" s="1"/>
  <c r="T1582" i="1" a="1"/>
  <c r="T1582" i="1" s="1"/>
  <c r="U1582" i="1" s="1" a="1"/>
  <c r="U1582" i="1" s="1"/>
  <c r="T1583" i="1" a="1"/>
  <c r="T1583" i="1" s="1"/>
  <c r="U1583" i="1" s="1" a="1"/>
  <c r="U1583" i="1" s="1"/>
  <c r="T1584" i="1" a="1"/>
  <c r="T1584" i="1" s="1"/>
  <c r="U1584" i="1" s="1" a="1"/>
  <c r="U1584" i="1" s="1"/>
  <c r="T1585" i="1" a="1"/>
  <c r="T1585" i="1" s="1"/>
  <c r="U1585" i="1" s="1" a="1"/>
  <c r="U1585" i="1" s="1"/>
  <c r="T1586" i="1" a="1"/>
  <c r="T1586" i="1" s="1"/>
  <c r="U1586" i="1" s="1" a="1"/>
  <c r="U1586" i="1" s="1"/>
  <c r="T1587" i="1" a="1"/>
  <c r="T1587" i="1" s="1"/>
  <c r="U1587" i="1" s="1" a="1"/>
  <c r="U1587" i="1" s="1"/>
  <c r="T1588" i="1" a="1"/>
  <c r="T1588" i="1" s="1"/>
  <c r="U1588" i="1" s="1" a="1"/>
  <c r="U1588" i="1" s="1"/>
  <c r="T1589" i="1" a="1"/>
  <c r="T1589" i="1" s="1"/>
  <c r="U1589" i="1" s="1" a="1"/>
  <c r="U1589" i="1" s="1"/>
  <c r="T1590" i="1" a="1"/>
  <c r="T1590" i="1" s="1"/>
  <c r="U1590" i="1" s="1" a="1"/>
  <c r="U1590" i="1" s="1"/>
  <c r="T1591" i="1" a="1"/>
  <c r="T1591" i="1" s="1"/>
  <c r="U1591" i="1" s="1" a="1"/>
  <c r="U1591" i="1" s="1"/>
  <c r="T1592" i="1" a="1"/>
  <c r="T1592" i="1" s="1"/>
  <c r="U1592" i="1" s="1" a="1"/>
  <c r="U1592" i="1" s="1"/>
  <c r="T1593" i="1" a="1"/>
  <c r="T1593" i="1" s="1"/>
  <c r="U1593" i="1" s="1" a="1"/>
  <c r="U1593" i="1" s="1"/>
  <c r="T1594" i="1" a="1"/>
  <c r="T1594" i="1" s="1"/>
  <c r="U1594" i="1" s="1" a="1"/>
  <c r="U1594" i="1" s="1"/>
  <c r="T1595" i="1" a="1"/>
  <c r="T1595" i="1" s="1"/>
  <c r="U1595" i="1" s="1" a="1"/>
  <c r="U1595" i="1" s="1"/>
  <c r="T1596" i="1" a="1"/>
  <c r="T1596" i="1" s="1"/>
  <c r="U1596" i="1" s="1" a="1"/>
  <c r="U1596" i="1" s="1"/>
  <c r="T1597" i="1" a="1"/>
  <c r="T1597" i="1" s="1"/>
  <c r="U1597" i="1" s="1" a="1"/>
  <c r="U1597" i="1" s="1"/>
  <c r="T1598" i="1" a="1"/>
  <c r="T1598" i="1" s="1"/>
  <c r="U1598" i="1" s="1" a="1"/>
  <c r="U1598" i="1" s="1"/>
  <c r="T1599" i="1" a="1"/>
  <c r="T1599" i="1" s="1"/>
  <c r="U1599" i="1" s="1" a="1"/>
  <c r="U1599" i="1" s="1"/>
  <c r="T1600" i="1" a="1"/>
  <c r="T1600" i="1" s="1"/>
  <c r="U1600" i="1" s="1" a="1"/>
  <c r="U1600" i="1" s="1"/>
  <c r="T1601" i="1" a="1"/>
  <c r="T1601" i="1" s="1"/>
  <c r="U1601" i="1" s="1" a="1"/>
  <c r="U1601" i="1" s="1"/>
  <c r="T1602" i="1" a="1"/>
  <c r="T1602" i="1" s="1"/>
  <c r="U1602" i="1" s="1" a="1"/>
  <c r="U1602" i="1" s="1"/>
  <c r="T1603" i="1" a="1"/>
  <c r="T1603" i="1" s="1"/>
  <c r="U1603" i="1" s="1" a="1"/>
  <c r="U1603" i="1" s="1"/>
  <c r="T1604" i="1" a="1"/>
  <c r="T1604" i="1" s="1"/>
  <c r="U1604" i="1" s="1" a="1"/>
  <c r="U1604" i="1" s="1"/>
  <c r="T1605" i="1" a="1"/>
  <c r="T1605" i="1" s="1"/>
  <c r="U1605" i="1" s="1" a="1"/>
  <c r="U1605" i="1" s="1"/>
  <c r="T1606" i="1" a="1"/>
  <c r="T1606" i="1" s="1"/>
  <c r="U1606" i="1" s="1" a="1"/>
  <c r="U1606" i="1" s="1"/>
  <c r="T1607" i="1" a="1"/>
  <c r="T1607" i="1" s="1"/>
  <c r="U1607" i="1" s="1" a="1"/>
  <c r="U1607" i="1" s="1"/>
  <c r="T1608" i="1" a="1"/>
  <c r="T1608" i="1" s="1"/>
  <c r="U1608" i="1" s="1" a="1"/>
  <c r="U1608" i="1" s="1"/>
  <c r="T1609" i="1" a="1"/>
  <c r="T1609" i="1" s="1"/>
  <c r="U1609" i="1" s="1" a="1"/>
  <c r="U1609" i="1" s="1"/>
  <c r="T1610" i="1" a="1"/>
  <c r="T1610" i="1" s="1"/>
  <c r="U1610" i="1" s="1" a="1"/>
  <c r="U1610" i="1" s="1"/>
  <c r="T1611" i="1" a="1"/>
  <c r="T1611" i="1" s="1"/>
  <c r="U1611" i="1" s="1" a="1"/>
  <c r="U1611" i="1" s="1"/>
  <c r="T1612" i="1" a="1"/>
  <c r="T1612" i="1" s="1"/>
  <c r="U1612" i="1" s="1" a="1"/>
  <c r="U1612" i="1" s="1"/>
  <c r="T1613" i="1" a="1"/>
  <c r="T1613" i="1" s="1"/>
  <c r="U1613" i="1" s="1" a="1"/>
  <c r="U1613" i="1" s="1"/>
  <c r="T1614" i="1" a="1"/>
  <c r="T1614" i="1" s="1"/>
  <c r="U1614" i="1" s="1" a="1"/>
  <c r="U1614" i="1" s="1"/>
  <c r="T1615" i="1" a="1"/>
  <c r="T1615" i="1" s="1"/>
  <c r="U1615" i="1" s="1" a="1"/>
  <c r="U1615" i="1" s="1"/>
  <c r="T1616" i="1" a="1"/>
  <c r="T1616" i="1" s="1"/>
  <c r="U1616" i="1" s="1" a="1"/>
  <c r="U1616" i="1" s="1"/>
  <c r="T1617" i="1" a="1"/>
  <c r="T1617" i="1" s="1"/>
  <c r="U1617" i="1" s="1" a="1"/>
  <c r="U1617" i="1" s="1"/>
  <c r="T1618" i="1" a="1"/>
  <c r="T1618" i="1" s="1"/>
  <c r="U1618" i="1" s="1" a="1"/>
  <c r="U1618" i="1" s="1"/>
  <c r="T1619" i="1" a="1"/>
  <c r="T1619" i="1" s="1"/>
  <c r="U1619" i="1" s="1" a="1"/>
  <c r="U1619" i="1" s="1"/>
  <c r="T1620" i="1" a="1"/>
  <c r="T1620" i="1" s="1"/>
  <c r="U1620" i="1" s="1" a="1"/>
  <c r="U1620" i="1" s="1"/>
  <c r="T1621" i="1" a="1"/>
  <c r="T1621" i="1" s="1"/>
  <c r="U1621" i="1" s="1" a="1"/>
  <c r="U1621" i="1" s="1"/>
  <c r="T1622" i="1" a="1"/>
  <c r="T1622" i="1" s="1"/>
  <c r="U1622" i="1" s="1" a="1"/>
  <c r="U1622" i="1" s="1"/>
  <c r="T1623" i="1" a="1"/>
  <c r="T1623" i="1" s="1"/>
  <c r="U1623" i="1" s="1" a="1"/>
  <c r="U1623" i="1" s="1"/>
  <c r="T1624" i="1" a="1"/>
  <c r="T1624" i="1" s="1"/>
  <c r="U1624" i="1" s="1" a="1"/>
  <c r="U1624" i="1" s="1"/>
  <c r="T1625" i="1" a="1"/>
  <c r="T1625" i="1" s="1"/>
  <c r="U1625" i="1" s="1" a="1"/>
  <c r="U1625" i="1" s="1"/>
  <c r="T1626" i="1" a="1"/>
  <c r="T1626" i="1" s="1"/>
  <c r="U1626" i="1" s="1" a="1"/>
  <c r="U1626" i="1" s="1"/>
  <c r="T1627" i="1" a="1"/>
  <c r="T1627" i="1" s="1"/>
  <c r="U1627" i="1" s="1" a="1"/>
  <c r="U1627" i="1" s="1"/>
  <c r="T1628" i="1" a="1"/>
  <c r="T1628" i="1" s="1"/>
  <c r="U1628" i="1" s="1" a="1"/>
  <c r="U1628" i="1" s="1"/>
  <c r="T1629" i="1" a="1"/>
  <c r="T1629" i="1" s="1"/>
  <c r="U1629" i="1" s="1" a="1"/>
  <c r="U1629" i="1" s="1"/>
  <c r="T1630" i="1" a="1"/>
  <c r="T1630" i="1" s="1"/>
  <c r="U1630" i="1" s="1" a="1"/>
  <c r="U1630" i="1" s="1"/>
  <c r="T1631" i="1" a="1"/>
  <c r="T1631" i="1" s="1"/>
  <c r="U1631" i="1" s="1" a="1"/>
  <c r="U1631" i="1" s="1"/>
  <c r="T1632" i="1" a="1"/>
  <c r="T1632" i="1" s="1"/>
  <c r="U1632" i="1" s="1" a="1"/>
  <c r="U1632" i="1" s="1"/>
  <c r="T1633" i="1" a="1"/>
  <c r="T1633" i="1" s="1"/>
  <c r="U1633" i="1" s="1" a="1"/>
  <c r="U1633" i="1" s="1"/>
  <c r="T1634" i="1" a="1"/>
  <c r="T1634" i="1" s="1"/>
  <c r="U1634" i="1" s="1" a="1"/>
  <c r="U1634" i="1" s="1"/>
  <c r="T1635" i="1" a="1"/>
  <c r="T1635" i="1" s="1"/>
  <c r="U1635" i="1" s="1" a="1"/>
  <c r="U1635" i="1" s="1"/>
  <c r="T1636" i="1" a="1"/>
  <c r="T1636" i="1" s="1"/>
  <c r="U1636" i="1" s="1" a="1"/>
  <c r="U1636" i="1" s="1"/>
  <c r="T1637" i="1" a="1"/>
  <c r="T1637" i="1" s="1"/>
  <c r="U1637" i="1" s="1" a="1"/>
  <c r="U1637" i="1" s="1"/>
  <c r="T1638" i="1" a="1"/>
  <c r="T1638" i="1" s="1"/>
  <c r="U1638" i="1" s="1" a="1"/>
  <c r="U1638" i="1" s="1"/>
  <c r="T1639" i="1" a="1"/>
  <c r="T1639" i="1" s="1"/>
  <c r="U1639" i="1" s="1" a="1"/>
  <c r="U1639" i="1" s="1"/>
  <c r="T1640" i="1" a="1"/>
  <c r="T1640" i="1" s="1"/>
  <c r="U1640" i="1" s="1" a="1"/>
  <c r="U1640" i="1" s="1"/>
  <c r="T1641" i="1" a="1"/>
  <c r="T1641" i="1" s="1"/>
  <c r="U1641" i="1" s="1" a="1"/>
  <c r="U1641" i="1" s="1"/>
  <c r="T1642" i="1" a="1"/>
  <c r="T1642" i="1" s="1"/>
  <c r="U1642" i="1" s="1" a="1"/>
  <c r="U1642" i="1" s="1"/>
  <c r="T1643" i="1" a="1"/>
  <c r="T1643" i="1" s="1"/>
  <c r="U1643" i="1" s="1" a="1"/>
  <c r="U1643" i="1" s="1"/>
  <c r="T1644" i="1" a="1"/>
  <c r="T1644" i="1" s="1"/>
  <c r="U1644" i="1" s="1" a="1"/>
  <c r="U1644" i="1" s="1"/>
  <c r="T1645" i="1" a="1"/>
  <c r="T1645" i="1" s="1"/>
  <c r="U1645" i="1" s="1" a="1"/>
  <c r="U1645" i="1" s="1"/>
  <c r="T1646" i="1" a="1"/>
  <c r="T1646" i="1" s="1"/>
  <c r="U1646" i="1" s="1" a="1"/>
  <c r="U1646" i="1" s="1"/>
  <c r="T1647" i="1" a="1"/>
  <c r="T1647" i="1" s="1"/>
  <c r="U1647" i="1" s="1" a="1"/>
  <c r="U1647" i="1" s="1"/>
  <c r="T1648" i="1" a="1"/>
  <c r="T1648" i="1" s="1"/>
  <c r="U1648" i="1" s="1" a="1"/>
  <c r="U1648" i="1" s="1"/>
  <c r="T1649" i="1" a="1"/>
  <c r="T1649" i="1" s="1"/>
  <c r="U1649" i="1" s="1" a="1"/>
  <c r="U1649" i="1" s="1"/>
  <c r="T1650" i="1" a="1"/>
  <c r="T1650" i="1" s="1"/>
  <c r="U1650" i="1" s="1" a="1"/>
  <c r="U1650" i="1" s="1"/>
  <c r="T1651" i="1" a="1"/>
  <c r="T1651" i="1" s="1"/>
  <c r="U1651" i="1" s="1" a="1"/>
  <c r="U1651" i="1" s="1"/>
  <c r="T1652" i="1" a="1"/>
  <c r="T1652" i="1" s="1"/>
  <c r="U1652" i="1" s="1" a="1"/>
  <c r="U1652" i="1" s="1"/>
  <c r="T1653" i="1" a="1"/>
  <c r="T1653" i="1" s="1"/>
  <c r="U1653" i="1" s="1" a="1"/>
  <c r="U1653" i="1" s="1"/>
  <c r="T1654" i="1" a="1"/>
  <c r="T1654" i="1" s="1"/>
  <c r="U1654" i="1" s="1" a="1"/>
  <c r="U1654" i="1" s="1"/>
  <c r="T1655" i="1" a="1"/>
  <c r="T1655" i="1" s="1"/>
  <c r="U1655" i="1" s="1" a="1"/>
  <c r="U1655" i="1" s="1"/>
  <c r="T1656" i="1" a="1"/>
  <c r="T1656" i="1" s="1"/>
  <c r="U1656" i="1" s="1" a="1"/>
  <c r="U1656" i="1" s="1"/>
  <c r="T1657" i="1" a="1"/>
  <c r="T1657" i="1" s="1"/>
  <c r="U1657" i="1" s="1" a="1"/>
  <c r="U1657" i="1" s="1"/>
  <c r="T1658" i="1" a="1"/>
  <c r="T1658" i="1" s="1"/>
  <c r="U1658" i="1" s="1" a="1"/>
  <c r="U1658" i="1" s="1"/>
  <c r="T1659" i="1" a="1"/>
  <c r="T1659" i="1" s="1"/>
  <c r="U1659" i="1" s="1" a="1"/>
  <c r="U1659" i="1" s="1"/>
  <c r="T1660" i="1" a="1"/>
  <c r="T1660" i="1" s="1"/>
  <c r="U1660" i="1" s="1" a="1"/>
  <c r="U1660" i="1" s="1"/>
  <c r="T1661" i="1" a="1"/>
  <c r="T1661" i="1" s="1"/>
  <c r="U1661" i="1" s="1" a="1"/>
  <c r="U1661" i="1" s="1"/>
  <c r="T1662" i="1" a="1"/>
  <c r="T1662" i="1" s="1"/>
  <c r="U1662" i="1" s="1" a="1"/>
  <c r="U1662" i="1" s="1"/>
  <c r="T1663" i="1" a="1"/>
  <c r="T1663" i="1" s="1"/>
  <c r="U1663" i="1" s="1" a="1"/>
  <c r="U1663" i="1" s="1"/>
  <c r="T1664" i="1" a="1"/>
  <c r="T1664" i="1" s="1"/>
  <c r="U1664" i="1" s="1" a="1"/>
  <c r="U1664" i="1" s="1"/>
  <c r="T1665" i="1" a="1"/>
  <c r="T1665" i="1" s="1"/>
  <c r="U1665" i="1" s="1" a="1"/>
  <c r="U1665" i="1" s="1"/>
  <c r="T1666" i="1" a="1"/>
  <c r="T1666" i="1" s="1"/>
  <c r="U1666" i="1" s="1" a="1"/>
  <c r="U1666" i="1" s="1"/>
  <c r="T1667" i="1" a="1"/>
  <c r="T1667" i="1" s="1"/>
  <c r="U1667" i="1" s="1" a="1"/>
  <c r="U1667" i="1" s="1"/>
  <c r="T1668" i="1" a="1"/>
  <c r="T1668" i="1" s="1"/>
  <c r="U1668" i="1" s="1" a="1"/>
  <c r="U1668" i="1" s="1"/>
  <c r="T1669" i="1" a="1"/>
  <c r="T1669" i="1" s="1"/>
  <c r="U1669" i="1" s="1" a="1"/>
  <c r="U1669" i="1" s="1"/>
  <c r="T1670" i="1" a="1"/>
  <c r="T1670" i="1" s="1"/>
  <c r="U1670" i="1" s="1" a="1"/>
  <c r="U1670" i="1" s="1"/>
  <c r="T1671" i="1" a="1"/>
  <c r="T1671" i="1" s="1"/>
  <c r="U1671" i="1" s="1" a="1"/>
  <c r="U1671" i="1" s="1"/>
  <c r="T1672" i="1" a="1"/>
  <c r="T1672" i="1" s="1"/>
  <c r="U1672" i="1" s="1" a="1"/>
  <c r="U1672" i="1" s="1"/>
  <c r="T1673" i="1" a="1"/>
  <c r="T1673" i="1" s="1"/>
  <c r="U1673" i="1" s="1" a="1"/>
  <c r="U1673" i="1" s="1"/>
  <c r="T1674" i="1" a="1"/>
  <c r="T1674" i="1" s="1"/>
  <c r="U1674" i="1" s="1" a="1"/>
  <c r="U1674" i="1" s="1"/>
  <c r="T1675" i="1" a="1"/>
  <c r="T1675" i="1" s="1"/>
  <c r="U1675" i="1" s="1" a="1"/>
  <c r="U1675" i="1" s="1"/>
  <c r="T1676" i="1" a="1"/>
  <c r="T1676" i="1" s="1"/>
  <c r="U1676" i="1" s="1" a="1"/>
  <c r="U1676" i="1" s="1"/>
  <c r="T1677" i="1" a="1"/>
  <c r="T1677" i="1" s="1"/>
  <c r="U1677" i="1" s="1" a="1"/>
  <c r="U1677" i="1" s="1"/>
  <c r="T1678" i="1" a="1"/>
  <c r="T1678" i="1" s="1"/>
  <c r="U1678" i="1" s="1" a="1"/>
  <c r="U1678" i="1" s="1"/>
  <c r="T1679" i="1" a="1"/>
  <c r="T1679" i="1" s="1"/>
  <c r="U1679" i="1" s="1" a="1"/>
  <c r="U1679" i="1" s="1"/>
  <c r="T1680" i="1" a="1"/>
  <c r="T1680" i="1" s="1"/>
  <c r="U1680" i="1" s="1" a="1"/>
  <c r="U1680" i="1" s="1"/>
  <c r="T1681" i="1" a="1"/>
  <c r="T1681" i="1" s="1"/>
  <c r="U1681" i="1" s="1" a="1"/>
  <c r="U1681" i="1" s="1"/>
  <c r="T1682" i="1" a="1"/>
  <c r="T1682" i="1" s="1"/>
  <c r="U1682" i="1" s="1" a="1"/>
  <c r="U1682" i="1" s="1"/>
  <c r="T1683" i="1" a="1"/>
  <c r="T1683" i="1" s="1"/>
  <c r="U1683" i="1" s="1" a="1"/>
  <c r="U1683" i="1" s="1"/>
  <c r="T1684" i="1" a="1"/>
  <c r="T1684" i="1" s="1"/>
  <c r="U1684" i="1" s="1" a="1"/>
  <c r="U1684" i="1" s="1"/>
  <c r="T1685" i="1" a="1"/>
  <c r="T1685" i="1" s="1"/>
  <c r="U1685" i="1" s="1" a="1"/>
  <c r="U1685" i="1" s="1"/>
  <c r="T1686" i="1" a="1"/>
  <c r="T1686" i="1" s="1"/>
  <c r="U1686" i="1" s="1" a="1"/>
  <c r="U1686" i="1" s="1"/>
  <c r="T1687" i="1" a="1"/>
  <c r="T1687" i="1" s="1"/>
  <c r="U1687" i="1" s="1" a="1"/>
  <c r="U1687" i="1" s="1"/>
  <c r="T1688" i="1" a="1"/>
  <c r="T1688" i="1" s="1"/>
  <c r="U1688" i="1" s="1" a="1"/>
  <c r="U1688" i="1" s="1"/>
  <c r="T1689" i="1" a="1"/>
  <c r="T1689" i="1" s="1"/>
  <c r="U1689" i="1" s="1" a="1"/>
  <c r="U1689" i="1" s="1"/>
  <c r="T1690" i="1" a="1"/>
  <c r="T1690" i="1" s="1"/>
  <c r="U1690" i="1" s="1" a="1"/>
  <c r="U1690" i="1" s="1"/>
  <c r="T1691" i="1" a="1"/>
  <c r="T1691" i="1" s="1"/>
  <c r="U1691" i="1" s="1" a="1"/>
  <c r="U1691" i="1" s="1"/>
  <c r="T1692" i="1" a="1"/>
  <c r="T1692" i="1" s="1"/>
  <c r="U1692" i="1" s="1" a="1"/>
  <c r="U1692" i="1" s="1"/>
  <c r="T1693" i="1" a="1"/>
  <c r="T1693" i="1" s="1"/>
  <c r="U1693" i="1" s="1" a="1"/>
  <c r="U1693" i="1" s="1"/>
  <c r="T1694" i="1" a="1"/>
  <c r="T1694" i="1" s="1"/>
  <c r="U1694" i="1" s="1" a="1"/>
  <c r="U1694" i="1" s="1"/>
  <c r="T1695" i="1" a="1"/>
  <c r="T1695" i="1" s="1"/>
  <c r="U1695" i="1" s="1" a="1"/>
  <c r="U1695" i="1" s="1"/>
  <c r="T1696" i="1" a="1"/>
  <c r="T1696" i="1" s="1"/>
  <c r="U1696" i="1" s="1" a="1"/>
  <c r="U1696" i="1" s="1"/>
  <c r="T1697" i="1" a="1"/>
  <c r="T1697" i="1" s="1"/>
  <c r="U1697" i="1" s="1" a="1"/>
  <c r="U1697" i="1" s="1"/>
  <c r="T1698" i="1" a="1"/>
  <c r="T1698" i="1" s="1"/>
  <c r="U1698" i="1" s="1" a="1"/>
  <c r="U1698" i="1" s="1"/>
  <c r="T1699" i="1" a="1"/>
  <c r="T1699" i="1" s="1"/>
  <c r="U1699" i="1" s="1" a="1"/>
  <c r="U1699" i="1" s="1"/>
  <c r="T1700" i="1" a="1"/>
  <c r="T1700" i="1" s="1"/>
  <c r="U1700" i="1" s="1" a="1"/>
  <c r="U1700" i="1" s="1"/>
  <c r="T1701" i="1" a="1"/>
  <c r="T1701" i="1" s="1"/>
  <c r="U1701" i="1" s="1" a="1"/>
  <c r="U1701" i="1" s="1"/>
  <c r="T1702" i="1" a="1"/>
  <c r="T1702" i="1" s="1"/>
  <c r="U1702" i="1" s="1" a="1"/>
  <c r="U1702" i="1" s="1"/>
  <c r="T1703" i="1" a="1"/>
  <c r="T1703" i="1" s="1"/>
  <c r="U1703" i="1" s="1" a="1"/>
  <c r="U1703" i="1" s="1"/>
  <c r="T1704" i="1" a="1"/>
  <c r="T1704" i="1" s="1"/>
  <c r="U1704" i="1" s="1" a="1"/>
  <c r="U1704" i="1" s="1"/>
  <c r="T1705" i="1" a="1"/>
  <c r="T1705" i="1" s="1"/>
  <c r="U1705" i="1" s="1" a="1"/>
  <c r="U1705" i="1" s="1"/>
  <c r="T1706" i="1" a="1"/>
  <c r="T1706" i="1" s="1"/>
  <c r="U1706" i="1" s="1" a="1"/>
  <c r="U1706" i="1" s="1"/>
  <c r="T1707" i="1" a="1"/>
  <c r="T1707" i="1" s="1"/>
  <c r="U1707" i="1" s="1" a="1"/>
  <c r="U1707" i="1" s="1"/>
  <c r="T1708" i="1" a="1"/>
  <c r="T1708" i="1" s="1"/>
  <c r="U1708" i="1" s="1" a="1"/>
  <c r="U1708" i="1" s="1"/>
  <c r="T1709" i="1" a="1"/>
  <c r="T1709" i="1" s="1"/>
  <c r="U1709" i="1" s="1" a="1"/>
  <c r="U1709" i="1" s="1"/>
  <c r="T1710" i="1" a="1"/>
  <c r="T1710" i="1" s="1"/>
  <c r="U1710" i="1" s="1" a="1"/>
  <c r="U1710" i="1" s="1"/>
  <c r="T1711" i="1" a="1"/>
  <c r="T1711" i="1" s="1"/>
  <c r="U1711" i="1" s="1" a="1"/>
  <c r="U1711" i="1" s="1"/>
  <c r="T1712" i="1" a="1"/>
  <c r="T1712" i="1" s="1"/>
  <c r="U1712" i="1" s="1" a="1"/>
  <c r="U1712" i="1" s="1"/>
  <c r="T1713" i="1" a="1"/>
  <c r="T1713" i="1" s="1"/>
  <c r="U1713" i="1" s="1" a="1"/>
  <c r="U1713" i="1" s="1"/>
  <c r="T1714" i="1" a="1"/>
  <c r="T1714" i="1" s="1"/>
  <c r="U1714" i="1" s="1" a="1"/>
  <c r="U1714" i="1" s="1"/>
  <c r="T1715" i="1" a="1"/>
  <c r="T1715" i="1" s="1"/>
  <c r="U1715" i="1" s="1" a="1"/>
  <c r="U1715" i="1" s="1"/>
  <c r="T1716" i="1" a="1"/>
  <c r="T1716" i="1" s="1"/>
  <c r="U1716" i="1" s="1" a="1"/>
  <c r="U1716" i="1" s="1"/>
  <c r="T1717" i="1" a="1"/>
  <c r="T1717" i="1" s="1"/>
  <c r="U1717" i="1" s="1" a="1"/>
  <c r="U1717" i="1" s="1"/>
  <c r="T1718" i="1" a="1"/>
  <c r="T1718" i="1" s="1"/>
  <c r="U1718" i="1" s="1" a="1"/>
  <c r="U1718" i="1" s="1"/>
  <c r="T1719" i="1" a="1"/>
  <c r="T1719" i="1" s="1"/>
  <c r="U1719" i="1" s="1" a="1"/>
  <c r="U1719" i="1" s="1"/>
  <c r="T1720" i="1" a="1"/>
  <c r="T1720" i="1" s="1"/>
  <c r="U1720" i="1" s="1" a="1"/>
  <c r="U1720" i="1" s="1"/>
  <c r="T1721" i="1" a="1"/>
  <c r="T1721" i="1" s="1"/>
  <c r="U1721" i="1" s="1" a="1"/>
  <c r="U1721" i="1" s="1"/>
  <c r="T1722" i="1" a="1"/>
  <c r="T1722" i="1" s="1"/>
  <c r="U1722" i="1" s="1" a="1"/>
  <c r="U1722" i="1" s="1"/>
  <c r="T1723" i="1" a="1"/>
  <c r="T1723" i="1" s="1"/>
  <c r="U1723" i="1" s="1" a="1"/>
  <c r="U1723" i="1" s="1"/>
  <c r="T1724" i="1" a="1"/>
  <c r="T1724" i="1" s="1"/>
  <c r="U1724" i="1" s="1" a="1"/>
  <c r="U1724" i="1" s="1"/>
  <c r="T1725" i="1" a="1"/>
  <c r="T1725" i="1" s="1"/>
  <c r="U1725" i="1" s="1" a="1"/>
  <c r="U1725" i="1" s="1"/>
  <c r="T1726" i="1" a="1"/>
  <c r="T1726" i="1" s="1"/>
  <c r="U1726" i="1" s="1" a="1"/>
  <c r="U1726" i="1" s="1"/>
  <c r="T1727" i="1" a="1"/>
  <c r="T1727" i="1" s="1"/>
  <c r="U1727" i="1" s="1" a="1"/>
  <c r="U1727" i="1" s="1"/>
  <c r="T1728" i="1" a="1"/>
  <c r="T1728" i="1" s="1"/>
  <c r="U1728" i="1" s="1" a="1"/>
  <c r="U1728" i="1" s="1"/>
  <c r="T1729" i="1" a="1"/>
  <c r="T1729" i="1" s="1"/>
  <c r="U1729" i="1" s="1" a="1"/>
  <c r="U1729" i="1" s="1"/>
  <c r="T1730" i="1" a="1"/>
  <c r="T1730" i="1" s="1"/>
  <c r="U1730" i="1" s="1" a="1"/>
  <c r="U1730" i="1" s="1"/>
  <c r="T1731" i="1" a="1"/>
  <c r="T1731" i="1" s="1"/>
  <c r="U1731" i="1" s="1" a="1"/>
  <c r="U1731" i="1" s="1"/>
  <c r="T1732" i="1" a="1"/>
  <c r="T1732" i="1" s="1"/>
  <c r="U1732" i="1" s="1" a="1"/>
  <c r="U1732" i="1" s="1"/>
  <c r="T1733" i="1" a="1"/>
  <c r="T1733" i="1" s="1"/>
  <c r="U1733" i="1" s="1" a="1"/>
  <c r="U1733" i="1" s="1"/>
  <c r="T1734" i="1" a="1"/>
  <c r="T1734" i="1" s="1"/>
  <c r="U1734" i="1" s="1" a="1"/>
  <c r="U1734" i="1" s="1"/>
  <c r="T1735" i="1" a="1"/>
  <c r="T1735" i="1" s="1"/>
  <c r="U1735" i="1" s="1" a="1"/>
  <c r="U1735" i="1" s="1"/>
  <c r="T1736" i="1" a="1"/>
  <c r="T1736" i="1" s="1"/>
  <c r="U1736" i="1" s="1" a="1"/>
  <c r="U1736" i="1" s="1"/>
  <c r="T1737" i="1" a="1"/>
  <c r="T1737" i="1" s="1"/>
  <c r="U1737" i="1" s="1" a="1"/>
  <c r="U1737" i="1" s="1"/>
  <c r="T1738" i="1" a="1"/>
  <c r="T1738" i="1" s="1"/>
  <c r="U1738" i="1" s="1" a="1"/>
  <c r="U1738" i="1" s="1"/>
  <c r="T1739" i="1" a="1"/>
  <c r="T1739" i="1" s="1"/>
  <c r="U1739" i="1" s="1" a="1"/>
  <c r="U1739" i="1" s="1"/>
  <c r="T1740" i="1" a="1"/>
  <c r="T1740" i="1" s="1"/>
  <c r="U1740" i="1" s="1" a="1"/>
  <c r="U1740" i="1" s="1"/>
  <c r="T1741" i="1" a="1"/>
  <c r="T1741" i="1" s="1"/>
  <c r="U1741" i="1" s="1" a="1"/>
  <c r="U1741" i="1" s="1"/>
  <c r="T1742" i="1" a="1"/>
  <c r="T1742" i="1" s="1"/>
  <c r="U1742" i="1" s="1" a="1"/>
  <c r="U1742" i="1" s="1"/>
  <c r="T1743" i="1" a="1"/>
  <c r="T1743" i="1" s="1"/>
  <c r="U1743" i="1" s="1" a="1"/>
  <c r="U1743" i="1" s="1"/>
  <c r="T1744" i="1" a="1"/>
  <c r="T1744" i="1" s="1"/>
  <c r="U1744" i="1" s="1" a="1"/>
  <c r="U1744" i="1" s="1"/>
  <c r="T1745" i="1" a="1"/>
  <c r="T1745" i="1" s="1"/>
  <c r="U1745" i="1" s="1" a="1"/>
  <c r="U1745" i="1" s="1"/>
  <c r="T1746" i="1" a="1"/>
  <c r="T1746" i="1" s="1"/>
  <c r="U1746" i="1" s="1" a="1"/>
  <c r="U1746" i="1" s="1"/>
  <c r="T1747" i="1" a="1"/>
  <c r="T1747" i="1" s="1"/>
  <c r="U1747" i="1" s="1" a="1"/>
  <c r="U1747" i="1" s="1"/>
  <c r="T1748" i="1" a="1"/>
  <c r="T1748" i="1" s="1"/>
  <c r="U1748" i="1" s="1" a="1"/>
  <c r="U1748" i="1" s="1"/>
  <c r="T1749" i="1" a="1"/>
  <c r="T1749" i="1" s="1"/>
  <c r="U1749" i="1" s="1" a="1"/>
  <c r="U1749" i="1" s="1"/>
  <c r="T1750" i="1" a="1"/>
  <c r="T1750" i="1" s="1"/>
  <c r="U1750" i="1" s="1" a="1"/>
  <c r="U1750" i="1" s="1"/>
  <c r="T1751" i="1" a="1"/>
  <c r="T1751" i="1" s="1"/>
  <c r="U1751" i="1" s="1" a="1"/>
  <c r="U1751" i="1" s="1"/>
  <c r="T1752" i="1" a="1"/>
  <c r="T1752" i="1" s="1"/>
  <c r="U1752" i="1" s="1" a="1"/>
  <c r="U1752" i="1" s="1"/>
  <c r="T1753" i="1" a="1"/>
  <c r="T1753" i="1" s="1"/>
  <c r="U1753" i="1" s="1" a="1"/>
  <c r="U1753" i="1" s="1"/>
  <c r="T1754" i="1" a="1"/>
  <c r="T1754" i="1" s="1"/>
  <c r="U1754" i="1" s="1" a="1"/>
  <c r="U1754" i="1" s="1"/>
  <c r="T1755" i="1" a="1"/>
  <c r="T1755" i="1" s="1"/>
  <c r="U1755" i="1" s="1" a="1"/>
  <c r="U1755" i="1" s="1"/>
  <c r="T1756" i="1" a="1"/>
  <c r="T1756" i="1" s="1"/>
  <c r="U1756" i="1" s="1" a="1"/>
  <c r="U1756" i="1" s="1"/>
  <c r="T1757" i="1" a="1"/>
  <c r="T1757" i="1" s="1"/>
  <c r="U1757" i="1" s="1" a="1"/>
  <c r="U1757" i="1" s="1"/>
  <c r="T1758" i="1" a="1"/>
  <c r="T1758" i="1" s="1"/>
  <c r="U1758" i="1" s="1" a="1"/>
  <c r="U1758" i="1" s="1"/>
  <c r="T1759" i="1" a="1"/>
  <c r="T1759" i="1" s="1"/>
  <c r="U1759" i="1" s="1" a="1"/>
  <c r="U1759" i="1" s="1"/>
  <c r="T1760" i="1" a="1"/>
  <c r="T1760" i="1" s="1"/>
  <c r="U1760" i="1" s="1" a="1"/>
  <c r="U1760" i="1" s="1"/>
  <c r="T1761" i="1" a="1"/>
  <c r="T1761" i="1" s="1"/>
  <c r="U1761" i="1" s="1" a="1"/>
  <c r="U1761" i="1" s="1"/>
  <c r="T1762" i="1" a="1"/>
  <c r="T1762" i="1" s="1"/>
  <c r="U1762" i="1" s="1" a="1"/>
  <c r="U1762" i="1" s="1"/>
  <c r="T1763" i="1" a="1"/>
  <c r="T1763" i="1" s="1"/>
  <c r="U1763" i="1" s="1" a="1"/>
  <c r="U1763" i="1" s="1"/>
  <c r="T1764" i="1" a="1"/>
  <c r="T1764" i="1" s="1"/>
  <c r="U1764" i="1" s="1" a="1"/>
  <c r="U1764" i="1" s="1"/>
  <c r="T1765" i="1" a="1"/>
  <c r="T1765" i="1" s="1"/>
  <c r="U1765" i="1" s="1" a="1"/>
  <c r="U1765" i="1" s="1"/>
  <c r="T1766" i="1" a="1"/>
  <c r="T1766" i="1" s="1"/>
  <c r="U1766" i="1" s="1" a="1"/>
  <c r="U1766" i="1" s="1"/>
  <c r="T1767" i="1" a="1"/>
  <c r="T1767" i="1" s="1"/>
  <c r="U1767" i="1" s="1" a="1"/>
  <c r="U1767" i="1" s="1"/>
  <c r="T1768" i="1" a="1"/>
  <c r="T1768" i="1" s="1"/>
  <c r="U1768" i="1" s="1" a="1"/>
  <c r="U1768" i="1" s="1"/>
  <c r="T1769" i="1" a="1"/>
  <c r="T1769" i="1" s="1"/>
  <c r="U1769" i="1" s="1" a="1"/>
  <c r="U1769" i="1" s="1"/>
  <c r="T1770" i="1" a="1"/>
  <c r="T1770" i="1" s="1"/>
  <c r="U1770" i="1" s="1" a="1"/>
  <c r="U1770" i="1" s="1"/>
  <c r="T1771" i="1" a="1"/>
  <c r="T1771" i="1" s="1"/>
  <c r="U1771" i="1" s="1" a="1"/>
  <c r="U1771" i="1" s="1"/>
  <c r="T1772" i="1" a="1"/>
  <c r="T1772" i="1" s="1"/>
  <c r="U1772" i="1" s="1" a="1"/>
  <c r="U1772" i="1" s="1"/>
  <c r="T1773" i="1" a="1"/>
  <c r="T1773" i="1" s="1"/>
  <c r="U1773" i="1" s="1" a="1"/>
  <c r="U1773" i="1" s="1"/>
  <c r="T1774" i="1" a="1"/>
  <c r="T1774" i="1" s="1"/>
  <c r="U1774" i="1" s="1" a="1"/>
  <c r="U1774" i="1" s="1"/>
  <c r="T1775" i="1" a="1"/>
  <c r="T1775" i="1" s="1"/>
  <c r="U1775" i="1" s="1" a="1"/>
  <c r="U1775" i="1" s="1"/>
  <c r="T1776" i="1" a="1"/>
  <c r="T1776" i="1" s="1"/>
  <c r="U1776" i="1" s="1" a="1"/>
  <c r="U1776" i="1" s="1"/>
  <c r="T1777" i="1" a="1"/>
  <c r="T1777" i="1" s="1"/>
  <c r="U1777" i="1" s="1" a="1"/>
  <c r="U1777" i="1" s="1"/>
  <c r="T1778" i="1" a="1"/>
  <c r="T1778" i="1" s="1"/>
  <c r="U1778" i="1" s="1" a="1"/>
  <c r="U1778" i="1" s="1"/>
  <c r="T1779" i="1" a="1"/>
  <c r="T1779" i="1" s="1"/>
  <c r="U1779" i="1" s="1" a="1"/>
  <c r="U1779" i="1" s="1"/>
  <c r="T1780" i="1" a="1"/>
  <c r="T1780" i="1" s="1"/>
  <c r="U1780" i="1" s="1" a="1"/>
  <c r="U1780" i="1" s="1"/>
  <c r="T1781" i="1" a="1"/>
  <c r="T1781" i="1" s="1"/>
  <c r="U1781" i="1" s="1" a="1"/>
  <c r="U1781" i="1" s="1"/>
  <c r="T1782" i="1" a="1"/>
  <c r="T1782" i="1" s="1"/>
  <c r="U1782" i="1" s="1" a="1"/>
  <c r="U1782" i="1" s="1"/>
  <c r="T1783" i="1" a="1"/>
  <c r="T1783" i="1" s="1"/>
  <c r="U1783" i="1" s="1" a="1"/>
  <c r="U1783" i="1" s="1"/>
  <c r="T1784" i="1" a="1"/>
  <c r="T1784" i="1" s="1"/>
  <c r="U1784" i="1" s="1" a="1"/>
  <c r="U1784" i="1" s="1"/>
  <c r="T1785" i="1" a="1"/>
  <c r="T1785" i="1" s="1"/>
  <c r="U1785" i="1" s="1" a="1"/>
  <c r="U1785" i="1" s="1"/>
  <c r="T1786" i="1" a="1"/>
  <c r="T1786" i="1" s="1"/>
  <c r="U1786" i="1" s="1" a="1"/>
  <c r="U1786" i="1" s="1"/>
  <c r="T1787" i="1" a="1"/>
  <c r="T1787" i="1" s="1"/>
  <c r="U1787" i="1" s="1" a="1"/>
  <c r="U1787" i="1" s="1"/>
  <c r="T1788" i="1" a="1"/>
  <c r="T1788" i="1" s="1"/>
  <c r="U1788" i="1" s="1" a="1"/>
  <c r="U1788" i="1" s="1"/>
  <c r="T1789" i="1" a="1"/>
  <c r="T1789" i="1" s="1"/>
  <c r="U1789" i="1" s="1" a="1"/>
  <c r="U1789" i="1" s="1"/>
  <c r="T1790" i="1" a="1"/>
  <c r="T1790" i="1" s="1"/>
  <c r="U1790" i="1" s="1" a="1"/>
  <c r="U1790" i="1" s="1"/>
  <c r="T1791" i="1" a="1"/>
  <c r="T1791" i="1" s="1"/>
  <c r="U1791" i="1" s="1" a="1"/>
  <c r="U1791" i="1" s="1"/>
  <c r="T1792" i="1" a="1"/>
  <c r="T1792" i="1" s="1"/>
  <c r="U1792" i="1" s="1" a="1"/>
  <c r="U1792" i="1" s="1"/>
  <c r="T1793" i="1" a="1"/>
  <c r="T1793" i="1" s="1"/>
  <c r="U1793" i="1" s="1" a="1"/>
  <c r="U1793" i="1" s="1"/>
  <c r="T1794" i="1" a="1"/>
  <c r="T1794" i="1" s="1"/>
  <c r="U1794" i="1" s="1" a="1"/>
  <c r="U1794" i="1" s="1"/>
  <c r="T1795" i="1" a="1"/>
  <c r="T1795" i="1" s="1"/>
  <c r="U1795" i="1" s="1" a="1"/>
  <c r="U1795" i="1" s="1"/>
  <c r="T1796" i="1" a="1"/>
  <c r="T1796" i="1" s="1"/>
  <c r="U1796" i="1" s="1" a="1"/>
  <c r="U1796" i="1" s="1"/>
  <c r="T1797" i="1" a="1"/>
  <c r="T1797" i="1" s="1"/>
  <c r="U1797" i="1" s="1" a="1"/>
  <c r="U1797" i="1" s="1"/>
  <c r="T1798" i="1" a="1"/>
  <c r="T1798" i="1" s="1"/>
  <c r="U1798" i="1" s="1" a="1"/>
  <c r="U1798" i="1" s="1"/>
  <c r="T1799" i="1" a="1"/>
  <c r="T1799" i="1" s="1"/>
  <c r="U1799" i="1" s="1" a="1"/>
  <c r="U1799" i="1" s="1"/>
  <c r="T1800" i="1" a="1"/>
  <c r="T1800" i="1" s="1"/>
  <c r="U1800" i="1" s="1" a="1"/>
  <c r="U1800" i="1" s="1"/>
  <c r="T1801" i="1" a="1"/>
  <c r="T1801" i="1" s="1"/>
  <c r="U1801" i="1" s="1" a="1"/>
  <c r="U1801" i="1" s="1"/>
  <c r="T1802" i="1" a="1"/>
  <c r="T1802" i="1" s="1"/>
  <c r="U1802" i="1" s="1" a="1"/>
  <c r="U1802" i="1" s="1"/>
  <c r="T1803" i="1" a="1"/>
  <c r="T1803" i="1" s="1"/>
  <c r="U1803" i="1" s="1" a="1"/>
  <c r="U1803" i="1" s="1"/>
  <c r="T1804" i="1" a="1"/>
  <c r="T1804" i="1" s="1"/>
  <c r="U1804" i="1" s="1" a="1"/>
  <c r="U1804" i="1" s="1"/>
  <c r="T1805" i="1" a="1"/>
  <c r="T1805" i="1" s="1"/>
  <c r="U1805" i="1" s="1" a="1"/>
  <c r="U1805" i="1" s="1"/>
  <c r="T1806" i="1" a="1"/>
  <c r="T1806" i="1" s="1"/>
  <c r="U1806" i="1" s="1" a="1"/>
  <c r="U1806" i="1" s="1"/>
  <c r="T1807" i="1" a="1"/>
  <c r="T1807" i="1" s="1"/>
  <c r="U1807" i="1" s="1" a="1"/>
  <c r="U1807" i="1" s="1"/>
  <c r="T1808" i="1" a="1"/>
  <c r="T1808" i="1" s="1"/>
  <c r="U1808" i="1" s="1" a="1"/>
  <c r="U1808" i="1" s="1"/>
  <c r="T1809" i="1" a="1"/>
  <c r="T1809" i="1" s="1"/>
  <c r="U1809" i="1" s="1" a="1"/>
  <c r="U1809" i="1" s="1"/>
  <c r="T1810" i="1" a="1"/>
  <c r="T1810" i="1" s="1"/>
  <c r="U1810" i="1" s="1" a="1"/>
  <c r="U1810" i="1" s="1"/>
  <c r="T1811" i="1" a="1"/>
  <c r="T1811" i="1" s="1"/>
  <c r="U1811" i="1" s="1" a="1"/>
  <c r="U1811" i="1" s="1"/>
  <c r="T1812" i="1" a="1"/>
  <c r="T1812" i="1" s="1"/>
  <c r="U1812" i="1" s="1" a="1"/>
  <c r="U1812" i="1" s="1"/>
  <c r="T1813" i="1" a="1"/>
  <c r="T1813" i="1" s="1"/>
  <c r="U1813" i="1" s="1" a="1"/>
  <c r="U1813" i="1" s="1"/>
  <c r="T1814" i="1" a="1"/>
  <c r="T1814" i="1" s="1"/>
  <c r="U1814" i="1" s="1" a="1"/>
  <c r="U1814" i="1" s="1"/>
  <c r="T1815" i="1" a="1"/>
  <c r="T1815" i="1" s="1"/>
  <c r="U1815" i="1" s="1" a="1"/>
  <c r="U1815" i="1" s="1"/>
  <c r="T1816" i="1" a="1"/>
  <c r="T1816" i="1" s="1"/>
  <c r="U1816" i="1" s="1" a="1"/>
  <c r="U1816" i="1" s="1"/>
  <c r="T1817" i="1" a="1"/>
  <c r="T1817" i="1" s="1"/>
  <c r="U1817" i="1" s="1" a="1"/>
  <c r="U1817" i="1" s="1"/>
  <c r="T1818" i="1" a="1"/>
  <c r="T1818" i="1" s="1"/>
  <c r="U1818" i="1" s="1" a="1"/>
  <c r="U1818" i="1" s="1"/>
  <c r="T1819" i="1" a="1"/>
  <c r="T1819" i="1" s="1"/>
  <c r="U1819" i="1" s="1" a="1"/>
  <c r="U1819" i="1" s="1"/>
  <c r="T1820" i="1" a="1"/>
  <c r="T1820" i="1" s="1"/>
  <c r="U1820" i="1" s="1" a="1"/>
  <c r="U1820" i="1" s="1"/>
  <c r="T1821" i="1" a="1"/>
  <c r="T1821" i="1" s="1"/>
  <c r="U1821" i="1" s="1" a="1"/>
  <c r="U1821" i="1" s="1"/>
  <c r="T1822" i="1" a="1"/>
  <c r="T1822" i="1" s="1"/>
  <c r="U1822" i="1" s="1" a="1"/>
  <c r="U1822" i="1" s="1"/>
  <c r="T1823" i="1" a="1"/>
  <c r="T1823" i="1" s="1"/>
  <c r="U1823" i="1" s="1" a="1"/>
  <c r="U1823" i="1" s="1"/>
  <c r="T1824" i="1" a="1"/>
  <c r="T1824" i="1" s="1"/>
  <c r="U1824" i="1" s="1" a="1"/>
  <c r="U1824" i="1" s="1"/>
  <c r="T1825" i="1" a="1"/>
  <c r="T1825" i="1" s="1"/>
  <c r="U1825" i="1" s="1" a="1"/>
  <c r="U1825" i="1" s="1"/>
  <c r="T1826" i="1" a="1"/>
  <c r="T1826" i="1" s="1"/>
  <c r="U1826" i="1" s="1" a="1"/>
  <c r="U1826" i="1" s="1"/>
  <c r="T1827" i="1" a="1"/>
  <c r="T1827" i="1" s="1"/>
  <c r="U1827" i="1" s="1" a="1"/>
  <c r="U1827" i="1" s="1"/>
  <c r="T1828" i="1" a="1"/>
  <c r="T1828" i="1" s="1"/>
  <c r="U1828" i="1" s="1" a="1"/>
  <c r="U1828" i="1" s="1"/>
  <c r="T1829" i="1" a="1"/>
  <c r="T1829" i="1" s="1"/>
  <c r="U1829" i="1" s="1" a="1"/>
  <c r="U1829" i="1" s="1"/>
  <c r="T1830" i="1" a="1"/>
  <c r="T1830" i="1" s="1"/>
  <c r="U1830" i="1" s="1" a="1"/>
  <c r="U1830" i="1" s="1"/>
  <c r="T1831" i="1" a="1"/>
  <c r="T1831" i="1" s="1"/>
  <c r="U1831" i="1" s="1" a="1"/>
  <c r="U1831" i="1" s="1"/>
  <c r="T1832" i="1" a="1"/>
  <c r="T1832" i="1" s="1"/>
  <c r="U1832" i="1" s="1" a="1"/>
  <c r="U1832" i="1" s="1"/>
  <c r="T1833" i="1" a="1"/>
  <c r="T1833" i="1" s="1"/>
  <c r="U1833" i="1" s="1" a="1"/>
  <c r="U1833" i="1" s="1"/>
  <c r="T1834" i="1" a="1"/>
  <c r="T1834" i="1" s="1"/>
  <c r="U1834" i="1" s="1" a="1"/>
  <c r="U1834" i="1" s="1"/>
  <c r="T1835" i="1" a="1"/>
  <c r="T1835" i="1" s="1"/>
  <c r="U1835" i="1" s="1" a="1"/>
  <c r="U1835" i="1" s="1"/>
  <c r="T1836" i="1" a="1"/>
  <c r="T1836" i="1" s="1"/>
  <c r="U1836" i="1" s="1" a="1"/>
  <c r="U1836" i="1" s="1"/>
  <c r="T1837" i="1" a="1"/>
  <c r="T1837" i="1" s="1"/>
  <c r="U1837" i="1" s="1" a="1"/>
  <c r="U1837" i="1" s="1"/>
  <c r="T1838" i="1" a="1"/>
  <c r="T1838" i="1" s="1"/>
  <c r="U1838" i="1" s="1" a="1"/>
  <c r="U1838" i="1" s="1"/>
  <c r="T1839" i="1" a="1"/>
  <c r="T1839" i="1" s="1"/>
  <c r="U1839" i="1" s="1" a="1"/>
  <c r="U1839" i="1" s="1"/>
  <c r="T1840" i="1" a="1"/>
  <c r="T1840" i="1" s="1"/>
  <c r="U1840" i="1" s="1" a="1"/>
  <c r="U1840" i="1" s="1"/>
  <c r="T1841" i="1" a="1"/>
  <c r="T1841" i="1" s="1"/>
  <c r="U1841" i="1" s="1" a="1"/>
  <c r="U1841" i="1" s="1"/>
  <c r="T1842" i="1" a="1"/>
  <c r="T1842" i="1" s="1"/>
  <c r="U1842" i="1" s="1" a="1"/>
  <c r="U1842" i="1" s="1"/>
  <c r="T1843" i="1" a="1"/>
  <c r="T1843" i="1" s="1"/>
  <c r="U1843" i="1" s="1" a="1"/>
  <c r="U1843" i="1" s="1"/>
  <c r="T1844" i="1" a="1"/>
  <c r="T1844" i="1" s="1"/>
  <c r="U1844" i="1" s="1" a="1"/>
  <c r="U1844" i="1" s="1"/>
  <c r="T1845" i="1" a="1"/>
  <c r="T1845" i="1" s="1"/>
  <c r="U1845" i="1" s="1" a="1"/>
  <c r="U1845" i="1" s="1"/>
  <c r="T1846" i="1" a="1"/>
  <c r="T1846" i="1" s="1"/>
  <c r="U1846" i="1" s="1" a="1"/>
  <c r="U1846" i="1" s="1"/>
  <c r="T1847" i="1" a="1"/>
  <c r="T1847" i="1" s="1"/>
  <c r="U1847" i="1" s="1" a="1"/>
  <c r="U1847" i="1" s="1"/>
  <c r="T1848" i="1" a="1"/>
  <c r="T1848" i="1" s="1"/>
  <c r="U1848" i="1" s="1" a="1"/>
  <c r="U1848" i="1" s="1"/>
  <c r="T1849" i="1" a="1"/>
  <c r="T1849" i="1" s="1"/>
  <c r="U1849" i="1" s="1" a="1"/>
  <c r="U1849" i="1" s="1"/>
  <c r="T1850" i="1" a="1"/>
  <c r="T1850" i="1" s="1"/>
  <c r="U1850" i="1" s="1" a="1"/>
  <c r="U1850" i="1" s="1"/>
  <c r="T1851" i="1" a="1"/>
  <c r="T1851" i="1" s="1"/>
  <c r="U1851" i="1" s="1" a="1"/>
  <c r="U1851" i="1" s="1"/>
  <c r="T1852" i="1" a="1"/>
  <c r="T1852" i="1" s="1"/>
  <c r="U1852" i="1" s="1" a="1"/>
  <c r="U1852" i="1" s="1"/>
  <c r="T1853" i="1" a="1"/>
  <c r="T1853" i="1" s="1"/>
  <c r="U1853" i="1" s="1" a="1"/>
  <c r="U1853" i="1" s="1"/>
  <c r="T1854" i="1" a="1"/>
  <c r="T1854" i="1" s="1"/>
  <c r="U1854" i="1" s="1" a="1"/>
  <c r="U1854" i="1" s="1"/>
  <c r="T1855" i="1" a="1"/>
  <c r="T1855" i="1" s="1"/>
  <c r="U1855" i="1" s="1" a="1"/>
  <c r="U1855" i="1" s="1"/>
  <c r="T1856" i="1" a="1"/>
  <c r="T1856" i="1" s="1"/>
  <c r="U1856" i="1" s="1" a="1"/>
  <c r="U1856" i="1" s="1"/>
  <c r="T1857" i="1" a="1"/>
  <c r="T1857" i="1" s="1"/>
  <c r="U1857" i="1" s="1" a="1"/>
  <c r="U1857" i="1" s="1"/>
  <c r="T1858" i="1" a="1"/>
  <c r="T1858" i="1" s="1"/>
  <c r="U1858" i="1" s="1" a="1"/>
  <c r="U1858" i="1" s="1"/>
  <c r="T1859" i="1" a="1"/>
  <c r="T1859" i="1" s="1"/>
  <c r="U1859" i="1" s="1" a="1"/>
  <c r="U1859" i="1" s="1"/>
  <c r="T1860" i="1" a="1"/>
  <c r="T1860" i="1" s="1"/>
  <c r="U1860" i="1" s="1" a="1"/>
  <c r="U1860" i="1" s="1"/>
  <c r="T1861" i="1" a="1"/>
  <c r="T1861" i="1" s="1"/>
  <c r="U1861" i="1" s="1" a="1"/>
  <c r="U1861" i="1" s="1"/>
  <c r="T1862" i="1" a="1"/>
  <c r="T1862" i="1" s="1"/>
  <c r="U1862" i="1" s="1" a="1"/>
  <c r="U1862" i="1" s="1"/>
  <c r="T1863" i="1" a="1"/>
  <c r="T1863" i="1" s="1"/>
  <c r="U1863" i="1" s="1" a="1"/>
  <c r="U1863" i="1" s="1"/>
  <c r="T1864" i="1" a="1"/>
  <c r="T1864" i="1" s="1"/>
  <c r="U1864" i="1" s="1" a="1"/>
  <c r="U1864" i="1" s="1"/>
  <c r="T1865" i="1" a="1"/>
  <c r="T1865" i="1" s="1"/>
  <c r="U1865" i="1" s="1" a="1"/>
  <c r="U1865" i="1" s="1"/>
  <c r="T1866" i="1" a="1"/>
  <c r="T1866" i="1" s="1"/>
  <c r="U1866" i="1" s="1" a="1"/>
  <c r="U1866" i="1" s="1"/>
  <c r="T1867" i="1" a="1"/>
  <c r="T1867" i="1" s="1"/>
  <c r="U1867" i="1" s="1" a="1"/>
  <c r="U1867" i="1" s="1"/>
  <c r="T1868" i="1" a="1"/>
  <c r="T1868" i="1" s="1"/>
  <c r="U1868" i="1" s="1" a="1"/>
  <c r="U1868" i="1" s="1"/>
  <c r="T1869" i="1" a="1"/>
  <c r="T1869" i="1" s="1"/>
  <c r="U1869" i="1" s="1" a="1"/>
  <c r="U1869" i="1" s="1"/>
  <c r="T1870" i="1" a="1"/>
  <c r="T1870" i="1" s="1"/>
  <c r="U1870" i="1" s="1" a="1"/>
  <c r="U1870" i="1" s="1"/>
  <c r="T1871" i="1" a="1"/>
  <c r="T1871" i="1" s="1"/>
  <c r="U1871" i="1" s="1" a="1"/>
  <c r="U1871" i="1" s="1"/>
  <c r="T1872" i="1" a="1"/>
  <c r="T1872" i="1" s="1"/>
  <c r="U1872" i="1" s="1" a="1"/>
  <c r="U1872" i="1" s="1"/>
  <c r="T1873" i="1" a="1"/>
  <c r="T1873" i="1" s="1"/>
  <c r="U1873" i="1" s="1" a="1"/>
  <c r="U1873" i="1" s="1"/>
  <c r="T1874" i="1" a="1"/>
  <c r="T1874" i="1" s="1"/>
  <c r="U1874" i="1" s="1" a="1"/>
  <c r="U1874" i="1" s="1"/>
  <c r="T1875" i="1" a="1"/>
  <c r="T1875" i="1" s="1"/>
  <c r="U1875" i="1" s="1" a="1"/>
  <c r="U1875" i="1" s="1"/>
  <c r="T1876" i="1" a="1"/>
  <c r="T1876" i="1" s="1"/>
  <c r="U1876" i="1" s="1" a="1"/>
  <c r="U1876" i="1" s="1"/>
  <c r="T1877" i="1" a="1"/>
  <c r="T1877" i="1" s="1"/>
  <c r="U1877" i="1" s="1" a="1"/>
  <c r="U1877" i="1" s="1"/>
  <c r="T1878" i="1" a="1"/>
  <c r="T1878" i="1" s="1"/>
  <c r="U1878" i="1" s="1" a="1"/>
  <c r="U1878" i="1" s="1"/>
  <c r="T1879" i="1" a="1"/>
  <c r="T1879" i="1" s="1"/>
  <c r="U1879" i="1" s="1" a="1"/>
  <c r="U1879" i="1" s="1"/>
  <c r="T1880" i="1" a="1"/>
  <c r="T1880" i="1" s="1"/>
  <c r="U1880" i="1" s="1" a="1"/>
  <c r="U1880" i="1" s="1"/>
  <c r="T1881" i="1" a="1"/>
  <c r="T1881" i="1" s="1"/>
  <c r="U1881" i="1" s="1" a="1"/>
  <c r="U1881" i="1" s="1"/>
  <c r="T1882" i="1" a="1"/>
  <c r="T1882" i="1" s="1"/>
  <c r="U1882" i="1" s="1" a="1"/>
  <c r="U1882" i="1" s="1"/>
  <c r="T1883" i="1" a="1"/>
  <c r="T1883" i="1" s="1"/>
  <c r="U1883" i="1" s="1" a="1"/>
  <c r="U1883" i="1" s="1"/>
  <c r="T1884" i="1" a="1"/>
  <c r="T1884" i="1" s="1"/>
  <c r="U1884" i="1" s="1" a="1"/>
  <c r="U1884" i="1" s="1"/>
  <c r="T1885" i="1" a="1"/>
  <c r="T1885" i="1" s="1"/>
  <c r="U1885" i="1" s="1" a="1"/>
  <c r="U1885" i="1" s="1"/>
  <c r="T1886" i="1" a="1"/>
  <c r="T1886" i="1" s="1"/>
  <c r="U1886" i="1" s="1" a="1"/>
  <c r="U1886" i="1" s="1"/>
  <c r="T1887" i="1" a="1"/>
  <c r="T1887" i="1" s="1"/>
  <c r="U1887" i="1" s="1" a="1"/>
  <c r="U1887" i="1" s="1"/>
  <c r="T1888" i="1" a="1"/>
  <c r="T1888" i="1" s="1"/>
  <c r="U1888" i="1" s="1" a="1"/>
  <c r="U1888" i="1" s="1"/>
  <c r="T1889" i="1" a="1"/>
  <c r="T1889" i="1" s="1"/>
  <c r="U1889" i="1" s="1" a="1"/>
  <c r="U1889" i="1" s="1"/>
  <c r="T1890" i="1" a="1"/>
  <c r="T1890" i="1" s="1"/>
  <c r="U1890" i="1" s="1" a="1"/>
  <c r="U1890" i="1" s="1"/>
  <c r="T1891" i="1" a="1"/>
  <c r="T1891" i="1" s="1"/>
  <c r="U1891" i="1" s="1" a="1"/>
  <c r="U1891" i="1" s="1"/>
  <c r="T1892" i="1" a="1"/>
  <c r="T1892" i="1" s="1"/>
  <c r="U1892" i="1" s="1" a="1"/>
  <c r="U1892" i="1" s="1"/>
  <c r="T1893" i="1" a="1"/>
  <c r="T1893" i="1" s="1"/>
  <c r="U1893" i="1" s="1" a="1"/>
  <c r="U1893" i="1" s="1"/>
  <c r="T1894" i="1" a="1"/>
  <c r="T1894" i="1" s="1"/>
  <c r="U1894" i="1" s="1" a="1"/>
  <c r="U1894" i="1" s="1"/>
  <c r="T1895" i="1" a="1"/>
  <c r="T1895" i="1" s="1"/>
  <c r="U1895" i="1" s="1" a="1"/>
  <c r="U1895" i="1" s="1"/>
  <c r="T1896" i="1" a="1"/>
  <c r="T1896" i="1" s="1"/>
  <c r="U1896" i="1" s="1" a="1"/>
  <c r="U1896" i="1" s="1"/>
  <c r="T1897" i="1" a="1"/>
  <c r="T1897" i="1" s="1"/>
  <c r="U1897" i="1" s="1" a="1"/>
  <c r="U1897" i="1" s="1"/>
  <c r="T1898" i="1" a="1"/>
  <c r="T1898" i="1" s="1"/>
  <c r="U1898" i="1" s="1" a="1"/>
  <c r="U1898" i="1" s="1"/>
  <c r="T1899" i="1" a="1"/>
  <c r="T1899" i="1" s="1"/>
  <c r="U1899" i="1" s="1" a="1"/>
  <c r="U1899" i="1" s="1"/>
  <c r="T1900" i="1" a="1"/>
  <c r="T1900" i="1" s="1"/>
  <c r="U1900" i="1" s="1" a="1"/>
  <c r="U1900" i="1" s="1"/>
  <c r="T1901" i="1" a="1"/>
  <c r="T1901" i="1" s="1"/>
  <c r="U1901" i="1" s="1" a="1"/>
  <c r="U1901" i="1" s="1"/>
  <c r="T1902" i="1" a="1"/>
  <c r="T1902" i="1" s="1"/>
  <c r="U1902" i="1" s="1" a="1"/>
  <c r="U1902" i="1" s="1"/>
  <c r="T1903" i="1" a="1"/>
  <c r="T1903" i="1" s="1"/>
  <c r="U1903" i="1" s="1" a="1"/>
  <c r="U1903" i="1" s="1"/>
  <c r="T1904" i="1" a="1"/>
  <c r="T1904" i="1" s="1"/>
  <c r="U1904" i="1" s="1" a="1"/>
  <c r="U1904" i="1" s="1"/>
  <c r="T1905" i="1" a="1"/>
  <c r="T1905" i="1" s="1"/>
  <c r="U1905" i="1" s="1" a="1"/>
  <c r="U1905" i="1" s="1"/>
  <c r="T1906" i="1" a="1"/>
  <c r="T1906" i="1" s="1"/>
  <c r="U1906" i="1" s="1" a="1"/>
  <c r="U1906" i="1" s="1"/>
  <c r="T1907" i="1" a="1"/>
  <c r="T1907" i="1" s="1"/>
  <c r="U1907" i="1" s="1" a="1"/>
  <c r="U1907" i="1" s="1"/>
  <c r="T1908" i="1" a="1"/>
  <c r="T1908" i="1" s="1"/>
  <c r="U1908" i="1" s="1" a="1"/>
  <c r="U1908" i="1" s="1"/>
  <c r="T1909" i="1" a="1"/>
  <c r="T1909" i="1" s="1"/>
  <c r="U1909" i="1" s="1" a="1"/>
  <c r="U1909" i="1" s="1"/>
  <c r="T1910" i="1" a="1"/>
  <c r="T1910" i="1" s="1"/>
  <c r="U1910" i="1" s="1" a="1"/>
  <c r="U1910" i="1" s="1"/>
  <c r="T1911" i="1" a="1"/>
  <c r="T1911" i="1" s="1"/>
  <c r="U1911" i="1" s="1" a="1"/>
  <c r="U1911" i="1" s="1"/>
  <c r="T1912" i="1" a="1"/>
  <c r="T1912" i="1" s="1"/>
  <c r="U1912" i="1" s="1" a="1"/>
  <c r="U1912" i="1" s="1"/>
  <c r="T1913" i="1" a="1"/>
  <c r="T1913" i="1" s="1"/>
  <c r="U1913" i="1" s="1" a="1"/>
  <c r="U1913" i="1" s="1"/>
  <c r="T1914" i="1" a="1"/>
  <c r="T1914" i="1" s="1"/>
  <c r="U1914" i="1" s="1" a="1"/>
  <c r="U1914" i="1" s="1"/>
  <c r="T1915" i="1" a="1"/>
  <c r="T1915" i="1" s="1"/>
  <c r="U1915" i="1" s="1" a="1"/>
  <c r="U1915" i="1" s="1"/>
  <c r="T1916" i="1" a="1"/>
  <c r="T1916" i="1" s="1"/>
  <c r="U1916" i="1" s="1" a="1"/>
  <c r="U1916" i="1" s="1"/>
  <c r="T1917" i="1" a="1"/>
  <c r="T1917" i="1" s="1"/>
  <c r="U1917" i="1" s="1" a="1"/>
  <c r="U1917" i="1" s="1"/>
  <c r="T1918" i="1" a="1"/>
  <c r="T1918" i="1" s="1"/>
  <c r="U1918" i="1" s="1" a="1"/>
  <c r="U1918" i="1" s="1"/>
  <c r="T1919" i="1" a="1"/>
  <c r="T1919" i="1" s="1"/>
  <c r="U1919" i="1" s="1" a="1"/>
  <c r="U1919" i="1" s="1"/>
  <c r="T1920" i="1" a="1"/>
  <c r="T1920" i="1" s="1"/>
  <c r="U1920" i="1" s="1" a="1"/>
  <c r="U1920" i="1" s="1"/>
  <c r="T1921" i="1" a="1"/>
  <c r="T1921" i="1" s="1"/>
  <c r="U1921" i="1" s="1" a="1"/>
  <c r="U1921" i="1" s="1"/>
  <c r="T1922" i="1" a="1"/>
  <c r="T1922" i="1" s="1"/>
  <c r="U1922" i="1" s="1" a="1"/>
  <c r="U1922" i="1" s="1"/>
  <c r="T1923" i="1" a="1"/>
  <c r="T1923" i="1" s="1"/>
  <c r="U1923" i="1" s="1" a="1"/>
  <c r="U1923" i="1" s="1"/>
  <c r="T1924" i="1" a="1"/>
  <c r="T1924" i="1" s="1"/>
  <c r="U1924" i="1" s="1" a="1"/>
  <c r="U1924" i="1" s="1"/>
  <c r="T1925" i="1" a="1"/>
  <c r="T1925" i="1" s="1"/>
  <c r="U1925" i="1" s="1" a="1"/>
  <c r="U1925" i="1" s="1"/>
  <c r="T1926" i="1" a="1"/>
  <c r="T1926" i="1" s="1"/>
  <c r="U1926" i="1" s="1" a="1"/>
  <c r="U1926" i="1" s="1"/>
  <c r="T1927" i="1" a="1"/>
  <c r="T1927" i="1" s="1"/>
  <c r="U1927" i="1" s="1" a="1"/>
  <c r="U1927" i="1" s="1"/>
  <c r="T1928" i="1" a="1"/>
  <c r="T1928" i="1" s="1"/>
  <c r="U1928" i="1" s="1" a="1"/>
  <c r="U1928" i="1" s="1"/>
  <c r="T1929" i="1" a="1"/>
  <c r="T1929" i="1" s="1"/>
  <c r="U1929" i="1" s="1" a="1"/>
  <c r="U1929" i="1" s="1"/>
  <c r="T1930" i="1" a="1"/>
  <c r="T1930" i="1" s="1"/>
  <c r="U1930" i="1" s="1" a="1"/>
  <c r="U1930" i="1" s="1"/>
  <c r="T1931" i="1" a="1"/>
  <c r="T1931" i="1" s="1"/>
  <c r="U1931" i="1" s="1" a="1"/>
  <c r="U1931" i="1" s="1"/>
  <c r="T1932" i="1" a="1"/>
  <c r="T1932" i="1" s="1"/>
  <c r="U1932" i="1" s="1" a="1"/>
  <c r="U1932" i="1" s="1"/>
  <c r="T1933" i="1" a="1"/>
  <c r="T1933" i="1" s="1"/>
  <c r="U1933" i="1" s="1" a="1"/>
  <c r="U1933" i="1" s="1"/>
  <c r="T1934" i="1" a="1"/>
  <c r="T1934" i="1" s="1"/>
  <c r="U1934" i="1" s="1" a="1"/>
  <c r="U1934" i="1" s="1"/>
  <c r="T1935" i="1" a="1"/>
  <c r="T1935" i="1" s="1"/>
  <c r="U1935" i="1" s="1" a="1"/>
  <c r="U1935" i="1" s="1"/>
  <c r="T1936" i="1" a="1"/>
  <c r="T1936" i="1" s="1"/>
  <c r="U1936" i="1" s="1" a="1"/>
  <c r="U1936" i="1" s="1"/>
  <c r="T1937" i="1" a="1"/>
  <c r="T1937" i="1" s="1"/>
  <c r="U1937" i="1" s="1" a="1"/>
  <c r="U1937" i="1" s="1"/>
  <c r="T1938" i="1" a="1"/>
  <c r="T1938" i="1" s="1"/>
  <c r="U1938" i="1" s="1" a="1"/>
  <c r="U1938" i="1" s="1"/>
  <c r="T1939" i="1" a="1"/>
  <c r="T1939" i="1" s="1"/>
  <c r="U1939" i="1" s="1" a="1"/>
  <c r="U1939" i="1" s="1"/>
  <c r="T1940" i="1" a="1"/>
  <c r="T1940" i="1" s="1"/>
  <c r="U1940" i="1" s="1" a="1"/>
  <c r="U1940" i="1" s="1"/>
  <c r="T1941" i="1" a="1"/>
  <c r="T1941" i="1" s="1"/>
  <c r="U1941" i="1" s="1" a="1"/>
  <c r="U1941" i="1" s="1"/>
  <c r="T1942" i="1" a="1"/>
  <c r="T1942" i="1" s="1"/>
  <c r="U1942" i="1" s="1" a="1"/>
  <c r="U1942" i="1" s="1"/>
  <c r="T1943" i="1" a="1"/>
  <c r="T1943" i="1" s="1"/>
  <c r="U1943" i="1" s="1" a="1"/>
  <c r="U1943" i="1" s="1"/>
  <c r="T1944" i="1" a="1"/>
  <c r="T1944" i="1" s="1"/>
  <c r="U1944" i="1" s="1" a="1"/>
  <c r="U1944" i="1" s="1"/>
  <c r="T1945" i="1" a="1"/>
  <c r="T1945" i="1" s="1"/>
  <c r="U1945" i="1" s="1" a="1"/>
  <c r="U1945" i="1" s="1"/>
  <c r="T1946" i="1" a="1"/>
  <c r="T1946" i="1" s="1"/>
  <c r="U1946" i="1" s="1" a="1"/>
  <c r="U1946" i="1" s="1"/>
  <c r="T1947" i="1" a="1"/>
  <c r="T1947" i="1" s="1"/>
  <c r="U1947" i="1" s="1" a="1"/>
  <c r="U1947" i="1" s="1"/>
  <c r="T1948" i="1" a="1"/>
  <c r="T1948" i="1" s="1"/>
  <c r="U1948" i="1" s="1" a="1"/>
  <c r="U1948" i="1" s="1"/>
  <c r="T1949" i="1" a="1"/>
  <c r="T1949" i="1" s="1"/>
  <c r="U1949" i="1" s="1" a="1"/>
  <c r="U1949" i="1" s="1"/>
  <c r="T1950" i="1" a="1"/>
  <c r="T1950" i="1" s="1"/>
  <c r="U1950" i="1" s="1" a="1"/>
  <c r="U1950" i="1" s="1"/>
  <c r="T1951" i="1" a="1"/>
  <c r="T1951" i="1" s="1"/>
  <c r="U1951" i="1" s="1" a="1"/>
  <c r="U1951" i="1" s="1"/>
  <c r="T1952" i="1" a="1"/>
  <c r="T1952" i="1" s="1"/>
  <c r="U1952" i="1" s="1" a="1"/>
  <c r="U1952" i="1" s="1"/>
  <c r="T1953" i="1" a="1"/>
  <c r="T1953" i="1" s="1"/>
  <c r="U1953" i="1" s="1" a="1"/>
  <c r="U1953" i="1" s="1"/>
  <c r="T1954" i="1" a="1"/>
  <c r="T1954" i="1" s="1"/>
  <c r="U1954" i="1" s="1" a="1"/>
  <c r="U1954" i="1" s="1"/>
  <c r="T1955" i="1" a="1"/>
  <c r="T1955" i="1" s="1"/>
  <c r="U1955" i="1" s="1" a="1"/>
  <c r="U1955" i="1" s="1"/>
  <c r="T1956" i="1" a="1"/>
  <c r="T1956" i="1" s="1"/>
  <c r="U1956" i="1" s="1" a="1"/>
  <c r="U1956" i="1" s="1"/>
  <c r="T1957" i="1" a="1"/>
  <c r="T1957" i="1" s="1"/>
  <c r="U1957" i="1" s="1" a="1"/>
  <c r="U1957" i="1" s="1"/>
  <c r="T1958" i="1" a="1"/>
  <c r="T1958" i="1" s="1"/>
  <c r="U1958" i="1" s="1" a="1"/>
  <c r="U1958" i="1" s="1"/>
  <c r="T1959" i="1" a="1"/>
  <c r="T1959" i="1" s="1"/>
  <c r="U1959" i="1" s="1" a="1"/>
  <c r="U1959" i="1" s="1"/>
  <c r="T1960" i="1" a="1"/>
  <c r="T1960" i="1" s="1"/>
  <c r="U1960" i="1" s="1" a="1"/>
  <c r="U1960" i="1" s="1"/>
  <c r="T1961" i="1" a="1"/>
  <c r="T1961" i="1" s="1"/>
  <c r="U1961" i="1" s="1" a="1"/>
  <c r="U1961" i="1" s="1"/>
  <c r="T1962" i="1" a="1"/>
  <c r="T1962" i="1" s="1"/>
  <c r="U1962" i="1" s="1" a="1"/>
  <c r="U1962" i="1" s="1"/>
  <c r="T1963" i="1" a="1"/>
  <c r="T1963" i="1" s="1"/>
  <c r="U1963" i="1" s="1" a="1"/>
  <c r="U1963" i="1" s="1"/>
  <c r="T1964" i="1" a="1"/>
  <c r="T1964" i="1" s="1"/>
  <c r="U1964" i="1" s="1" a="1"/>
  <c r="U1964" i="1" s="1"/>
  <c r="T1965" i="1" a="1"/>
  <c r="T1965" i="1" s="1"/>
  <c r="U1965" i="1" s="1" a="1"/>
  <c r="U1965" i="1" s="1"/>
  <c r="T1966" i="1" a="1"/>
  <c r="T1966" i="1" s="1"/>
  <c r="U1966" i="1" s="1" a="1"/>
  <c r="U1966" i="1" s="1"/>
  <c r="T1967" i="1" a="1"/>
  <c r="T1967" i="1" s="1"/>
  <c r="U1967" i="1" s="1" a="1"/>
  <c r="U1967" i="1" s="1"/>
  <c r="T1968" i="1" a="1"/>
  <c r="T1968" i="1" s="1"/>
  <c r="U1968" i="1" s="1" a="1"/>
  <c r="U1968" i="1" s="1"/>
  <c r="T1969" i="1" a="1"/>
  <c r="T1969" i="1" s="1"/>
  <c r="U1969" i="1" s="1" a="1"/>
  <c r="U1969" i="1" s="1"/>
  <c r="T1970" i="1" a="1"/>
  <c r="T1970" i="1" s="1"/>
  <c r="U1970" i="1" s="1" a="1"/>
  <c r="U1970" i="1" s="1"/>
  <c r="T1971" i="1" a="1"/>
  <c r="T1971" i="1" s="1"/>
  <c r="U1971" i="1" s="1" a="1"/>
  <c r="U1971" i="1" s="1"/>
  <c r="T1972" i="1" a="1"/>
  <c r="T1972" i="1" s="1"/>
  <c r="U1972" i="1" s="1" a="1"/>
  <c r="U1972" i="1" s="1"/>
  <c r="T1973" i="1" a="1"/>
  <c r="T1973" i="1" s="1"/>
  <c r="U1973" i="1" s="1" a="1"/>
  <c r="U1973" i="1" s="1"/>
  <c r="T1974" i="1" a="1"/>
  <c r="T1974" i="1" s="1"/>
  <c r="U1974" i="1" s="1" a="1"/>
  <c r="U1974" i="1" s="1"/>
  <c r="T1975" i="1" a="1"/>
  <c r="T1975" i="1" s="1"/>
  <c r="U1975" i="1" s="1" a="1"/>
  <c r="U1975" i="1" s="1"/>
  <c r="T1976" i="1" a="1"/>
  <c r="T1976" i="1" s="1"/>
  <c r="U1976" i="1" s="1" a="1"/>
  <c r="U1976" i="1" s="1"/>
  <c r="T1977" i="1" a="1"/>
  <c r="T1977" i="1" s="1"/>
  <c r="U1977" i="1" s="1" a="1"/>
  <c r="U1977" i="1" s="1"/>
  <c r="T1978" i="1" a="1"/>
  <c r="T1978" i="1" s="1"/>
  <c r="U1978" i="1" s="1" a="1"/>
  <c r="U1978" i="1" s="1"/>
  <c r="T1979" i="1" a="1"/>
  <c r="T1979" i="1" s="1"/>
  <c r="U1979" i="1" s="1" a="1"/>
  <c r="U1979" i="1" s="1"/>
  <c r="T1980" i="1" a="1"/>
  <c r="T1980" i="1" s="1"/>
  <c r="U1980" i="1" s="1" a="1"/>
  <c r="U1980" i="1" s="1"/>
  <c r="T1981" i="1" a="1"/>
  <c r="T1981" i="1" s="1"/>
  <c r="U1981" i="1" s="1" a="1"/>
  <c r="U1981" i="1" s="1"/>
  <c r="T1982" i="1" a="1"/>
  <c r="T1982" i="1" s="1"/>
  <c r="U1982" i="1" s="1" a="1"/>
  <c r="U1982" i="1" s="1"/>
  <c r="T1983" i="1" a="1"/>
  <c r="T1983" i="1" s="1"/>
  <c r="U1983" i="1" s="1" a="1"/>
  <c r="U1983" i="1" s="1"/>
  <c r="T1984" i="1" a="1"/>
  <c r="T1984" i="1" s="1"/>
  <c r="U1984" i="1" s="1" a="1"/>
  <c r="U1984" i="1" s="1"/>
  <c r="T1985" i="1" a="1"/>
  <c r="T1985" i="1" s="1"/>
  <c r="U1985" i="1" s="1" a="1"/>
  <c r="U1985" i="1" s="1"/>
  <c r="T1986" i="1" a="1"/>
  <c r="T1986" i="1" s="1"/>
  <c r="U1986" i="1" s="1" a="1"/>
  <c r="U1986" i="1" s="1"/>
  <c r="T1987" i="1" a="1"/>
  <c r="T1987" i="1" s="1"/>
  <c r="U1987" i="1" s="1" a="1"/>
  <c r="U1987" i="1" s="1"/>
  <c r="T1988" i="1" a="1"/>
  <c r="T1988" i="1" s="1"/>
  <c r="U1988" i="1" s="1" a="1"/>
  <c r="U1988" i="1" s="1"/>
  <c r="T1989" i="1" a="1"/>
  <c r="T1989" i="1" s="1"/>
  <c r="U1989" i="1" s="1" a="1"/>
  <c r="U1989" i="1" s="1"/>
  <c r="T1990" i="1" a="1"/>
  <c r="T1990" i="1" s="1"/>
  <c r="U1990" i="1" s="1" a="1"/>
  <c r="U1990" i="1" s="1"/>
  <c r="T1991" i="1" a="1"/>
  <c r="T1991" i="1" s="1"/>
  <c r="U1991" i="1" s="1" a="1"/>
  <c r="U1991" i="1" s="1"/>
  <c r="T1992" i="1" a="1"/>
  <c r="T1992" i="1" s="1"/>
  <c r="U1992" i="1" s="1" a="1"/>
  <c r="U1992" i="1" s="1"/>
  <c r="T1993" i="1" a="1"/>
  <c r="T1993" i="1" s="1"/>
  <c r="U1993" i="1" s="1" a="1"/>
  <c r="U1993" i="1" s="1"/>
  <c r="T1994" i="1" a="1"/>
  <c r="T1994" i="1" s="1"/>
  <c r="U1994" i="1" s="1" a="1"/>
  <c r="U1994" i="1" s="1"/>
  <c r="T1995" i="1" a="1"/>
  <c r="T1995" i="1" s="1"/>
  <c r="U1995" i="1" s="1" a="1"/>
  <c r="U1995" i="1" s="1"/>
  <c r="T1996" i="1" a="1"/>
  <c r="T1996" i="1" s="1"/>
  <c r="U1996" i="1" s="1" a="1"/>
  <c r="U1996" i="1" s="1"/>
  <c r="T1997" i="1" a="1"/>
  <c r="T1997" i="1" s="1"/>
  <c r="U1997" i="1" s="1" a="1"/>
  <c r="U1997" i="1" s="1"/>
  <c r="T1998" i="1" a="1"/>
  <c r="T1998" i="1" s="1"/>
  <c r="U1998" i="1" s="1" a="1"/>
  <c r="U1998" i="1" s="1"/>
  <c r="T1999" i="1" a="1"/>
  <c r="T1999" i="1" s="1"/>
  <c r="U1999" i="1" s="1" a="1"/>
  <c r="U1999" i="1" s="1"/>
  <c r="T2000" i="1" a="1"/>
  <c r="T2000" i="1" s="1"/>
  <c r="U2000" i="1" s="1" a="1"/>
  <c r="U2000" i="1" s="1"/>
  <c r="T2001" i="1" a="1"/>
  <c r="T2001" i="1" s="1"/>
  <c r="U2001" i="1" s="1" a="1"/>
  <c r="U2001" i="1" s="1"/>
  <c r="T2002" i="1" a="1"/>
  <c r="T2002" i="1" s="1"/>
  <c r="U2002" i="1" s="1" a="1"/>
  <c r="U2002" i="1" s="1"/>
  <c r="T2003" i="1" a="1"/>
  <c r="T2003" i="1" s="1"/>
  <c r="U2003" i="1" s="1" a="1"/>
  <c r="U2003" i="1" s="1"/>
  <c r="T2004" i="1" a="1"/>
  <c r="T2004" i="1" s="1"/>
  <c r="U2004" i="1" s="1" a="1"/>
  <c r="U2004" i="1" s="1"/>
  <c r="T2005" i="1" a="1"/>
  <c r="T2005" i="1" s="1"/>
  <c r="U2005" i="1" s="1" a="1"/>
  <c r="U2005" i="1" s="1"/>
  <c r="T2006" i="1" a="1"/>
  <c r="T2006" i="1" s="1"/>
  <c r="U2006" i="1" s="1" a="1"/>
  <c r="U2006" i="1" s="1"/>
  <c r="T2007" i="1" a="1"/>
  <c r="T2007" i="1" s="1"/>
  <c r="U2007" i="1" s="1" a="1"/>
  <c r="U2007" i="1" s="1"/>
  <c r="T2008" i="1" a="1"/>
  <c r="T2008" i="1" s="1"/>
  <c r="U2008" i="1" s="1" a="1"/>
  <c r="U2008" i="1" s="1"/>
  <c r="T2009" i="1" a="1"/>
  <c r="T2009" i="1" s="1"/>
  <c r="U2009" i="1" s="1" a="1"/>
  <c r="U2009" i="1" s="1"/>
  <c r="T2010" i="1" a="1"/>
  <c r="T2010" i="1" s="1"/>
  <c r="U2010" i="1" s="1" a="1"/>
  <c r="U2010" i="1" s="1"/>
  <c r="T2011" i="1" a="1"/>
  <c r="T2011" i="1" s="1"/>
  <c r="U2011" i="1" s="1" a="1"/>
  <c r="U2011" i="1" s="1"/>
  <c r="T2012" i="1" a="1"/>
  <c r="T2012" i="1" s="1"/>
  <c r="U2012" i="1" s="1" a="1"/>
  <c r="U2012" i="1" s="1"/>
  <c r="T2013" i="1" a="1"/>
  <c r="T2013" i="1" s="1"/>
  <c r="U2013" i="1" s="1" a="1"/>
  <c r="U2013" i="1" s="1"/>
  <c r="T2014" i="1" a="1"/>
  <c r="T2014" i="1" s="1"/>
  <c r="U2014" i="1" s="1" a="1"/>
  <c r="U2014" i="1" s="1"/>
  <c r="T2015" i="1" a="1"/>
  <c r="T2015" i="1" s="1"/>
  <c r="U2015" i="1" s="1" a="1"/>
  <c r="U2015" i="1" s="1"/>
  <c r="T2016" i="1" a="1"/>
  <c r="T2016" i="1" s="1"/>
  <c r="U2016" i="1" s="1" a="1"/>
  <c r="U2016" i="1" s="1"/>
  <c r="T2017" i="1" a="1"/>
  <c r="T2017" i="1" s="1"/>
  <c r="U2017" i="1" s="1" a="1"/>
  <c r="U2017" i="1" s="1"/>
  <c r="T2018" i="1" a="1"/>
  <c r="T2018" i="1" s="1"/>
  <c r="U2018" i="1" s="1" a="1"/>
  <c r="U2018" i="1" s="1"/>
  <c r="T2019" i="1" a="1"/>
  <c r="T2019" i="1" s="1"/>
  <c r="U2019" i="1" s="1" a="1"/>
  <c r="U2019" i="1" s="1"/>
  <c r="T2020" i="1" a="1"/>
  <c r="T2020" i="1" s="1"/>
  <c r="U2020" i="1" s="1" a="1"/>
  <c r="U2020" i="1" s="1"/>
  <c r="T2021" i="1" a="1"/>
  <c r="T2021" i="1" s="1"/>
  <c r="U2021" i="1" s="1" a="1"/>
  <c r="U2021" i="1" s="1"/>
  <c r="T2022" i="1" a="1"/>
  <c r="T2022" i="1" s="1"/>
  <c r="U2022" i="1" s="1" a="1"/>
  <c r="U2022" i="1" s="1"/>
  <c r="T2023" i="1" a="1"/>
  <c r="T2023" i="1" s="1"/>
  <c r="U2023" i="1" s="1" a="1"/>
  <c r="U2023" i="1" s="1"/>
  <c r="T2024" i="1" a="1"/>
  <c r="T2024" i="1" s="1"/>
  <c r="U2024" i="1" s="1" a="1"/>
  <c r="U2024" i="1" s="1"/>
  <c r="T2025" i="1" a="1"/>
  <c r="T2025" i="1" s="1"/>
  <c r="U2025" i="1" s="1" a="1"/>
  <c r="U2025" i="1" s="1"/>
  <c r="T2026" i="1" a="1"/>
  <c r="T2026" i="1" s="1"/>
  <c r="U2026" i="1" s="1" a="1"/>
  <c r="U2026" i="1" s="1"/>
  <c r="T2027" i="1" a="1"/>
  <c r="T2027" i="1" s="1"/>
  <c r="U2027" i="1" s="1" a="1"/>
  <c r="U2027" i="1" s="1"/>
  <c r="T2028" i="1" a="1"/>
  <c r="T2028" i="1" s="1"/>
  <c r="U2028" i="1" s="1" a="1"/>
  <c r="U2028" i="1" s="1"/>
  <c r="T2029" i="1" a="1"/>
  <c r="T2029" i="1" s="1"/>
  <c r="U2029" i="1" s="1" a="1"/>
  <c r="U2029" i="1" s="1"/>
  <c r="T2030" i="1" a="1"/>
  <c r="T2030" i="1" s="1"/>
  <c r="U2030" i="1" s="1" a="1"/>
  <c r="U2030" i="1" s="1"/>
  <c r="T2031" i="1" a="1"/>
  <c r="T2031" i="1" s="1"/>
  <c r="U2031" i="1" s="1" a="1"/>
  <c r="U2031" i="1" s="1"/>
  <c r="T2032" i="1" a="1"/>
  <c r="T2032" i="1" s="1"/>
  <c r="U2032" i="1" s="1" a="1"/>
  <c r="U2032" i="1" s="1"/>
  <c r="T2033" i="1" a="1"/>
  <c r="T2033" i="1" s="1"/>
  <c r="U2033" i="1" s="1" a="1"/>
  <c r="U2033" i="1" s="1"/>
  <c r="T2034" i="1" a="1"/>
  <c r="T2034" i="1" s="1"/>
  <c r="U2034" i="1" s="1" a="1"/>
  <c r="U2034" i="1" s="1"/>
  <c r="T2035" i="1" a="1"/>
  <c r="T2035" i="1" s="1"/>
  <c r="U2035" i="1" s="1" a="1"/>
  <c r="U2035" i="1" s="1"/>
  <c r="T2036" i="1" a="1"/>
  <c r="T2036" i="1" s="1"/>
  <c r="U2036" i="1" s="1" a="1"/>
  <c r="U2036" i="1" s="1"/>
  <c r="T2037" i="1" a="1"/>
  <c r="T2037" i="1" s="1"/>
  <c r="U2037" i="1" s="1" a="1"/>
  <c r="U2037" i="1" s="1"/>
  <c r="T2038" i="1" a="1"/>
  <c r="T2038" i="1" s="1"/>
  <c r="U2038" i="1" s="1" a="1"/>
  <c r="U2038" i="1" s="1"/>
  <c r="T2039" i="1" a="1"/>
  <c r="T2039" i="1" s="1"/>
  <c r="U2039" i="1" s="1" a="1"/>
  <c r="U2039" i="1" s="1"/>
  <c r="T2040" i="1" a="1"/>
  <c r="T2040" i="1" s="1"/>
  <c r="U2040" i="1" s="1" a="1"/>
  <c r="U2040" i="1" s="1"/>
  <c r="T2041" i="1" a="1"/>
  <c r="T2041" i="1" s="1"/>
  <c r="U2041" i="1" s="1" a="1"/>
  <c r="U2041" i="1" s="1"/>
  <c r="T2042" i="1" a="1"/>
  <c r="T2042" i="1" s="1"/>
  <c r="U2042" i="1" s="1" a="1"/>
  <c r="U2042" i="1" s="1"/>
  <c r="T2043" i="1" a="1"/>
  <c r="T2043" i="1" s="1"/>
  <c r="U2043" i="1" s="1" a="1"/>
  <c r="U2043" i="1" s="1"/>
  <c r="T2044" i="1" a="1"/>
  <c r="T2044" i="1" s="1"/>
  <c r="U2044" i="1" s="1" a="1"/>
  <c r="U2044" i="1" s="1"/>
  <c r="T2045" i="1" a="1"/>
  <c r="T2045" i="1" s="1"/>
  <c r="U2045" i="1" s="1" a="1"/>
  <c r="U2045" i="1" s="1"/>
  <c r="T2046" i="1" a="1"/>
  <c r="T2046" i="1" s="1"/>
  <c r="U2046" i="1" s="1" a="1"/>
  <c r="U2046" i="1" s="1"/>
  <c r="T2047" i="1" a="1"/>
  <c r="T2047" i="1" s="1"/>
  <c r="U2047" i="1" s="1" a="1"/>
  <c r="U2047" i="1" s="1"/>
  <c r="T2048" i="1" a="1"/>
  <c r="T2048" i="1" s="1"/>
  <c r="U2048" i="1" s="1" a="1"/>
  <c r="U2048" i="1" s="1"/>
  <c r="T2049" i="1" a="1"/>
  <c r="T2049" i="1" s="1"/>
  <c r="U2049" i="1" s="1" a="1"/>
  <c r="U2049" i="1" s="1"/>
  <c r="T2050" i="1" a="1"/>
  <c r="T2050" i="1" s="1"/>
  <c r="U2050" i="1" s="1" a="1"/>
  <c r="U2050" i="1" s="1"/>
  <c r="T2051" i="1" a="1"/>
  <c r="T2051" i="1" s="1"/>
  <c r="U2051" i="1" s="1" a="1"/>
  <c r="U2051" i="1" s="1"/>
  <c r="T2052" i="1" a="1"/>
  <c r="T2052" i="1" s="1"/>
  <c r="U2052" i="1" s="1" a="1"/>
  <c r="U2052" i="1" s="1"/>
  <c r="T2053" i="1" a="1"/>
  <c r="T2053" i="1" s="1"/>
  <c r="U2053" i="1" s="1" a="1"/>
  <c r="U2053" i="1" s="1"/>
  <c r="T2054" i="1" a="1"/>
  <c r="T2054" i="1" s="1"/>
  <c r="U2054" i="1" s="1" a="1"/>
  <c r="U2054" i="1" s="1"/>
  <c r="T2055" i="1" a="1"/>
  <c r="T2055" i="1" s="1"/>
  <c r="U2055" i="1" s="1" a="1"/>
  <c r="U2055" i="1" s="1"/>
  <c r="T2056" i="1" a="1"/>
  <c r="T2056" i="1" s="1"/>
  <c r="U2056" i="1" s="1" a="1"/>
  <c r="U2056" i="1" s="1"/>
  <c r="T2057" i="1" a="1"/>
  <c r="T2057" i="1" s="1"/>
  <c r="U2057" i="1" s="1" a="1"/>
  <c r="U2057" i="1" s="1"/>
  <c r="T2058" i="1" a="1"/>
  <c r="T2058" i="1" s="1"/>
  <c r="U2058" i="1" s="1" a="1"/>
  <c r="U2058" i="1" s="1"/>
  <c r="T2059" i="1" a="1"/>
  <c r="T2059" i="1" s="1"/>
  <c r="U2059" i="1" s="1" a="1"/>
  <c r="U2059" i="1" s="1"/>
  <c r="T2060" i="1" a="1"/>
  <c r="T2060" i="1" s="1"/>
  <c r="U2060" i="1" s="1" a="1"/>
  <c r="U2060" i="1" s="1"/>
  <c r="T2061" i="1" a="1"/>
  <c r="T2061" i="1" s="1"/>
  <c r="U2061" i="1" s="1" a="1"/>
  <c r="U2061" i="1" s="1"/>
  <c r="T2062" i="1" a="1"/>
  <c r="T2062" i="1" s="1"/>
  <c r="U2062" i="1" s="1" a="1"/>
  <c r="U2062" i="1" s="1"/>
  <c r="T2063" i="1" a="1"/>
  <c r="T2063" i="1" s="1"/>
  <c r="U2063" i="1" s="1" a="1"/>
  <c r="U2063" i="1" s="1"/>
  <c r="T2064" i="1" a="1"/>
  <c r="T2064" i="1" s="1"/>
  <c r="U2064" i="1" s="1" a="1"/>
  <c r="U2064" i="1" s="1"/>
  <c r="T2065" i="1" a="1"/>
  <c r="T2065" i="1" s="1"/>
  <c r="U2065" i="1" s="1" a="1"/>
  <c r="U2065" i="1" s="1"/>
  <c r="T2066" i="1" a="1"/>
  <c r="T2066" i="1" s="1"/>
  <c r="U2066" i="1" s="1" a="1"/>
  <c r="U2066" i="1" s="1"/>
  <c r="T2067" i="1" a="1"/>
  <c r="T2067" i="1" s="1"/>
  <c r="U2067" i="1" s="1" a="1"/>
  <c r="U2067" i="1" s="1"/>
  <c r="T2068" i="1" a="1"/>
  <c r="T2068" i="1" s="1"/>
  <c r="U2068" i="1" s="1" a="1"/>
  <c r="U2068" i="1" s="1"/>
  <c r="T2069" i="1" a="1"/>
  <c r="T2069" i="1" s="1"/>
  <c r="U2069" i="1" s="1" a="1"/>
  <c r="U2069" i="1" s="1"/>
  <c r="T2070" i="1" a="1"/>
  <c r="T2070" i="1" s="1"/>
  <c r="U2070" i="1" s="1" a="1"/>
  <c r="U2070" i="1" s="1"/>
  <c r="T2071" i="1" a="1"/>
  <c r="T2071" i="1" s="1"/>
  <c r="U2071" i="1" s="1" a="1"/>
  <c r="U2071" i="1" s="1"/>
  <c r="T2072" i="1" a="1"/>
  <c r="T2072" i="1" s="1"/>
  <c r="U2072" i="1" s="1" a="1"/>
  <c r="U2072" i="1" s="1"/>
  <c r="T2073" i="1" a="1"/>
  <c r="T2073" i="1" s="1"/>
  <c r="U2073" i="1" s="1" a="1"/>
  <c r="U2073" i="1" s="1"/>
  <c r="T2074" i="1" a="1"/>
  <c r="T2074" i="1" s="1"/>
  <c r="U2074" i="1" s="1" a="1"/>
  <c r="U2074" i="1" s="1"/>
  <c r="T2075" i="1" a="1"/>
  <c r="T2075" i="1" s="1"/>
  <c r="U2075" i="1" s="1" a="1"/>
  <c r="U2075" i="1" s="1"/>
  <c r="T2076" i="1" a="1"/>
  <c r="T2076" i="1" s="1"/>
  <c r="U2076" i="1" s="1" a="1"/>
  <c r="U2076" i="1" s="1"/>
  <c r="T2077" i="1" a="1"/>
  <c r="T2077" i="1" s="1"/>
  <c r="U2077" i="1" s="1" a="1"/>
  <c r="U2077" i="1" s="1"/>
  <c r="T2078" i="1" a="1"/>
  <c r="T2078" i="1" s="1"/>
  <c r="U2078" i="1" s="1" a="1"/>
  <c r="U2078" i="1" s="1"/>
  <c r="T2079" i="1" a="1"/>
  <c r="T2079" i="1" s="1"/>
  <c r="U2079" i="1" s="1" a="1"/>
  <c r="U2079" i="1" s="1"/>
  <c r="T2080" i="1" a="1"/>
  <c r="T2080" i="1" s="1"/>
  <c r="U2080" i="1" s="1" a="1"/>
  <c r="U2080" i="1" s="1"/>
  <c r="T2081" i="1" a="1"/>
  <c r="T2081" i="1" s="1"/>
  <c r="U2081" i="1" s="1" a="1"/>
  <c r="U2081" i="1" s="1"/>
  <c r="T2082" i="1" a="1"/>
  <c r="T2082" i="1" s="1"/>
  <c r="U2082" i="1" s="1" a="1"/>
  <c r="U2082" i="1" s="1"/>
  <c r="T2083" i="1" a="1"/>
  <c r="T2083" i="1" s="1"/>
  <c r="U2083" i="1" s="1" a="1"/>
  <c r="U2083" i="1" s="1"/>
  <c r="T2084" i="1" a="1"/>
  <c r="T2084" i="1" s="1"/>
  <c r="U2084" i="1" s="1" a="1"/>
  <c r="U2084" i="1" s="1"/>
  <c r="T2085" i="1" a="1"/>
  <c r="T2085" i="1" s="1"/>
  <c r="U2085" i="1" s="1" a="1"/>
  <c r="U2085" i="1" s="1"/>
  <c r="T2086" i="1" a="1"/>
  <c r="T2086" i="1" s="1"/>
  <c r="U2086" i="1" s="1" a="1"/>
  <c r="U2086" i="1" s="1"/>
  <c r="T2087" i="1" a="1"/>
  <c r="T2087" i="1" s="1"/>
  <c r="U2087" i="1" s="1" a="1"/>
  <c r="U2087" i="1" s="1"/>
  <c r="T2088" i="1" a="1"/>
  <c r="T2088" i="1" s="1"/>
  <c r="U2088" i="1" s="1" a="1"/>
  <c r="U2088" i="1" s="1"/>
  <c r="T2089" i="1" a="1"/>
  <c r="T2089" i="1" s="1"/>
  <c r="U2089" i="1" s="1" a="1"/>
  <c r="U2089" i="1" s="1"/>
  <c r="T2090" i="1" a="1"/>
  <c r="T2090" i="1" s="1"/>
  <c r="U2090" i="1" s="1" a="1"/>
  <c r="U2090" i="1" s="1"/>
  <c r="T2091" i="1" a="1"/>
  <c r="T2091" i="1" s="1"/>
  <c r="U2091" i="1" s="1" a="1"/>
  <c r="U2091" i="1" s="1"/>
  <c r="T2092" i="1" a="1"/>
  <c r="T2092" i="1" s="1"/>
  <c r="U2092" i="1" s="1" a="1"/>
  <c r="U2092" i="1" s="1"/>
  <c r="T2093" i="1" a="1"/>
  <c r="T2093" i="1" s="1"/>
  <c r="U2093" i="1" s="1" a="1"/>
  <c r="U2093" i="1" s="1"/>
  <c r="T2094" i="1" a="1"/>
  <c r="T2094" i="1" s="1"/>
  <c r="U2094" i="1" s="1" a="1"/>
  <c r="U2094" i="1" s="1"/>
  <c r="T2095" i="1" a="1"/>
  <c r="T2095" i="1" s="1"/>
  <c r="U2095" i="1" s="1" a="1"/>
  <c r="U2095" i="1" s="1"/>
  <c r="T2096" i="1" a="1"/>
  <c r="T2096" i="1" s="1"/>
  <c r="U2096" i="1" s="1" a="1"/>
  <c r="U2096" i="1" s="1"/>
  <c r="T2097" i="1" a="1"/>
  <c r="T2097" i="1" s="1"/>
  <c r="U2097" i="1" s="1" a="1"/>
  <c r="U2097" i="1" s="1"/>
  <c r="T2098" i="1" a="1"/>
  <c r="T2098" i="1" s="1"/>
  <c r="U2098" i="1" s="1" a="1"/>
  <c r="U2098" i="1" s="1"/>
  <c r="T2099" i="1" a="1"/>
  <c r="T2099" i="1" s="1"/>
  <c r="U2099" i="1" s="1" a="1"/>
  <c r="U2099" i="1" s="1"/>
  <c r="T2100" i="1" a="1"/>
  <c r="T2100" i="1" s="1"/>
  <c r="U2100" i="1" s="1" a="1"/>
  <c r="U2100" i="1" s="1"/>
  <c r="T2101" i="1" a="1"/>
  <c r="T2101" i="1" s="1"/>
  <c r="U2101" i="1" s="1" a="1"/>
  <c r="U2101" i="1" s="1"/>
  <c r="T2102" i="1" a="1"/>
  <c r="T2102" i="1" s="1"/>
  <c r="U2102" i="1" s="1" a="1"/>
  <c r="U2102" i="1" s="1"/>
  <c r="T2103" i="1" a="1"/>
  <c r="T2103" i="1" s="1"/>
  <c r="U2103" i="1" s="1" a="1"/>
  <c r="U2103" i="1" s="1"/>
  <c r="T2104" i="1" a="1"/>
  <c r="T2104" i="1" s="1"/>
  <c r="U2104" i="1" s="1" a="1"/>
  <c r="U2104" i="1" s="1"/>
  <c r="T2105" i="1" a="1"/>
  <c r="T2105" i="1" s="1"/>
  <c r="U2105" i="1" s="1" a="1"/>
  <c r="U2105" i="1" s="1"/>
  <c r="T2106" i="1" a="1"/>
  <c r="T2106" i="1" s="1"/>
  <c r="U2106" i="1" s="1" a="1"/>
  <c r="U2106" i="1" s="1"/>
  <c r="T2107" i="1" a="1"/>
  <c r="T2107" i="1" s="1"/>
  <c r="U2107" i="1" s="1" a="1"/>
  <c r="U2107" i="1" s="1"/>
  <c r="T2108" i="1" a="1"/>
  <c r="T2108" i="1" s="1"/>
  <c r="U2108" i="1" s="1" a="1"/>
  <c r="U2108" i="1" s="1"/>
  <c r="T2109" i="1" a="1"/>
  <c r="T2109" i="1" s="1"/>
  <c r="U2109" i="1" s="1" a="1"/>
  <c r="U2109" i="1" s="1"/>
  <c r="T2110" i="1" a="1"/>
  <c r="T2110" i="1" s="1"/>
  <c r="U2110" i="1" s="1" a="1"/>
  <c r="U2110" i="1" s="1"/>
  <c r="T2111" i="1" a="1"/>
  <c r="T2111" i="1" s="1"/>
  <c r="U2111" i="1" s="1" a="1"/>
  <c r="U2111" i="1" s="1"/>
  <c r="T2112" i="1" a="1"/>
  <c r="T2112" i="1" s="1"/>
  <c r="U2112" i="1" s="1" a="1"/>
  <c r="U2112" i="1" s="1"/>
  <c r="T2113" i="1" a="1"/>
  <c r="T2113" i="1" s="1"/>
  <c r="U2113" i="1" s="1" a="1"/>
  <c r="U2113" i="1" s="1"/>
  <c r="T2114" i="1" a="1"/>
  <c r="T2114" i="1" s="1"/>
  <c r="U2114" i="1" s="1" a="1"/>
  <c r="U2114" i="1" s="1"/>
  <c r="T2115" i="1" a="1"/>
  <c r="T2115" i="1" s="1"/>
  <c r="U2115" i="1" s="1" a="1"/>
  <c r="U2115" i="1" s="1"/>
  <c r="T2116" i="1" a="1"/>
  <c r="T2116" i="1" s="1"/>
  <c r="U2116" i="1" s="1" a="1"/>
  <c r="U2116" i="1" s="1"/>
  <c r="T2117" i="1" a="1"/>
  <c r="T2117" i="1" s="1"/>
  <c r="U2117" i="1" s="1" a="1"/>
  <c r="U2117" i="1" s="1"/>
  <c r="T2118" i="1" a="1"/>
  <c r="T2118" i="1" s="1"/>
  <c r="U2118" i="1" s="1" a="1"/>
  <c r="U2118" i="1" s="1"/>
  <c r="T2119" i="1" a="1"/>
  <c r="T2119" i="1" s="1"/>
  <c r="U2119" i="1" s="1" a="1"/>
  <c r="U2119" i="1" s="1"/>
  <c r="T2120" i="1" a="1"/>
  <c r="T2120" i="1" s="1"/>
  <c r="U2120" i="1" s="1" a="1"/>
  <c r="U2120" i="1" s="1"/>
  <c r="T2121" i="1" a="1"/>
  <c r="T2121" i="1" s="1"/>
  <c r="U2121" i="1" s="1" a="1"/>
  <c r="U2121" i="1" s="1"/>
  <c r="T2122" i="1" a="1"/>
  <c r="T2122" i="1" s="1"/>
  <c r="U2122" i="1" s="1" a="1"/>
  <c r="U2122" i="1" s="1"/>
  <c r="T2123" i="1" a="1"/>
  <c r="T2123" i="1" s="1"/>
  <c r="U2123" i="1" s="1" a="1"/>
  <c r="U2123" i="1" s="1"/>
  <c r="T2124" i="1" a="1"/>
  <c r="T2124" i="1" s="1"/>
  <c r="U2124" i="1" s="1" a="1"/>
  <c r="U2124" i="1" s="1"/>
  <c r="T2125" i="1" a="1"/>
  <c r="T2125" i="1" s="1"/>
  <c r="U2125" i="1" s="1" a="1"/>
  <c r="U2125" i="1" s="1"/>
  <c r="T2126" i="1" a="1"/>
  <c r="T2126" i="1" s="1"/>
  <c r="U2126" i="1" s="1" a="1"/>
  <c r="U2126" i="1" s="1"/>
  <c r="T2127" i="1" a="1"/>
  <c r="T2127" i="1" s="1"/>
  <c r="U2127" i="1" s="1" a="1"/>
  <c r="U2127" i="1" s="1"/>
  <c r="T2128" i="1" a="1"/>
  <c r="T2128" i="1" s="1"/>
  <c r="U2128" i="1" s="1" a="1"/>
  <c r="U2128" i="1" s="1"/>
  <c r="S2" i="1" a="1"/>
  <c r="S2" i="1" s="1"/>
  <c r="S3" i="1" a="1"/>
  <c r="S3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374" i="1" a="1"/>
  <c r="S374" i="1" s="1"/>
  <c r="S375" i="1" a="1"/>
  <c r="S375" i="1" s="1"/>
  <c r="S376" i="1" a="1"/>
  <c r="S376" i="1" s="1"/>
  <c r="S377" i="1" a="1"/>
  <c r="S377" i="1" s="1"/>
  <c r="S378" i="1" a="1"/>
  <c r="S378" i="1" s="1"/>
  <c r="S379" i="1" a="1"/>
  <c r="S379" i="1" s="1"/>
  <c r="S380" i="1" a="1"/>
  <c r="S380" i="1" s="1"/>
  <c r="S381" i="1" a="1"/>
  <c r="S381" i="1" s="1"/>
  <c r="S382" i="1" a="1"/>
  <c r="S382" i="1" s="1"/>
  <c r="S383" i="1" a="1"/>
  <c r="S383" i="1" s="1"/>
  <c r="S384" i="1" a="1"/>
  <c r="S384" i="1" s="1"/>
  <c r="S385" i="1" a="1"/>
  <c r="S385" i="1" s="1"/>
  <c r="S386" i="1" a="1"/>
  <c r="S386" i="1" s="1"/>
  <c r="S387" i="1" a="1"/>
  <c r="S387" i="1" s="1"/>
  <c r="S388" i="1" a="1"/>
  <c r="S388" i="1" s="1"/>
  <c r="S389" i="1" a="1"/>
  <c r="S389" i="1" s="1"/>
  <c r="S390" i="1" a="1"/>
  <c r="S390" i="1" s="1"/>
  <c r="S391" i="1" a="1"/>
  <c r="S391" i="1" s="1"/>
  <c r="S392" i="1" a="1"/>
  <c r="S392" i="1" s="1"/>
  <c r="S393" i="1" a="1"/>
  <c r="S393" i="1" s="1"/>
  <c r="S394" i="1" a="1"/>
  <c r="S394" i="1" s="1"/>
  <c r="S395" i="1" a="1"/>
  <c r="S395" i="1" s="1"/>
  <c r="S396" i="1" a="1"/>
  <c r="S396" i="1" s="1"/>
  <c r="S397" i="1" a="1"/>
  <c r="S397" i="1" s="1"/>
  <c r="S398" i="1" a="1"/>
  <c r="S398" i="1" s="1"/>
  <c r="S399" i="1" a="1"/>
  <c r="S399" i="1" s="1"/>
  <c r="S400" i="1" a="1"/>
  <c r="S400" i="1" s="1"/>
  <c r="S401" i="1" a="1"/>
  <c r="S401" i="1" s="1"/>
  <c r="S402" i="1" a="1"/>
  <c r="S402" i="1" s="1"/>
  <c r="S403" i="1" a="1"/>
  <c r="S403" i="1" s="1"/>
  <c r="S404" i="1" a="1"/>
  <c r="S404" i="1" s="1"/>
  <c r="S405" i="1" a="1"/>
  <c r="S405" i="1" s="1"/>
  <c r="S406" i="1" a="1"/>
  <c r="S406" i="1" s="1"/>
  <c r="S407" i="1" a="1"/>
  <c r="S407" i="1" s="1"/>
  <c r="S408" i="1" a="1"/>
  <c r="S408" i="1" s="1"/>
  <c r="S409" i="1" a="1"/>
  <c r="S409" i="1" s="1"/>
  <c r="S410" i="1" a="1"/>
  <c r="S410" i="1" s="1"/>
  <c r="S411" i="1" a="1"/>
  <c r="S411" i="1" s="1"/>
  <c r="S412" i="1" a="1"/>
  <c r="S412" i="1" s="1"/>
  <c r="S413" i="1" a="1"/>
  <c r="S413" i="1" s="1"/>
  <c r="S414" i="1" a="1"/>
  <c r="S414" i="1" s="1"/>
  <c r="S415" i="1" a="1"/>
  <c r="S415" i="1" s="1"/>
  <c r="S416" i="1" a="1"/>
  <c r="S416" i="1" s="1"/>
  <c r="S417" i="1" a="1"/>
  <c r="S417" i="1" s="1"/>
  <c r="S418" i="1" a="1"/>
  <c r="S418" i="1" s="1"/>
  <c r="S419" i="1" a="1"/>
  <c r="S419" i="1" s="1"/>
  <c r="S420" i="1" a="1"/>
  <c r="S420" i="1" s="1"/>
  <c r="S421" i="1" a="1"/>
  <c r="S421" i="1" s="1"/>
  <c r="S422" i="1" a="1"/>
  <c r="S422" i="1" s="1"/>
  <c r="S423" i="1" a="1"/>
  <c r="S423" i="1" s="1"/>
  <c r="S424" i="1" a="1"/>
  <c r="S424" i="1" s="1"/>
  <c r="S425" i="1" a="1"/>
  <c r="S425" i="1" s="1"/>
  <c r="S426" i="1" a="1"/>
  <c r="S426" i="1" s="1"/>
  <c r="S427" i="1" a="1"/>
  <c r="S427" i="1" s="1"/>
  <c r="S428" i="1" a="1"/>
  <c r="S428" i="1" s="1"/>
  <c r="S429" i="1" a="1"/>
  <c r="S429" i="1" s="1"/>
  <c r="S430" i="1" a="1"/>
  <c r="S430" i="1" s="1"/>
  <c r="S431" i="1" a="1"/>
  <c r="S431" i="1" s="1"/>
  <c r="S432" i="1" a="1"/>
  <c r="S432" i="1" s="1"/>
  <c r="S433" i="1" a="1"/>
  <c r="S433" i="1" s="1"/>
  <c r="S434" i="1" a="1"/>
  <c r="S434" i="1" s="1"/>
  <c r="S435" i="1" a="1"/>
  <c r="S435" i="1" s="1"/>
  <c r="S436" i="1" a="1"/>
  <c r="S436" i="1" s="1"/>
  <c r="S437" i="1" a="1"/>
  <c r="S437" i="1" s="1"/>
  <c r="S438" i="1" a="1"/>
  <c r="S438" i="1" s="1"/>
  <c r="S439" i="1" a="1"/>
  <c r="S439" i="1" s="1"/>
  <c r="S440" i="1" a="1"/>
  <c r="S440" i="1" s="1"/>
  <c r="S441" i="1" a="1"/>
  <c r="S441" i="1" s="1"/>
  <c r="S442" i="1" a="1"/>
  <c r="S442" i="1" s="1"/>
  <c r="S443" i="1" a="1"/>
  <c r="S443" i="1" s="1"/>
  <c r="S444" i="1" a="1"/>
  <c r="S444" i="1" s="1"/>
  <c r="S445" i="1" a="1"/>
  <c r="S445" i="1" s="1"/>
  <c r="S446" i="1" a="1"/>
  <c r="S446" i="1" s="1"/>
  <c r="S447" i="1" a="1"/>
  <c r="S447" i="1" s="1"/>
  <c r="S448" i="1" a="1"/>
  <c r="S448" i="1" s="1"/>
  <c r="S449" i="1" a="1"/>
  <c r="S449" i="1" s="1"/>
  <c r="S450" i="1" a="1"/>
  <c r="S450" i="1" s="1"/>
  <c r="S451" i="1" a="1"/>
  <c r="S451" i="1" s="1"/>
  <c r="S452" i="1" a="1"/>
  <c r="S452" i="1" s="1"/>
  <c r="S453" i="1" a="1"/>
  <c r="S453" i="1" s="1"/>
  <c r="S454" i="1" a="1"/>
  <c r="S454" i="1" s="1"/>
  <c r="S455" i="1" a="1"/>
  <c r="S455" i="1" s="1"/>
  <c r="S456" i="1" a="1"/>
  <c r="S456" i="1" s="1"/>
  <c r="S457" i="1" a="1"/>
  <c r="S457" i="1" s="1"/>
  <c r="S458" i="1" a="1"/>
  <c r="S458" i="1" s="1"/>
  <c r="S459" i="1" a="1"/>
  <c r="S459" i="1" s="1"/>
  <c r="S460" i="1" a="1"/>
  <c r="S460" i="1" s="1"/>
  <c r="S461" i="1" a="1"/>
  <c r="S461" i="1" s="1"/>
  <c r="S462" i="1" a="1"/>
  <c r="S462" i="1" s="1"/>
  <c r="S463" i="1" a="1"/>
  <c r="S463" i="1" s="1"/>
  <c r="S464" i="1" a="1"/>
  <c r="S464" i="1" s="1"/>
  <c r="S465" i="1" a="1"/>
  <c r="S465" i="1" s="1"/>
  <c r="S466" i="1" a="1"/>
  <c r="S466" i="1" s="1"/>
  <c r="S467" i="1" a="1"/>
  <c r="S467" i="1" s="1"/>
  <c r="S468" i="1" a="1"/>
  <c r="S468" i="1" s="1"/>
  <c r="S469" i="1" a="1"/>
  <c r="S469" i="1" s="1"/>
  <c r="S470" i="1" a="1"/>
  <c r="S470" i="1" s="1"/>
  <c r="S471" i="1" a="1"/>
  <c r="S471" i="1" s="1"/>
  <c r="S472" i="1" a="1"/>
  <c r="S472" i="1" s="1"/>
  <c r="S473" i="1" a="1"/>
  <c r="S473" i="1" s="1"/>
  <c r="S474" i="1" a="1"/>
  <c r="S474" i="1" s="1"/>
  <c r="S475" i="1" a="1"/>
  <c r="S475" i="1" s="1"/>
  <c r="S476" i="1" a="1"/>
  <c r="S476" i="1" s="1"/>
  <c r="S477" i="1" a="1"/>
  <c r="S477" i="1" s="1"/>
  <c r="S478" i="1" a="1"/>
  <c r="S478" i="1" s="1"/>
  <c r="S479" i="1" a="1"/>
  <c r="S479" i="1" s="1"/>
  <c r="S480" i="1" a="1"/>
  <c r="S480" i="1" s="1"/>
  <c r="S481" i="1" a="1"/>
  <c r="S481" i="1" s="1"/>
  <c r="S482" i="1" a="1"/>
  <c r="S482" i="1" s="1"/>
  <c r="S483" i="1" a="1"/>
  <c r="S483" i="1" s="1"/>
  <c r="S484" i="1" a="1"/>
  <c r="S484" i="1" s="1"/>
  <c r="S485" i="1" a="1"/>
  <c r="S485" i="1" s="1"/>
  <c r="S486" i="1" a="1"/>
  <c r="S486" i="1" s="1"/>
  <c r="S487" i="1" a="1"/>
  <c r="S487" i="1" s="1"/>
  <c r="S488" i="1" a="1"/>
  <c r="S488" i="1" s="1"/>
  <c r="S489" i="1" a="1"/>
  <c r="S489" i="1" s="1"/>
  <c r="S490" i="1" a="1"/>
  <c r="S490" i="1" s="1"/>
  <c r="S491" i="1" a="1"/>
  <c r="S491" i="1" s="1"/>
  <c r="S492" i="1" a="1"/>
  <c r="S492" i="1" s="1"/>
  <c r="S493" i="1" a="1"/>
  <c r="S493" i="1" s="1"/>
  <c r="S494" i="1" a="1"/>
  <c r="S494" i="1" s="1"/>
  <c r="S495" i="1" a="1"/>
  <c r="S495" i="1" s="1"/>
  <c r="S496" i="1" a="1"/>
  <c r="S496" i="1" s="1"/>
  <c r="S497" i="1" a="1"/>
  <c r="S497" i="1" s="1"/>
  <c r="S498" i="1" a="1"/>
  <c r="S498" i="1" s="1"/>
  <c r="S499" i="1" a="1"/>
  <c r="S499" i="1" s="1"/>
  <c r="S500" i="1" a="1"/>
  <c r="S500" i="1" s="1"/>
  <c r="S501" i="1" a="1"/>
  <c r="S501" i="1" s="1"/>
  <c r="S502" i="1" a="1"/>
  <c r="S502" i="1" s="1"/>
  <c r="S503" i="1" a="1"/>
  <c r="S503" i="1" s="1"/>
  <c r="S504" i="1" a="1"/>
  <c r="S504" i="1" s="1"/>
  <c r="S505" i="1" a="1"/>
  <c r="S505" i="1" s="1"/>
  <c r="S506" i="1" a="1"/>
  <c r="S506" i="1" s="1"/>
  <c r="S507" i="1" a="1"/>
  <c r="S507" i="1" s="1"/>
  <c r="S508" i="1" a="1"/>
  <c r="S508" i="1" s="1"/>
  <c r="S509" i="1" a="1"/>
  <c r="S509" i="1" s="1"/>
  <c r="S510" i="1" a="1"/>
  <c r="S510" i="1" s="1"/>
  <c r="S511" i="1" a="1"/>
  <c r="S511" i="1" s="1"/>
  <c r="S512" i="1" a="1"/>
  <c r="S512" i="1" s="1"/>
  <c r="S513" i="1" a="1"/>
  <c r="S513" i="1" s="1"/>
  <c r="S514" i="1" a="1"/>
  <c r="S514" i="1" s="1"/>
  <c r="S515" i="1" a="1"/>
  <c r="S515" i="1" s="1"/>
  <c r="S516" i="1" a="1"/>
  <c r="S516" i="1" s="1"/>
  <c r="S517" i="1" a="1"/>
  <c r="S517" i="1" s="1"/>
  <c r="S518" i="1" a="1"/>
  <c r="S518" i="1" s="1"/>
  <c r="S519" i="1" a="1"/>
  <c r="S519" i="1" s="1"/>
  <c r="S520" i="1" a="1"/>
  <c r="S520" i="1" s="1"/>
  <c r="S521" i="1" a="1"/>
  <c r="S521" i="1" s="1"/>
  <c r="S522" i="1" a="1"/>
  <c r="S522" i="1" s="1"/>
  <c r="S523" i="1" a="1"/>
  <c r="S523" i="1" s="1"/>
  <c r="S524" i="1" a="1"/>
  <c r="S524" i="1" s="1"/>
  <c r="S525" i="1" a="1"/>
  <c r="S525" i="1" s="1"/>
  <c r="S526" i="1" a="1"/>
  <c r="S526" i="1" s="1"/>
  <c r="S527" i="1" a="1"/>
  <c r="S527" i="1" s="1"/>
  <c r="S528" i="1" a="1"/>
  <c r="S528" i="1" s="1"/>
  <c r="S529" i="1" a="1"/>
  <c r="S529" i="1" s="1"/>
  <c r="S530" i="1" a="1"/>
  <c r="S530" i="1" s="1"/>
  <c r="S531" i="1" a="1"/>
  <c r="S531" i="1" s="1"/>
  <c r="S532" i="1" a="1"/>
  <c r="S532" i="1" s="1"/>
  <c r="S533" i="1" a="1"/>
  <c r="S533" i="1" s="1"/>
  <c r="S534" i="1" a="1"/>
  <c r="S534" i="1" s="1"/>
  <c r="S535" i="1" a="1"/>
  <c r="S535" i="1" s="1"/>
  <c r="S536" i="1" a="1"/>
  <c r="S536" i="1" s="1"/>
  <c r="S537" i="1" a="1"/>
  <c r="S537" i="1" s="1"/>
  <c r="S538" i="1" a="1"/>
  <c r="S538" i="1" s="1"/>
  <c r="S539" i="1" a="1"/>
  <c r="S539" i="1" s="1"/>
  <c r="S540" i="1" a="1"/>
  <c r="S540" i="1" s="1"/>
  <c r="S541" i="1" a="1"/>
  <c r="S541" i="1" s="1"/>
  <c r="S542" i="1" a="1"/>
  <c r="S542" i="1" s="1"/>
  <c r="S543" i="1" a="1"/>
  <c r="S543" i="1" s="1"/>
  <c r="S544" i="1" a="1"/>
  <c r="S544" i="1" s="1"/>
  <c r="S545" i="1" a="1"/>
  <c r="S545" i="1" s="1"/>
  <c r="S546" i="1" a="1"/>
  <c r="S546" i="1" s="1"/>
  <c r="S547" i="1" a="1"/>
  <c r="S547" i="1" s="1"/>
  <c r="S548" i="1" a="1"/>
  <c r="S548" i="1" s="1"/>
  <c r="S549" i="1" a="1"/>
  <c r="S549" i="1" s="1"/>
  <c r="S550" i="1" a="1"/>
  <c r="S550" i="1" s="1"/>
  <c r="S551" i="1" a="1"/>
  <c r="S551" i="1" s="1"/>
  <c r="S552" i="1" a="1"/>
  <c r="S552" i="1" s="1"/>
  <c r="S553" i="1" a="1"/>
  <c r="S553" i="1" s="1"/>
  <c r="S554" i="1" a="1"/>
  <c r="S554" i="1" s="1"/>
  <c r="S555" i="1" a="1"/>
  <c r="S555" i="1" s="1"/>
  <c r="S556" i="1" a="1"/>
  <c r="S556" i="1" s="1"/>
  <c r="S557" i="1" a="1"/>
  <c r="S557" i="1" s="1"/>
  <c r="S558" i="1" a="1"/>
  <c r="S558" i="1" s="1"/>
  <c r="S559" i="1" a="1"/>
  <c r="S559" i="1" s="1"/>
  <c r="S560" i="1" a="1"/>
  <c r="S560" i="1" s="1"/>
  <c r="S561" i="1" a="1"/>
  <c r="S561" i="1" s="1"/>
  <c r="S562" i="1" a="1"/>
  <c r="S562" i="1" s="1"/>
  <c r="S563" i="1" a="1"/>
  <c r="S563" i="1" s="1"/>
  <c r="S564" i="1" a="1"/>
  <c r="S564" i="1" s="1"/>
  <c r="S565" i="1" a="1"/>
  <c r="S565" i="1" s="1"/>
  <c r="S566" i="1" a="1"/>
  <c r="S566" i="1" s="1"/>
  <c r="S567" i="1" a="1"/>
  <c r="S567" i="1" s="1"/>
  <c r="S568" i="1" a="1"/>
  <c r="S568" i="1" s="1"/>
  <c r="S569" i="1" a="1"/>
  <c r="S569" i="1" s="1"/>
  <c r="S570" i="1" a="1"/>
  <c r="S570" i="1" s="1"/>
  <c r="S571" i="1" a="1"/>
  <c r="S571" i="1" s="1"/>
  <c r="S572" i="1" a="1"/>
  <c r="S572" i="1" s="1"/>
  <c r="S573" i="1" a="1"/>
  <c r="S573" i="1" s="1"/>
  <c r="S574" i="1" a="1"/>
  <c r="S574" i="1" s="1"/>
  <c r="S575" i="1" a="1"/>
  <c r="S575" i="1" s="1"/>
  <c r="S576" i="1" a="1"/>
  <c r="S576" i="1" s="1"/>
  <c r="S577" i="1" a="1"/>
  <c r="S577" i="1" s="1"/>
  <c r="S578" i="1" a="1"/>
  <c r="S578" i="1" s="1"/>
  <c r="S579" i="1" a="1"/>
  <c r="S579" i="1" s="1"/>
  <c r="S580" i="1" a="1"/>
  <c r="S580" i="1" s="1"/>
  <c r="S581" i="1" a="1"/>
  <c r="S581" i="1" s="1"/>
  <c r="S582" i="1" a="1"/>
  <c r="S582" i="1" s="1"/>
  <c r="S583" i="1" a="1"/>
  <c r="S583" i="1" s="1"/>
  <c r="S584" i="1" a="1"/>
  <c r="S584" i="1" s="1"/>
  <c r="S585" i="1" a="1"/>
  <c r="S585" i="1" s="1"/>
  <c r="S586" i="1" a="1"/>
  <c r="S586" i="1" s="1"/>
  <c r="S587" i="1" a="1"/>
  <c r="S587" i="1" s="1"/>
  <c r="S588" i="1" a="1"/>
  <c r="S588" i="1" s="1"/>
  <c r="S589" i="1" a="1"/>
  <c r="S589" i="1" s="1"/>
  <c r="S590" i="1" a="1"/>
  <c r="S590" i="1" s="1"/>
  <c r="S591" i="1" a="1"/>
  <c r="S591" i="1" s="1"/>
  <c r="S592" i="1" a="1"/>
  <c r="S592" i="1" s="1"/>
  <c r="S593" i="1" a="1"/>
  <c r="S593" i="1" s="1"/>
  <c r="S594" i="1" a="1"/>
  <c r="S594" i="1" s="1"/>
  <c r="S595" i="1" a="1"/>
  <c r="S595" i="1" s="1"/>
  <c r="S596" i="1" a="1"/>
  <c r="S596" i="1" s="1"/>
  <c r="S597" i="1" a="1"/>
  <c r="S597" i="1" s="1"/>
  <c r="S598" i="1" a="1"/>
  <c r="S598" i="1" s="1"/>
  <c r="S599" i="1" a="1"/>
  <c r="S599" i="1" s="1"/>
  <c r="S600" i="1" a="1"/>
  <c r="S600" i="1" s="1"/>
  <c r="S601" i="1" a="1"/>
  <c r="S601" i="1" s="1"/>
  <c r="S602" i="1" a="1"/>
  <c r="S602" i="1" s="1"/>
  <c r="S603" i="1" a="1"/>
  <c r="S603" i="1" s="1"/>
  <c r="S604" i="1" a="1"/>
  <c r="S604" i="1" s="1"/>
  <c r="S605" i="1" a="1"/>
  <c r="S605" i="1" s="1"/>
  <c r="S606" i="1" a="1"/>
  <c r="S606" i="1" s="1"/>
  <c r="S607" i="1" a="1"/>
  <c r="S607" i="1" s="1"/>
  <c r="S608" i="1" a="1"/>
  <c r="S608" i="1" s="1"/>
  <c r="S609" i="1" a="1"/>
  <c r="S609" i="1" s="1"/>
  <c r="S610" i="1" a="1"/>
  <c r="S610" i="1" s="1"/>
  <c r="S611" i="1" a="1"/>
  <c r="S611" i="1" s="1"/>
  <c r="S612" i="1" a="1"/>
  <c r="S612" i="1" s="1"/>
  <c r="S613" i="1" a="1"/>
  <c r="S613" i="1" s="1"/>
  <c r="S614" i="1" a="1"/>
  <c r="S614" i="1" s="1"/>
  <c r="S615" i="1" a="1"/>
  <c r="S615" i="1" s="1"/>
  <c r="S616" i="1" a="1"/>
  <c r="S616" i="1" s="1"/>
  <c r="S617" i="1" a="1"/>
  <c r="S617" i="1" s="1"/>
  <c r="S618" i="1" a="1"/>
  <c r="S618" i="1" s="1"/>
  <c r="S619" i="1" a="1"/>
  <c r="S619" i="1" s="1"/>
  <c r="S620" i="1" a="1"/>
  <c r="S620" i="1" s="1"/>
  <c r="S621" i="1" a="1"/>
  <c r="S621" i="1" s="1"/>
  <c r="S622" i="1" a="1"/>
  <c r="S622" i="1" s="1"/>
  <c r="S623" i="1" a="1"/>
  <c r="S623" i="1" s="1"/>
  <c r="S624" i="1" a="1"/>
  <c r="S624" i="1" s="1"/>
  <c r="S625" i="1" a="1"/>
  <c r="S625" i="1" s="1"/>
  <c r="S626" i="1" a="1"/>
  <c r="S626" i="1" s="1"/>
  <c r="S627" i="1" a="1"/>
  <c r="S627" i="1" s="1"/>
  <c r="S628" i="1" a="1"/>
  <c r="S628" i="1" s="1"/>
  <c r="S629" i="1" a="1"/>
  <c r="S629" i="1" s="1"/>
  <c r="S630" i="1" a="1"/>
  <c r="S630" i="1" s="1"/>
  <c r="S631" i="1" a="1"/>
  <c r="S631" i="1" s="1"/>
  <c r="S632" i="1" a="1"/>
  <c r="S632" i="1" s="1"/>
  <c r="S633" i="1" a="1"/>
  <c r="S633" i="1" s="1"/>
  <c r="S634" i="1" a="1"/>
  <c r="S634" i="1" s="1"/>
  <c r="S635" i="1" a="1"/>
  <c r="S635" i="1" s="1"/>
  <c r="S636" i="1" a="1"/>
  <c r="S636" i="1" s="1"/>
  <c r="S637" i="1" a="1"/>
  <c r="S637" i="1" s="1"/>
  <c r="S638" i="1" a="1"/>
  <c r="S638" i="1" s="1"/>
  <c r="S639" i="1" a="1"/>
  <c r="S639" i="1" s="1"/>
  <c r="S640" i="1" a="1"/>
  <c r="S640" i="1" s="1"/>
  <c r="S641" i="1" a="1"/>
  <c r="S641" i="1" s="1"/>
  <c r="S642" i="1" a="1"/>
  <c r="S642" i="1" s="1"/>
  <c r="S643" i="1" a="1"/>
  <c r="S643" i="1" s="1"/>
  <c r="S644" i="1" a="1"/>
  <c r="S644" i="1" s="1"/>
  <c r="S645" i="1" a="1"/>
  <c r="S645" i="1" s="1"/>
  <c r="S646" i="1" a="1"/>
  <c r="S646" i="1" s="1"/>
  <c r="S647" i="1" a="1"/>
  <c r="S647" i="1" s="1"/>
  <c r="S648" i="1" a="1"/>
  <c r="S648" i="1" s="1"/>
  <c r="S649" i="1" a="1"/>
  <c r="S649" i="1" s="1"/>
  <c r="S650" i="1" a="1"/>
  <c r="S650" i="1" s="1"/>
  <c r="S651" i="1" a="1"/>
  <c r="S651" i="1" s="1"/>
  <c r="S652" i="1" a="1"/>
  <c r="S652" i="1" s="1"/>
  <c r="S653" i="1" a="1"/>
  <c r="S653" i="1" s="1"/>
  <c r="S654" i="1" a="1"/>
  <c r="S654" i="1" s="1"/>
  <c r="S655" i="1" a="1"/>
  <c r="S655" i="1" s="1"/>
  <c r="S656" i="1" a="1"/>
  <c r="S656" i="1" s="1"/>
  <c r="S657" i="1" a="1"/>
  <c r="S657" i="1" s="1"/>
  <c r="S658" i="1" a="1"/>
  <c r="S658" i="1" s="1"/>
  <c r="S659" i="1" a="1"/>
  <c r="S659" i="1" s="1"/>
  <c r="S660" i="1" a="1"/>
  <c r="S660" i="1" s="1"/>
  <c r="S661" i="1" a="1"/>
  <c r="S661" i="1" s="1"/>
  <c r="S662" i="1" a="1"/>
  <c r="S662" i="1" s="1"/>
  <c r="S663" i="1" a="1"/>
  <c r="S663" i="1" s="1"/>
  <c r="S664" i="1" a="1"/>
  <c r="S664" i="1" s="1"/>
  <c r="S665" i="1" a="1"/>
  <c r="S665" i="1" s="1"/>
  <c r="S666" i="1" a="1"/>
  <c r="S666" i="1" s="1"/>
  <c r="S667" i="1" a="1"/>
  <c r="S667" i="1" s="1"/>
  <c r="S668" i="1" a="1"/>
  <c r="S668" i="1" s="1"/>
  <c r="S669" i="1" a="1"/>
  <c r="S669" i="1" s="1"/>
  <c r="S670" i="1" a="1"/>
  <c r="S670" i="1" s="1"/>
  <c r="S671" i="1" a="1"/>
  <c r="S671" i="1" s="1"/>
  <c r="S672" i="1" a="1"/>
  <c r="S672" i="1" s="1"/>
  <c r="S673" i="1" a="1"/>
  <c r="S673" i="1" s="1"/>
  <c r="S674" i="1" a="1"/>
  <c r="S674" i="1" s="1"/>
  <c r="S675" i="1" a="1"/>
  <c r="S675" i="1" s="1"/>
  <c r="S676" i="1" a="1"/>
  <c r="S676" i="1" s="1"/>
  <c r="S677" i="1" a="1"/>
  <c r="S677" i="1" s="1"/>
  <c r="S678" i="1" a="1"/>
  <c r="S678" i="1" s="1"/>
  <c r="S679" i="1" a="1"/>
  <c r="S679" i="1" s="1"/>
  <c r="S680" i="1" a="1"/>
  <c r="S680" i="1" s="1"/>
  <c r="S681" i="1" a="1"/>
  <c r="S681" i="1" s="1"/>
  <c r="S682" i="1" a="1"/>
  <c r="S682" i="1" s="1"/>
  <c r="S683" i="1" a="1"/>
  <c r="S683" i="1" s="1"/>
  <c r="S684" i="1" a="1"/>
  <c r="S684" i="1" s="1"/>
  <c r="S685" i="1" a="1"/>
  <c r="S685" i="1" s="1"/>
  <c r="S686" i="1" a="1"/>
  <c r="S686" i="1" s="1"/>
  <c r="S687" i="1" a="1"/>
  <c r="S687" i="1" s="1"/>
  <c r="S688" i="1" a="1"/>
  <c r="S688" i="1" s="1"/>
  <c r="S689" i="1" a="1"/>
  <c r="S689" i="1" s="1"/>
  <c r="S690" i="1" a="1"/>
  <c r="S690" i="1" s="1"/>
  <c r="S691" i="1" a="1"/>
  <c r="S691" i="1" s="1"/>
  <c r="S692" i="1" a="1"/>
  <c r="S692" i="1" s="1"/>
  <c r="S693" i="1" a="1"/>
  <c r="S693" i="1" s="1"/>
  <c r="S694" i="1" a="1"/>
  <c r="S694" i="1" s="1"/>
  <c r="S695" i="1" a="1"/>
  <c r="S695" i="1" s="1"/>
  <c r="S696" i="1" a="1"/>
  <c r="S696" i="1" s="1"/>
  <c r="S697" i="1" a="1"/>
  <c r="S697" i="1" s="1"/>
  <c r="S698" i="1" a="1"/>
  <c r="S698" i="1" s="1"/>
  <c r="S699" i="1" a="1"/>
  <c r="S699" i="1" s="1"/>
  <c r="S700" i="1" a="1"/>
  <c r="S700" i="1" s="1"/>
  <c r="S701" i="1" a="1"/>
  <c r="S701" i="1" s="1"/>
  <c r="S702" i="1" a="1"/>
  <c r="S702" i="1" s="1"/>
  <c r="S703" i="1" a="1"/>
  <c r="S703" i="1" s="1"/>
  <c r="S704" i="1" a="1"/>
  <c r="S704" i="1" s="1"/>
  <c r="S705" i="1" a="1"/>
  <c r="S705" i="1" s="1"/>
  <c r="S706" i="1" a="1"/>
  <c r="S706" i="1" s="1"/>
  <c r="S707" i="1" a="1"/>
  <c r="S707" i="1" s="1"/>
  <c r="S708" i="1" a="1"/>
  <c r="S708" i="1" s="1"/>
  <c r="S709" i="1" a="1"/>
  <c r="S709" i="1" s="1"/>
  <c r="S710" i="1" a="1"/>
  <c r="S710" i="1" s="1"/>
  <c r="S711" i="1" a="1"/>
  <c r="S711" i="1" s="1"/>
  <c r="S712" i="1" a="1"/>
  <c r="S712" i="1" s="1"/>
  <c r="S713" i="1" a="1"/>
  <c r="S713" i="1" s="1"/>
  <c r="S714" i="1" a="1"/>
  <c r="S714" i="1" s="1"/>
  <c r="S715" i="1" a="1"/>
  <c r="S715" i="1" s="1"/>
  <c r="S716" i="1" a="1"/>
  <c r="S716" i="1" s="1"/>
  <c r="S717" i="1" a="1"/>
  <c r="S717" i="1" s="1"/>
  <c r="S718" i="1" a="1"/>
  <c r="S718" i="1" s="1"/>
  <c r="S719" i="1" a="1"/>
  <c r="S719" i="1" s="1"/>
  <c r="S720" i="1" a="1"/>
  <c r="S720" i="1" s="1"/>
  <c r="S721" i="1" a="1"/>
  <c r="S721" i="1" s="1"/>
  <c r="S722" i="1" a="1"/>
  <c r="S722" i="1" s="1"/>
  <c r="S723" i="1" a="1"/>
  <c r="S723" i="1" s="1"/>
  <c r="S724" i="1" a="1"/>
  <c r="S724" i="1" s="1"/>
  <c r="S725" i="1" a="1"/>
  <c r="S725" i="1" s="1"/>
  <c r="S726" i="1" a="1"/>
  <c r="S726" i="1" s="1"/>
  <c r="S727" i="1" a="1"/>
  <c r="S727" i="1" s="1"/>
  <c r="S728" i="1" a="1"/>
  <c r="S728" i="1" s="1"/>
  <c r="S729" i="1" a="1"/>
  <c r="S729" i="1" s="1"/>
  <c r="S730" i="1" a="1"/>
  <c r="S730" i="1" s="1"/>
  <c r="S731" i="1" a="1"/>
  <c r="S731" i="1" s="1"/>
  <c r="S732" i="1" a="1"/>
  <c r="S732" i="1" s="1"/>
  <c r="S733" i="1" a="1"/>
  <c r="S733" i="1" s="1"/>
  <c r="S734" i="1" a="1"/>
  <c r="S734" i="1" s="1"/>
  <c r="S735" i="1" a="1"/>
  <c r="S735" i="1" s="1"/>
  <c r="S736" i="1" a="1"/>
  <c r="S736" i="1" s="1"/>
  <c r="S737" i="1" a="1"/>
  <c r="S737" i="1" s="1"/>
  <c r="S738" i="1" a="1"/>
  <c r="S738" i="1" s="1"/>
  <c r="S739" i="1" a="1"/>
  <c r="S739" i="1" s="1"/>
  <c r="S740" i="1" a="1"/>
  <c r="S740" i="1" s="1"/>
  <c r="S741" i="1" a="1"/>
  <c r="S741" i="1" s="1"/>
  <c r="S742" i="1" a="1"/>
  <c r="S742" i="1" s="1"/>
  <c r="S743" i="1" a="1"/>
  <c r="S743" i="1" s="1"/>
  <c r="S744" i="1" a="1"/>
  <c r="S744" i="1" s="1"/>
  <c r="S745" i="1" a="1"/>
  <c r="S745" i="1" s="1"/>
  <c r="S746" i="1" a="1"/>
  <c r="S746" i="1" s="1"/>
  <c r="S747" i="1" a="1"/>
  <c r="S747" i="1" s="1"/>
  <c r="S748" i="1" a="1"/>
  <c r="S748" i="1" s="1"/>
  <c r="S749" i="1" a="1"/>
  <c r="S749" i="1" s="1"/>
  <c r="S750" i="1" a="1"/>
  <c r="S750" i="1" s="1"/>
  <c r="S751" i="1" a="1"/>
  <c r="S751" i="1" s="1"/>
  <c r="S752" i="1" a="1"/>
  <c r="S752" i="1" s="1"/>
  <c r="S753" i="1" a="1"/>
  <c r="S753" i="1" s="1"/>
  <c r="S754" i="1" a="1"/>
  <c r="S754" i="1" s="1"/>
  <c r="S755" i="1" a="1"/>
  <c r="S755" i="1" s="1"/>
  <c r="S756" i="1" a="1"/>
  <c r="S756" i="1" s="1"/>
  <c r="S757" i="1" a="1"/>
  <c r="S757" i="1" s="1"/>
  <c r="S758" i="1" a="1"/>
  <c r="S758" i="1" s="1"/>
  <c r="S759" i="1" a="1"/>
  <c r="S759" i="1" s="1"/>
  <c r="S760" i="1" a="1"/>
  <c r="S760" i="1" s="1"/>
  <c r="S761" i="1" a="1"/>
  <c r="S761" i="1" s="1"/>
  <c r="S762" i="1" a="1"/>
  <c r="S762" i="1" s="1"/>
  <c r="S763" i="1" a="1"/>
  <c r="S763" i="1" s="1"/>
  <c r="S764" i="1" a="1"/>
  <c r="S764" i="1" s="1"/>
  <c r="S765" i="1" a="1"/>
  <c r="S765" i="1" s="1"/>
  <c r="S766" i="1" a="1"/>
  <c r="S766" i="1" s="1"/>
  <c r="S767" i="1" a="1"/>
  <c r="S767" i="1" s="1"/>
  <c r="S768" i="1" a="1"/>
  <c r="S768" i="1" s="1"/>
  <c r="S769" i="1" a="1"/>
  <c r="S769" i="1" s="1"/>
  <c r="S770" i="1" a="1"/>
  <c r="S770" i="1" s="1"/>
  <c r="S771" i="1" a="1"/>
  <c r="S771" i="1" s="1"/>
  <c r="S772" i="1" a="1"/>
  <c r="S772" i="1" s="1"/>
  <c r="S773" i="1" a="1"/>
  <c r="S773" i="1" s="1"/>
  <c r="S774" i="1" a="1"/>
  <c r="S774" i="1" s="1"/>
  <c r="S775" i="1" a="1"/>
  <c r="S775" i="1" s="1"/>
  <c r="S776" i="1" a="1"/>
  <c r="S776" i="1" s="1"/>
  <c r="S777" i="1" a="1"/>
  <c r="S777" i="1" s="1"/>
  <c r="S778" i="1" a="1"/>
  <c r="S778" i="1" s="1"/>
  <c r="S779" i="1" a="1"/>
  <c r="S779" i="1" s="1"/>
  <c r="S780" i="1" a="1"/>
  <c r="S780" i="1" s="1"/>
  <c r="S781" i="1" a="1"/>
  <c r="S781" i="1" s="1"/>
  <c r="S782" i="1" a="1"/>
  <c r="S782" i="1" s="1"/>
  <c r="S783" i="1" a="1"/>
  <c r="S783" i="1" s="1"/>
  <c r="S784" i="1" a="1"/>
  <c r="S784" i="1" s="1"/>
  <c r="S785" i="1" a="1"/>
  <c r="S785" i="1" s="1"/>
  <c r="S786" i="1" a="1"/>
  <c r="S786" i="1" s="1"/>
  <c r="S787" i="1" a="1"/>
  <c r="S787" i="1" s="1"/>
  <c r="S788" i="1" a="1"/>
  <c r="S788" i="1" s="1"/>
  <c r="S789" i="1" a="1"/>
  <c r="S789" i="1" s="1"/>
  <c r="S790" i="1" a="1"/>
  <c r="S790" i="1" s="1"/>
  <c r="S791" i="1" a="1"/>
  <c r="S791" i="1" s="1"/>
  <c r="S792" i="1" a="1"/>
  <c r="S792" i="1" s="1"/>
  <c r="S793" i="1" a="1"/>
  <c r="S793" i="1" s="1"/>
  <c r="S794" i="1" a="1"/>
  <c r="S794" i="1" s="1"/>
  <c r="S795" i="1" a="1"/>
  <c r="S795" i="1" s="1"/>
  <c r="S796" i="1" a="1"/>
  <c r="S796" i="1" s="1"/>
  <c r="S797" i="1" a="1"/>
  <c r="S797" i="1" s="1"/>
  <c r="S798" i="1" a="1"/>
  <c r="S798" i="1" s="1"/>
  <c r="S799" i="1" a="1"/>
  <c r="S799" i="1" s="1"/>
  <c r="S800" i="1" a="1"/>
  <c r="S800" i="1" s="1"/>
  <c r="S801" i="1" a="1"/>
  <c r="S801" i="1" s="1"/>
  <c r="S802" i="1" a="1"/>
  <c r="S802" i="1" s="1"/>
  <c r="S803" i="1" a="1"/>
  <c r="S803" i="1" s="1"/>
  <c r="S804" i="1" a="1"/>
  <c r="S804" i="1" s="1"/>
  <c r="S805" i="1" a="1"/>
  <c r="S805" i="1" s="1"/>
  <c r="S806" i="1" a="1"/>
  <c r="S806" i="1" s="1"/>
  <c r="S807" i="1" a="1"/>
  <c r="S807" i="1" s="1"/>
  <c r="S808" i="1" a="1"/>
  <c r="S808" i="1" s="1"/>
  <c r="S809" i="1" a="1"/>
  <c r="S809" i="1" s="1"/>
  <c r="S810" i="1" a="1"/>
  <c r="S810" i="1" s="1"/>
  <c r="S811" i="1" a="1"/>
  <c r="S811" i="1" s="1"/>
  <c r="S812" i="1" a="1"/>
  <c r="S812" i="1" s="1"/>
  <c r="S813" i="1" a="1"/>
  <c r="S813" i="1" s="1"/>
  <c r="S814" i="1" a="1"/>
  <c r="S814" i="1" s="1"/>
  <c r="S815" i="1" a="1"/>
  <c r="S815" i="1" s="1"/>
  <c r="S816" i="1" a="1"/>
  <c r="S816" i="1" s="1"/>
  <c r="S817" i="1" a="1"/>
  <c r="S817" i="1" s="1"/>
  <c r="S818" i="1" a="1"/>
  <c r="S818" i="1" s="1"/>
  <c r="S819" i="1" a="1"/>
  <c r="S819" i="1" s="1"/>
  <c r="S820" i="1" a="1"/>
  <c r="S820" i="1" s="1"/>
  <c r="S821" i="1" a="1"/>
  <c r="S821" i="1" s="1"/>
  <c r="S822" i="1" a="1"/>
  <c r="S822" i="1" s="1"/>
  <c r="S823" i="1" a="1"/>
  <c r="S823" i="1" s="1"/>
  <c r="S824" i="1" a="1"/>
  <c r="S824" i="1" s="1"/>
  <c r="S825" i="1" a="1"/>
  <c r="S825" i="1" s="1"/>
  <c r="S826" i="1" a="1"/>
  <c r="S826" i="1" s="1"/>
  <c r="S827" i="1" a="1"/>
  <c r="S827" i="1" s="1"/>
  <c r="S828" i="1" a="1"/>
  <c r="S828" i="1" s="1"/>
  <c r="S829" i="1" a="1"/>
  <c r="S829" i="1" s="1"/>
  <c r="S830" i="1" a="1"/>
  <c r="S830" i="1" s="1"/>
  <c r="S831" i="1" a="1"/>
  <c r="S831" i="1" s="1"/>
  <c r="S832" i="1" a="1"/>
  <c r="S832" i="1" s="1"/>
  <c r="S833" i="1" a="1"/>
  <c r="S833" i="1" s="1"/>
  <c r="S834" i="1" a="1"/>
  <c r="S834" i="1" s="1"/>
  <c r="S835" i="1" a="1"/>
  <c r="S835" i="1" s="1"/>
  <c r="S836" i="1" a="1"/>
  <c r="S836" i="1" s="1"/>
  <c r="S837" i="1" a="1"/>
  <c r="S837" i="1" s="1"/>
  <c r="S838" i="1" a="1"/>
  <c r="S838" i="1" s="1"/>
  <c r="S839" i="1" a="1"/>
  <c r="S839" i="1" s="1"/>
  <c r="S840" i="1" a="1"/>
  <c r="S840" i="1" s="1"/>
  <c r="S841" i="1" a="1"/>
  <c r="S841" i="1" s="1"/>
  <c r="S842" i="1" a="1"/>
  <c r="S842" i="1" s="1"/>
  <c r="S843" i="1" a="1"/>
  <c r="S843" i="1" s="1"/>
  <c r="S844" i="1" a="1"/>
  <c r="S844" i="1" s="1"/>
  <c r="S845" i="1" a="1"/>
  <c r="S845" i="1" s="1"/>
  <c r="S846" i="1" a="1"/>
  <c r="S846" i="1" s="1"/>
  <c r="S847" i="1" a="1"/>
  <c r="S847" i="1" s="1"/>
  <c r="S848" i="1" a="1"/>
  <c r="S848" i="1" s="1"/>
  <c r="S849" i="1" a="1"/>
  <c r="S849" i="1" s="1"/>
  <c r="S850" i="1" a="1"/>
  <c r="S850" i="1" s="1"/>
  <c r="S851" i="1" a="1"/>
  <c r="S851" i="1" s="1"/>
  <c r="S852" i="1" a="1"/>
  <c r="S852" i="1" s="1"/>
  <c r="S853" i="1" a="1"/>
  <c r="S853" i="1" s="1"/>
  <c r="S854" i="1" a="1"/>
  <c r="S854" i="1" s="1"/>
  <c r="S855" i="1" a="1"/>
  <c r="S855" i="1" s="1"/>
  <c r="S856" i="1" a="1"/>
  <c r="S856" i="1" s="1"/>
  <c r="S857" i="1" a="1"/>
  <c r="S857" i="1" s="1"/>
  <c r="S858" i="1" a="1"/>
  <c r="S858" i="1" s="1"/>
  <c r="S859" i="1" a="1"/>
  <c r="S859" i="1" s="1"/>
  <c r="S860" i="1" a="1"/>
  <c r="S860" i="1" s="1"/>
  <c r="S861" i="1" a="1"/>
  <c r="S861" i="1" s="1"/>
  <c r="S862" i="1" a="1"/>
  <c r="S862" i="1" s="1"/>
  <c r="S863" i="1" a="1"/>
  <c r="S863" i="1" s="1"/>
  <c r="S864" i="1" a="1"/>
  <c r="S864" i="1" s="1"/>
  <c r="S865" i="1" a="1"/>
  <c r="S865" i="1" s="1"/>
  <c r="S866" i="1" a="1"/>
  <c r="S866" i="1" s="1"/>
  <c r="S867" i="1" a="1"/>
  <c r="S867" i="1" s="1"/>
  <c r="S868" i="1" a="1"/>
  <c r="S868" i="1" s="1"/>
  <c r="S869" i="1" a="1"/>
  <c r="S869" i="1" s="1"/>
  <c r="S870" i="1" a="1"/>
  <c r="S870" i="1" s="1"/>
  <c r="S871" i="1" a="1"/>
  <c r="S871" i="1" s="1"/>
  <c r="S872" i="1" a="1"/>
  <c r="S872" i="1" s="1"/>
  <c r="S873" i="1" a="1"/>
  <c r="S873" i="1" s="1"/>
  <c r="S874" i="1" a="1"/>
  <c r="S874" i="1" s="1"/>
  <c r="S875" i="1" a="1"/>
  <c r="S875" i="1" s="1"/>
  <c r="S876" i="1" a="1"/>
  <c r="S876" i="1" s="1"/>
  <c r="S877" i="1" a="1"/>
  <c r="S877" i="1" s="1"/>
  <c r="S878" i="1" a="1"/>
  <c r="S878" i="1" s="1"/>
  <c r="S879" i="1" a="1"/>
  <c r="S879" i="1" s="1"/>
  <c r="S880" i="1" a="1"/>
  <c r="S880" i="1" s="1"/>
  <c r="S881" i="1" a="1"/>
  <c r="S881" i="1" s="1"/>
  <c r="S882" i="1" a="1"/>
  <c r="S882" i="1" s="1"/>
  <c r="S883" i="1" a="1"/>
  <c r="S883" i="1" s="1"/>
  <c r="S884" i="1" a="1"/>
  <c r="S884" i="1" s="1"/>
  <c r="S885" i="1" a="1"/>
  <c r="S885" i="1" s="1"/>
  <c r="S886" i="1" a="1"/>
  <c r="S886" i="1" s="1"/>
  <c r="S887" i="1" a="1"/>
  <c r="S887" i="1" s="1"/>
  <c r="S888" i="1" a="1"/>
  <c r="S888" i="1" s="1"/>
  <c r="S889" i="1" a="1"/>
  <c r="S889" i="1" s="1"/>
  <c r="S890" i="1" a="1"/>
  <c r="S890" i="1" s="1"/>
  <c r="S891" i="1" a="1"/>
  <c r="S891" i="1" s="1"/>
  <c r="S892" i="1" a="1"/>
  <c r="S892" i="1" s="1"/>
  <c r="S893" i="1" a="1"/>
  <c r="S893" i="1" s="1"/>
  <c r="S894" i="1" a="1"/>
  <c r="S894" i="1" s="1"/>
  <c r="S895" i="1" a="1"/>
  <c r="S895" i="1" s="1"/>
  <c r="S896" i="1" a="1"/>
  <c r="S896" i="1" s="1"/>
  <c r="S897" i="1" a="1"/>
  <c r="S897" i="1" s="1"/>
  <c r="S898" i="1" a="1"/>
  <c r="S898" i="1" s="1"/>
  <c r="S899" i="1" a="1"/>
  <c r="S899" i="1" s="1"/>
  <c r="S900" i="1" a="1"/>
  <c r="S900" i="1" s="1"/>
  <c r="S901" i="1" a="1"/>
  <c r="S901" i="1" s="1"/>
  <c r="S902" i="1" a="1"/>
  <c r="S902" i="1" s="1"/>
  <c r="S903" i="1" a="1"/>
  <c r="S903" i="1" s="1"/>
  <c r="S904" i="1" a="1"/>
  <c r="S904" i="1" s="1"/>
  <c r="S905" i="1" a="1"/>
  <c r="S905" i="1" s="1"/>
  <c r="S906" i="1" a="1"/>
  <c r="S906" i="1" s="1"/>
  <c r="S907" i="1" a="1"/>
  <c r="S907" i="1" s="1"/>
  <c r="S908" i="1" a="1"/>
  <c r="S908" i="1" s="1"/>
  <c r="S909" i="1" a="1"/>
  <c r="S909" i="1" s="1"/>
  <c r="S910" i="1" a="1"/>
  <c r="S910" i="1" s="1"/>
  <c r="S911" i="1" a="1"/>
  <c r="S911" i="1" s="1"/>
  <c r="S912" i="1" a="1"/>
  <c r="S912" i="1" s="1"/>
  <c r="S913" i="1" a="1"/>
  <c r="S913" i="1" s="1"/>
  <c r="S914" i="1" a="1"/>
  <c r="S914" i="1" s="1"/>
  <c r="S915" i="1" a="1"/>
  <c r="S915" i="1" s="1"/>
  <c r="S916" i="1" a="1"/>
  <c r="S916" i="1" s="1"/>
  <c r="S917" i="1" a="1"/>
  <c r="S917" i="1" s="1"/>
  <c r="S918" i="1" a="1"/>
  <c r="S918" i="1" s="1"/>
  <c r="S919" i="1" a="1"/>
  <c r="S919" i="1" s="1"/>
  <c r="S920" i="1" a="1"/>
  <c r="S920" i="1" s="1"/>
  <c r="S921" i="1" a="1"/>
  <c r="S921" i="1" s="1"/>
  <c r="S922" i="1" a="1"/>
  <c r="S922" i="1" s="1"/>
  <c r="S923" i="1" a="1"/>
  <c r="S923" i="1" s="1"/>
  <c r="S924" i="1" a="1"/>
  <c r="S924" i="1" s="1"/>
  <c r="S925" i="1" a="1"/>
  <c r="S925" i="1" s="1"/>
  <c r="S926" i="1" a="1"/>
  <c r="S926" i="1" s="1"/>
  <c r="S927" i="1" a="1"/>
  <c r="S927" i="1" s="1"/>
  <c r="S928" i="1" a="1"/>
  <c r="S928" i="1" s="1"/>
  <c r="S929" i="1" a="1"/>
  <c r="S929" i="1" s="1"/>
  <c r="S930" i="1" a="1"/>
  <c r="S930" i="1" s="1"/>
  <c r="S931" i="1" a="1"/>
  <c r="S931" i="1" s="1"/>
  <c r="S932" i="1" a="1"/>
  <c r="S932" i="1" s="1"/>
  <c r="S933" i="1" a="1"/>
  <c r="S933" i="1" s="1"/>
  <c r="S934" i="1" a="1"/>
  <c r="S934" i="1" s="1"/>
  <c r="S935" i="1" a="1"/>
  <c r="S935" i="1" s="1"/>
  <c r="S936" i="1" a="1"/>
  <c r="S936" i="1" s="1"/>
  <c r="S937" i="1" a="1"/>
  <c r="S937" i="1" s="1"/>
  <c r="S938" i="1" a="1"/>
  <c r="S938" i="1" s="1"/>
  <c r="S939" i="1" a="1"/>
  <c r="S939" i="1" s="1"/>
  <c r="S940" i="1" a="1"/>
  <c r="S940" i="1" s="1"/>
  <c r="S941" i="1" a="1"/>
  <c r="S941" i="1" s="1"/>
  <c r="S942" i="1" a="1"/>
  <c r="S942" i="1" s="1"/>
  <c r="S943" i="1" a="1"/>
  <c r="S943" i="1" s="1"/>
  <c r="S944" i="1" a="1"/>
  <c r="S944" i="1" s="1"/>
  <c r="S945" i="1" a="1"/>
  <c r="S945" i="1" s="1"/>
  <c r="S946" i="1" a="1"/>
  <c r="S946" i="1" s="1"/>
  <c r="S947" i="1" a="1"/>
  <c r="S947" i="1" s="1"/>
  <c r="S948" i="1" a="1"/>
  <c r="S948" i="1" s="1"/>
  <c r="S949" i="1" a="1"/>
  <c r="S949" i="1" s="1"/>
  <c r="S950" i="1" a="1"/>
  <c r="S950" i="1" s="1"/>
  <c r="S951" i="1" a="1"/>
  <c r="S951" i="1" s="1"/>
  <c r="S952" i="1" a="1"/>
  <c r="S952" i="1" s="1"/>
  <c r="S953" i="1" a="1"/>
  <c r="S953" i="1" s="1"/>
  <c r="S954" i="1" a="1"/>
  <c r="S954" i="1" s="1"/>
  <c r="S955" i="1" a="1"/>
  <c r="S955" i="1" s="1"/>
  <c r="S956" i="1" a="1"/>
  <c r="S956" i="1" s="1"/>
  <c r="S957" i="1" a="1"/>
  <c r="S957" i="1" s="1"/>
  <c r="S958" i="1" a="1"/>
  <c r="S958" i="1" s="1"/>
  <c r="S959" i="1" a="1"/>
  <c r="S959" i="1" s="1"/>
  <c r="S960" i="1" a="1"/>
  <c r="S960" i="1" s="1"/>
  <c r="S961" i="1" a="1"/>
  <c r="S961" i="1" s="1"/>
  <c r="S962" i="1" a="1"/>
  <c r="S962" i="1" s="1"/>
  <c r="S963" i="1" a="1"/>
  <c r="S963" i="1" s="1"/>
  <c r="S964" i="1" a="1"/>
  <c r="S964" i="1" s="1"/>
  <c r="S965" i="1" a="1"/>
  <c r="S965" i="1" s="1"/>
  <c r="S966" i="1" a="1"/>
  <c r="S966" i="1" s="1"/>
  <c r="S967" i="1" a="1"/>
  <c r="S967" i="1" s="1"/>
  <c r="S968" i="1" a="1"/>
  <c r="S968" i="1" s="1"/>
  <c r="S969" i="1" a="1"/>
  <c r="S969" i="1" s="1"/>
  <c r="S970" i="1" a="1"/>
  <c r="S970" i="1" s="1"/>
  <c r="S971" i="1" a="1"/>
  <c r="S971" i="1" s="1"/>
  <c r="S972" i="1" a="1"/>
  <c r="S972" i="1" s="1"/>
  <c r="S973" i="1" a="1"/>
  <c r="S973" i="1" s="1"/>
  <c r="S974" i="1" a="1"/>
  <c r="S974" i="1" s="1"/>
  <c r="S975" i="1" a="1"/>
  <c r="S975" i="1" s="1"/>
  <c r="S976" i="1" a="1"/>
  <c r="S976" i="1" s="1"/>
  <c r="S977" i="1" a="1"/>
  <c r="S977" i="1" s="1"/>
  <c r="S978" i="1" a="1"/>
  <c r="S978" i="1" s="1"/>
  <c r="S979" i="1" a="1"/>
  <c r="S979" i="1" s="1"/>
  <c r="S980" i="1" a="1"/>
  <c r="S980" i="1" s="1"/>
  <c r="S981" i="1" a="1"/>
  <c r="S981" i="1" s="1"/>
  <c r="S982" i="1" a="1"/>
  <c r="S982" i="1" s="1"/>
  <c r="S983" i="1" a="1"/>
  <c r="S983" i="1" s="1"/>
  <c r="S984" i="1" a="1"/>
  <c r="S984" i="1" s="1"/>
  <c r="S985" i="1" a="1"/>
  <c r="S985" i="1" s="1"/>
  <c r="S986" i="1" a="1"/>
  <c r="S986" i="1" s="1"/>
  <c r="S987" i="1" a="1"/>
  <c r="S987" i="1" s="1"/>
  <c r="S988" i="1" a="1"/>
  <c r="S988" i="1" s="1"/>
  <c r="S989" i="1" a="1"/>
  <c r="S989" i="1" s="1"/>
  <c r="S990" i="1" a="1"/>
  <c r="S990" i="1" s="1"/>
  <c r="S991" i="1" a="1"/>
  <c r="S991" i="1" s="1"/>
  <c r="S992" i="1" a="1"/>
  <c r="S992" i="1" s="1"/>
  <c r="S993" i="1" a="1"/>
  <c r="S993" i="1" s="1"/>
  <c r="S994" i="1" a="1"/>
  <c r="S994" i="1" s="1"/>
  <c r="S995" i="1" a="1"/>
  <c r="S995" i="1" s="1"/>
  <c r="S996" i="1" a="1"/>
  <c r="S996" i="1" s="1"/>
  <c r="S997" i="1" a="1"/>
  <c r="S997" i="1" s="1"/>
  <c r="S998" i="1" a="1"/>
  <c r="S998" i="1" s="1"/>
  <c r="S999" i="1" a="1"/>
  <c r="S999" i="1" s="1"/>
  <c r="S1000" i="1" a="1"/>
  <c r="S1000" i="1" s="1"/>
  <c r="S1001" i="1" a="1"/>
  <c r="S1001" i="1" s="1"/>
  <c r="S1002" i="1" a="1"/>
  <c r="S1002" i="1" s="1"/>
  <c r="S1003" i="1" a="1"/>
  <c r="S1003" i="1" s="1"/>
  <c r="S1004" i="1" a="1"/>
  <c r="S1004" i="1" s="1"/>
  <c r="S1005" i="1" a="1"/>
  <c r="S1005" i="1" s="1"/>
  <c r="S1006" i="1" a="1"/>
  <c r="S1006" i="1" s="1"/>
  <c r="S1007" i="1" a="1"/>
  <c r="S1007" i="1" s="1"/>
  <c r="S1008" i="1" a="1"/>
  <c r="S1008" i="1" s="1"/>
  <c r="S1009" i="1" a="1"/>
  <c r="S1009" i="1" s="1"/>
  <c r="S1010" i="1" a="1"/>
  <c r="S1010" i="1" s="1"/>
  <c r="S1011" i="1" a="1"/>
  <c r="S1011" i="1" s="1"/>
  <c r="S1012" i="1" a="1"/>
  <c r="S1012" i="1" s="1"/>
  <c r="S1013" i="1" a="1"/>
  <c r="S1013" i="1" s="1"/>
  <c r="S1014" i="1" a="1"/>
  <c r="S1014" i="1" s="1"/>
  <c r="S1015" i="1" a="1"/>
  <c r="S1015" i="1" s="1"/>
  <c r="S1016" i="1" a="1"/>
  <c r="S1016" i="1" s="1"/>
  <c r="S1017" i="1" a="1"/>
  <c r="S1017" i="1" s="1"/>
  <c r="S1018" i="1" a="1"/>
  <c r="S1018" i="1" s="1"/>
  <c r="S1019" i="1" a="1"/>
  <c r="S1019" i="1" s="1"/>
  <c r="S1020" i="1" a="1"/>
  <c r="S1020" i="1" s="1"/>
  <c r="S1021" i="1" a="1"/>
  <c r="S1021" i="1" s="1"/>
  <c r="S1022" i="1" a="1"/>
  <c r="S1022" i="1" s="1"/>
  <c r="S1023" i="1" a="1"/>
  <c r="S1023" i="1" s="1"/>
  <c r="S1024" i="1" a="1"/>
  <c r="S1024" i="1" s="1"/>
  <c r="S1025" i="1" a="1"/>
  <c r="S1025" i="1" s="1"/>
  <c r="S1026" i="1" a="1"/>
  <c r="S1026" i="1" s="1"/>
  <c r="S1027" i="1" a="1"/>
  <c r="S1027" i="1" s="1"/>
  <c r="S1028" i="1" a="1"/>
  <c r="S1028" i="1" s="1"/>
  <c r="S1029" i="1" a="1"/>
  <c r="S1029" i="1" s="1"/>
  <c r="S1030" i="1" a="1"/>
  <c r="S1030" i="1" s="1"/>
  <c r="S1031" i="1" a="1"/>
  <c r="S1031" i="1" s="1"/>
  <c r="S1032" i="1" a="1"/>
  <c r="S1032" i="1" s="1"/>
  <c r="S1033" i="1" a="1"/>
  <c r="S1033" i="1" s="1"/>
  <c r="S1034" i="1" a="1"/>
  <c r="S1034" i="1" s="1"/>
  <c r="S1035" i="1" a="1"/>
  <c r="S1035" i="1" s="1"/>
  <c r="S1036" i="1" a="1"/>
  <c r="S1036" i="1" s="1"/>
  <c r="S1037" i="1" a="1"/>
  <c r="S1037" i="1" s="1"/>
  <c r="S1038" i="1" a="1"/>
  <c r="S1038" i="1" s="1"/>
  <c r="S1039" i="1" a="1"/>
  <c r="S1039" i="1" s="1"/>
  <c r="S1040" i="1" a="1"/>
  <c r="S1040" i="1" s="1"/>
  <c r="S1041" i="1" a="1"/>
  <c r="S1041" i="1" s="1"/>
  <c r="S1042" i="1" a="1"/>
  <c r="S1042" i="1" s="1"/>
  <c r="S1043" i="1" a="1"/>
  <c r="S1043" i="1" s="1"/>
  <c r="S1044" i="1" a="1"/>
  <c r="S1044" i="1" s="1"/>
  <c r="S1045" i="1" a="1"/>
  <c r="S1045" i="1" s="1"/>
  <c r="S1046" i="1" a="1"/>
  <c r="S1046" i="1" s="1"/>
  <c r="S1047" i="1" a="1"/>
  <c r="S1047" i="1" s="1"/>
  <c r="S1048" i="1" a="1"/>
  <c r="S1048" i="1" s="1"/>
  <c r="S1049" i="1" a="1"/>
  <c r="S1049" i="1" s="1"/>
  <c r="S1050" i="1" a="1"/>
  <c r="S1050" i="1" s="1"/>
  <c r="S1051" i="1" a="1"/>
  <c r="S1051" i="1" s="1"/>
  <c r="S1052" i="1" a="1"/>
  <c r="S1052" i="1" s="1"/>
  <c r="S1053" i="1" a="1"/>
  <c r="S1053" i="1" s="1"/>
  <c r="S1054" i="1" a="1"/>
  <c r="S1054" i="1" s="1"/>
  <c r="S1055" i="1" a="1"/>
  <c r="S1055" i="1" s="1"/>
  <c r="S1056" i="1" a="1"/>
  <c r="S1056" i="1" s="1"/>
  <c r="S1057" i="1" a="1"/>
  <c r="S1057" i="1" s="1"/>
  <c r="S1058" i="1" a="1"/>
  <c r="S1058" i="1" s="1"/>
  <c r="S1059" i="1" a="1"/>
  <c r="S1059" i="1" s="1"/>
  <c r="S1060" i="1" a="1"/>
  <c r="S1060" i="1" s="1"/>
  <c r="S1061" i="1" a="1"/>
  <c r="S1061" i="1" s="1"/>
  <c r="S1062" i="1" a="1"/>
  <c r="S1062" i="1" s="1"/>
  <c r="S1063" i="1" a="1"/>
  <c r="S1063" i="1" s="1"/>
  <c r="S1064" i="1" a="1"/>
  <c r="S1064" i="1" s="1"/>
  <c r="S1065" i="1" a="1"/>
  <c r="S1065" i="1" s="1"/>
  <c r="S1066" i="1" a="1"/>
  <c r="S1066" i="1" s="1"/>
  <c r="S1067" i="1" a="1"/>
  <c r="S1067" i="1" s="1"/>
  <c r="S1068" i="1" a="1"/>
  <c r="S1068" i="1" s="1"/>
  <c r="S1069" i="1" a="1"/>
  <c r="S1069" i="1" s="1"/>
  <c r="S1070" i="1" a="1"/>
  <c r="S1070" i="1" s="1"/>
  <c r="S1071" i="1" a="1"/>
  <c r="S1071" i="1" s="1"/>
  <c r="S1072" i="1" a="1"/>
  <c r="S1072" i="1" s="1"/>
  <c r="S1073" i="1" a="1"/>
  <c r="S1073" i="1" s="1"/>
  <c r="S1074" i="1" a="1"/>
  <c r="S1074" i="1" s="1"/>
  <c r="S1075" i="1" a="1"/>
  <c r="S1075" i="1" s="1"/>
  <c r="S1076" i="1" a="1"/>
  <c r="S1076" i="1" s="1"/>
  <c r="S1077" i="1" a="1"/>
  <c r="S1077" i="1" s="1"/>
  <c r="S1078" i="1" a="1"/>
  <c r="S1078" i="1" s="1"/>
  <c r="S1079" i="1" a="1"/>
  <c r="S1079" i="1" s="1"/>
  <c r="S1080" i="1" a="1"/>
  <c r="S1080" i="1" s="1"/>
  <c r="S1081" i="1" a="1"/>
  <c r="S1081" i="1" s="1"/>
  <c r="S1082" i="1" a="1"/>
  <c r="S1082" i="1" s="1"/>
  <c r="S1083" i="1" a="1"/>
  <c r="S1083" i="1" s="1"/>
  <c r="S1084" i="1" a="1"/>
  <c r="S1084" i="1" s="1"/>
  <c r="S1085" i="1" a="1"/>
  <c r="S1085" i="1" s="1"/>
  <c r="S1086" i="1" a="1"/>
  <c r="S1086" i="1" s="1"/>
  <c r="S1087" i="1" a="1"/>
  <c r="S1087" i="1" s="1"/>
  <c r="S1088" i="1" a="1"/>
  <c r="S1088" i="1" s="1"/>
  <c r="S1089" i="1" a="1"/>
  <c r="S1089" i="1" s="1"/>
  <c r="S1090" i="1" a="1"/>
  <c r="S1090" i="1" s="1"/>
  <c r="S1091" i="1" a="1"/>
  <c r="S1091" i="1" s="1"/>
  <c r="S1092" i="1" a="1"/>
  <c r="S1092" i="1" s="1"/>
  <c r="S1093" i="1" a="1"/>
  <c r="S1093" i="1" s="1"/>
  <c r="S1094" i="1" a="1"/>
  <c r="S1094" i="1" s="1"/>
  <c r="S1095" i="1" a="1"/>
  <c r="S1095" i="1" s="1"/>
  <c r="S1096" i="1" a="1"/>
  <c r="S1096" i="1" s="1"/>
  <c r="S1097" i="1" a="1"/>
  <c r="S1097" i="1" s="1"/>
  <c r="S1098" i="1" a="1"/>
  <c r="S1098" i="1" s="1"/>
  <c r="S1099" i="1" a="1"/>
  <c r="S1099" i="1" s="1"/>
  <c r="S1100" i="1" a="1"/>
  <c r="S1100" i="1" s="1"/>
  <c r="S1101" i="1" a="1"/>
  <c r="S1101" i="1" s="1"/>
  <c r="S1102" i="1" a="1"/>
  <c r="S1102" i="1" s="1"/>
  <c r="S1103" i="1" a="1"/>
  <c r="S1103" i="1" s="1"/>
  <c r="S1104" i="1" a="1"/>
  <c r="S1104" i="1" s="1"/>
  <c r="S1105" i="1" a="1"/>
  <c r="S1105" i="1" s="1"/>
  <c r="S1106" i="1" a="1"/>
  <c r="S1106" i="1" s="1"/>
  <c r="S1107" i="1" a="1"/>
  <c r="S1107" i="1" s="1"/>
  <c r="S1108" i="1" a="1"/>
  <c r="S1108" i="1" s="1"/>
  <c r="S1109" i="1" a="1"/>
  <c r="S1109" i="1" s="1"/>
  <c r="S1110" i="1" a="1"/>
  <c r="S1110" i="1" s="1"/>
  <c r="S1111" i="1" a="1"/>
  <c r="S1111" i="1" s="1"/>
  <c r="S1112" i="1" a="1"/>
  <c r="S1112" i="1" s="1"/>
  <c r="S1113" i="1" a="1"/>
  <c r="S1113" i="1" s="1"/>
  <c r="S1114" i="1" a="1"/>
  <c r="S1114" i="1" s="1"/>
  <c r="S1115" i="1" a="1"/>
  <c r="S1115" i="1" s="1"/>
  <c r="S1116" i="1" a="1"/>
  <c r="S1116" i="1" s="1"/>
  <c r="S1117" i="1" a="1"/>
  <c r="S1117" i="1" s="1"/>
  <c r="S1118" i="1" a="1"/>
  <c r="S1118" i="1" s="1"/>
  <c r="S1119" i="1" a="1"/>
  <c r="S1119" i="1" s="1"/>
  <c r="S1120" i="1" a="1"/>
  <c r="S1120" i="1" s="1"/>
  <c r="S1121" i="1" a="1"/>
  <c r="S1121" i="1" s="1"/>
  <c r="S1122" i="1" a="1"/>
  <c r="S1122" i="1" s="1"/>
  <c r="S1123" i="1" a="1"/>
  <c r="S1123" i="1" s="1"/>
  <c r="S1124" i="1" a="1"/>
  <c r="S1124" i="1" s="1"/>
  <c r="S1125" i="1" a="1"/>
  <c r="S1125" i="1" s="1"/>
  <c r="S1126" i="1" a="1"/>
  <c r="S1126" i="1" s="1"/>
  <c r="S1127" i="1" a="1"/>
  <c r="S1127" i="1" s="1"/>
  <c r="S1128" i="1" a="1"/>
  <c r="S1128" i="1" s="1"/>
  <c r="S1129" i="1" a="1"/>
  <c r="S1129" i="1" s="1"/>
  <c r="S1130" i="1" a="1"/>
  <c r="S1130" i="1" s="1"/>
  <c r="S1131" i="1" a="1"/>
  <c r="S1131" i="1" s="1"/>
  <c r="S1132" i="1" a="1"/>
  <c r="S1132" i="1" s="1"/>
  <c r="S1133" i="1" a="1"/>
  <c r="S1133" i="1" s="1"/>
  <c r="S1134" i="1" a="1"/>
  <c r="S1134" i="1" s="1"/>
  <c r="S1135" i="1" a="1"/>
  <c r="S1135" i="1" s="1"/>
  <c r="S1136" i="1" a="1"/>
  <c r="S1136" i="1" s="1"/>
  <c r="S1137" i="1" a="1"/>
  <c r="S1137" i="1" s="1"/>
  <c r="S1138" i="1" a="1"/>
  <c r="S1138" i="1" s="1"/>
  <c r="S1139" i="1" a="1"/>
  <c r="S1139" i="1" s="1"/>
  <c r="S1140" i="1" a="1"/>
  <c r="S1140" i="1" s="1"/>
  <c r="S1141" i="1" a="1"/>
  <c r="S1141" i="1" s="1"/>
  <c r="S1142" i="1" a="1"/>
  <c r="S1142" i="1" s="1"/>
  <c r="S1143" i="1" a="1"/>
  <c r="S1143" i="1" s="1"/>
  <c r="S1144" i="1" a="1"/>
  <c r="S1144" i="1" s="1"/>
  <c r="S1145" i="1" a="1"/>
  <c r="S1145" i="1" s="1"/>
  <c r="S1146" i="1" a="1"/>
  <c r="S1146" i="1" s="1"/>
  <c r="S1147" i="1" a="1"/>
  <c r="S1147" i="1" s="1"/>
  <c r="S1148" i="1" a="1"/>
  <c r="S1148" i="1" s="1"/>
  <c r="S1149" i="1" a="1"/>
  <c r="S1149" i="1" s="1"/>
  <c r="S1150" i="1" a="1"/>
  <c r="S1150" i="1" s="1"/>
  <c r="S1151" i="1" a="1"/>
  <c r="S1151" i="1" s="1"/>
  <c r="S1152" i="1" a="1"/>
  <c r="S1152" i="1" s="1"/>
  <c r="S1153" i="1" a="1"/>
  <c r="S1153" i="1" s="1"/>
  <c r="S1154" i="1" a="1"/>
  <c r="S1154" i="1" s="1"/>
  <c r="S1155" i="1" a="1"/>
  <c r="S1155" i="1" s="1"/>
  <c r="S1156" i="1" a="1"/>
  <c r="S1156" i="1" s="1"/>
  <c r="S1157" i="1" a="1"/>
  <c r="S1157" i="1" s="1"/>
  <c r="S1158" i="1" a="1"/>
  <c r="S1158" i="1" s="1"/>
  <c r="S1159" i="1" a="1"/>
  <c r="S1159" i="1" s="1"/>
  <c r="S1160" i="1" a="1"/>
  <c r="S1160" i="1" s="1"/>
  <c r="S1161" i="1" a="1"/>
  <c r="S1161" i="1" s="1"/>
  <c r="S1162" i="1" a="1"/>
  <c r="S1162" i="1" s="1"/>
  <c r="S1163" i="1" a="1"/>
  <c r="S1163" i="1" s="1"/>
  <c r="S1164" i="1" a="1"/>
  <c r="S1164" i="1" s="1"/>
  <c r="S1165" i="1" a="1"/>
  <c r="S1165" i="1" s="1"/>
  <c r="S1166" i="1" a="1"/>
  <c r="S1166" i="1" s="1"/>
  <c r="S1167" i="1" a="1"/>
  <c r="S1167" i="1" s="1"/>
  <c r="S1168" i="1" a="1"/>
  <c r="S1168" i="1" s="1"/>
  <c r="S1169" i="1" a="1"/>
  <c r="S1169" i="1" s="1"/>
  <c r="S1170" i="1" a="1"/>
  <c r="S1170" i="1" s="1"/>
  <c r="S1171" i="1" a="1"/>
  <c r="S1171" i="1" s="1"/>
  <c r="S1172" i="1" a="1"/>
  <c r="S1172" i="1" s="1"/>
  <c r="S1173" i="1" a="1"/>
  <c r="S1173" i="1" s="1"/>
  <c r="S1174" i="1" a="1"/>
  <c r="S1174" i="1" s="1"/>
  <c r="S1175" i="1" a="1"/>
  <c r="S1175" i="1" s="1"/>
  <c r="S1176" i="1" a="1"/>
  <c r="S1176" i="1" s="1"/>
  <c r="S1177" i="1" a="1"/>
  <c r="S1177" i="1" s="1"/>
  <c r="S1178" i="1" a="1"/>
  <c r="S1178" i="1" s="1"/>
  <c r="S1179" i="1" a="1"/>
  <c r="S1179" i="1" s="1"/>
  <c r="S1180" i="1" a="1"/>
  <c r="S1180" i="1" s="1"/>
  <c r="S1181" i="1" a="1"/>
  <c r="S1181" i="1" s="1"/>
  <c r="S1182" i="1" a="1"/>
  <c r="S1182" i="1" s="1"/>
  <c r="S1183" i="1" a="1"/>
  <c r="S1183" i="1" s="1"/>
  <c r="S1184" i="1" a="1"/>
  <c r="S1184" i="1" s="1"/>
  <c r="S1185" i="1" a="1"/>
  <c r="S1185" i="1" s="1"/>
  <c r="S1186" i="1" a="1"/>
  <c r="S1186" i="1" s="1"/>
  <c r="S1187" i="1" a="1"/>
  <c r="S1187" i="1" s="1"/>
  <c r="S1188" i="1" a="1"/>
  <c r="S1188" i="1" s="1"/>
  <c r="S1189" i="1" a="1"/>
  <c r="S1189" i="1" s="1"/>
  <c r="S1190" i="1" a="1"/>
  <c r="S1190" i="1" s="1"/>
  <c r="S1191" i="1" a="1"/>
  <c r="S1191" i="1" s="1"/>
  <c r="S1192" i="1" a="1"/>
  <c r="S1192" i="1" s="1"/>
  <c r="S1193" i="1" a="1"/>
  <c r="S1193" i="1" s="1"/>
  <c r="S1194" i="1" a="1"/>
  <c r="S1194" i="1" s="1"/>
  <c r="S1195" i="1" a="1"/>
  <c r="S1195" i="1" s="1"/>
  <c r="S1196" i="1" a="1"/>
  <c r="S1196" i="1" s="1"/>
  <c r="S1197" i="1" a="1"/>
  <c r="S1197" i="1" s="1"/>
  <c r="S1198" i="1" a="1"/>
  <c r="S1198" i="1" s="1"/>
  <c r="S1199" i="1" a="1"/>
  <c r="S1199" i="1" s="1"/>
  <c r="S1200" i="1" a="1"/>
  <c r="S1200" i="1" s="1"/>
  <c r="S1201" i="1" a="1"/>
  <c r="S1201" i="1" s="1"/>
  <c r="S1202" i="1" a="1"/>
  <c r="S1202" i="1" s="1"/>
  <c r="S1203" i="1" a="1"/>
  <c r="S1203" i="1" s="1"/>
  <c r="S1204" i="1" a="1"/>
  <c r="S1204" i="1" s="1"/>
  <c r="S1205" i="1" a="1"/>
  <c r="S1205" i="1" s="1"/>
  <c r="S1206" i="1" a="1"/>
  <c r="S1206" i="1" s="1"/>
  <c r="S1207" i="1" a="1"/>
  <c r="S1207" i="1" s="1"/>
  <c r="S1208" i="1" a="1"/>
  <c r="S1208" i="1" s="1"/>
  <c r="S1209" i="1" a="1"/>
  <c r="S1209" i="1" s="1"/>
  <c r="S1210" i="1" a="1"/>
  <c r="S1210" i="1" s="1"/>
  <c r="S1211" i="1" a="1"/>
  <c r="S1211" i="1" s="1"/>
  <c r="S1212" i="1" a="1"/>
  <c r="S1212" i="1" s="1"/>
  <c r="S1213" i="1" a="1"/>
  <c r="S1213" i="1" s="1"/>
  <c r="S1214" i="1" a="1"/>
  <c r="S1214" i="1" s="1"/>
  <c r="S1215" i="1" a="1"/>
  <c r="S1215" i="1" s="1"/>
  <c r="S1216" i="1" a="1"/>
  <c r="S1216" i="1" s="1"/>
  <c r="S1217" i="1" a="1"/>
  <c r="S1217" i="1" s="1"/>
  <c r="S1218" i="1" a="1"/>
  <c r="S1218" i="1" s="1"/>
  <c r="S1219" i="1" a="1"/>
  <c r="S1219" i="1" s="1"/>
  <c r="S1220" i="1" a="1"/>
  <c r="S1220" i="1" s="1"/>
  <c r="S1221" i="1" a="1"/>
  <c r="S1221" i="1" s="1"/>
  <c r="S1222" i="1" a="1"/>
  <c r="S1222" i="1" s="1"/>
  <c r="S1223" i="1" a="1"/>
  <c r="S1223" i="1" s="1"/>
  <c r="S1224" i="1" a="1"/>
  <c r="S1224" i="1" s="1"/>
  <c r="S1225" i="1" a="1"/>
  <c r="S1225" i="1" s="1"/>
  <c r="S1226" i="1" a="1"/>
  <c r="S1226" i="1" s="1"/>
  <c r="S1227" i="1" a="1"/>
  <c r="S1227" i="1" s="1"/>
  <c r="S1228" i="1" a="1"/>
  <c r="S1228" i="1" s="1"/>
  <c r="S1229" i="1" a="1"/>
  <c r="S1229" i="1" s="1"/>
  <c r="S1230" i="1" a="1"/>
  <c r="S1230" i="1" s="1"/>
  <c r="S1231" i="1" a="1"/>
  <c r="S1231" i="1" s="1"/>
  <c r="S1232" i="1" a="1"/>
  <c r="S1232" i="1" s="1"/>
  <c r="S1233" i="1" a="1"/>
  <c r="S1233" i="1" s="1"/>
  <c r="S1234" i="1" a="1"/>
  <c r="S1234" i="1" s="1"/>
  <c r="S1235" i="1" a="1"/>
  <c r="S1235" i="1" s="1"/>
  <c r="S1236" i="1" a="1"/>
  <c r="S1236" i="1" s="1"/>
  <c r="S1237" i="1" a="1"/>
  <c r="S1237" i="1" s="1"/>
  <c r="S1238" i="1" a="1"/>
  <c r="S1238" i="1" s="1"/>
  <c r="S1239" i="1" a="1"/>
  <c r="S1239" i="1" s="1"/>
  <c r="S1240" i="1" a="1"/>
  <c r="S1240" i="1" s="1"/>
  <c r="S1241" i="1" a="1"/>
  <c r="S1241" i="1" s="1"/>
  <c r="S1242" i="1" a="1"/>
  <c r="S1242" i="1" s="1"/>
  <c r="S1243" i="1" a="1"/>
  <c r="S1243" i="1" s="1"/>
  <c r="S1244" i="1" a="1"/>
  <c r="S1244" i="1" s="1"/>
  <c r="S1245" i="1" a="1"/>
  <c r="S1245" i="1" s="1"/>
  <c r="S1246" i="1" a="1"/>
  <c r="S1246" i="1" s="1"/>
  <c r="S1247" i="1" a="1"/>
  <c r="S1247" i="1" s="1"/>
  <c r="S1248" i="1" a="1"/>
  <c r="S1248" i="1" s="1"/>
  <c r="S1249" i="1" a="1"/>
  <c r="S1249" i="1" s="1"/>
  <c r="S1250" i="1" a="1"/>
  <c r="S1250" i="1" s="1"/>
  <c r="S1251" i="1" a="1"/>
  <c r="S1251" i="1" s="1"/>
  <c r="S1252" i="1" a="1"/>
  <c r="S1252" i="1" s="1"/>
  <c r="S1253" i="1" a="1"/>
  <c r="S1253" i="1" s="1"/>
  <c r="S1254" i="1" a="1"/>
  <c r="S1254" i="1" s="1"/>
  <c r="S1255" i="1" a="1"/>
  <c r="S1255" i="1" s="1"/>
  <c r="S1256" i="1" a="1"/>
  <c r="S1256" i="1" s="1"/>
  <c r="S1257" i="1" a="1"/>
  <c r="S1257" i="1" s="1"/>
  <c r="S1258" i="1" a="1"/>
  <c r="S1258" i="1" s="1"/>
  <c r="S1259" i="1" a="1"/>
  <c r="S1259" i="1" s="1"/>
  <c r="S1260" i="1" a="1"/>
  <c r="S1260" i="1" s="1"/>
  <c r="S1261" i="1" a="1"/>
  <c r="S1261" i="1" s="1"/>
  <c r="S1262" i="1" a="1"/>
  <c r="S1262" i="1" s="1"/>
  <c r="S1263" i="1" a="1"/>
  <c r="S1263" i="1" s="1"/>
  <c r="S1264" i="1" a="1"/>
  <c r="S1264" i="1" s="1"/>
  <c r="S1265" i="1" a="1"/>
  <c r="S1265" i="1" s="1"/>
  <c r="S1266" i="1" a="1"/>
  <c r="S1266" i="1" s="1"/>
  <c r="S1267" i="1" a="1"/>
  <c r="S1267" i="1" s="1"/>
  <c r="S1268" i="1" a="1"/>
  <c r="S1268" i="1" s="1"/>
  <c r="S1269" i="1" a="1"/>
  <c r="S1269" i="1" s="1"/>
  <c r="S1270" i="1" a="1"/>
  <c r="S1270" i="1" s="1"/>
  <c r="S1271" i="1" a="1"/>
  <c r="S1271" i="1" s="1"/>
  <c r="S1272" i="1" a="1"/>
  <c r="S1272" i="1" s="1"/>
  <c r="S1273" i="1" a="1"/>
  <c r="S1273" i="1" s="1"/>
  <c r="S1274" i="1" a="1"/>
  <c r="S1274" i="1" s="1"/>
  <c r="S1275" i="1" a="1"/>
  <c r="S1275" i="1" s="1"/>
  <c r="S1276" i="1" a="1"/>
  <c r="S1276" i="1" s="1"/>
  <c r="S1277" i="1" a="1"/>
  <c r="S1277" i="1" s="1"/>
  <c r="S1278" i="1" a="1"/>
  <c r="S1278" i="1" s="1"/>
  <c r="S1279" i="1" a="1"/>
  <c r="S1279" i="1" s="1"/>
  <c r="S1280" i="1" a="1"/>
  <c r="S1280" i="1" s="1"/>
  <c r="S1281" i="1" a="1"/>
  <c r="S1281" i="1" s="1"/>
  <c r="S1282" i="1" a="1"/>
  <c r="S1282" i="1" s="1"/>
  <c r="S1283" i="1" a="1"/>
  <c r="S1283" i="1" s="1"/>
  <c r="S1284" i="1" a="1"/>
  <c r="S1284" i="1" s="1"/>
  <c r="S1285" i="1" a="1"/>
  <c r="S1285" i="1" s="1"/>
  <c r="S1286" i="1" a="1"/>
  <c r="S1286" i="1" s="1"/>
  <c r="S1287" i="1" a="1"/>
  <c r="S1287" i="1" s="1"/>
  <c r="S1288" i="1" a="1"/>
  <c r="S1288" i="1" s="1"/>
  <c r="S1289" i="1" a="1"/>
  <c r="S1289" i="1" s="1"/>
  <c r="S1290" i="1" a="1"/>
  <c r="S1290" i="1" s="1"/>
  <c r="S1291" i="1" a="1"/>
  <c r="S1291" i="1" s="1"/>
  <c r="S1292" i="1" a="1"/>
  <c r="S1292" i="1" s="1"/>
  <c r="S1293" i="1" a="1"/>
  <c r="S1293" i="1" s="1"/>
  <c r="S1294" i="1" a="1"/>
  <c r="S1294" i="1" s="1"/>
  <c r="S1295" i="1" a="1"/>
  <c r="S1295" i="1" s="1"/>
  <c r="S1296" i="1" a="1"/>
  <c r="S1296" i="1" s="1"/>
  <c r="S1297" i="1" a="1"/>
  <c r="S1297" i="1" s="1"/>
  <c r="S1298" i="1" a="1"/>
  <c r="S1298" i="1" s="1"/>
  <c r="S1299" i="1" a="1"/>
  <c r="S1299" i="1" s="1"/>
  <c r="S1300" i="1" a="1"/>
  <c r="S1300" i="1" s="1"/>
  <c r="S1301" i="1" a="1"/>
  <c r="S1301" i="1" s="1"/>
  <c r="S1302" i="1" a="1"/>
  <c r="S1302" i="1" s="1"/>
  <c r="S1303" i="1" a="1"/>
  <c r="S1303" i="1" s="1"/>
  <c r="S1304" i="1" a="1"/>
  <c r="S1304" i="1" s="1"/>
  <c r="S1305" i="1" a="1"/>
  <c r="S1305" i="1" s="1"/>
  <c r="S1306" i="1" a="1"/>
  <c r="S1306" i="1" s="1"/>
  <c r="S1307" i="1" a="1"/>
  <c r="S1307" i="1" s="1"/>
  <c r="S1308" i="1" a="1"/>
  <c r="S1308" i="1" s="1"/>
  <c r="S1309" i="1" a="1"/>
  <c r="S1309" i="1" s="1"/>
  <c r="S1310" i="1" a="1"/>
  <c r="S1310" i="1" s="1"/>
  <c r="S1311" i="1" a="1"/>
  <c r="S1311" i="1" s="1"/>
  <c r="S1312" i="1" a="1"/>
  <c r="S1312" i="1" s="1"/>
  <c r="S1313" i="1" a="1"/>
  <c r="S1313" i="1" s="1"/>
  <c r="S1314" i="1" a="1"/>
  <c r="S1314" i="1" s="1"/>
  <c r="S1315" i="1" a="1"/>
  <c r="S1315" i="1" s="1"/>
  <c r="S1316" i="1" a="1"/>
  <c r="S1316" i="1" s="1"/>
  <c r="S1317" i="1" a="1"/>
  <c r="S1317" i="1" s="1"/>
  <c r="S1318" i="1" a="1"/>
  <c r="S1318" i="1" s="1"/>
  <c r="S1319" i="1" a="1"/>
  <c r="S1319" i="1" s="1"/>
  <c r="S1320" i="1" a="1"/>
  <c r="S1320" i="1" s="1"/>
  <c r="S1321" i="1" a="1"/>
  <c r="S1321" i="1" s="1"/>
  <c r="S1322" i="1" a="1"/>
  <c r="S1322" i="1" s="1"/>
  <c r="S1323" i="1" a="1"/>
  <c r="S1323" i="1" s="1"/>
  <c r="S1324" i="1" a="1"/>
  <c r="S1324" i="1" s="1"/>
  <c r="S1325" i="1" a="1"/>
  <c r="S1325" i="1" s="1"/>
  <c r="S1326" i="1" a="1"/>
  <c r="S1326" i="1" s="1"/>
  <c r="S1327" i="1" a="1"/>
  <c r="S1327" i="1" s="1"/>
  <c r="S1328" i="1" a="1"/>
  <c r="S1328" i="1" s="1"/>
  <c r="S1329" i="1" a="1"/>
  <c r="S1329" i="1" s="1"/>
  <c r="S1330" i="1" a="1"/>
  <c r="S1330" i="1" s="1"/>
  <c r="S1331" i="1" a="1"/>
  <c r="S1331" i="1" s="1"/>
  <c r="S1332" i="1" a="1"/>
  <c r="S1332" i="1" s="1"/>
  <c r="S1333" i="1" a="1"/>
  <c r="S1333" i="1" s="1"/>
  <c r="S1334" i="1" a="1"/>
  <c r="S1334" i="1" s="1"/>
  <c r="S1335" i="1" a="1"/>
  <c r="S1335" i="1" s="1"/>
  <c r="S1336" i="1" a="1"/>
  <c r="S1336" i="1" s="1"/>
  <c r="S1337" i="1" a="1"/>
  <c r="S1337" i="1" s="1"/>
  <c r="S1338" i="1" a="1"/>
  <c r="S1338" i="1" s="1"/>
  <c r="S1339" i="1" a="1"/>
  <c r="S1339" i="1" s="1"/>
  <c r="S1340" i="1" a="1"/>
  <c r="S1340" i="1" s="1"/>
  <c r="S1341" i="1" a="1"/>
  <c r="S1341" i="1" s="1"/>
  <c r="S1342" i="1" a="1"/>
  <c r="S1342" i="1" s="1"/>
  <c r="S1343" i="1" a="1"/>
  <c r="S1343" i="1" s="1"/>
  <c r="S1344" i="1" a="1"/>
  <c r="S1344" i="1" s="1"/>
  <c r="S1345" i="1" a="1"/>
  <c r="S1345" i="1" s="1"/>
  <c r="S1346" i="1" a="1"/>
  <c r="S1346" i="1" s="1"/>
  <c r="S1347" i="1" a="1"/>
  <c r="S1347" i="1" s="1"/>
  <c r="S1348" i="1" a="1"/>
  <c r="S1348" i="1" s="1"/>
  <c r="S1349" i="1" a="1"/>
  <c r="S1349" i="1" s="1"/>
  <c r="S1350" i="1" a="1"/>
  <c r="S1350" i="1" s="1"/>
  <c r="S1351" i="1" a="1"/>
  <c r="S1351" i="1" s="1"/>
  <c r="S1352" i="1" a="1"/>
  <c r="S1352" i="1" s="1"/>
  <c r="S1353" i="1" a="1"/>
  <c r="S1353" i="1" s="1"/>
  <c r="S1354" i="1" a="1"/>
  <c r="S1354" i="1" s="1"/>
  <c r="S1355" i="1" a="1"/>
  <c r="S1355" i="1" s="1"/>
  <c r="S1356" i="1" a="1"/>
  <c r="S1356" i="1" s="1"/>
  <c r="S1357" i="1" a="1"/>
  <c r="S1357" i="1" s="1"/>
  <c r="S1358" i="1" a="1"/>
  <c r="S1358" i="1" s="1"/>
  <c r="S1359" i="1" a="1"/>
  <c r="S1359" i="1" s="1"/>
  <c r="S1360" i="1" a="1"/>
  <c r="S1360" i="1" s="1"/>
  <c r="S1361" i="1" a="1"/>
  <c r="S1361" i="1" s="1"/>
  <c r="S1362" i="1" a="1"/>
  <c r="S1362" i="1" s="1"/>
  <c r="S1363" i="1" a="1"/>
  <c r="S1363" i="1" s="1"/>
  <c r="S1364" i="1" a="1"/>
  <c r="S1364" i="1" s="1"/>
  <c r="S1365" i="1" a="1"/>
  <c r="S1365" i="1" s="1"/>
  <c r="S1366" i="1" a="1"/>
  <c r="S1366" i="1" s="1"/>
  <c r="S1367" i="1" a="1"/>
  <c r="S1367" i="1" s="1"/>
  <c r="S1368" i="1" a="1"/>
  <c r="S1368" i="1" s="1"/>
  <c r="S1369" i="1" a="1"/>
  <c r="S1369" i="1" s="1"/>
  <c r="S1370" i="1" a="1"/>
  <c r="S1370" i="1" s="1"/>
  <c r="S1371" i="1" a="1"/>
  <c r="S1371" i="1" s="1"/>
  <c r="S1372" i="1" a="1"/>
  <c r="S1372" i="1" s="1"/>
  <c r="S1373" i="1" a="1"/>
  <c r="S1373" i="1" s="1"/>
  <c r="S1374" i="1" a="1"/>
  <c r="S1374" i="1" s="1"/>
  <c r="S1375" i="1" a="1"/>
  <c r="S1375" i="1" s="1"/>
  <c r="S1376" i="1" a="1"/>
  <c r="S1376" i="1" s="1"/>
  <c r="S1377" i="1" a="1"/>
  <c r="S1377" i="1" s="1"/>
  <c r="S1378" i="1" a="1"/>
  <c r="S1378" i="1" s="1"/>
  <c r="S1379" i="1" a="1"/>
  <c r="S1379" i="1" s="1"/>
  <c r="S1380" i="1" a="1"/>
  <c r="S1380" i="1" s="1"/>
  <c r="S1381" i="1" a="1"/>
  <c r="S1381" i="1" s="1"/>
  <c r="S1382" i="1" a="1"/>
  <c r="S1382" i="1" s="1"/>
  <c r="S1383" i="1" a="1"/>
  <c r="S1383" i="1" s="1"/>
  <c r="S1384" i="1" a="1"/>
  <c r="S1384" i="1" s="1"/>
  <c r="S1385" i="1" a="1"/>
  <c r="S1385" i="1" s="1"/>
  <c r="S1386" i="1" a="1"/>
  <c r="S1386" i="1" s="1"/>
  <c r="S1387" i="1" a="1"/>
  <c r="S1387" i="1" s="1"/>
  <c r="S1388" i="1" a="1"/>
  <c r="S1388" i="1" s="1"/>
  <c r="S1389" i="1" a="1"/>
  <c r="S1389" i="1" s="1"/>
  <c r="S1390" i="1" a="1"/>
  <c r="S1390" i="1" s="1"/>
  <c r="S1391" i="1" a="1"/>
  <c r="S1391" i="1" s="1"/>
  <c r="S1392" i="1" a="1"/>
  <c r="S1392" i="1" s="1"/>
  <c r="S1393" i="1" a="1"/>
  <c r="S1393" i="1" s="1"/>
  <c r="S1394" i="1" a="1"/>
  <c r="S1394" i="1" s="1"/>
  <c r="S1395" i="1" a="1"/>
  <c r="S1395" i="1" s="1"/>
  <c r="S1396" i="1" a="1"/>
  <c r="S1396" i="1" s="1"/>
  <c r="S1397" i="1" a="1"/>
  <c r="S1397" i="1" s="1"/>
  <c r="S1398" i="1" a="1"/>
  <c r="S1398" i="1" s="1"/>
  <c r="S1399" i="1" a="1"/>
  <c r="S1399" i="1" s="1"/>
  <c r="S1400" i="1" a="1"/>
  <c r="S1400" i="1" s="1"/>
  <c r="S1401" i="1" a="1"/>
  <c r="S1401" i="1" s="1"/>
  <c r="S1402" i="1" a="1"/>
  <c r="S1402" i="1" s="1"/>
  <c r="S1403" i="1" a="1"/>
  <c r="S1403" i="1" s="1"/>
  <c r="S1404" i="1" a="1"/>
  <c r="S1404" i="1" s="1"/>
  <c r="S1405" i="1" a="1"/>
  <c r="S1405" i="1" s="1"/>
  <c r="S1406" i="1" a="1"/>
  <c r="S1406" i="1" s="1"/>
  <c r="S1407" i="1" a="1"/>
  <c r="S1407" i="1" s="1"/>
  <c r="S1408" i="1" a="1"/>
  <c r="S1408" i="1" s="1"/>
  <c r="S1409" i="1" a="1"/>
  <c r="S1409" i="1" s="1"/>
  <c r="S1410" i="1" a="1"/>
  <c r="S1410" i="1" s="1"/>
  <c r="S1411" i="1" a="1"/>
  <c r="S1411" i="1" s="1"/>
  <c r="S1412" i="1" a="1"/>
  <c r="S1412" i="1" s="1"/>
  <c r="S1413" i="1" a="1"/>
  <c r="S1413" i="1" s="1"/>
  <c r="S1414" i="1" a="1"/>
  <c r="S1414" i="1" s="1"/>
  <c r="S1415" i="1" a="1"/>
  <c r="S1415" i="1" s="1"/>
  <c r="S1416" i="1" a="1"/>
  <c r="S1416" i="1" s="1"/>
  <c r="S1417" i="1" a="1"/>
  <c r="S1417" i="1" s="1"/>
  <c r="S1418" i="1" a="1"/>
  <c r="S1418" i="1" s="1"/>
  <c r="S1419" i="1" a="1"/>
  <c r="S1419" i="1" s="1"/>
  <c r="S1420" i="1" a="1"/>
  <c r="S1420" i="1" s="1"/>
  <c r="S1421" i="1" a="1"/>
  <c r="S1421" i="1" s="1"/>
  <c r="S1422" i="1" a="1"/>
  <c r="S1422" i="1" s="1"/>
  <c r="S1423" i="1" a="1"/>
  <c r="S1423" i="1" s="1"/>
  <c r="S1424" i="1" a="1"/>
  <c r="S1424" i="1" s="1"/>
  <c r="S1425" i="1" a="1"/>
  <c r="S1425" i="1" s="1"/>
  <c r="S1426" i="1" a="1"/>
  <c r="S1426" i="1" s="1"/>
  <c r="S1427" i="1" a="1"/>
  <c r="S1427" i="1" s="1"/>
  <c r="S1428" i="1" a="1"/>
  <c r="S1428" i="1" s="1"/>
  <c r="S1429" i="1" a="1"/>
  <c r="S1429" i="1" s="1"/>
  <c r="S1430" i="1" a="1"/>
  <c r="S1430" i="1" s="1"/>
  <c r="S1431" i="1" a="1"/>
  <c r="S1431" i="1" s="1"/>
  <c r="S1432" i="1" a="1"/>
  <c r="S1432" i="1" s="1"/>
  <c r="S1433" i="1" a="1"/>
  <c r="S1433" i="1" s="1"/>
  <c r="S1434" i="1" a="1"/>
  <c r="S1434" i="1" s="1"/>
  <c r="S1435" i="1" a="1"/>
  <c r="S1435" i="1" s="1"/>
  <c r="S1436" i="1" a="1"/>
  <c r="S1436" i="1" s="1"/>
  <c r="S1437" i="1" a="1"/>
  <c r="S1437" i="1" s="1"/>
  <c r="S1438" i="1" a="1"/>
  <c r="S1438" i="1" s="1"/>
  <c r="S1439" i="1" a="1"/>
  <c r="S1439" i="1" s="1"/>
  <c r="S1440" i="1" a="1"/>
  <c r="S1440" i="1" s="1"/>
  <c r="S1441" i="1" a="1"/>
  <c r="S1441" i="1" s="1"/>
  <c r="S1442" i="1" a="1"/>
  <c r="S1442" i="1" s="1"/>
  <c r="S1443" i="1" a="1"/>
  <c r="S1443" i="1" s="1"/>
  <c r="S1444" i="1" a="1"/>
  <c r="S1444" i="1" s="1"/>
  <c r="S1445" i="1" a="1"/>
  <c r="S1445" i="1" s="1"/>
  <c r="S1446" i="1" a="1"/>
  <c r="S1446" i="1" s="1"/>
  <c r="S1447" i="1" a="1"/>
  <c r="S1447" i="1" s="1"/>
  <c r="S1448" i="1" a="1"/>
  <c r="S1448" i="1" s="1"/>
  <c r="S1449" i="1" a="1"/>
  <c r="S1449" i="1" s="1"/>
  <c r="S1450" i="1" a="1"/>
  <c r="S1450" i="1" s="1"/>
  <c r="S1451" i="1" a="1"/>
  <c r="S1451" i="1" s="1"/>
  <c r="S1452" i="1" a="1"/>
  <c r="S1452" i="1" s="1"/>
  <c r="S1453" i="1" a="1"/>
  <c r="S1453" i="1" s="1"/>
  <c r="S1454" i="1" a="1"/>
  <c r="S1454" i="1" s="1"/>
  <c r="S1455" i="1" a="1"/>
  <c r="S1455" i="1" s="1"/>
  <c r="S1456" i="1" a="1"/>
  <c r="S1456" i="1" s="1"/>
  <c r="S1457" i="1" a="1"/>
  <c r="S1457" i="1" s="1"/>
  <c r="S1458" i="1" a="1"/>
  <c r="S1458" i="1" s="1"/>
  <c r="S1459" i="1" a="1"/>
  <c r="S1459" i="1" s="1"/>
  <c r="S1460" i="1" a="1"/>
  <c r="S1460" i="1" s="1"/>
  <c r="S1461" i="1" a="1"/>
  <c r="S1461" i="1" s="1"/>
  <c r="S1462" i="1" a="1"/>
  <c r="S1462" i="1" s="1"/>
  <c r="S1463" i="1" a="1"/>
  <c r="S1463" i="1" s="1"/>
  <c r="S1464" i="1" a="1"/>
  <c r="S1464" i="1" s="1"/>
  <c r="S1465" i="1" a="1"/>
  <c r="S1465" i="1" s="1"/>
  <c r="S1466" i="1" a="1"/>
  <c r="S1466" i="1" s="1"/>
  <c r="S1467" i="1" a="1"/>
  <c r="S1467" i="1" s="1"/>
  <c r="S1468" i="1" a="1"/>
  <c r="S1468" i="1" s="1"/>
  <c r="S1469" i="1" a="1"/>
  <c r="S1469" i="1" s="1"/>
  <c r="S1470" i="1" a="1"/>
  <c r="S1470" i="1" s="1"/>
  <c r="S1471" i="1" a="1"/>
  <c r="S1471" i="1" s="1"/>
  <c r="S1472" i="1" a="1"/>
  <c r="S1472" i="1" s="1"/>
  <c r="S1473" i="1" a="1"/>
  <c r="S1473" i="1" s="1"/>
  <c r="S1474" i="1" a="1"/>
  <c r="S1474" i="1" s="1"/>
  <c r="S1475" i="1" a="1"/>
  <c r="S1475" i="1" s="1"/>
  <c r="S1476" i="1" a="1"/>
  <c r="S1476" i="1" s="1"/>
  <c r="S1477" i="1" a="1"/>
  <c r="S1477" i="1" s="1"/>
  <c r="S1478" i="1" a="1"/>
  <c r="S1478" i="1" s="1"/>
  <c r="S1479" i="1" a="1"/>
  <c r="S1479" i="1" s="1"/>
  <c r="S1480" i="1" a="1"/>
  <c r="S1480" i="1" s="1"/>
  <c r="S1481" i="1" a="1"/>
  <c r="S1481" i="1" s="1"/>
  <c r="S1482" i="1" a="1"/>
  <c r="S1482" i="1" s="1"/>
  <c r="S1483" i="1" a="1"/>
  <c r="S1483" i="1" s="1"/>
  <c r="S1484" i="1" a="1"/>
  <c r="S1484" i="1" s="1"/>
  <c r="S1485" i="1" a="1"/>
  <c r="S1485" i="1" s="1"/>
  <c r="S1486" i="1" a="1"/>
  <c r="S1486" i="1" s="1"/>
  <c r="S1487" i="1" a="1"/>
  <c r="S1487" i="1" s="1"/>
  <c r="S1488" i="1" a="1"/>
  <c r="S1488" i="1" s="1"/>
  <c r="S1489" i="1" a="1"/>
  <c r="S1489" i="1" s="1"/>
  <c r="S1490" i="1" a="1"/>
  <c r="S1490" i="1" s="1"/>
  <c r="S1491" i="1" a="1"/>
  <c r="S1491" i="1" s="1"/>
  <c r="S1492" i="1" a="1"/>
  <c r="S1492" i="1" s="1"/>
  <c r="S1493" i="1" a="1"/>
  <c r="S1493" i="1" s="1"/>
  <c r="S1494" i="1" a="1"/>
  <c r="S1494" i="1" s="1"/>
  <c r="S1495" i="1" a="1"/>
  <c r="S1495" i="1" s="1"/>
  <c r="S1496" i="1" a="1"/>
  <c r="S1496" i="1" s="1"/>
  <c r="S1497" i="1" a="1"/>
  <c r="S1497" i="1" s="1"/>
  <c r="S1498" i="1" a="1"/>
  <c r="S1498" i="1" s="1"/>
  <c r="S1499" i="1" a="1"/>
  <c r="S1499" i="1" s="1"/>
  <c r="S1500" i="1" a="1"/>
  <c r="S1500" i="1" s="1"/>
  <c r="S1501" i="1" a="1"/>
  <c r="S1501" i="1" s="1"/>
  <c r="S1502" i="1" a="1"/>
  <c r="S1502" i="1" s="1"/>
  <c r="S1503" i="1" a="1"/>
  <c r="S1503" i="1" s="1"/>
  <c r="S1504" i="1" a="1"/>
  <c r="S1504" i="1" s="1"/>
  <c r="S1505" i="1" a="1"/>
  <c r="S1505" i="1" s="1"/>
  <c r="S1506" i="1" a="1"/>
  <c r="S1506" i="1" s="1"/>
  <c r="S1507" i="1" a="1"/>
  <c r="S1507" i="1" s="1"/>
  <c r="S1508" i="1" a="1"/>
  <c r="S1508" i="1" s="1"/>
  <c r="S1509" i="1" a="1"/>
  <c r="S1509" i="1" s="1"/>
  <c r="S1510" i="1" a="1"/>
  <c r="S1510" i="1" s="1"/>
  <c r="S1511" i="1" a="1"/>
  <c r="S1511" i="1" s="1"/>
  <c r="S1512" i="1" a="1"/>
  <c r="S1512" i="1" s="1"/>
  <c r="S1513" i="1" a="1"/>
  <c r="S1513" i="1" s="1"/>
  <c r="S1514" i="1" a="1"/>
  <c r="S1514" i="1" s="1"/>
  <c r="S1515" i="1" a="1"/>
  <c r="S1515" i="1" s="1"/>
  <c r="S1516" i="1" a="1"/>
  <c r="S1516" i="1" s="1"/>
  <c r="S1517" i="1" a="1"/>
  <c r="S1517" i="1" s="1"/>
  <c r="S1518" i="1" a="1"/>
  <c r="S1518" i="1" s="1"/>
  <c r="S1519" i="1" a="1"/>
  <c r="S1519" i="1" s="1"/>
  <c r="S1520" i="1" a="1"/>
  <c r="S1520" i="1" s="1"/>
  <c r="S1521" i="1" a="1"/>
  <c r="S1521" i="1" s="1"/>
  <c r="S1522" i="1" a="1"/>
  <c r="S1522" i="1" s="1"/>
  <c r="S1523" i="1" a="1"/>
  <c r="S1523" i="1" s="1"/>
  <c r="S1524" i="1" a="1"/>
  <c r="S1524" i="1" s="1"/>
  <c r="S1525" i="1" a="1"/>
  <c r="S1525" i="1" s="1"/>
  <c r="S1526" i="1" a="1"/>
  <c r="S1526" i="1" s="1"/>
  <c r="S1527" i="1" a="1"/>
  <c r="S1527" i="1" s="1"/>
  <c r="S1528" i="1" a="1"/>
  <c r="S1528" i="1" s="1"/>
  <c r="S1529" i="1" a="1"/>
  <c r="S1529" i="1" s="1"/>
  <c r="S1530" i="1" a="1"/>
  <c r="S1530" i="1" s="1"/>
  <c r="S1531" i="1" a="1"/>
  <c r="S1531" i="1" s="1"/>
  <c r="S1532" i="1" a="1"/>
  <c r="S1532" i="1" s="1"/>
  <c r="S1533" i="1" a="1"/>
  <c r="S1533" i="1" s="1"/>
  <c r="S1534" i="1" a="1"/>
  <c r="S1534" i="1" s="1"/>
  <c r="S1535" i="1" a="1"/>
  <c r="S1535" i="1" s="1"/>
  <c r="S1536" i="1" a="1"/>
  <c r="S1536" i="1" s="1"/>
  <c r="S1537" i="1" a="1"/>
  <c r="S1537" i="1" s="1"/>
  <c r="S1538" i="1" a="1"/>
  <c r="S1538" i="1" s="1"/>
  <c r="S1539" i="1" a="1"/>
  <c r="S1539" i="1" s="1"/>
  <c r="S1540" i="1" a="1"/>
  <c r="S1540" i="1" s="1"/>
  <c r="S1541" i="1" a="1"/>
  <c r="S1541" i="1" s="1"/>
  <c r="S1542" i="1" a="1"/>
  <c r="S1542" i="1" s="1"/>
  <c r="S1543" i="1" a="1"/>
  <c r="S1543" i="1" s="1"/>
  <c r="S1544" i="1" a="1"/>
  <c r="S1544" i="1" s="1"/>
  <c r="S1545" i="1" a="1"/>
  <c r="S1545" i="1" s="1"/>
  <c r="S1546" i="1" a="1"/>
  <c r="S1546" i="1" s="1"/>
  <c r="S1547" i="1" a="1"/>
  <c r="S1547" i="1" s="1"/>
  <c r="S1548" i="1" a="1"/>
  <c r="S1548" i="1" s="1"/>
  <c r="S1549" i="1" a="1"/>
  <c r="S1549" i="1" s="1"/>
  <c r="S1550" i="1" a="1"/>
  <c r="S1550" i="1" s="1"/>
  <c r="S1551" i="1" a="1"/>
  <c r="S1551" i="1" s="1"/>
  <c r="S1552" i="1" a="1"/>
  <c r="S1552" i="1" s="1"/>
  <c r="S1553" i="1" a="1"/>
  <c r="S1553" i="1" s="1"/>
  <c r="S1554" i="1" a="1"/>
  <c r="S1554" i="1" s="1"/>
  <c r="S1555" i="1" a="1"/>
  <c r="S1555" i="1" s="1"/>
  <c r="S1556" i="1" a="1"/>
  <c r="S1556" i="1" s="1"/>
  <c r="S1557" i="1" a="1"/>
  <c r="S1557" i="1" s="1"/>
  <c r="S1558" i="1" a="1"/>
  <c r="S1558" i="1" s="1"/>
  <c r="S1559" i="1" a="1"/>
  <c r="S1559" i="1" s="1"/>
  <c r="S1560" i="1" a="1"/>
  <c r="S1560" i="1" s="1"/>
  <c r="S1561" i="1" a="1"/>
  <c r="S1561" i="1" s="1"/>
  <c r="S1562" i="1" a="1"/>
  <c r="S1562" i="1" s="1"/>
  <c r="S1563" i="1" a="1"/>
  <c r="S1563" i="1" s="1"/>
  <c r="S1564" i="1" a="1"/>
  <c r="S1564" i="1" s="1"/>
  <c r="S1565" i="1" a="1"/>
  <c r="S1565" i="1" s="1"/>
  <c r="S1566" i="1" a="1"/>
  <c r="S1566" i="1" s="1"/>
  <c r="S1567" i="1" a="1"/>
  <c r="S1567" i="1" s="1"/>
  <c r="S1568" i="1" a="1"/>
  <c r="S1568" i="1" s="1"/>
  <c r="S1569" i="1" a="1"/>
  <c r="S1569" i="1" s="1"/>
  <c r="S1570" i="1" a="1"/>
  <c r="S1570" i="1" s="1"/>
  <c r="S1571" i="1" a="1"/>
  <c r="S1571" i="1" s="1"/>
  <c r="S1572" i="1" a="1"/>
  <c r="S1572" i="1" s="1"/>
  <c r="S1573" i="1" a="1"/>
  <c r="S1573" i="1" s="1"/>
  <c r="S1574" i="1" a="1"/>
  <c r="S1574" i="1" s="1"/>
  <c r="S1575" i="1" a="1"/>
  <c r="S1575" i="1" s="1"/>
  <c r="S1576" i="1" a="1"/>
  <c r="S1576" i="1" s="1"/>
  <c r="S1577" i="1" a="1"/>
  <c r="S1577" i="1" s="1"/>
  <c r="S1578" i="1" a="1"/>
  <c r="S1578" i="1" s="1"/>
  <c r="S1579" i="1" a="1"/>
  <c r="S1579" i="1" s="1"/>
  <c r="S1580" i="1" a="1"/>
  <c r="S1580" i="1" s="1"/>
  <c r="S1581" i="1" a="1"/>
  <c r="S1581" i="1" s="1"/>
  <c r="S1582" i="1" a="1"/>
  <c r="S1582" i="1" s="1"/>
  <c r="S1583" i="1" a="1"/>
  <c r="S1583" i="1" s="1"/>
  <c r="S1584" i="1" a="1"/>
  <c r="S1584" i="1" s="1"/>
  <c r="S1585" i="1" a="1"/>
  <c r="S1585" i="1" s="1"/>
  <c r="S1586" i="1" a="1"/>
  <c r="S1586" i="1" s="1"/>
  <c r="S1587" i="1" a="1"/>
  <c r="S1587" i="1" s="1"/>
  <c r="S1588" i="1" a="1"/>
  <c r="S1588" i="1" s="1"/>
  <c r="S1589" i="1" a="1"/>
  <c r="S1589" i="1" s="1"/>
  <c r="S1590" i="1" a="1"/>
  <c r="S1590" i="1" s="1"/>
  <c r="S1591" i="1" a="1"/>
  <c r="S1591" i="1" s="1"/>
  <c r="S1592" i="1" a="1"/>
  <c r="S1592" i="1" s="1"/>
  <c r="S1593" i="1" a="1"/>
  <c r="S1593" i="1" s="1"/>
  <c r="S1594" i="1" a="1"/>
  <c r="S1594" i="1" s="1"/>
  <c r="S1595" i="1" a="1"/>
  <c r="S1595" i="1" s="1"/>
  <c r="S1596" i="1" a="1"/>
  <c r="S1596" i="1" s="1"/>
  <c r="S1597" i="1" a="1"/>
  <c r="S1597" i="1" s="1"/>
  <c r="S1598" i="1" a="1"/>
  <c r="S1598" i="1" s="1"/>
  <c r="S1599" i="1" a="1"/>
  <c r="S1599" i="1" s="1"/>
  <c r="S1600" i="1" a="1"/>
  <c r="S1600" i="1" s="1"/>
  <c r="S1601" i="1" a="1"/>
  <c r="S1601" i="1" s="1"/>
  <c r="S1602" i="1" a="1"/>
  <c r="S1602" i="1" s="1"/>
  <c r="S1603" i="1" a="1"/>
  <c r="S1603" i="1" s="1"/>
  <c r="S1604" i="1" a="1"/>
  <c r="S1604" i="1" s="1"/>
  <c r="S1605" i="1" a="1"/>
  <c r="S1605" i="1" s="1"/>
  <c r="S1606" i="1" a="1"/>
  <c r="S1606" i="1" s="1"/>
  <c r="S1607" i="1" a="1"/>
  <c r="S1607" i="1" s="1"/>
  <c r="S1608" i="1" a="1"/>
  <c r="S1608" i="1" s="1"/>
  <c r="S1609" i="1" a="1"/>
  <c r="S1609" i="1" s="1"/>
  <c r="S1610" i="1" a="1"/>
  <c r="S1610" i="1" s="1"/>
  <c r="S1611" i="1" a="1"/>
  <c r="S1611" i="1" s="1"/>
  <c r="S1612" i="1" a="1"/>
  <c r="S1612" i="1" s="1"/>
  <c r="S1613" i="1" a="1"/>
  <c r="S1613" i="1" s="1"/>
  <c r="S1614" i="1" a="1"/>
  <c r="S1614" i="1" s="1"/>
  <c r="S1615" i="1" a="1"/>
  <c r="S1615" i="1" s="1"/>
  <c r="S1616" i="1" a="1"/>
  <c r="S1616" i="1" s="1"/>
  <c r="S1617" i="1" a="1"/>
  <c r="S1617" i="1" s="1"/>
  <c r="S1618" i="1" a="1"/>
  <c r="S1618" i="1" s="1"/>
  <c r="S1619" i="1" a="1"/>
  <c r="S1619" i="1" s="1"/>
  <c r="S1620" i="1" a="1"/>
  <c r="S1620" i="1" s="1"/>
  <c r="S1621" i="1" a="1"/>
  <c r="S1621" i="1" s="1"/>
  <c r="S1622" i="1" a="1"/>
  <c r="S1622" i="1" s="1"/>
  <c r="S1623" i="1" a="1"/>
  <c r="S1623" i="1" s="1"/>
  <c r="S1624" i="1" a="1"/>
  <c r="S1624" i="1" s="1"/>
  <c r="S1625" i="1" a="1"/>
  <c r="S1625" i="1" s="1"/>
  <c r="S1626" i="1" a="1"/>
  <c r="S1626" i="1" s="1"/>
  <c r="S1627" i="1" a="1"/>
  <c r="S1627" i="1" s="1"/>
  <c r="S1628" i="1" a="1"/>
  <c r="S1628" i="1" s="1"/>
  <c r="S1629" i="1" a="1"/>
  <c r="S1629" i="1" s="1"/>
  <c r="S1630" i="1" a="1"/>
  <c r="S1630" i="1" s="1"/>
  <c r="S1631" i="1" a="1"/>
  <c r="S1631" i="1" s="1"/>
  <c r="S1632" i="1" a="1"/>
  <c r="S1632" i="1" s="1"/>
  <c r="S1633" i="1" a="1"/>
  <c r="S1633" i="1" s="1"/>
  <c r="S1634" i="1" a="1"/>
  <c r="S1634" i="1" s="1"/>
  <c r="S1635" i="1" a="1"/>
  <c r="S1635" i="1" s="1"/>
  <c r="S1636" i="1" a="1"/>
  <c r="S1636" i="1" s="1"/>
  <c r="S1637" i="1" a="1"/>
  <c r="S1637" i="1" s="1"/>
  <c r="S1638" i="1" a="1"/>
  <c r="S1638" i="1" s="1"/>
  <c r="S1639" i="1" a="1"/>
  <c r="S1639" i="1" s="1"/>
  <c r="S1640" i="1" a="1"/>
  <c r="S1640" i="1" s="1"/>
  <c r="S1641" i="1" a="1"/>
  <c r="S1641" i="1" s="1"/>
  <c r="S1642" i="1" a="1"/>
  <c r="S1642" i="1" s="1"/>
  <c r="S1643" i="1" a="1"/>
  <c r="S1643" i="1" s="1"/>
  <c r="S1644" i="1" a="1"/>
  <c r="S1644" i="1" s="1"/>
  <c r="S1645" i="1" a="1"/>
  <c r="S1645" i="1" s="1"/>
  <c r="S1646" i="1" a="1"/>
  <c r="S1646" i="1" s="1"/>
  <c r="S1647" i="1" a="1"/>
  <c r="S1647" i="1" s="1"/>
  <c r="S1648" i="1" a="1"/>
  <c r="S1648" i="1" s="1"/>
  <c r="S1649" i="1" a="1"/>
  <c r="S1649" i="1" s="1"/>
  <c r="S1650" i="1" a="1"/>
  <c r="S1650" i="1" s="1"/>
  <c r="S1651" i="1" a="1"/>
  <c r="S1651" i="1" s="1"/>
  <c r="S1652" i="1" a="1"/>
  <c r="S1652" i="1" s="1"/>
  <c r="S1653" i="1" a="1"/>
  <c r="S1653" i="1" s="1"/>
  <c r="S1654" i="1" a="1"/>
  <c r="S1654" i="1" s="1"/>
  <c r="S1655" i="1" a="1"/>
  <c r="S1655" i="1" s="1"/>
  <c r="S1656" i="1" a="1"/>
  <c r="S1656" i="1" s="1"/>
  <c r="S1657" i="1" a="1"/>
  <c r="S1657" i="1" s="1"/>
  <c r="S1658" i="1" a="1"/>
  <c r="S1658" i="1" s="1"/>
  <c r="S1659" i="1" a="1"/>
  <c r="S1659" i="1" s="1"/>
  <c r="S1660" i="1" a="1"/>
  <c r="S1660" i="1" s="1"/>
  <c r="S1661" i="1" a="1"/>
  <c r="S1661" i="1" s="1"/>
  <c r="S1662" i="1" a="1"/>
  <c r="S1662" i="1" s="1"/>
  <c r="S1663" i="1" a="1"/>
  <c r="S1663" i="1" s="1"/>
  <c r="S1664" i="1" a="1"/>
  <c r="S1664" i="1" s="1"/>
  <c r="S1665" i="1" a="1"/>
  <c r="S1665" i="1" s="1"/>
  <c r="S1666" i="1" a="1"/>
  <c r="S1666" i="1" s="1"/>
  <c r="S1667" i="1" a="1"/>
  <c r="S1667" i="1" s="1"/>
  <c r="S1668" i="1" a="1"/>
  <c r="S1668" i="1" s="1"/>
  <c r="S1669" i="1" a="1"/>
  <c r="S1669" i="1" s="1"/>
  <c r="S1670" i="1" a="1"/>
  <c r="S1670" i="1" s="1"/>
  <c r="S1671" i="1" a="1"/>
  <c r="S1671" i="1" s="1"/>
  <c r="S1672" i="1" a="1"/>
  <c r="S1672" i="1" s="1"/>
  <c r="S1673" i="1" a="1"/>
  <c r="S1673" i="1" s="1"/>
  <c r="S1674" i="1" a="1"/>
  <c r="S1674" i="1" s="1"/>
  <c r="S1675" i="1" a="1"/>
  <c r="S1675" i="1" s="1"/>
  <c r="S1676" i="1" a="1"/>
  <c r="S1676" i="1" s="1"/>
  <c r="S1677" i="1" a="1"/>
  <c r="S1677" i="1" s="1"/>
  <c r="S1678" i="1" a="1"/>
  <c r="S1678" i="1" s="1"/>
  <c r="S1679" i="1" a="1"/>
  <c r="S1679" i="1" s="1"/>
  <c r="S1680" i="1" a="1"/>
  <c r="S1680" i="1" s="1"/>
  <c r="S1681" i="1" a="1"/>
  <c r="S1681" i="1" s="1"/>
  <c r="S1682" i="1" a="1"/>
  <c r="S1682" i="1" s="1"/>
  <c r="S1683" i="1" a="1"/>
  <c r="S1683" i="1" s="1"/>
  <c r="S1684" i="1" a="1"/>
  <c r="S1684" i="1" s="1"/>
  <c r="S1685" i="1" a="1"/>
  <c r="S1685" i="1" s="1"/>
  <c r="S1686" i="1" a="1"/>
  <c r="S1686" i="1" s="1"/>
  <c r="S1687" i="1" a="1"/>
  <c r="S1687" i="1" s="1"/>
  <c r="S1688" i="1" a="1"/>
  <c r="S1688" i="1" s="1"/>
  <c r="S1689" i="1" a="1"/>
  <c r="S1689" i="1" s="1"/>
  <c r="S1690" i="1" a="1"/>
  <c r="S1690" i="1" s="1"/>
  <c r="S1691" i="1" a="1"/>
  <c r="S1691" i="1" s="1"/>
  <c r="S1692" i="1" a="1"/>
  <c r="S1692" i="1" s="1"/>
  <c r="S1693" i="1" a="1"/>
  <c r="S1693" i="1" s="1"/>
  <c r="S1694" i="1" a="1"/>
  <c r="S1694" i="1" s="1"/>
  <c r="S1695" i="1" a="1"/>
  <c r="S1695" i="1" s="1"/>
  <c r="S1696" i="1" a="1"/>
  <c r="S1696" i="1" s="1"/>
  <c r="S1697" i="1" a="1"/>
  <c r="S1697" i="1" s="1"/>
  <c r="S1698" i="1" a="1"/>
  <c r="S1698" i="1" s="1"/>
  <c r="S1699" i="1" a="1"/>
  <c r="S1699" i="1" s="1"/>
  <c r="S1700" i="1" a="1"/>
  <c r="S1700" i="1" s="1"/>
  <c r="S1701" i="1" a="1"/>
  <c r="S1701" i="1" s="1"/>
  <c r="S1702" i="1" a="1"/>
  <c r="S1702" i="1" s="1"/>
  <c r="S1703" i="1" a="1"/>
  <c r="S1703" i="1" s="1"/>
  <c r="S1704" i="1" a="1"/>
  <c r="S1704" i="1" s="1"/>
  <c r="S1705" i="1" a="1"/>
  <c r="S1705" i="1" s="1"/>
  <c r="S1706" i="1" a="1"/>
  <c r="S1706" i="1" s="1"/>
  <c r="S1707" i="1" a="1"/>
  <c r="S1707" i="1" s="1"/>
  <c r="S1708" i="1" a="1"/>
  <c r="S1708" i="1" s="1"/>
  <c r="S1709" i="1" a="1"/>
  <c r="S1709" i="1" s="1"/>
  <c r="S1710" i="1" a="1"/>
  <c r="S1710" i="1" s="1"/>
  <c r="S1711" i="1" a="1"/>
  <c r="S1711" i="1" s="1"/>
  <c r="S1712" i="1" a="1"/>
  <c r="S1712" i="1" s="1"/>
  <c r="S1713" i="1" a="1"/>
  <c r="S1713" i="1" s="1"/>
  <c r="S1714" i="1" a="1"/>
  <c r="S1714" i="1" s="1"/>
  <c r="S1715" i="1" a="1"/>
  <c r="S1715" i="1" s="1"/>
  <c r="S1716" i="1" a="1"/>
  <c r="S1716" i="1" s="1"/>
  <c r="S1717" i="1" a="1"/>
  <c r="S1717" i="1" s="1"/>
  <c r="S1718" i="1" a="1"/>
  <c r="S1718" i="1" s="1"/>
  <c r="S1719" i="1" a="1"/>
  <c r="S1719" i="1" s="1"/>
  <c r="S1720" i="1" a="1"/>
  <c r="S1720" i="1" s="1"/>
  <c r="S1721" i="1" a="1"/>
  <c r="S1721" i="1" s="1"/>
  <c r="S1722" i="1" a="1"/>
  <c r="S1722" i="1" s="1"/>
  <c r="S1723" i="1" a="1"/>
  <c r="S1723" i="1" s="1"/>
  <c r="S1724" i="1" a="1"/>
  <c r="S1724" i="1" s="1"/>
  <c r="S1725" i="1" a="1"/>
  <c r="S1725" i="1" s="1"/>
  <c r="S1726" i="1" a="1"/>
  <c r="S1726" i="1" s="1"/>
  <c r="S1727" i="1" a="1"/>
  <c r="S1727" i="1" s="1"/>
  <c r="S1728" i="1" a="1"/>
  <c r="S1728" i="1" s="1"/>
  <c r="S1729" i="1" a="1"/>
  <c r="S1729" i="1" s="1"/>
  <c r="S1730" i="1" a="1"/>
  <c r="S1730" i="1" s="1"/>
  <c r="S1731" i="1" a="1"/>
  <c r="S1731" i="1" s="1"/>
  <c r="S1732" i="1" a="1"/>
  <c r="S1732" i="1" s="1"/>
  <c r="S1733" i="1" a="1"/>
  <c r="S1733" i="1" s="1"/>
  <c r="S1734" i="1" a="1"/>
  <c r="S1734" i="1" s="1"/>
  <c r="S1735" i="1" a="1"/>
  <c r="S1735" i="1" s="1"/>
  <c r="S1736" i="1" a="1"/>
  <c r="S1736" i="1" s="1"/>
  <c r="S1737" i="1" a="1"/>
  <c r="S1737" i="1" s="1"/>
  <c r="S1738" i="1" a="1"/>
  <c r="S1738" i="1" s="1"/>
  <c r="S1739" i="1" a="1"/>
  <c r="S1739" i="1" s="1"/>
  <c r="S1740" i="1" a="1"/>
  <c r="S1740" i="1" s="1"/>
  <c r="S1741" i="1" a="1"/>
  <c r="S1741" i="1" s="1"/>
  <c r="S1742" i="1" a="1"/>
  <c r="S1742" i="1" s="1"/>
  <c r="S1743" i="1" a="1"/>
  <c r="S1743" i="1" s="1"/>
  <c r="S1744" i="1" a="1"/>
  <c r="S1744" i="1" s="1"/>
  <c r="S1745" i="1" a="1"/>
  <c r="S1745" i="1" s="1"/>
  <c r="S1746" i="1" a="1"/>
  <c r="S1746" i="1" s="1"/>
  <c r="S1747" i="1" a="1"/>
  <c r="S1747" i="1" s="1"/>
  <c r="S1748" i="1" a="1"/>
  <c r="S1748" i="1" s="1"/>
  <c r="S1749" i="1" a="1"/>
  <c r="S1749" i="1" s="1"/>
  <c r="S1750" i="1" a="1"/>
  <c r="S1750" i="1" s="1"/>
  <c r="S1751" i="1" a="1"/>
  <c r="S1751" i="1" s="1"/>
  <c r="S1752" i="1" a="1"/>
  <c r="S1752" i="1" s="1"/>
  <c r="S1753" i="1" a="1"/>
  <c r="S1753" i="1" s="1"/>
  <c r="S1754" i="1" a="1"/>
  <c r="S1754" i="1" s="1"/>
  <c r="S1755" i="1" a="1"/>
  <c r="S1755" i="1" s="1"/>
  <c r="S1756" i="1" a="1"/>
  <c r="S1756" i="1" s="1"/>
  <c r="S1757" i="1" a="1"/>
  <c r="S1757" i="1" s="1"/>
  <c r="S1758" i="1" a="1"/>
  <c r="S1758" i="1" s="1"/>
  <c r="S1759" i="1" a="1"/>
  <c r="S1759" i="1" s="1"/>
  <c r="S1760" i="1" a="1"/>
  <c r="S1760" i="1" s="1"/>
  <c r="S1761" i="1" a="1"/>
  <c r="S1761" i="1" s="1"/>
  <c r="S1762" i="1" a="1"/>
  <c r="S1762" i="1" s="1"/>
  <c r="S1763" i="1" a="1"/>
  <c r="S1763" i="1" s="1"/>
  <c r="S1764" i="1" a="1"/>
  <c r="S1764" i="1" s="1"/>
  <c r="S1765" i="1" a="1"/>
  <c r="S1765" i="1" s="1"/>
  <c r="S1766" i="1" a="1"/>
  <c r="S1766" i="1" s="1"/>
  <c r="S1767" i="1" a="1"/>
  <c r="S1767" i="1" s="1"/>
  <c r="S1768" i="1" a="1"/>
  <c r="S1768" i="1" s="1"/>
  <c r="S1769" i="1" a="1"/>
  <c r="S1769" i="1" s="1"/>
  <c r="S1770" i="1" a="1"/>
  <c r="S1770" i="1" s="1"/>
  <c r="S1771" i="1" a="1"/>
  <c r="S1771" i="1" s="1"/>
  <c r="S1772" i="1" a="1"/>
  <c r="S1772" i="1" s="1"/>
  <c r="S1773" i="1" a="1"/>
  <c r="S1773" i="1" s="1"/>
  <c r="S1774" i="1" a="1"/>
  <c r="S1774" i="1" s="1"/>
  <c r="S1775" i="1" a="1"/>
  <c r="S1775" i="1" s="1"/>
  <c r="S1776" i="1" a="1"/>
  <c r="S1776" i="1" s="1"/>
  <c r="S1777" i="1" a="1"/>
  <c r="S1777" i="1" s="1"/>
  <c r="S1778" i="1" a="1"/>
  <c r="S1778" i="1" s="1"/>
  <c r="S1779" i="1" a="1"/>
  <c r="S1779" i="1" s="1"/>
  <c r="S1780" i="1" a="1"/>
  <c r="S1780" i="1" s="1"/>
  <c r="S1781" i="1" a="1"/>
  <c r="S1781" i="1" s="1"/>
  <c r="S1782" i="1" a="1"/>
  <c r="S1782" i="1" s="1"/>
  <c r="S1783" i="1" a="1"/>
  <c r="S1783" i="1" s="1"/>
  <c r="S1784" i="1" a="1"/>
  <c r="S1784" i="1" s="1"/>
  <c r="S1785" i="1" a="1"/>
  <c r="S1785" i="1" s="1"/>
  <c r="S1786" i="1" a="1"/>
  <c r="S1786" i="1" s="1"/>
  <c r="S1787" i="1" a="1"/>
  <c r="S1787" i="1" s="1"/>
  <c r="S1788" i="1" a="1"/>
  <c r="S1788" i="1" s="1"/>
  <c r="S1789" i="1" a="1"/>
  <c r="S1789" i="1" s="1"/>
  <c r="S1790" i="1" a="1"/>
  <c r="S1790" i="1" s="1"/>
  <c r="S1791" i="1" a="1"/>
  <c r="S1791" i="1" s="1"/>
  <c r="S1792" i="1" a="1"/>
  <c r="S1792" i="1" s="1"/>
  <c r="S1793" i="1" a="1"/>
  <c r="S1793" i="1" s="1"/>
  <c r="S1794" i="1" a="1"/>
  <c r="S1794" i="1" s="1"/>
  <c r="S1795" i="1" a="1"/>
  <c r="S1795" i="1" s="1"/>
  <c r="S1796" i="1" a="1"/>
  <c r="S1796" i="1" s="1"/>
  <c r="S1797" i="1" a="1"/>
  <c r="S1797" i="1" s="1"/>
  <c r="S1798" i="1" a="1"/>
  <c r="S1798" i="1" s="1"/>
  <c r="S1799" i="1" a="1"/>
  <c r="S1799" i="1" s="1"/>
  <c r="S1800" i="1" a="1"/>
  <c r="S1800" i="1" s="1"/>
  <c r="S1801" i="1" a="1"/>
  <c r="S1801" i="1" s="1"/>
  <c r="S1802" i="1" a="1"/>
  <c r="S1802" i="1" s="1"/>
  <c r="S1803" i="1" a="1"/>
  <c r="S1803" i="1" s="1"/>
  <c r="S1804" i="1" a="1"/>
  <c r="S1804" i="1" s="1"/>
  <c r="S1805" i="1" a="1"/>
  <c r="S1805" i="1" s="1"/>
  <c r="S1806" i="1" a="1"/>
  <c r="S1806" i="1" s="1"/>
  <c r="S1807" i="1" a="1"/>
  <c r="S1807" i="1" s="1"/>
  <c r="S1808" i="1" a="1"/>
  <c r="S1808" i="1" s="1"/>
  <c r="S1809" i="1" a="1"/>
  <c r="S1809" i="1" s="1"/>
  <c r="S1810" i="1" a="1"/>
  <c r="S1810" i="1" s="1"/>
  <c r="S1811" i="1" a="1"/>
  <c r="S1811" i="1" s="1"/>
  <c r="S1812" i="1" a="1"/>
  <c r="S1812" i="1" s="1"/>
  <c r="S1813" i="1" a="1"/>
  <c r="S1813" i="1" s="1"/>
  <c r="S1814" i="1" a="1"/>
  <c r="S1814" i="1" s="1"/>
  <c r="S1815" i="1" a="1"/>
  <c r="S1815" i="1" s="1"/>
  <c r="S1816" i="1" a="1"/>
  <c r="S1816" i="1" s="1"/>
  <c r="S1817" i="1" a="1"/>
  <c r="S1817" i="1" s="1"/>
  <c r="S1818" i="1" a="1"/>
  <c r="S1818" i="1" s="1"/>
  <c r="S1819" i="1" a="1"/>
  <c r="S1819" i="1" s="1"/>
  <c r="S1820" i="1" a="1"/>
  <c r="S1820" i="1" s="1"/>
  <c r="S1821" i="1" a="1"/>
  <c r="S1821" i="1" s="1"/>
  <c r="S1822" i="1" a="1"/>
  <c r="S1822" i="1" s="1"/>
  <c r="S1823" i="1" a="1"/>
  <c r="S1823" i="1" s="1"/>
  <c r="S1824" i="1" a="1"/>
  <c r="S1824" i="1" s="1"/>
  <c r="S1825" i="1" a="1"/>
  <c r="S1825" i="1" s="1"/>
  <c r="S1826" i="1" a="1"/>
  <c r="S1826" i="1" s="1"/>
  <c r="S1827" i="1" a="1"/>
  <c r="S1827" i="1" s="1"/>
  <c r="S1828" i="1" a="1"/>
  <c r="S1828" i="1" s="1"/>
  <c r="S1829" i="1" a="1"/>
  <c r="S1829" i="1" s="1"/>
  <c r="S1830" i="1" a="1"/>
  <c r="S1830" i="1" s="1"/>
  <c r="S1831" i="1" a="1"/>
  <c r="S1831" i="1" s="1"/>
  <c r="S1832" i="1" a="1"/>
  <c r="S1832" i="1" s="1"/>
  <c r="S1833" i="1" a="1"/>
  <c r="S1833" i="1" s="1"/>
  <c r="S1834" i="1" a="1"/>
  <c r="S1834" i="1" s="1"/>
  <c r="S1835" i="1" a="1"/>
  <c r="S1835" i="1" s="1"/>
  <c r="S1836" i="1" a="1"/>
  <c r="S1836" i="1" s="1"/>
  <c r="S1837" i="1" a="1"/>
  <c r="S1837" i="1" s="1"/>
  <c r="S1838" i="1" a="1"/>
  <c r="S1838" i="1" s="1"/>
  <c r="S1839" i="1" a="1"/>
  <c r="S1839" i="1" s="1"/>
  <c r="S1840" i="1" a="1"/>
  <c r="S1840" i="1" s="1"/>
  <c r="S1841" i="1" a="1"/>
  <c r="S1841" i="1" s="1"/>
  <c r="S1842" i="1" a="1"/>
  <c r="S1842" i="1" s="1"/>
  <c r="S1843" i="1" a="1"/>
  <c r="S1843" i="1" s="1"/>
  <c r="S1844" i="1" a="1"/>
  <c r="S1844" i="1" s="1"/>
  <c r="S1845" i="1" a="1"/>
  <c r="S1845" i="1" s="1"/>
  <c r="S1846" i="1" a="1"/>
  <c r="S1846" i="1" s="1"/>
  <c r="S1847" i="1" a="1"/>
  <c r="S1847" i="1" s="1"/>
  <c r="S1848" i="1" a="1"/>
  <c r="S1848" i="1" s="1"/>
  <c r="S1849" i="1" a="1"/>
  <c r="S1849" i="1" s="1"/>
  <c r="S1850" i="1" a="1"/>
  <c r="S1850" i="1" s="1"/>
  <c r="S1851" i="1" a="1"/>
  <c r="S1851" i="1" s="1"/>
  <c r="S1852" i="1" a="1"/>
  <c r="S1852" i="1" s="1"/>
  <c r="S1853" i="1" a="1"/>
  <c r="S1853" i="1" s="1"/>
  <c r="S1854" i="1" a="1"/>
  <c r="S1854" i="1" s="1"/>
  <c r="S1855" i="1" a="1"/>
  <c r="S1855" i="1" s="1"/>
  <c r="S1856" i="1" a="1"/>
  <c r="S1856" i="1" s="1"/>
  <c r="S1857" i="1" a="1"/>
  <c r="S1857" i="1" s="1"/>
  <c r="S1858" i="1" a="1"/>
  <c r="S1858" i="1" s="1"/>
  <c r="S1859" i="1" a="1"/>
  <c r="S1859" i="1" s="1"/>
  <c r="S1860" i="1" a="1"/>
  <c r="S1860" i="1" s="1"/>
  <c r="S1861" i="1" a="1"/>
  <c r="S1861" i="1" s="1"/>
  <c r="S1862" i="1" a="1"/>
  <c r="S1862" i="1" s="1"/>
  <c r="S1863" i="1" a="1"/>
  <c r="S1863" i="1" s="1"/>
  <c r="S1864" i="1" a="1"/>
  <c r="S1864" i="1" s="1"/>
  <c r="S1865" i="1" a="1"/>
  <c r="S1865" i="1" s="1"/>
  <c r="S1866" i="1" a="1"/>
  <c r="S1866" i="1" s="1"/>
  <c r="S1867" i="1" a="1"/>
  <c r="S1867" i="1" s="1"/>
  <c r="S1868" i="1" a="1"/>
  <c r="S1868" i="1" s="1"/>
  <c r="S1869" i="1" a="1"/>
  <c r="S1869" i="1" s="1"/>
  <c r="S1870" i="1" a="1"/>
  <c r="S1870" i="1" s="1"/>
  <c r="S1871" i="1" a="1"/>
  <c r="S1871" i="1" s="1"/>
  <c r="S1872" i="1" a="1"/>
  <c r="S1872" i="1" s="1"/>
  <c r="S1873" i="1" a="1"/>
  <c r="S1873" i="1" s="1"/>
  <c r="S1874" i="1" a="1"/>
  <c r="S1874" i="1" s="1"/>
  <c r="S1875" i="1" a="1"/>
  <c r="S1875" i="1" s="1"/>
  <c r="S1876" i="1" a="1"/>
  <c r="S1876" i="1" s="1"/>
  <c r="S1877" i="1" a="1"/>
  <c r="S1877" i="1" s="1"/>
  <c r="S1878" i="1" a="1"/>
  <c r="S1878" i="1" s="1"/>
  <c r="S1879" i="1" a="1"/>
  <c r="S1879" i="1" s="1"/>
  <c r="S1880" i="1" a="1"/>
  <c r="S1880" i="1" s="1"/>
  <c r="S1881" i="1" a="1"/>
  <c r="S1881" i="1" s="1"/>
  <c r="S1882" i="1" a="1"/>
  <c r="S1882" i="1" s="1"/>
  <c r="S1883" i="1" a="1"/>
  <c r="S1883" i="1" s="1"/>
  <c r="S1884" i="1" a="1"/>
  <c r="S1884" i="1" s="1"/>
  <c r="S1885" i="1" a="1"/>
  <c r="S1885" i="1" s="1"/>
  <c r="S1886" i="1" a="1"/>
  <c r="S1886" i="1" s="1"/>
  <c r="S1887" i="1" a="1"/>
  <c r="S1887" i="1" s="1"/>
  <c r="S1888" i="1" a="1"/>
  <c r="S1888" i="1" s="1"/>
  <c r="S1889" i="1" a="1"/>
  <c r="S1889" i="1" s="1"/>
  <c r="S1890" i="1" a="1"/>
  <c r="S1890" i="1" s="1"/>
  <c r="S1891" i="1" a="1"/>
  <c r="S1891" i="1" s="1"/>
  <c r="S1892" i="1" a="1"/>
  <c r="S1892" i="1" s="1"/>
  <c r="S1893" i="1" a="1"/>
  <c r="S1893" i="1" s="1"/>
  <c r="S1894" i="1" a="1"/>
  <c r="S1894" i="1" s="1"/>
  <c r="S1895" i="1" a="1"/>
  <c r="S1895" i="1" s="1"/>
  <c r="S1896" i="1" a="1"/>
  <c r="S1896" i="1" s="1"/>
  <c r="S1897" i="1" a="1"/>
  <c r="S1897" i="1" s="1"/>
  <c r="S1898" i="1" a="1"/>
  <c r="S1898" i="1" s="1"/>
  <c r="S1899" i="1" a="1"/>
  <c r="S1899" i="1" s="1"/>
  <c r="S1900" i="1" a="1"/>
  <c r="S1900" i="1" s="1"/>
  <c r="S1901" i="1" a="1"/>
  <c r="S1901" i="1" s="1"/>
  <c r="S1902" i="1" a="1"/>
  <c r="S1902" i="1" s="1"/>
  <c r="S1903" i="1" a="1"/>
  <c r="S1903" i="1" s="1"/>
  <c r="S1904" i="1" a="1"/>
  <c r="S1904" i="1" s="1"/>
  <c r="S1905" i="1" a="1"/>
  <c r="S1905" i="1" s="1"/>
  <c r="S1906" i="1" a="1"/>
  <c r="S1906" i="1" s="1"/>
  <c r="S1907" i="1" a="1"/>
  <c r="S1907" i="1" s="1"/>
  <c r="S1908" i="1" a="1"/>
  <c r="S1908" i="1" s="1"/>
  <c r="S1909" i="1" a="1"/>
  <c r="S1909" i="1" s="1"/>
  <c r="S1910" i="1" a="1"/>
  <c r="S1910" i="1" s="1"/>
  <c r="S1911" i="1" a="1"/>
  <c r="S1911" i="1" s="1"/>
  <c r="S1912" i="1" a="1"/>
  <c r="S1912" i="1" s="1"/>
  <c r="S1913" i="1" a="1"/>
  <c r="S1913" i="1" s="1"/>
  <c r="S1914" i="1" a="1"/>
  <c r="S1914" i="1" s="1"/>
  <c r="S1915" i="1" a="1"/>
  <c r="S1915" i="1" s="1"/>
  <c r="S1916" i="1" a="1"/>
  <c r="S1916" i="1" s="1"/>
  <c r="S1917" i="1" a="1"/>
  <c r="S1917" i="1" s="1"/>
  <c r="S1918" i="1" a="1"/>
  <c r="S1918" i="1" s="1"/>
  <c r="S1919" i="1" a="1"/>
  <c r="S1919" i="1" s="1"/>
  <c r="S1920" i="1" a="1"/>
  <c r="S1920" i="1" s="1"/>
  <c r="S1921" i="1" a="1"/>
  <c r="S1921" i="1" s="1"/>
  <c r="S1922" i="1" a="1"/>
  <c r="S1922" i="1" s="1"/>
  <c r="S1923" i="1" a="1"/>
  <c r="S1923" i="1" s="1"/>
  <c r="S1924" i="1" a="1"/>
  <c r="S1924" i="1" s="1"/>
  <c r="S1925" i="1" a="1"/>
  <c r="S1925" i="1" s="1"/>
  <c r="S1926" i="1" a="1"/>
  <c r="S1926" i="1" s="1"/>
  <c r="S1927" i="1" a="1"/>
  <c r="S1927" i="1" s="1"/>
  <c r="S1928" i="1" a="1"/>
  <c r="S1928" i="1" s="1"/>
  <c r="S1929" i="1" a="1"/>
  <c r="S1929" i="1" s="1"/>
  <c r="S1930" i="1" a="1"/>
  <c r="S1930" i="1" s="1"/>
  <c r="S1931" i="1" a="1"/>
  <c r="S1931" i="1" s="1"/>
  <c r="S1932" i="1" a="1"/>
  <c r="S1932" i="1" s="1"/>
  <c r="S1933" i="1" a="1"/>
  <c r="S1933" i="1" s="1"/>
  <c r="S1934" i="1" a="1"/>
  <c r="S1934" i="1" s="1"/>
  <c r="S1935" i="1" a="1"/>
  <c r="S1935" i="1" s="1"/>
  <c r="S1936" i="1" a="1"/>
  <c r="S1936" i="1" s="1"/>
  <c r="S1937" i="1" a="1"/>
  <c r="S1937" i="1" s="1"/>
  <c r="S1938" i="1" a="1"/>
  <c r="S1938" i="1" s="1"/>
  <c r="S1939" i="1" a="1"/>
  <c r="S1939" i="1" s="1"/>
  <c r="S1940" i="1" a="1"/>
  <c r="S1940" i="1" s="1"/>
  <c r="S1941" i="1" a="1"/>
  <c r="S1941" i="1" s="1"/>
  <c r="S1942" i="1" a="1"/>
  <c r="S1942" i="1" s="1"/>
  <c r="S1943" i="1" a="1"/>
  <c r="S1943" i="1" s="1"/>
  <c r="S1944" i="1" a="1"/>
  <c r="S1944" i="1" s="1"/>
  <c r="S1945" i="1" a="1"/>
  <c r="S1945" i="1" s="1"/>
  <c r="S1946" i="1" a="1"/>
  <c r="S1946" i="1" s="1"/>
  <c r="S1947" i="1" a="1"/>
  <c r="S1947" i="1" s="1"/>
  <c r="S1948" i="1" a="1"/>
  <c r="S1948" i="1" s="1"/>
  <c r="S1949" i="1" a="1"/>
  <c r="S1949" i="1" s="1"/>
  <c r="S1950" i="1" a="1"/>
  <c r="S1950" i="1" s="1"/>
  <c r="S1951" i="1" a="1"/>
  <c r="S1951" i="1" s="1"/>
  <c r="S1952" i="1" a="1"/>
  <c r="S1952" i="1" s="1"/>
  <c r="S1953" i="1" a="1"/>
  <c r="S1953" i="1" s="1"/>
  <c r="S1954" i="1" a="1"/>
  <c r="S1954" i="1" s="1"/>
  <c r="S1955" i="1" a="1"/>
  <c r="S1955" i="1" s="1"/>
  <c r="S1956" i="1" a="1"/>
  <c r="S1956" i="1" s="1"/>
  <c r="S1957" i="1" a="1"/>
  <c r="S1957" i="1" s="1"/>
  <c r="S1958" i="1" a="1"/>
  <c r="S1958" i="1" s="1"/>
  <c r="S1959" i="1" a="1"/>
  <c r="S1959" i="1" s="1"/>
  <c r="S1960" i="1" a="1"/>
  <c r="S1960" i="1" s="1"/>
  <c r="S1961" i="1" a="1"/>
  <c r="S1961" i="1" s="1"/>
  <c r="S1962" i="1" a="1"/>
  <c r="S1962" i="1" s="1"/>
  <c r="S1963" i="1" a="1"/>
  <c r="S1963" i="1" s="1"/>
  <c r="S1964" i="1" a="1"/>
  <c r="S1964" i="1" s="1"/>
  <c r="S1965" i="1" a="1"/>
  <c r="S1965" i="1" s="1"/>
  <c r="S1966" i="1" a="1"/>
  <c r="S1966" i="1" s="1"/>
  <c r="S1967" i="1" a="1"/>
  <c r="S1967" i="1" s="1"/>
  <c r="S1968" i="1" a="1"/>
  <c r="S1968" i="1" s="1"/>
  <c r="S1969" i="1" a="1"/>
  <c r="S1969" i="1" s="1"/>
  <c r="S1970" i="1" a="1"/>
  <c r="S1970" i="1" s="1"/>
  <c r="S1971" i="1" a="1"/>
  <c r="S1971" i="1" s="1"/>
  <c r="S1972" i="1" a="1"/>
  <c r="S1972" i="1" s="1"/>
  <c r="S1973" i="1" a="1"/>
  <c r="S1973" i="1" s="1"/>
  <c r="S1974" i="1" a="1"/>
  <c r="S1974" i="1" s="1"/>
  <c r="S1975" i="1" a="1"/>
  <c r="S1975" i="1" s="1"/>
  <c r="S1976" i="1" a="1"/>
  <c r="S1976" i="1" s="1"/>
  <c r="S1977" i="1" a="1"/>
  <c r="S1977" i="1" s="1"/>
  <c r="S1978" i="1" a="1"/>
  <c r="S1978" i="1" s="1"/>
  <c r="S1979" i="1" a="1"/>
  <c r="S1979" i="1" s="1"/>
  <c r="S1980" i="1" a="1"/>
  <c r="S1980" i="1" s="1"/>
  <c r="S1981" i="1" a="1"/>
  <c r="S1981" i="1" s="1"/>
  <c r="S1982" i="1" a="1"/>
  <c r="S1982" i="1" s="1"/>
  <c r="S1983" i="1" a="1"/>
  <c r="S1983" i="1" s="1"/>
  <c r="S1984" i="1" a="1"/>
  <c r="S1984" i="1" s="1"/>
  <c r="S1985" i="1" a="1"/>
  <c r="S1985" i="1" s="1"/>
  <c r="S1986" i="1" a="1"/>
  <c r="S1986" i="1" s="1"/>
  <c r="S1987" i="1" a="1"/>
  <c r="S1987" i="1" s="1"/>
  <c r="S1988" i="1" a="1"/>
  <c r="S1988" i="1" s="1"/>
  <c r="S1989" i="1" a="1"/>
  <c r="S1989" i="1" s="1"/>
  <c r="S1990" i="1" a="1"/>
  <c r="S1990" i="1" s="1"/>
  <c r="S1991" i="1" a="1"/>
  <c r="S1991" i="1" s="1"/>
  <c r="S1992" i="1" a="1"/>
  <c r="S1992" i="1" s="1"/>
  <c r="S1993" i="1" a="1"/>
  <c r="S1993" i="1" s="1"/>
  <c r="S1994" i="1" a="1"/>
  <c r="S1994" i="1" s="1"/>
  <c r="S1995" i="1" a="1"/>
  <c r="S1995" i="1" s="1"/>
  <c r="S1996" i="1" a="1"/>
  <c r="S1996" i="1" s="1"/>
  <c r="S1997" i="1" a="1"/>
  <c r="S1997" i="1" s="1"/>
  <c r="S1998" i="1" a="1"/>
  <c r="S1998" i="1" s="1"/>
  <c r="S1999" i="1" a="1"/>
  <c r="S1999" i="1" s="1"/>
  <c r="S2000" i="1" a="1"/>
  <c r="S2000" i="1" s="1"/>
  <c r="S2001" i="1" a="1"/>
  <c r="S2001" i="1" s="1"/>
  <c r="S2002" i="1" a="1"/>
  <c r="S2002" i="1" s="1"/>
  <c r="S2003" i="1" a="1"/>
  <c r="S2003" i="1" s="1"/>
  <c r="S2004" i="1" a="1"/>
  <c r="S2004" i="1" s="1"/>
  <c r="S2005" i="1" a="1"/>
  <c r="S2005" i="1" s="1"/>
  <c r="S2006" i="1" a="1"/>
  <c r="S2006" i="1" s="1"/>
  <c r="S2007" i="1" a="1"/>
  <c r="S2007" i="1" s="1"/>
  <c r="S2008" i="1" a="1"/>
  <c r="S2008" i="1" s="1"/>
  <c r="S2009" i="1" a="1"/>
  <c r="S2009" i="1" s="1"/>
  <c r="S2010" i="1" a="1"/>
  <c r="S2010" i="1" s="1"/>
  <c r="S2011" i="1" a="1"/>
  <c r="S2011" i="1" s="1"/>
  <c r="S2012" i="1" a="1"/>
  <c r="S2012" i="1" s="1"/>
  <c r="S2013" i="1" a="1"/>
  <c r="S2013" i="1" s="1"/>
  <c r="S2014" i="1" a="1"/>
  <c r="S2014" i="1" s="1"/>
  <c r="S2015" i="1" a="1"/>
  <c r="S2015" i="1" s="1"/>
  <c r="S2016" i="1" a="1"/>
  <c r="S2016" i="1" s="1"/>
  <c r="S2017" i="1" a="1"/>
  <c r="S2017" i="1" s="1"/>
  <c r="S2018" i="1" a="1"/>
  <c r="S2018" i="1" s="1"/>
  <c r="S2019" i="1" a="1"/>
  <c r="S2019" i="1" s="1"/>
  <c r="S2020" i="1" a="1"/>
  <c r="S2020" i="1" s="1"/>
  <c r="S2021" i="1" a="1"/>
  <c r="S2021" i="1" s="1"/>
  <c r="S2022" i="1" a="1"/>
  <c r="S2022" i="1" s="1"/>
  <c r="S2023" i="1" a="1"/>
  <c r="S2023" i="1" s="1"/>
  <c r="S2024" i="1" a="1"/>
  <c r="S2024" i="1" s="1"/>
  <c r="S2025" i="1" a="1"/>
  <c r="S2025" i="1" s="1"/>
  <c r="S2026" i="1" a="1"/>
  <c r="S2026" i="1" s="1"/>
  <c r="S2027" i="1" a="1"/>
  <c r="S2027" i="1" s="1"/>
  <c r="S2028" i="1" a="1"/>
  <c r="S2028" i="1" s="1"/>
  <c r="S2029" i="1" a="1"/>
  <c r="S2029" i="1" s="1"/>
  <c r="S2030" i="1" a="1"/>
  <c r="S2030" i="1" s="1"/>
  <c r="S2031" i="1" a="1"/>
  <c r="S2031" i="1" s="1"/>
  <c r="S2032" i="1" a="1"/>
  <c r="S2032" i="1" s="1"/>
  <c r="S2033" i="1" a="1"/>
  <c r="S2033" i="1" s="1"/>
  <c r="S2034" i="1" a="1"/>
  <c r="S2034" i="1" s="1"/>
  <c r="S2035" i="1" a="1"/>
  <c r="S2035" i="1" s="1"/>
  <c r="S2036" i="1" a="1"/>
  <c r="S2036" i="1" s="1"/>
  <c r="S2037" i="1" a="1"/>
  <c r="S2037" i="1" s="1"/>
  <c r="S2038" i="1" a="1"/>
  <c r="S2038" i="1" s="1"/>
  <c r="S2039" i="1" a="1"/>
  <c r="S2039" i="1" s="1"/>
  <c r="S2040" i="1" a="1"/>
  <c r="S2040" i="1" s="1"/>
  <c r="S2041" i="1" a="1"/>
  <c r="S2041" i="1" s="1"/>
  <c r="S2042" i="1" a="1"/>
  <c r="S2042" i="1" s="1"/>
  <c r="S2043" i="1" a="1"/>
  <c r="S2043" i="1" s="1"/>
  <c r="S2044" i="1" a="1"/>
  <c r="S2044" i="1" s="1"/>
  <c r="S2045" i="1" a="1"/>
  <c r="S2045" i="1" s="1"/>
  <c r="S2046" i="1" a="1"/>
  <c r="S2046" i="1" s="1"/>
  <c r="S2047" i="1" a="1"/>
  <c r="S2047" i="1" s="1"/>
  <c r="S2048" i="1" a="1"/>
  <c r="S2048" i="1" s="1"/>
  <c r="S2049" i="1" a="1"/>
  <c r="S2049" i="1" s="1"/>
  <c r="S2050" i="1" a="1"/>
  <c r="S2050" i="1" s="1"/>
  <c r="S2051" i="1" a="1"/>
  <c r="S2051" i="1" s="1"/>
  <c r="S2052" i="1" a="1"/>
  <c r="S2052" i="1" s="1"/>
  <c r="S2053" i="1" a="1"/>
  <c r="S2053" i="1" s="1"/>
  <c r="S2054" i="1" a="1"/>
  <c r="S2054" i="1" s="1"/>
  <c r="S2055" i="1" a="1"/>
  <c r="S2055" i="1" s="1"/>
  <c r="S2056" i="1" a="1"/>
  <c r="S2056" i="1" s="1"/>
  <c r="S2057" i="1" a="1"/>
  <c r="S2057" i="1" s="1"/>
  <c r="S2058" i="1" a="1"/>
  <c r="S2058" i="1" s="1"/>
  <c r="S2059" i="1" a="1"/>
  <c r="S2059" i="1" s="1"/>
  <c r="S2060" i="1" a="1"/>
  <c r="S2060" i="1" s="1"/>
  <c r="S2061" i="1" a="1"/>
  <c r="S2061" i="1" s="1"/>
  <c r="S2062" i="1" a="1"/>
  <c r="S2062" i="1" s="1"/>
  <c r="S2063" i="1" a="1"/>
  <c r="S2063" i="1" s="1"/>
  <c r="S2064" i="1" a="1"/>
  <c r="S2064" i="1" s="1"/>
  <c r="S2065" i="1" a="1"/>
  <c r="S2065" i="1" s="1"/>
  <c r="S2066" i="1" a="1"/>
  <c r="S2066" i="1" s="1"/>
  <c r="S2067" i="1" a="1"/>
  <c r="S2067" i="1" s="1"/>
  <c r="S2068" i="1" a="1"/>
  <c r="S2068" i="1" s="1"/>
  <c r="S2069" i="1" a="1"/>
  <c r="S2069" i="1" s="1"/>
  <c r="S2070" i="1" a="1"/>
  <c r="S2070" i="1" s="1"/>
  <c r="S2071" i="1" a="1"/>
  <c r="S2071" i="1" s="1"/>
  <c r="S2072" i="1" a="1"/>
  <c r="S2072" i="1" s="1"/>
  <c r="S2073" i="1" a="1"/>
  <c r="S2073" i="1" s="1"/>
  <c r="S2074" i="1" a="1"/>
  <c r="S2074" i="1" s="1"/>
  <c r="S2075" i="1" a="1"/>
  <c r="S2075" i="1" s="1"/>
  <c r="S2076" i="1" a="1"/>
  <c r="S2076" i="1" s="1"/>
  <c r="S2077" i="1" a="1"/>
  <c r="S2077" i="1" s="1"/>
  <c r="S2078" i="1" a="1"/>
  <c r="S2078" i="1" s="1"/>
  <c r="S2079" i="1" a="1"/>
  <c r="S2079" i="1" s="1"/>
  <c r="S2080" i="1" a="1"/>
  <c r="S2080" i="1" s="1"/>
  <c r="S2081" i="1" a="1"/>
  <c r="S2081" i="1" s="1"/>
  <c r="S2082" i="1" a="1"/>
  <c r="S2082" i="1" s="1"/>
  <c r="S2083" i="1" a="1"/>
  <c r="S2083" i="1" s="1"/>
  <c r="S2084" i="1" a="1"/>
  <c r="S2084" i="1" s="1"/>
  <c r="S2085" i="1" a="1"/>
  <c r="S2085" i="1" s="1"/>
  <c r="S2086" i="1" a="1"/>
  <c r="S2086" i="1" s="1"/>
  <c r="S2087" i="1" a="1"/>
  <c r="S2087" i="1" s="1"/>
  <c r="S2088" i="1" a="1"/>
  <c r="S2088" i="1" s="1"/>
  <c r="S2089" i="1" a="1"/>
  <c r="S2089" i="1" s="1"/>
  <c r="S2090" i="1" a="1"/>
  <c r="S2090" i="1" s="1"/>
  <c r="S2091" i="1" a="1"/>
  <c r="S2091" i="1" s="1"/>
  <c r="S2092" i="1" a="1"/>
  <c r="S2092" i="1" s="1"/>
  <c r="S2093" i="1" a="1"/>
  <c r="S2093" i="1" s="1"/>
  <c r="S2094" i="1" a="1"/>
  <c r="S2094" i="1" s="1"/>
  <c r="S2095" i="1" a="1"/>
  <c r="S2095" i="1" s="1"/>
  <c r="S2096" i="1" a="1"/>
  <c r="S2096" i="1" s="1"/>
  <c r="S2097" i="1" a="1"/>
  <c r="S2097" i="1" s="1"/>
  <c r="S2098" i="1" a="1"/>
  <c r="S2098" i="1" s="1"/>
  <c r="S2099" i="1" a="1"/>
  <c r="S2099" i="1" s="1"/>
  <c r="S2100" i="1" a="1"/>
  <c r="S2100" i="1" s="1"/>
  <c r="S2101" i="1" a="1"/>
  <c r="S2101" i="1" s="1"/>
  <c r="S2102" i="1" a="1"/>
  <c r="S2102" i="1" s="1"/>
  <c r="S2103" i="1" a="1"/>
  <c r="S2103" i="1" s="1"/>
  <c r="S2104" i="1" a="1"/>
  <c r="S2104" i="1" s="1"/>
  <c r="S2105" i="1" a="1"/>
  <c r="S2105" i="1" s="1"/>
  <c r="S2106" i="1" a="1"/>
  <c r="S2106" i="1" s="1"/>
  <c r="S2107" i="1" a="1"/>
  <c r="S2107" i="1" s="1"/>
  <c r="S2108" i="1" a="1"/>
  <c r="S2108" i="1" s="1"/>
  <c r="S2109" i="1" a="1"/>
  <c r="S2109" i="1" s="1"/>
  <c r="S2110" i="1" a="1"/>
  <c r="S2110" i="1" s="1"/>
  <c r="S2111" i="1" a="1"/>
  <c r="S2111" i="1" s="1"/>
  <c r="S2112" i="1" a="1"/>
  <c r="S2112" i="1" s="1"/>
  <c r="S2113" i="1" a="1"/>
  <c r="S2113" i="1" s="1"/>
  <c r="S2114" i="1" a="1"/>
  <c r="S2114" i="1" s="1"/>
  <c r="S2115" i="1" a="1"/>
  <c r="S2115" i="1" s="1"/>
  <c r="S2116" i="1" a="1"/>
  <c r="S2116" i="1" s="1"/>
  <c r="S2117" i="1" a="1"/>
  <c r="S2117" i="1" s="1"/>
  <c r="S2118" i="1" a="1"/>
  <c r="S2118" i="1" s="1"/>
  <c r="S2119" i="1" a="1"/>
  <c r="S2119" i="1" s="1"/>
  <c r="S2120" i="1" a="1"/>
  <c r="S2120" i="1" s="1"/>
  <c r="S2121" i="1" a="1"/>
  <c r="S2121" i="1" s="1"/>
  <c r="S2122" i="1" a="1"/>
  <c r="S2122" i="1" s="1"/>
  <c r="S2123" i="1" a="1"/>
  <c r="S2123" i="1" s="1"/>
  <c r="S2124" i="1" a="1"/>
  <c r="S2124" i="1" s="1"/>
  <c r="S2125" i="1" a="1"/>
  <c r="S2125" i="1" s="1"/>
  <c r="S2126" i="1" a="1"/>
  <c r="S2126" i="1" s="1"/>
  <c r="S2127" i="1" a="1"/>
  <c r="S2127" i="1" s="1"/>
  <c r="S2128" i="1" a="1"/>
  <c r="S2128" i="1" s="1"/>
  <c r="W13" i="1" a="1"/>
  <c r="W13" i="1" s="1"/>
  <c r="X13" i="1" s="1"/>
  <c r="W55" i="1" a="1"/>
  <c r="W55" i="1" s="1"/>
  <c r="X55" i="1" s="1"/>
  <c r="W131" i="1" a="1"/>
  <c r="W131" i="1" s="1"/>
  <c r="X131" i="1" s="1"/>
  <c r="W149" i="1" a="1"/>
  <c r="W149" i="1" s="1"/>
  <c r="X149" i="1" s="1"/>
  <c r="W165" i="1" a="1"/>
  <c r="W165" i="1" s="1"/>
  <c r="X165" i="1" s="1"/>
  <c r="W193" i="1" a="1"/>
  <c r="W193" i="1" s="1"/>
  <c r="X193" i="1" s="1"/>
  <c r="W194" i="1" a="1"/>
  <c r="W194" i="1" s="1"/>
  <c r="X194" i="1" s="1"/>
  <c r="W276" i="1" a="1"/>
  <c r="W276" i="1" s="1"/>
  <c r="X276" i="1" s="1"/>
  <c r="W296" i="1" a="1"/>
  <c r="W296" i="1" s="1"/>
  <c r="X296" i="1" s="1"/>
  <c r="W323" i="1" a="1"/>
  <c r="W323" i="1" s="1"/>
  <c r="X323" i="1" s="1"/>
  <c r="W401" i="1" a="1"/>
  <c r="W401" i="1" s="1"/>
  <c r="X401" i="1" s="1"/>
  <c r="W427" i="1" a="1"/>
  <c r="W427" i="1" s="1"/>
  <c r="X427" i="1" s="1"/>
  <c r="W451" i="1" a="1"/>
  <c r="W451" i="1" s="1"/>
  <c r="X451" i="1" s="1"/>
  <c r="W481" i="1" a="1"/>
  <c r="W481" i="1" s="1"/>
  <c r="X481" i="1" s="1"/>
  <c r="W519" i="1" a="1"/>
  <c r="W519" i="1" s="1"/>
  <c r="X519" i="1" s="1"/>
  <c r="W526" i="1" a="1"/>
  <c r="W526" i="1" s="1"/>
  <c r="X526" i="1" s="1"/>
  <c r="W531" i="1" a="1"/>
  <c r="W531" i="1" s="1"/>
  <c r="X531" i="1" s="1"/>
  <c r="W534" i="1" a="1"/>
  <c r="W534" i="1" s="1"/>
  <c r="X534" i="1" s="1"/>
  <c r="W542" i="1" a="1"/>
  <c r="W542" i="1" s="1"/>
  <c r="X542" i="1" s="1"/>
  <c r="W596" i="1" a="1"/>
  <c r="W596" i="1" s="1"/>
  <c r="X596" i="1" s="1"/>
  <c r="W636" i="1" a="1"/>
  <c r="W636" i="1" s="1"/>
  <c r="X636" i="1" s="1"/>
  <c r="W643" i="1" a="1"/>
  <c r="W643" i="1" s="1"/>
  <c r="X643" i="1" s="1"/>
  <c r="W666" i="1" a="1"/>
  <c r="W666" i="1" s="1"/>
  <c r="X666" i="1" s="1"/>
  <c r="W720" i="1" a="1"/>
  <c r="W720" i="1" s="1"/>
  <c r="X720" i="1" s="1"/>
  <c r="W728" i="1" a="1"/>
  <c r="W728" i="1" s="1"/>
  <c r="X728" i="1" s="1"/>
  <c r="W754" i="1" a="1"/>
  <c r="W754" i="1" s="1"/>
  <c r="X754" i="1" s="1"/>
  <c r="W776" i="1" a="1"/>
  <c r="W776" i="1" s="1"/>
  <c r="X776" i="1" s="1"/>
  <c r="W812" i="1" a="1"/>
  <c r="W812" i="1" s="1"/>
  <c r="X812" i="1" s="1"/>
  <c r="W814" i="1" a="1"/>
  <c r="W814" i="1" s="1"/>
  <c r="X814" i="1" s="1"/>
  <c r="W823" i="1" a="1"/>
  <c r="W823" i="1" s="1"/>
  <c r="X823" i="1" s="1"/>
  <c r="W830" i="1" a="1"/>
  <c r="W830" i="1" s="1"/>
  <c r="X830" i="1" s="1"/>
  <c r="W836" i="1" a="1"/>
  <c r="W836" i="1" s="1"/>
  <c r="X836" i="1" s="1"/>
  <c r="W861" i="1" a="1"/>
  <c r="W861" i="1" s="1"/>
  <c r="X861" i="1" s="1"/>
  <c r="W964" i="1" a="1"/>
  <c r="W964" i="1" s="1"/>
  <c r="X964" i="1" s="1"/>
  <c r="W1067" i="1" a="1"/>
  <c r="W1067" i="1" s="1"/>
  <c r="X1067" i="1" s="1"/>
  <c r="W1084" i="1" a="1"/>
  <c r="W1084" i="1" s="1"/>
  <c r="X1084" i="1" s="1"/>
  <c r="W1157" i="1" a="1"/>
  <c r="W1157" i="1" s="1"/>
  <c r="X1157" i="1" s="1"/>
  <c r="W1173" i="1" a="1"/>
  <c r="W1173" i="1" s="1"/>
  <c r="X1173" i="1" s="1"/>
  <c r="W1256" i="1" a="1"/>
  <c r="W1256" i="1" s="1"/>
  <c r="X1256" i="1" s="1"/>
  <c r="W1286" i="1" a="1"/>
  <c r="W1286" i="1" s="1"/>
  <c r="X1286" i="1" s="1"/>
  <c r="W1300" i="1" a="1"/>
  <c r="W1300" i="1" s="1"/>
  <c r="X1300" i="1" s="1"/>
  <c r="W1306" i="1" a="1"/>
  <c r="W1306" i="1" s="1"/>
  <c r="X1306" i="1" s="1"/>
  <c r="W1340" i="1" a="1"/>
  <c r="W1340" i="1" s="1"/>
  <c r="X1340" i="1" s="1"/>
  <c r="W1349" i="1" a="1"/>
  <c r="W1349" i="1" s="1"/>
  <c r="X1349" i="1" s="1"/>
  <c r="W1350" i="1" a="1"/>
  <c r="W1350" i="1" s="1"/>
  <c r="X1350" i="1" s="1"/>
  <c r="W1357" i="1" a="1"/>
  <c r="W1357" i="1" s="1"/>
  <c r="X1357" i="1" s="1"/>
  <c r="W1380" i="1" a="1"/>
  <c r="W1380" i="1" s="1"/>
  <c r="X1380" i="1" s="1"/>
  <c r="W1442" i="1" a="1"/>
  <c r="W1442" i="1" s="1"/>
  <c r="X1442" i="1" s="1"/>
  <c r="W1464" i="1" a="1"/>
  <c r="W1464" i="1" s="1"/>
  <c r="X1464" i="1" s="1"/>
  <c r="W1503" i="1" a="1"/>
  <c r="W1503" i="1" s="1"/>
  <c r="X1503" i="1" s="1"/>
  <c r="W1511" i="1" a="1"/>
  <c r="W1511" i="1" s="1"/>
  <c r="X1511" i="1" s="1"/>
  <c r="W1517" i="1" a="1"/>
  <c r="W1517" i="1" s="1"/>
  <c r="X1517" i="1" s="1"/>
  <c r="W1527" i="1" a="1"/>
  <c r="W1527" i="1" s="1"/>
  <c r="X1527" i="1" s="1"/>
  <c r="W1536" i="1" a="1"/>
  <c r="W1536" i="1" s="1"/>
  <c r="X1536" i="1" s="1"/>
  <c r="W1541" i="1" a="1"/>
  <c r="W1541" i="1" s="1"/>
  <c r="X1541" i="1" s="1"/>
  <c r="W1544" i="1" a="1"/>
  <c r="W1544" i="1" s="1"/>
  <c r="X1544" i="1" s="1"/>
  <c r="W1546" i="1" a="1"/>
  <c r="W1546" i="1" s="1"/>
  <c r="X1546" i="1" s="1"/>
  <c r="W1587" i="1" a="1"/>
  <c r="W1587" i="1" s="1"/>
  <c r="X1587" i="1" s="1"/>
  <c r="W1640" i="1" a="1"/>
  <c r="W1640" i="1" s="1"/>
  <c r="X1640" i="1" s="1"/>
  <c r="W1643" i="1" a="1"/>
  <c r="W1643" i="1" s="1"/>
  <c r="X1643" i="1" s="1"/>
  <c r="W1648" i="1" a="1"/>
  <c r="W1648" i="1" s="1"/>
  <c r="X1648" i="1" s="1"/>
  <c r="W1657" i="1" a="1"/>
  <c r="W1657" i="1" s="1"/>
  <c r="X1657" i="1" s="1"/>
  <c r="W1664" i="1" a="1"/>
  <c r="W1664" i="1" s="1"/>
  <c r="X1664" i="1" s="1"/>
  <c r="W1675" i="1" a="1"/>
  <c r="W1675" i="1" s="1"/>
  <c r="X1675" i="1" s="1"/>
  <c r="W1687" i="1" a="1"/>
  <c r="W1687" i="1" s="1"/>
  <c r="X1687" i="1" s="1"/>
  <c r="W1699" i="1" a="1"/>
  <c r="W1699" i="1" s="1"/>
  <c r="X1699" i="1" s="1"/>
  <c r="W1728" i="1" a="1"/>
  <c r="W1728" i="1" s="1"/>
  <c r="X1728" i="1" s="1"/>
  <c r="W1736" i="1" a="1"/>
  <c r="W1736" i="1" s="1"/>
  <c r="X1736" i="1" s="1"/>
  <c r="W1776" i="1" a="1"/>
  <c r="W1776" i="1" s="1"/>
  <c r="X1776" i="1" s="1"/>
  <c r="W1803" i="1" a="1"/>
  <c r="W1803" i="1" s="1"/>
  <c r="X1803" i="1" s="1"/>
  <c r="W1875" i="1" a="1"/>
  <c r="W1875" i="1" s="1"/>
  <c r="X1875" i="1" s="1"/>
  <c r="W1883" i="1" a="1"/>
  <c r="W1883" i="1" s="1"/>
  <c r="X1883" i="1" s="1"/>
  <c r="W1905" i="1" a="1"/>
  <c r="W1905" i="1" s="1"/>
  <c r="X1905" i="1" s="1"/>
  <c r="W1966" i="1" a="1"/>
  <c r="W1966" i="1" s="1"/>
  <c r="X1966" i="1" s="1"/>
  <c r="W2027" i="1" a="1"/>
  <c r="W2027" i="1" s="1"/>
  <c r="X2027" i="1" s="1"/>
  <c r="W2071" i="1" a="1"/>
  <c r="W2071" i="1" s="1"/>
  <c r="X2071" i="1" s="1"/>
  <c r="W2079" i="1" a="1"/>
  <c r="W2079" i="1" s="1"/>
  <c r="X2079" i="1" s="1"/>
  <c r="W2096" i="1" a="1"/>
  <c r="W2096" i="1" s="1"/>
  <c r="X2096" i="1" s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C4" i="7"/>
  <c r="F4" i="8" s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L2" i="1"/>
  <c r="P2" i="1" s="1"/>
  <c r="R2" i="1" s="1"/>
  <c r="L3" i="1"/>
  <c r="P3" i="1" s="1"/>
  <c r="R3" i="1" s="1"/>
  <c r="L4" i="1"/>
  <c r="P4" i="1" s="1"/>
  <c r="R4" i="1" s="1"/>
  <c r="L5" i="1"/>
  <c r="P5" i="1" s="1"/>
  <c r="R5" i="1" s="1"/>
  <c r="L6" i="1"/>
  <c r="P6" i="1" s="1"/>
  <c r="R6" i="1" s="1"/>
  <c r="L7" i="1"/>
  <c r="P7" i="1" s="1"/>
  <c r="R7" i="1" s="1"/>
  <c r="L8" i="1"/>
  <c r="P8" i="1" s="1"/>
  <c r="R8" i="1" s="1"/>
  <c r="L9" i="1"/>
  <c r="P9" i="1" s="1"/>
  <c r="R9" i="1" s="1"/>
  <c r="L10" i="1"/>
  <c r="P10" i="1" s="1"/>
  <c r="R10" i="1" s="1"/>
  <c r="L11" i="1"/>
  <c r="P11" i="1" s="1"/>
  <c r="R11" i="1" s="1"/>
  <c r="L12" i="1"/>
  <c r="P12" i="1" s="1"/>
  <c r="R12" i="1" s="1"/>
  <c r="L13" i="1"/>
  <c r="P13" i="1" s="1"/>
  <c r="L14" i="1"/>
  <c r="P14" i="1" s="1"/>
  <c r="R14" i="1" s="1"/>
  <c r="L15" i="1"/>
  <c r="P15" i="1" s="1"/>
  <c r="R15" i="1" s="1"/>
  <c r="L16" i="1"/>
  <c r="P16" i="1" s="1"/>
  <c r="R16" i="1" s="1"/>
  <c r="L17" i="1"/>
  <c r="P17" i="1" s="1"/>
  <c r="R17" i="1" s="1"/>
  <c r="L18" i="1"/>
  <c r="P18" i="1" s="1"/>
  <c r="R18" i="1" s="1"/>
  <c r="L19" i="1"/>
  <c r="P19" i="1" s="1"/>
  <c r="R19" i="1" s="1"/>
  <c r="L20" i="1"/>
  <c r="P20" i="1" s="1"/>
  <c r="R20" i="1" s="1"/>
  <c r="L21" i="1"/>
  <c r="P21" i="1" s="1"/>
  <c r="R21" i="1" s="1"/>
  <c r="L22" i="1"/>
  <c r="P22" i="1" s="1"/>
  <c r="R22" i="1" s="1"/>
  <c r="L23" i="1"/>
  <c r="P23" i="1" s="1"/>
  <c r="R23" i="1" s="1"/>
  <c r="L24" i="1"/>
  <c r="P24" i="1" s="1"/>
  <c r="R24" i="1" s="1"/>
  <c r="L25" i="1"/>
  <c r="P25" i="1" s="1"/>
  <c r="R25" i="1" s="1"/>
  <c r="L26" i="1"/>
  <c r="P26" i="1" s="1"/>
  <c r="R26" i="1" s="1"/>
  <c r="L27" i="1"/>
  <c r="P27" i="1" s="1"/>
  <c r="R27" i="1" s="1"/>
  <c r="L28" i="1"/>
  <c r="P28" i="1" s="1"/>
  <c r="R28" i="1" s="1"/>
  <c r="L29" i="1"/>
  <c r="P29" i="1" s="1"/>
  <c r="R29" i="1" s="1"/>
  <c r="L30" i="1"/>
  <c r="P30" i="1" s="1"/>
  <c r="R30" i="1" s="1"/>
  <c r="L31" i="1"/>
  <c r="P31" i="1" s="1"/>
  <c r="R31" i="1" s="1"/>
  <c r="L32" i="1"/>
  <c r="P32" i="1" s="1"/>
  <c r="R32" i="1" s="1"/>
  <c r="L33" i="1"/>
  <c r="P33" i="1" s="1"/>
  <c r="R33" i="1" s="1"/>
  <c r="L34" i="1"/>
  <c r="P34" i="1" s="1"/>
  <c r="R34" i="1" s="1"/>
  <c r="L35" i="1"/>
  <c r="P35" i="1" s="1"/>
  <c r="R35" i="1" s="1"/>
  <c r="L36" i="1"/>
  <c r="P36" i="1" s="1"/>
  <c r="R36" i="1" s="1"/>
  <c r="L37" i="1"/>
  <c r="P37" i="1" s="1"/>
  <c r="R37" i="1" s="1"/>
  <c r="L38" i="1"/>
  <c r="P38" i="1" s="1"/>
  <c r="R38" i="1" s="1"/>
  <c r="L39" i="1"/>
  <c r="P39" i="1" s="1"/>
  <c r="R39" i="1" s="1"/>
  <c r="L40" i="1"/>
  <c r="P40" i="1" s="1"/>
  <c r="R40" i="1" s="1"/>
  <c r="L41" i="1"/>
  <c r="P41" i="1" s="1"/>
  <c r="R41" i="1" s="1"/>
  <c r="L42" i="1"/>
  <c r="P42" i="1" s="1"/>
  <c r="R42" i="1" s="1"/>
  <c r="L43" i="1"/>
  <c r="P43" i="1" s="1"/>
  <c r="R43" i="1" s="1"/>
  <c r="L44" i="1"/>
  <c r="P44" i="1" s="1"/>
  <c r="R44" i="1" s="1"/>
  <c r="L45" i="1"/>
  <c r="P45" i="1" s="1"/>
  <c r="R45" i="1" s="1"/>
  <c r="L46" i="1"/>
  <c r="P46" i="1" s="1"/>
  <c r="R46" i="1" s="1"/>
  <c r="L47" i="1"/>
  <c r="P47" i="1" s="1"/>
  <c r="R47" i="1" s="1"/>
  <c r="L48" i="1"/>
  <c r="P48" i="1" s="1"/>
  <c r="R48" i="1" s="1"/>
  <c r="L49" i="1"/>
  <c r="P49" i="1" s="1"/>
  <c r="R49" i="1" s="1"/>
  <c r="L50" i="1"/>
  <c r="P50" i="1" s="1"/>
  <c r="R50" i="1" s="1"/>
  <c r="L51" i="1"/>
  <c r="P51" i="1" s="1"/>
  <c r="R51" i="1" s="1"/>
  <c r="L52" i="1"/>
  <c r="P52" i="1" s="1"/>
  <c r="R52" i="1" s="1"/>
  <c r="L53" i="1"/>
  <c r="P53" i="1" s="1"/>
  <c r="R53" i="1" s="1"/>
  <c r="L54" i="1"/>
  <c r="P54" i="1" s="1"/>
  <c r="R54" i="1" s="1"/>
  <c r="L55" i="1"/>
  <c r="P55" i="1" s="1"/>
  <c r="L56" i="1"/>
  <c r="P56" i="1" s="1"/>
  <c r="R56" i="1" s="1"/>
  <c r="L57" i="1"/>
  <c r="P57" i="1" s="1"/>
  <c r="R57" i="1" s="1"/>
  <c r="L58" i="1"/>
  <c r="P58" i="1" s="1"/>
  <c r="R58" i="1" s="1"/>
  <c r="L59" i="1"/>
  <c r="P59" i="1" s="1"/>
  <c r="R59" i="1" s="1"/>
  <c r="L60" i="1"/>
  <c r="P60" i="1" s="1"/>
  <c r="R60" i="1" s="1"/>
  <c r="L61" i="1"/>
  <c r="P61" i="1" s="1"/>
  <c r="R61" i="1" s="1"/>
  <c r="L62" i="1"/>
  <c r="P62" i="1" s="1"/>
  <c r="R62" i="1" s="1"/>
  <c r="L63" i="1"/>
  <c r="P63" i="1" s="1"/>
  <c r="R63" i="1" s="1"/>
  <c r="L64" i="1"/>
  <c r="P64" i="1" s="1"/>
  <c r="R64" i="1" s="1"/>
  <c r="L65" i="1"/>
  <c r="P65" i="1" s="1"/>
  <c r="R65" i="1" s="1"/>
  <c r="L66" i="1"/>
  <c r="P66" i="1" s="1"/>
  <c r="R66" i="1" s="1"/>
  <c r="L67" i="1"/>
  <c r="P67" i="1" s="1"/>
  <c r="R67" i="1" s="1"/>
  <c r="L68" i="1"/>
  <c r="P68" i="1" s="1"/>
  <c r="R68" i="1" s="1"/>
  <c r="L69" i="1"/>
  <c r="P69" i="1" s="1"/>
  <c r="R69" i="1" s="1"/>
  <c r="L70" i="1"/>
  <c r="P70" i="1" s="1"/>
  <c r="R70" i="1" s="1"/>
  <c r="L71" i="1"/>
  <c r="P71" i="1" s="1"/>
  <c r="R71" i="1" s="1"/>
  <c r="L72" i="1"/>
  <c r="P72" i="1" s="1"/>
  <c r="R72" i="1" s="1"/>
  <c r="L73" i="1"/>
  <c r="P73" i="1" s="1"/>
  <c r="R73" i="1" s="1"/>
  <c r="L74" i="1"/>
  <c r="P74" i="1" s="1"/>
  <c r="R74" i="1" s="1"/>
  <c r="L75" i="1"/>
  <c r="P75" i="1" s="1"/>
  <c r="R75" i="1" s="1"/>
  <c r="L76" i="1"/>
  <c r="P76" i="1" s="1"/>
  <c r="R76" i="1" s="1"/>
  <c r="L77" i="1"/>
  <c r="P77" i="1" s="1"/>
  <c r="R77" i="1" s="1"/>
  <c r="L78" i="1"/>
  <c r="P78" i="1" s="1"/>
  <c r="R78" i="1" s="1"/>
  <c r="L79" i="1"/>
  <c r="P79" i="1" s="1"/>
  <c r="R79" i="1" s="1"/>
  <c r="L80" i="1"/>
  <c r="P80" i="1" s="1"/>
  <c r="R80" i="1" s="1"/>
  <c r="L81" i="1"/>
  <c r="P81" i="1" s="1"/>
  <c r="R81" i="1" s="1"/>
  <c r="L82" i="1"/>
  <c r="P82" i="1" s="1"/>
  <c r="R82" i="1" s="1"/>
  <c r="L83" i="1"/>
  <c r="P83" i="1" s="1"/>
  <c r="R83" i="1" s="1"/>
  <c r="L84" i="1"/>
  <c r="P84" i="1" s="1"/>
  <c r="R84" i="1" s="1"/>
  <c r="L85" i="1"/>
  <c r="P85" i="1" s="1"/>
  <c r="R85" i="1" s="1"/>
  <c r="L86" i="1"/>
  <c r="P86" i="1" s="1"/>
  <c r="R86" i="1" s="1"/>
  <c r="L87" i="1"/>
  <c r="P87" i="1" s="1"/>
  <c r="R87" i="1" s="1"/>
  <c r="L88" i="1"/>
  <c r="P88" i="1" s="1"/>
  <c r="R88" i="1" s="1"/>
  <c r="L89" i="1"/>
  <c r="P89" i="1" s="1"/>
  <c r="R89" i="1" s="1"/>
  <c r="L90" i="1"/>
  <c r="P90" i="1" s="1"/>
  <c r="R90" i="1" s="1"/>
  <c r="L91" i="1"/>
  <c r="P91" i="1" s="1"/>
  <c r="R91" i="1" s="1"/>
  <c r="L92" i="1"/>
  <c r="P92" i="1" s="1"/>
  <c r="R92" i="1" s="1"/>
  <c r="L93" i="1"/>
  <c r="P93" i="1" s="1"/>
  <c r="R93" i="1" s="1"/>
  <c r="L94" i="1"/>
  <c r="P94" i="1" s="1"/>
  <c r="R94" i="1" s="1"/>
  <c r="L95" i="1"/>
  <c r="P95" i="1" s="1"/>
  <c r="R95" i="1" s="1"/>
  <c r="L96" i="1"/>
  <c r="P96" i="1" s="1"/>
  <c r="R96" i="1" s="1"/>
  <c r="L97" i="1"/>
  <c r="P97" i="1" s="1"/>
  <c r="R97" i="1" s="1"/>
  <c r="L98" i="1"/>
  <c r="P98" i="1" s="1"/>
  <c r="R98" i="1" s="1"/>
  <c r="L99" i="1"/>
  <c r="P99" i="1" s="1"/>
  <c r="R99" i="1" s="1"/>
  <c r="L100" i="1"/>
  <c r="P100" i="1" s="1"/>
  <c r="R100" i="1" s="1"/>
  <c r="L101" i="1"/>
  <c r="P101" i="1" s="1"/>
  <c r="R101" i="1" s="1"/>
  <c r="L102" i="1"/>
  <c r="P102" i="1" s="1"/>
  <c r="R102" i="1" s="1"/>
  <c r="L103" i="1"/>
  <c r="P103" i="1" s="1"/>
  <c r="R103" i="1" s="1"/>
  <c r="L104" i="1"/>
  <c r="P104" i="1" s="1"/>
  <c r="R104" i="1" s="1"/>
  <c r="L105" i="1"/>
  <c r="P105" i="1" s="1"/>
  <c r="R105" i="1" s="1"/>
  <c r="L106" i="1"/>
  <c r="P106" i="1" s="1"/>
  <c r="R106" i="1" s="1"/>
  <c r="L107" i="1"/>
  <c r="P107" i="1" s="1"/>
  <c r="R107" i="1" s="1"/>
  <c r="L108" i="1"/>
  <c r="P108" i="1" s="1"/>
  <c r="R108" i="1" s="1"/>
  <c r="L109" i="1"/>
  <c r="P109" i="1" s="1"/>
  <c r="R109" i="1" s="1"/>
  <c r="L110" i="1"/>
  <c r="P110" i="1" s="1"/>
  <c r="R110" i="1" s="1"/>
  <c r="L111" i="1"/>
  <c r="P111" i="1" s="1"/>
  <c r="R111" i="1" s="1"/>
  <c r="L112" i="1"/>
  <c r="P112" i="1" s="1"/>
  <c r="R112" i="1" s="1"/>
  <c r="L113" i="1"/>
  <c r="P113" i="1" s="1"/>
  <c r="R113" i="1" s="1"/>
  <c r="L114" i="1"/>
  <c r="P114" i="1" s="1"/>
  <c r="R114" i="1" s="1"/>
  <c r="L115" i="1"/>
  <c r="P115" i="1" s="1"/>
  <c r="R115" i="1" s="1"/>
  <c r="L116" i="1"/>
  <c r="P116" i="1" s="1"/>
  <c r="R116" i="1" s="1"/>
  <c r="L117" i="1"/>
  <c r="P117" i="1" s="1"/>
  <c r="R117" i="1" s="1"/>
  <c r="L118" i="1"/>
  <c r="P118" i="1" s="1"/>
  <c r="R118" i="1" s="1"/>
  <c r="L119" i="1"/>
  <c r="P119" i="1" s="1"/>
  <c r="R119" i="1" s="1"/>
  <c r="L120" i="1"/>
  <c r="P120" i="1" s="1"/>
  <c r="R120" i="1" s="1"/>
  <c r="L121" i="1"/>
  <c r="P121" i="1" s="1"/>
  <c r="R121" i="1" s="1"/>
  <c r="L122" i="1"/>
  <c r="P122" i="1" s="1"/>
  <c r="R122" i="1" s="1"/>
  <c r="L123" i="1"/>
  <c r="P123" i="1" s="1"/>
  <c r="R123" i="1" s="1"/>
  <c r="L124" i="1"/>
  <c r="P124" i="1" s="1"/>
  <c r="R124" i="1" s="1"/>
  <c r="L125" i="1"/>
  <c r="P125" i="1" s="1"/>
  <c r="R125" i="1" s="1"/>
  <c r="L126" i="1"/>
  <c r="P126" i="1" s="1"/>
  <c r="R126" i="1" s="1"/>
  <c r="L127" i="1"/>
  <c r="P127" i="1" s="1"/>
  <c r="R127" i="1" s="1"/>
  <c r="L128" i="1"/>
  <c r="P128" i="1" s="1"/>
  <c r="R128" i="1" s="1"/>
  <c r="L129" i="1"/>
  <c r="P129" i="1" s="1"/>
  <c r="R129" i="1" s="1"/>
  <c r="L130" i="1"/>
  <c r="P130" i="1" s="1"/>
  <c r="R130" i="1" s="1"/>
  <c r="L131" i="1"/>
  <c r="P131" i="1" s="1"/>
  <c r="L132" i="1"/>
  <c r="P132" i="1" s="1"/>
  <c r="R132" i="1" s="1"/>
  <c r="L133" i="1"/>
  <c r="P133" i="1" s="1"/>
  <c r="R133" i="1" s="1"/>
  <c r="L134" i="1"/>
  <c r="P134" i="1" s="1"/>
  <c r="R134" i="1" s="1"/>
  <c r="L135" i="1"/>
  <c r="P135" i="1" s="1"/>
  <c r="R135" i="1" s="1"/>
  <c r="L136" i="1"/>
  <c r="P136" i="1" s="1"/>
  <c r="R136" i="1" s="1"/>
  <c r="L137" i="1"/>
  <c r="P137" i="1" s="1"/>
  <c r="R137" i="1" s="1"/>
  <c r="L138" i="1"/>
  <c r="P138" i="1" s="1"/>
  <c r="R138" i="1" s="1"/>
  <c r="L139" i="1"/>
  <c r="P139" i="1" s="1"/>
  <c r="R139" i="1" s="1"/>
  <c r="L140" i="1"/>
  <c r="P140" i="1" s="1"/>
  <c r="R140" i="1" s="1"/>
  <c r="L141" i="1"/>
  <c r="P141" i="1" s="1"/>
  <c r="R141" i="1" s="1"/>
  <c r="L142" i="1"/>
  <c r="P142" i="1" s="1"/>
  <c r="R142" i="1" s="1"/>
  <c r="L143" i="1"/>
  <c r="P143" i="1" s="1"/>
  <c r="R143" i="1" s="1"/>
  <c r="L144" i="1"/>
  <c r="P144" i="1" s="1"/>
  <c r="R144" i="1" s="1"/>
  <c r="L145" i="1"/>
  <c r="P145" i="1" s="1"/>
  <c r="R145" i="1" s="1"/>
  <c r="L146" i="1"/>
  <c r="P146" i="1" s="1"/>
  <c r="R146" i="1" s="1"/>
  <c r="L147" i="1"/>
  <c r="P147" i="1" s="1"/>
  <c r="R147" i="1" s="1"/>
  <c r="L148" i="1"/>
  <c r="P148" i="1" s="1"/>
  <c r="R148" i="1" s="1"/>
  <c r="L149" i="1"/>
  <c r="P149" i="1" s="1"/>
  <c r="L150" i="1"/>
  <c r="P150" i="1" s="1"/>
  <c r="R150" i="1" s="1"/>
  <c r="L151" i="1"/>
  <c r="P151" i="1" s="1"/>
  <c r="R151" i="1" s="1"/>
  <c r="L152" i="1"/>
  <c r="P152" i="1" s="1"/>
  <c r="R152" i="1" s="1"/>
  <c r="L153" i="1"/>
  <c r="P153" i="1" s="1"/>
  <c r="R153" i="1" s="1"/>
  <c r="L154" i="1"/>
  <c r="P154" i="1" s="1"/>
  <c r="R154" i="1" s="1"/>
  <c r="L155" i="1"/>
  <c r="P155" i="1" s="1"/>
  <c r="R155" i="1" s="1"/>
  <c r="L156" i="1"/>
  <c r="P156" i="1" s="1"/>
  <c r="R156" i="1" s="1"/>
  <c r="L157" i="1"/>
  <c r="P157" i="1" s="1"/>
  <c r="R157" i="1" s="1"/>
  <c r="L158" i="1"/>
  <c r="P158" i="1" s="1"/>
  <c r="R158" i="1" s="1"/>
  <c r="L159" i="1"/>
  <c r="P159" i="1" s="1"/>
  <c r="R159" i="1" s="1"/>
  <c r="L160" i="1"/>
  <c r="P160" i="1" s="1"/>
  <c r="R160" i="1" s="1"/>
  <c r="L161" i="1"/>
  <c r="P161" i="1" s="1"/>
  <c r="R161" i="1" s="1"/>
  <c r="L162" i="1"/>
  <c r="P162" i="1" s="1"/>
  <c r="R162" i="1" s="1"/>
  <c r="L163" i="1"/>
  <c r="P163" i="1" s="1"/>
  <c r="R163" i="1" s="1"/>
  <c r="L164" i="1"/>
  <c r="P164" i="1" s="1"/>
  <c r="R164" i="1" s="1"/>
  <c r="L165" i="1"/>
  <c r="P165" i="1" s="1"/>
  <c r="L166" i="1"/>
  <c r="P166" i="1" s="1"/>
  <c r="R166" i="1" s="1"/>
  <c r="L167" i="1"/>
  <c r="P167" i="1" s="1"/>
  <c r="R167" i="1" s="1"/>
  <c r="L168" i="1"/>
  <c r="P168" i="1" s="1"/>
  <c r="R168" i="1" s="1"/>
  <c r="L169" i="1"/>
  <c r="P169" i="1" s="1"/>
  <c r="R169" i="1" s="1"/>
  <c r="L170" i="1"/>
  <c r="P170" i="1" s="1"/>
  <c r="R170" i="1" s="1"/>
  <c r="L171" i="1"/>
  <c r="P171" i="1" s="1"/>
  <c r="R171" i="1" s="1"/>
  <c r="L172" i="1"/>
  <c r="P172" i="1" s="1"/>
  <c r="R172" i="1" s="1"/>
  <c r="L173" i="1"/>
  <c r="P173" i="1" s="1"/>
  <c r="R173" i="1" s="1"/>
  <c r="L174" i="1"/>
  <c r="P174" i="1" s="1"/>
  <c r="R174" i="1" s="1"/>
  <c r="L175" i="1"/>
  <c r="P175" i="1" s="1"/>
  <c r="R175" i="1" s="1"/>
  <c r="L176" i="1"/>
  <c r="P176" i="1" s="1"/>
  <c r="R176" i="1" s="1"/>
  <c r="L177" i="1"/>
  <c r="P177" i="1" s="1"/>
  <c r="R177" i="1" s="1"/>
  <c r="L178" i="1"/>
  <c r="P178" i="1" s="1"/>
  <c r="R178" i="1" s="1"/>
  <c r="L179" i="1"/>
  <c r="P179" i="1" s="1"/>
  <c r="R179" i="1" s="1"/>
  <c r="L180" i="1"/>
  <c r="P180" i="1" s="1"/>
  <c r="R180" i="1" s="1"/>
  <c r="L181" i="1"/>
  <c r="P181" i="1" s="1"/>
  <c r="R181" i="1" s="1"/>
  <c r="L182" i="1"/>
  <c r="P182" i="1" s="1"/>
  <c r="R182" i="1" s="1"/>
  <c r="L183" i="1"/>
  <c r="P183" i="1" s="1"/>
  <c r="R183" i="1" s="1"/>
  <c r="L184" i="1"/>
  <c r="P184" i="1" s="1"/>
  <c r="R184" i="1" s="1"/>
  <c r="L185" i="1"/>
  <c r="P185" i="1" s="1"/>
  <c r="R185" i="1" s="1"/>
  <c r="L186" i="1"/>
  <c r="P186" i="1" s="1"/>
  <c r="R186" i="1" s="1"/>
  <c r="L187" i="1"/>
  <c r="P187" i="1" s="1"/>
  <c r="R187" i="1" s="1"/>
  <c r="L188" i="1"/>
  <c r="P188" i="1" s="1"/>
  <c r="R188" i="1" s="1"/>
  <c r="L189" i="1"/>
  <c r="P189" i="1" s="1"/>
  <c r="R189" i="1" s="1"/>
  <c r="L190" i="1"/>
  <c r="P190" i="1" s="1"/>
  <c r="R190" i="1" s="1"/>
  <c r="L191" i="1"/>
  <c r="P191" i="1" s="1"/>
  <c r="R191" i="1" s="1"/>
  <c r="L192" i="1"/>
  <c r="P192" i="1" s="1"/>
  <c r="R192" i="1" s="1"/>
  <c r="L193" i="1"/>
  <c r="P193" i="1" s="1"/>
  <c r="L194" i="1"/>
  <c r="P194" i="1" s="1"/>
  <c r="L195" i="1"/>
  <c r="P195" i="1" s="1"/>
  <c r="R195" i="1" s="1"/>
  <c r="L196" i="1"/>
  <c r="P196" i="1" s="1"/>
  <c r="R196" i="1" s="1"/>
  <c r="L197" i="1"/>
  <c r="P197" i="1" s="1"/>
  <c r="R197" i="1" s="1"/>
  <c r="L198" i="1"/>
  <c r="P198" i="1" s="1"/>
  <c r="R198" i="1" s="1"/>
  <c r="L199" i="1"/>
  <c r="P199" i="1" s="1"/>
  <c r="R199" i="1" s="1"/>
  <c r="L200" i="1"/>
  <c r="P200" i="1" s="1"/>
  <c r="R200" i="1" s="1"/>
  <c r="L201" i="1"/>
  <c r="P201" i="1" s="1"/>
  <c r="R201" i="1" s="1"/>
  <c r="L202" i="1"/>
  <c r="P202" i="1" s="1"/>
  <c r="R202" i="1" s="1"/>
  <c r="L203" i="1"/>
  <c r="P203" i="1" s="1"/>
  <c r="R203" i="1" s="1"/>
  <c r="L204" i="1"/>
  <c r="P204" i="1" s="1"/>
  <c r="R204" i="1" s="1"/>
  <c r="L205" i="1"/>
  <c r="P205" i="1" s="1"/>
  <c r="R205" i="1" s="1"/>
  <c r="L206" i="1"/>
  <c r="P206" i="1" s="1"/>
  <c r="R206" i="1" s="1"/>
  <c r="L207" i="1"/>
  <c r="P207" i="1" s="1"/>
  <c r="R207" i="1" s="1"/>
  <c r="L208" i="1"/>
  <c r="P208" i="1" s="1"/>
  <c r="R208" i="1" s="1"/>
  <c r="L209" i="1"/>
  <c r="P209" i="1" s="1"/>
  <c r="R209" i="1" s="1"/>
  <c r="L210" i="1"/>
  <c r="P210" i="1" s="1"/>
  <c r="R210" i="1" s="1"/>
  <c r="L211" i="1"/>
  <c r="P211" i="1" s="1"/>
  <c r="R211" i="1" s="1"/>
  <c r="L212" i="1"/>
  <c r="P212" i="1" s="1"/>
  <c r="R212" i="1" s="1"/>
  <c r="L213" i="1"/>
  <c r="P213" i="1" s="1"/>
  <c r="R213" i="1" s="1"/>
  <c r="L214" i="1"/>
  <c r="P214" i="1" s="1"/>
  <c r="R214" i="1" s="1"/>
  <c r="L215" i="1"/>
  <c r="P215" i="1" s="1"/>
  <c r="R215" i="1" s="1"/>
  <c r="L216" i="1"/>
  <c r="P216" i="1" s="1"/>
  <c r="R216" i="1" s="1"/>
  <c r="L217" i="1"/>
  <c r="P217" i="1" s="1"/>
  <c r="R217" i="1" s="1"/>
  <c r="L218" i="1"/>
  <c r="P218" i="1" s="1"/>
  <c r="R218" i="1" s="1"/>
  <c r="L219" i="1"/>
  <c r="P219" i="1" s="1"/>
  <c r="R219" i="1" s="1"/>
  <c r="L220" i="1"/>
  <c r="P220" i="1" s="1"/>
  <c r="R220" i="1" s="1"/>
  <c r="L221" i="1"/>
  <c r="P221" i="1" s="1"/>
  <c r="R221" i="1" s="1"/>
  <c r="L222" i="1"/>
  <c r="P222" i="1" s="1"/>
  <c r="R222" i="1" s="1"/>
  <c r="L223" i="1"/>
  <c r="P223" i="1" s="1"/>
  <c r="R223" i="1" s="1"/>
  <c r="L224" i="1"/>
  <c r="P224" i="1" s="1"/>
  <c r="R224" i="1" s="1"/>
  <c r="L225" i="1"/>
  <c r="P225" i="1" s="1"/>
  <c r="R225" i="1" s="1"/>
  <c r="L226" i="1"/>
  <c r="P226" i="1" s="1"/>
  <c r="R226" i="1" s="1"/>
  <c r="L227" i="1"/>
  <c r="P227" i="1" s="1"/>
  <c r="R227" i="1" s="1"/>
  <c r="L228" i="1"/>
  <c r="P228" i="1" s="1"/>
  <c r="R228" i="1" s="1"/>
  <c r="L229" i="1"/>
  <c r="P229" i="1" s="1"/>
  <c r="R229" i="1" s="1"/>
  <c r="L230" i="1"/>
  <c r="P230" i="1" s="1"/>
  <c r="R230" i="1" s="1"/>
  <c r="L231" i="1"/>
  <c r="P231" i="1" s="1"/>
  <c r="R231" i="1" s="1"/>
  <c r="L232" i="1"/>
  <c r="P232" i="1" s="1"/>
  <c r="R232" i="1" s="1"/>
  <c r="L233" i="1"/>
  <c r="P233" i="1" s="1"/>
  <c r="R233" i="1" s="1"/>
  <c r="L234" i="1"/>
  <c r="P234" i="1" s="1"/>
  <c r="R234" i="1" s="1"/>
  <c r="L235" i="1"/>
  <c r="P235" i="1" s="1"/>
  <c r="R235" i="1" s="1"/>
  <c r="L236" i="1"/>
  <c r="P236" i="1" s="1"/>
  <c r="R236" i="1" s="1"/>
  <c r="L237" i="1"/>
  <c r="P237" i="1" s="1"/>
  <c r="R237" i="1" s="1"/>
  <c r="L238" i="1"/>
  <c r="P238" i="1" s="1"/>
  <c r="R238" i="1" s="1"/>
  <c r="L239" i="1"/>
  <c r="P239" i="1" s="1"/>
  <c r="R239" i="1" s="1"/>
  <c r="L240" i="1"/>
  <c r="P240" i="1" s="1"/>
  <c r="R240" i="1" s="1"/>
  <c r="L241" i="1"/>
  <c r="P241" i="1" s="1"/>
  <c r="R241" i="1" s="1"/>
  <c r="L242" i="1"/>
  <c r="P242" i="1" s="1"/>
  <c r="R242" i="1" s="1"/>
  <c r="L243" i="1"/>
  <c r="P243" i="1" s="1"/>
  <c r="R243" i="1" s="1"/>
  <c r="L244" i="1"/>
  <c r="P244" i="1" s="1"/>
  <c r="R244" i="1" s="1"/>
  <c r="L245" i="1"/>
  <c r="P245" i="1" s="1"/>
  <c r="R245" i="1" s="1"/>
  <c r="L246" i="1"/>
  <c r="P246" i="1" s="1"/>
  <c r="R246" i="1" s="1"/>
  <c r="L247" i="1"/>
  <c r="P247" i="1" s="1"/>
  <c r="R247" i="1" s="1"/>
  <c r="L248" i="1"/>
  <c r="P248" i="1" s="1"/>
  <c r="R248" i="1" s="1"/>
  <c r="L249" i="1"/>
  <c r="P249" i="1" s="1"/>
  <c r="R249" i="1" s="1"/>
  <c r="L250" i="1"/>
  <c r="P250" i="1" s="1"/>
  <c r="R250" i="1" s="1"/>
  <c r="L251" i="1"/>
  <c r="P251" i="1" s="1"/>
  <c r="R251" i="1" s="1"/>
  <c r="L252" i="1"/>
  <c r="P252" i="1" s="1"/>
  <c r="R252" i="1" s="1"/>
  <c r="L253" i="1"/>
  <c r="P253" i="1" s="1"/>
  <c r="R253" i="1" s="1"/>
  <c r="L254" i="1"/>
  <c r="P254" i="1" s="1"/>
  <c r="R254" i="1" s="1"/>
  <c r="L255" i="1"/>
  <c r="P255" i="1" s="1"/>
  <c r="R255" i="1" s="1"/>
  <c r="L256" i="1"/>
  <c r="P256" i="1" s="1"/>
  <c r="R256" i="1" s="1"/>
  <c r="L257" i="1"/>
  <c r="P257" i="1" s="1"/>
  <c r="R257" i="1" s="1"/>
  <c r="L258" i="1"/>
  <c r="P258" i="1" s="1"/>
  <c r="R258" i="1" s="1"/>
  <c r="L259" i="1"/>
  <c r="P259" i="1" s="1"/>
  <c r="R259" i="1" s="1"/>
  <c r="L260" i="1"/>
  <c r="P260" i="1" s="1"/>
  <c r="R260" i="1" s="1"/>
  <c r="L261" i="1"/>
  <c r="P261" i="1" s="1"/>
  <c r="R261" i="1" s="1"/>
  <c r="L262" i="1"/>
  <c r="P262" i="1" s="1"/>
  <c r="R262" i="1" s="1"/>
  <c r="L263" i="1"/>
  <c r="P263" i="1" s="1"/>
  <c r="R263" i="1" s="1"/>
  <c r="L264" i="1"/>
  <c r="P264" i="1" s="1"/>
  <c r="R264" i="1" s="1"/>
  <c r="L265" i="1"/>
  <c r="P265" i="1" s="1"/>
  <c r="R265" i="1" s="1"/>
  <c r="L266" i="1"/>
  <c r="P266" i="1" s="1"/>
  <c r="R266" i="1" s="1"/>
  <c r="L267" i="1"/>
  <c r="P267" i="1" s="1"/>
  <c r="R267" i="1" s="1"/>
  <c r="L268" i="1"/>
  <c r="P268" i="1" s="1"/>
  <c r="R268" i="1" s="1"/>
  <c r="L269" i="1"/>
  <c r="P269" i="1" s="1"/>
  <c r="R269" i="1" s="1"/>
  <c r="L270" i="1"/>
  <c r="P270" i="1" s="1"/>
  <c r="R270" i="1" s="1"/>
  <c r="L271" i="1"/>
  <c r="P271" i="1" s="1"/>
  <c r="R271" i="1" s="1"/>
  <c r="L272" i="1"/>
  <c r="P272" i="1" s="1"/>
  <c r="R272" i="1" s="1"/>
  <c r="L273" i="1"/>
  <c r="P273" i="1" s="1"/>
  <c r="R273" i="1" s="1"/>
  <c r="L274" i="1"/>
  <c r="P274" i="1" s="1"/>
  <c r="R274" i="1" s="1"/>
  <c r="L275" i="1"/>
  <c r="P275" i="1" s="1"/>
  <c r="R275" i="1" s="1"/>
  <c r="L276" i="1"/>
  <c r="P276" i="1" s="1"/>
  <c r="L277" i="1"/>
  <c r="P277" i="1" s="1"/>
  <c r="R277" i="1" s="1"/>
  <c r="L278" i="1"/>
  <c r="P278" i="1" s="1"/>
  <c r="R278" i="1" s="1"/>
  <c r="L279" i="1"/>
  <c r="P279" i="1" s="1"/>
  <c r="R279" i="1" s="1"/>
  <c r="L280" i="1"/>
  <c r="P280" i="1" s="1"/>
  <c r="R280" i="1" s="1"/>
  <c r="L281" i="1"/>
  <c r="P281" i="1" s="1"/>
  <c r="R281" i="1" s="1"/>
  <c r="L282" i="1"/>
  <c r="P282" i="1" s="1"/>
  <c r="R282" i="1" s="1"/>
  <c r="L283" i="1"/>
  <c r="P283" i="1" s="1"/>
  <c r="R283" i="1" s="1"/>
  <c r="L284" i="1"/>
  <c r="P284" i="1" s="1"/>
  <c r="R284" i="1" s="1"/>
  <c r="L285" i="1"/>
  <c r="P285" i="1" s="1"/>
  <c r="R285" i="1" s="1"/>
  <c r="L286" i="1"/>
  <c r="P286" i="1" s="1"/>
  <c r="R286" i="1" s="1"/>
  <c r="L287" i="1"/>
  <c r="P287" i="1" s="1"/>
  <c r="R287" i="1" s="1"/>
  <c r="L288" i="1"/>
  <c r="P288" i="1" s="1"/>
  <c r="R288" i="1" s="1"/>
  <c r="L289" i="1"/>
  <c r="P289" i="1" s="1"/>
  <c r="R289" i="1" s="1"/>
  <c r="L290" i="1"/>
  <c r="P290" i="1" s="1"/>
  <c r="R290" i="1" s="1"/>
  <c r="L291" i="1"/>
  <c r="P291" i="1" s="1"/>
  <c r="R291" i="1" s="1"/>
  <c r="L292" i="1"/>
  <c r="P292" i="1" s="1"/>
  <c r="R292" i="1" s="1"/>
  <c r="L293" i="1"/>
  <c r="P293" i="1" s="1"/>
  <c r="R293" i="1" s="1"/>
  <c r="L294" i="1"/>
  <c r="P294" i="1" s="1"/>
  <c r="R294" i="1" s="1"/>
  <c r="L295" i="1"/>
  <c r="P295" i="1" s="1"/>
  <c r="R295" i="1" s="1"/>
  <c r="L296" i="1"/>
  <c r="P296" i="1" s="1"/>
  <c r="L297" i="1"/>
  <c r="P297" i="1" s="1"/>
  <c r="R297" i="1" s="1"/>
  <c r="L298" i="1"/>
  <c r="P298" i="1" s="1"/>
  <c r="R298" i="1" s="1"/>
  <c r="L299" i="1"/>
  <c r="P299" i="1" s="1"/>
  <c r="R299" i="1" s="1"/>
  <c r="L300" i="1"/>
  <c r="P300" i="1" s="1"/>
  <c r="R300" i="1" s="1"/>
  <c r="L301" i="1"/>
  <c r="P301" i="1" s="1"/>
  <c r="R301" i="1" s="1"/>
  <c r="L302" i="1"/>
  <c r="P302" i="1" s="1"/>
  <c r="R302" i="1" s="1"/>
  <c r="L303" i="1"/>
  <c r="P303" i="1" s="1"/>
  <c r="R303" i="1" s="1"/>
  <c r="L304" i="1"/>
  <c r="P304" i="1" s="1"/>
  <c r="R304" i="1" s="1"/>
  <c r="L305" i="1"/>
  <c r="P305" i="1" s="1"/>
  <c r="R305" i="1" s="1"/>
  <c r="L306" i="1"/>
  <c r="P306" i="1" s="1"/>
  <c r="R306" i="1" s="1"/>
  <c r="L307" i="1"/>
  <c r="P307" i="1" s="1"/>
  <c r="R307" i="1" s="1"/>
  <c r="L308" i="1"/>
  <c r="P308" i="1" s="1"/>
  <c r="R308" i="1" s="1"/>
  <c r="L309" i="1"/>
  <c r="P309" i="1" s="1"/>
  <c r="R309" i="1" s="1"/>
  <c r="L310" i="1"/>
  <c r="P310" i="1" s="1"/>
  <c r="R310" i="1" s="1"/>
  <c r="L311" i="1"/>
  <c r="P311" i="1" s="1"/>
  <c r="R311" i="1" s="1"/>
  <c r="L312" i="1"/>
  <c r="P312" i="1" s="1"/>
  <c r="R312" i="1" s="1"/>
  <c r="L313" i="1"/>
  <c r="P313" i="1" s="1"/>
  <c r="R313" i="1" s="1"/>
  <c r="L314" i="1"/>
  <c r="P314" i="1" s="1"/>
  <c r="R314" i="1" s="1"/>
  <c r="L315" i="1"/>
  <c r="P315" i="1" s="1"/>
  <c r="R315" i="1" s="1"/>
  <c r="L316" i="1"/>
  <c r="P316" i="1" s="1"/>
  <c r="R316" i="1" s="1"/>
  <c r="L317" i="1"/>
  <c r="P317" i="1" s="1"/>
  <c r="R317" i="1" s="1"/>
  <c r="L318" i="1"/>
  <c r="P318" i="1" s="1"/>
  <c r="R318" i="1" s="1"/>
  <c r="L319" i="1"/>
  <c r="P319" i="1" s="1"/>
  <c r="R319" i="1" s="1"/>
  <c r="L320" i="1"/>
  <c r="P320" i="1" s="1"/>
  <c r="R320" i="1" s="1"/>
  <c r="L321" i="1"/>
  <c r="P321" i="1" s="1"/>
  <c r="R321" i="1" s="1"/>
  <c r="L322" i="1"/>
  <c r="P322" i="1" s="1"/>
  <c r="R322" i="1" s="1"/>
  <c r="L323" i="1"/>
  <c r="P323" i="1" s="1"/>
  <c r="L324" i="1"/>
  <c r="P324" i="1" s="1"/>
  <c r="R324" i="1" s="1"/>
  <c r="L325" i="1"/>
  <c r="P325" i="1" s="1"/>
  <c r="R325" i="1" s="1"/>
  <c r="L326" i="1"/>
  <c r="P326" i="1" s="1"/>
  <c r="R326" i="1" s="1"/>
  <c r="L327" i="1"/>
  <c r="P327" i="1" s="1"/>
  <c r="R327" i="1" s="1"/>
  <c r="L328" i="1"/>
  <c r="P328" i="1" s="1"/>
  <c r="R328" i="1" s="1"/>
  <c r="L329" i="1"/>
  <c r="P329" i="1" s="1"/>
  <c r="R329" i="1" s="1"/>
  <c r="L330" i="1"/>
  <c r="P330" i="1" s="1"/>
  <c r="R330" i="1" s="1"/>
  <c r="L331" i="1"/>
  <c r="P331" i="1" s="1"/>
  <c r="R331" i="1" s="1"/>
  <c r="L332" i="1"/>
  <c r="P332" i="1" s="1"/>
  <c r="R332" i="1" s="1"/>
  <c r="L333" i="1"/>
  <c r="P333" i="1" s="1"/>
  <c r="R333" i="1" s="1"/>
  <c r="L334" i="1"/>
  <c r="P334" i="1" s="1"/>
  <c r="R334" i="1" s="1"/>
  <c r="L335" i="1"/>
  <c r="P335" i="1" s="1"/>
  <c r="R335" i="1" s="1"/>
  <c r="L336" i="1"/>
  <c r="P336" i="1" s="1"/>
  <c r="R336" i="1" s="1"/>
  <c r="L337" i="1"/>
  <c r="P337" i="1" s="1"/>
  <c r="R337" i="1" s="1"/>
  <c r="L338" i="1"/>
  <c r="P338" i="1" s="1"/>
  <c r="R338" i="1" s="1"/>
  <c r="L339" i="1"/>
  <c r="P339" i="1" s="1"/>
  <c r="R339" i="1" s="1"/>
  <c r="L340" i="1"/>
  <c r="P340" i="1" s="1"/>
  <c r="R340" i="1" s="1"/>
  <c r="L341" i="1"/>
  <c r="P341" i="1" s="1"/>
  <c r="R341" i="1" s="1"/>
  <c r="L342" i="1"/>
  <c r="P342" i="1" s="1"/>
  <c r="R342" i="1" s="1"/>
  <c r="L343" i="1"/>
  <c r="P343" i="1" s="1"/>
  <c r="R343" i="1" s="1"/>
  <c r="L344" i="1"/>
  <c r="P344" i="1" s="1"/>
  <c r="R344" i="1" s="1"/>
  <c r="L345" i="1"/>
  <c r="P345" i="1" s="1"/>
  <c r="R345" i="1" s="1"/>
  <c r="L346" i="1"/>
  <c r="P346" i="1" s="1"/>
  <c r="R346" i="1" s="1"/>
  <c r="L347" i="1"/>
  <c r="P347" i="1" s="1"/>
  <c r="R347" i="1" s="1"/>
  <c r="L348" i="1"/>
  <c r="P348" i="1" s="1"/>
  <c r="R348" i="1" s="1"/>
  <c r="L349" i="1"/>
  <c r="P349" i="1" s="1"/>
  <c r="R349" i="1" s="1"/>
  <c r="L350" i="1"/>
  <c r="P350" i="1" s="1"/>
  <c r="R350" i="1" s="1"/>
  <c r="L351" i="1"/>
  <c r="P351" i="1" s="1"/>
  <c r="R351" i="1" s="1"/>
  <c r="L352" i="1"/>
  <c r="P352" i="1" s="1"/>
  <c r="R352" i="1" s="1"/>
  <c r="L353" i="1"/>
  <c r="P353" i="1" s="1"/>
  <c r="R353" i="1" s="1"/>
  <c r="L354" i="1"/>
  <c r="P354" i="1" s="1"/>
  <c r="R354" i="1" s="1"/>
  <c r="L355" i="1"/>
  <c r="P355" i="1" s="1"/>
  <c r="R355" i="1" s="1"/>
  <c r="L356" i="1"/>
  <c r="P356" i="1" s="1"/>
  <c r="R356" i="1" s="1"/>
  <c r="L357" i="1"/>
  <c r="P357" i="1" s="1"/>
  <c r="R357" i="1" s="1"/>
  <c r="L358" i="1"/>
  <c r="P358" i="1" s="1"/>
  <c r="R358" i="1" s="1"/>
  <c r="L359" i="1"/>
  <c r="P359" i="1" s="1"/>
  <c r="R359" i="1" s="1"/>
  <c r="L360" i="1"/>
  <c r="P360" i="1" s="1"/>
  <c r="R360" i="1" s="1"/>
  <c r="L361" i="1"/>
  <c r="P361" i="1" s="1"/>
  <c r="R361" i="1" s="1"/>
  <c r="L362" i="1"/>
  <c r="P362" i="1" s="1"/>
  <c r="R362" i="1" s="1"/>
  <c r="L363" i="1"/>
  <c r="P363" i="1" s="1"/>
  <c r="R363" i="1" s="1"/>
  <c r="L364" i="1"/>
  <c r="P364" i="1" s="1"/>
  <c r="R364" i="1" s="1"/>
  <c r="L365" i="1"/>
  <c r="P365" i="1" s="1"/>
  <c r="R365" i="1" s="1"/>
  <c r="L366" i="1"/>
  <c r="P366" i="1" s="1"/>
  <c r="R366" i="1" s="1"/>
  <c r="L367" i="1"/>
  <c r="P367" i="1" s="1"/>
  <c r="R367" i="1" s="1"/>
  <c r="L368" i="1"/>
  <c r="P368" i="1" s="1"/>
  <c r="R368" i="1" s="1"/>
  <c r="L369" i="1"/>
  <c r="P369" i="1" s="1"/>
  <c r="R369" i="1" s="1"/>
  <c r="L370" i="1"/>
  <c r="P370" i="1" s="1"/>
  <c r="R370" i="1" s="1"/>
  <c r="L371" i="1"/>
  <c r="P371" i="1" s="1"/>
  <c r="R371" i="1" s="1"/>
  <c r="L372" i="1"/>
  <c r="P372" i="1" s="1"/>
  <c r="R372" i="1" s="1"/>
  <c r="L373" i="1"/>
  <c r="P373" i="1" s="1"/>
  <c r="R373" i="1" s="1"/>
  <c r="L374" i="1"/>
  <c r="P374" i="1" s="1"/>
  <c r="R374" i="1" s="1"/>
  <c r="L375" i="1"/>
  <c r="P375" i="1" s="1"/>
  <c r="R375" i="1" s="1"/>
  <c r="L376" i="1"/>
  <c r="P376" i="1" s="1"/>
  <c r="R376" i="1" s="1"/>
  <c r="L377" i="1"/>
  <c r="P377" i="1" s="1"/>
  <c r="R377" i="1" s="1"/>
  <c r="L378" i="1"/>
  <c r="P378" i="1" s="1"/>
  <c r="R378" i="1" s="1"/>
  <c r="L379" i="1"/>
  <c r="P379" i="1" s="1"/>
  <c r="R379" i="1" s="1"/>
  <c r="L380" i="1"/>
  <c r="P380" i="1" s="1"/>
  <c r="R380" i="1" s="1"/>
  <c r="L381" i="1"/>
  <c r="P381" i="1" s="1"/>
  <c r="R381" i="1" s="1"/>
  <c r="L382" i="1"/>
  <c r="P382" i="1" s="1"/>
  <c r="R382" i="1" s="1"/>
  <c r="L383" i="1"/>
  <c r="P383" i="1" s="1"/>
  <c r="R383" i="1" s="1"/>
  <c r="L384" i="1"/>
  <c r="P384" i="1" s="1"/>
  <c r="R384" i="1" s="1"/>
  <c r="L385" i="1"/>
  <c r="P385" i="1" s="1"/>
  <c r="R385" i="1" s="1"/>
  <c r="L386" i="1"/>
  <c r="P386" i="1" s="1"/>
  <c r="R386" i="1" s="1"/>
  <c r="L387" i="1"/>
  <c r="P387" i="1" s="1"/>
  <c r="R387" i="1" s="1"/>
  <c r="L388" i="1"/>
  <c r="P388" i="1" s="1"/>
  <c r="R388" i="1" s="1"/>
  <c r="L389" i="1"/>
  <c r="P389" i="1" s="1"/>
  <c r="R389" i="1" s="1"/>
  <c r="L390" i="1"/>
  <c r="P390" i="1" s="1"/>
  <c r="R390" i="1" s="1"/>
  <c r="L391" i="1"/>
  <c r="P391" i="1" s="1"/>
  <c r="R391" i="1" s="1"/>
  <c r="L392" i="1"/>
  <c r="P392" i="1" s="1"/>
  <c r="R392" i="1" s="1"/>
  <c r="L393" i="1"/>
  <c r="P393" i="1" s="1"/>
  <c r="R393" i="1" s="1"/>
  <c r="L394" i="1"/>
  <c r="P394" i="1" s="1"/>
  <c r="R394" i="1" s="1"/>
  <c r="L395" i="1"/>
  <c r="P395" i="1" s="1"/>
  <c r="R395" i="1" s="1"/>
  <c r="L396" i="1"/>
  <c r="P396" i="1" s="1"/>
  <c r="R396" i="1" s="1"/>
  <c r="L397" i="1"/>
  <c r="P397" i="1" s="1"/>
  <c r="R397" i="1" s="1"/>
  <c r="L398" i="1"/>
  <c r="P398" i="1" s="1"/>
  <c r="R398" i="1" s="1"/>
  <c r="L399" i="1"/>
  <c r="P399" i="1" s="1"/>
  <c r="R399" i="1" s="1"/>
  <c r="L400" i="1"/>
  <c r="P400" i="1" s="1"/>
  <c r="R400" i="1" s="1"/>
  <c r="L401" i="1"/>
  <c r="P401" i="1" s="1"/>
  <c r="L402" i="1"/>
  <c r="P402" i="1" s="1"/>
  <c r="R402" i="1" s="1"/>
  <c r="L403" i="1"/>
  <c r="P403" i="1" s="1"/>
  <c r="R403" i="1" s="1"/>
  <c r="L404" i="1"/>
  <c r="P404" i="1" s="1"/>
  <c r="R404" i="1" s="1"/>
  <c r="L405" i="1"/>
  <c r="P405" i="1" s="1"/>
  <c r="R405" i="1" s="1"/>
  <c r="L406" i="1"/>
  <c r="P406" i="1" s="1"/>
  <c r="R406" i="1" s="1"/>
  <c r="L407" i="1"/>
  <c r="P407" i="1" s="1"/>
  <c r="R407" i="1" s="1"/>
  <c r="L408" i="1"/>
  <c r="P408" i="1" s="1"/>
  <c r="R408" i="1" s="1"/>
  <c r="L409" i="1"/>
  <c r="P409" i="1" s="1"/>
  <c r="R409" i="1" s="1"/>
  <c r="L410" i="1"/>
  <c r="P410" i="1" s="1"/>
  <c r="R410" i="1" s="1"/>
  <c r="L411" i="1"/>
  <c r="P411" i="1" s="1"/>
  <c r="R411" i="1" s="1"/>
  <c r="L412" i="1"/>
  <c r="P412" i="1" s="1"/>
  <c r="R412" i="1" s="1"/>
  <c r="L413" i="1"/>
  <c r="P413" i="1" s="1"/>
  <c r="R413" i="1" s="1"/>
  <c r="L414" i="1"/>
  <c r="P414" i="1" s="1"/>
  <c r="R414" i="1" s="1"/>
  <c r="L415" i="1"/>
  <c r="P415" i="1" s="1"/>
  <c r="R415" i="1" s="1"/>
  <c r="L416" i="1"/>
  <c r="P416" i="1" s="1"/>
  <c r="R416" i="1" s="1"/>
  <c r="L417" i="1"/>
  <c r="P417" i="1" s="1"/>
  <c r="R417" i="1" s="1"/>
  <c r="L418" i="1"/>
  <c r="P418" i="1" s="1"/>
  <c r="R418" i="1" s="1"/>
  <c r="L419" i="1"/>
  <c r="P419" i="1" s="1"/>
  <c r="R419" i="1" s="1"/>
  <c r="L420" i="1"/>
  <c r="P420" i="1" s="1"/>
  <c r="R420" i="1" s="1"/>
  <c r="L421" i="1"/>
  <c r="P421" i="1" s="1"/>
  <c r="R421" i="1" s="1"/>
  <c r="L422" i="1"/>
  <c r="P422" i="1" s="1"/>
  <c r="R422" i="1" s="1"/>
  <c r="L423" i="1"/>
  <c r="P423" i="1" s="1"/>
  <c r="R423" i="1" s="1"/>
  <c r="L424" i="1"/>
  <c r="P424" i="1" s="1"/>
  <c r="R424" i="1" s="1"/>
  <c r="L425" i="1"/>
  <c r="P425" i="1" s="1"/>
  <c r="R425" i="1" s="1"/>
  <c r="L426" i="1"/>
  <c r="P426" i="1" s="1"/>
  <c r="R426" i="1" s="1"/>
  <c r="L427" i="1"/>
  <c r="P427" i="1" s="1"/>
  <c r="L428" i="1"/>
  <c r="P428" i="1" s="1"/>
  <c r="R428" i="1" s="1"/>
  <c r="L429" i="1"/>
  <c r="P429" i="1" s="1"/>
  <c r="R429" i="1" s="1"/>
  <c r="L430" i="1"/>
  <c r="P430" i="1" s="1"/>
  <c r="R430" i="1" s="1"/>
  <c r="L431" i="1"/>
  <c r="P431" i="1" s="1"/>
  <c r="R431" i="1" s="1"/>
  <c r="L432" i="1"/>
  <c r="P432" i="1" s="1"/>
  <c r="R432" i="1" s="1"/>
  <c r="L433" i="1"/>
  <c r="P433" i="1" s="1"/>
  <c r="R433" i="1" s="1"/>
  <c r="L434" i="1"/>
  <c r="P434" i="1" s="1"/>
  <c r="R434" i="1" s="1"/>
  <c r="L435" i="1"/>
  <c r="P435" i="1" s="1"/>
  <c r="R435" i="1" s="1"/>
  <c r="L436" i="1"/>
  <c r="P436" i="1" s="1"/>
  <c r="R436" i="1" s="1"/>
  <c r="L437" i="1"/>
  <c r="P437" i="1" s="1"/>
  <c r="R437" i="1" s="1"/>
  <c r="L438" i="1"/>
  <c r="P438" i="1" s="1"/>
  <c r="R438" i="1" s="1"/>
  <c r="L439" i="1"/>
  <c r="P439" i="1" s="1"/>
  <c r="R439" i="1" s="1"/>
  <c r="L440" i="1"/>
  <c r="P440" i="1" s="1"/>
  <c r="R440" i="1" s="1"/>
  <c r="L441" i="1"/>
  <c r="P441" i="1" s="1"/>
  <c r="R441" i="1" s="1"/>
  <c r="L442" i="1"/>
  <c r="P442" i="1" s="1"/>
  <c r="R442" i="1" s="1"/>
  <c r="L443" i="1"/>
  <c r="P443" i="1" s="1"/>
  <c r="R443" i="1" s="1"/>
  <c r="L444" i="1"/>
  <c r="P444" i="1" s="1"/>
  <c r="R444" i="1" s="1"/>
  <c r="L445" i="1"/>
  <c r="P445" i="1" s="1"/>
  <c r="R445" i="1" s="1"/>
  <c r="L446" i="1"/>
  <c r="P446" i="1" s="1"/>
  <c r="R446" i="1" s="1"/>
  <c r="L447" i="1"/>
  <c r="P447" i="1" s="1"/>
  <c r="R447" i="1" s="1"/>
  <c r="L448" i="1"/>
  <c r="P448" i="1" s="1"/>
  <c r="R448" i="1" s="1"/>
  <c r="L449" i="1"/>
  <c r="P449" i="1" s="1"/>
  <c r="R449" i="1" s="1"/>
  <c r="L450" i="1"/>
  <c r="P450" i="1" s="1"/>
  <c r="R450" i="1" s="1"/>
  <c r="L451" i="1"/>
  <c r="P451" i="1" s="1"/>
  <c r="L452" i="1"/>
  <c r="P452" i="1" s="1"/>
  <c r="R452" i="1" s="1"/>
  <c r="L453" i="1"/>
  <c r="P453" i="1" s="1"/>
  <c r="R453" i="1" s="1"/>
  <c r="L454" i="1"/>
  <c r="P454" i="1" s="1"/>
  <c r="R454" i="1" s="1"/>
  <c r="L455" i="1"/>
  <c r="P455" i="1" s="1"/>
  <c r="R455" i="1" s="1"/>
  <c r="L456" i="1"/>
  <c r="P456" i="1" s="1"/>
  <c r="R456" i="1" s="1"/>
  <c r="L457" i="1"/>
  <c r="P457" i="1" s="1"/>
  <c r="R457" i="1" s="1"/>
  <c r="L458" i="1"/>
  <c r="P458" i="1" s="1"/>
  <c r="R458" i="1" s="1"/>
  <c r="L459" i="1"/>
  <c r="P459" i="1" s="1"/>
  <c r="R459" i="1" s="1"/>
  <c r="L460" i="1"/>
  <c r="P460" i="1" s="1"/>
  <c r="R460" i="1" s="1"/>
  <c r="L461" i="1"/>
  <c r="P461" i="1" s="1"/>
  <c r="R461" i="1" s="1"/>
  <c r="L462" i="1"/>
  <c r="P462" i="1" s="1"/>
  <c r="R462" i="1" s="1"/>
  <c r="L463" i="1"/>
  <c r="P463" i="1" s="1"/>
  <c r="R463" i="1" s="1"/>
  <c r="L464" i="1"/>
  <c r="P464" i="1" s="1"/>
  <c r="R464" i="1" s="1"/>
  <c r="L465" i="1"/>
  <c r="P465" i="1" s="1"/>
  <c r="R465" i="1" s="1"/>
  <c r="L466" i="1"/>
  <c r="P466" i="1" s="1"/>
  <c r="R466" i="1" s="1"/>
  <c r="L467" i="1"/>
  <c r="P467" i="1" s="1"/>
  <c r="R467" i="1" s="1"/>
  <c r="L468" i="1"/>
  <c r="P468" i="1" s="1"/>
  <c r="R468" i="1" s="1"/>
  <c r="L469" i="1"/>
  <c r="P469" i="1" s="1"/>
  <c r="R469" i="1" s="1"/>
  <c r="L470" i="1"/>
  <c r="P470" i="1" s="1"/>
  <c r="R470" i="1" s="1"/>
  <c r="L471" i="1"/>
  <c r="P471" i="1" s="1"/>
  <c r="R471" i="1" s="1"/>
  <c r="L472" i="1"/>
  <c r="P472" i="1" s="1"/>
  <c r="R472" i="1" s="1"/>
  <c r="L473" i="1"/>
  <c r="P473" i="1" s="1"/>
  <c r="R473" i="1" s="1"/>
  <c r="L474" i="1"/>
  <c r="P474" i="1" s="1"/>
  <c r="R474" i="1" s="1"/>
  <c r="L475" i="1"/>
  <c r="P475" i="1" s="1"/>
  <c r="R475" i="1" s="1"/>
  <c r="L476" i="1"/>
  <c r="P476" i="1" s="1"/>
  <c r="R476" i="1" s="1"/>
  <c r="L477" i="1"/>
  <c r="P477" i="1" s="1"/>
  <c r="R477" i="1" s="1"/>
  <c r="L478" i="1"/>
  <c r="P478" i="1" s="1"/>
  <c r="R478" i="1" s="1"/>
  <c r="L479" i="1"/>
  <c r="P479" i="1" s="1"/>
  <c r="R479" i="1" s="1"/>
  <c r="L480" i="1"/>
  <c r="P480" i="1" s="1"/>
  <c r="R480" i="1" s="1"/>
  <c r="L481" i="1"/>
  <c r="P481" i="1" s="1"/>
  <c r="L482" i="1"/>
  <c r="P482" i="1" s="1"/>
  <c r="R482" i="1" s="1"/>
  <c r="L483" i="1"/>
  <c r="P483" i="1" s="1"/>
  <c r="R483" i="1" s="1"/>
  <c r="L484" i="1"/>
  <c r="P484" i="1" s="1"/>
  <c r="R484" i="1" s="1"/>
  <c r="L485" i="1"/>
  <c r="P485" i="1" s="1"/>
  <c r="R485" i="1" s="1"/>
  <c r="L486" i="1"/>
  <c r="P486" i="1" s="1"/>
  <c r="R486" i="1" s="1"/>
  <c r="L487" i="1"/>
  <c r="P487" i="1" s="1"/>
  <c r="R487" i="1" s="1"/>
  <c r="L488" i="1"/>
  <c r="P488" i="1" s="1"/>
  <c r="R488" i="1" s="1"/>
  <c r="L489" i="1"/>
  <c r="P489" i="1" s="1"/>
  <c r="R489" i="1" s="1"/>
  <c r="L490" i="1"/>
  <c r="P490" i="1" s="1"/>
  <c r="R490" i="1" s="1"/>
  <c r="L491" i="1"/>
  <c r="P491" i="1" s="1"/>
  <c r="R491" i="1" s="1"/>
  <c r="L492" i="1"/>
  <c r="P492" i="1" s="1"/>
  <c r="R492" i="1" s="1"/>
  <c r="L493" i="1"/>
  <c r="P493" i="1" s="1"/>
  <c r="R493" i="1" s="1"/>
  <c r="L494" i="1"/>
  <c r="P494" i="1" s="1"/>
  <c r="R494" i="1" s="1"/>
  <c r="L495" i="1"/>
  <c r="P495" i="1" s="1"/>
  <c r="R495" i="1" s="1"/>
  <c r="L496" i="1"/>
  <c r="P496" i="1" s="1"/>
  <c r="R496" i="1" s="1"/>
  <c r="L497" i="1"/>
  <c r="P497" i="1" s="1"/>
  <c r="R497" i="1" s="1"/>
  <c r="L498" i="1"/>
  <c r="P498" i="1" s="1"/>
  <c r="R498" i="1" s="1"/>
  <c r="L499" i="1"/>
  <c r="P499" i="1" s="1"/>
  <c r="R499" i="1" s="1"/>
  <c r="L500" i="1"/>
  <c r="P500" i="1" s="1"/>
  <c r="R500" i="1" s="1"/>
  <c r="L501" i="1"/>
  <c r="P501" i="1" s="1"/>
  <c r="R501" i="1" s="1"/>
  <c r="L502" i="1"/>
  <c r="P502" i="1" s="1"/>
  <c r="R502" i="1" s="1"/>
  <c r="L503" i="1"/>
  <c r="P503" i="1" s="1"/>
  <c r="R503" i="1" s="1"/>
  <c r="L504" i="1"/>
  <c r="P504" i="1" s="1"/>
  <c r="R504" i="1" s="1"/>
  <c r="L505" i="1"/>
  <c r="P505" i="1" s="1"/>
  <c r="R505" i="1" s="1"/>
  <c r="L506" i="1"/>
  <c r="P506" i="1" s="1"/>
  <c r="R506" i="1" s="1"/>
  <c r="L507" i="1"/>
  <c r="P507" i="1" s="1"/>
  <c r="R507" i="1" s="1"/>
  <c r="L508" i="1"/>
  <c r="P508" i="1" s="1"/>
  <c r="R508" i="1" s="1"/>
  <c r="L509" i="1"/>
  <c r="P509" i="1" s="1"/>
  <c r="R509" i="1" s="1"/>
  <c r="L510" i="1"/>
  <c r="P510" i="1" s="1"/>
  <c r="R510" i="1" s="1"/>
  <c r="L511" i="1"/>
  <c r="P511" i="1" s="1"/>
  <c r="R511" i="1" s="1"/>
  <c r="L512" i="1"/>
  <c r="P512" i="1" s="1"/>
  <c r="R512" i="1" s="1"/>
  <c r="L513" i="1"/>
  <c r="P513" i="1" s="1"/>
  <c r="R513" i="1" s="1"/>
  <c r="L514" i="1"/>
  <c r="P514" i="1" s="1"/>
  <c r="R514" i="1" s="1"/>
  <c r="L515" i="1"/>
  <c r="P515" i="1" s="1"/>
  <c r="R515" i="1" s="1"/>
  <c r="L516" i="1"/>
  <c r="P516" i="1" s="1"/>
  <c r="R516" i="1" s="1"/>
  <c r="L517" i="1"/>
  <c r="P517" i="1" s="1"/>
  <c r="L518" i="1"/>
  <c r="P518" i="1" s="1"/>
  <c r="R518" i="1" s="1"/>
  <c r="L519" i="1"/>
  <c r="P519" i="1" s="1"/>
  <c r="L520" i="1"/>
  <c r="P520" i="1" s="1"/>
  <c r="R520" i="1" s="1"/>
  <c r="L521" i="1"/>
  <c r="P521" i="1" s="1"/>
  <c r="R521" i="1" s="1"/>
  <c r="L522" i="1"/>
  <c r="P522" i="1" s="1"/>
  <c r="R522" i="1" s="1"/>
  <c r="L523" i="1"/>
  <c r="P523" i="1" s="1"/>
  <c r="R523" i="1" s="1"/>
  <c r="L524" i="1"/>
  <c r="P524" i="1" s="1"/>
  <c r="R524" i="1" s="1"/>
  <c r="L525" i="1"/>
  <c r="P525" i="1" s="1"/>
  <c r="R525" i="1" s="1"/>
  <c r="L526" i="1"/>
  <c r="P526" i="1" s="1"/>
  <c r="L527" i="1"/>
  <c r="P527" i="1" s="1"/>
  <c r="R527" i="1" s="1"/>
  <c r="L528" i="1"/>
  <c r="P528" i="1" s="1"/>
  <c r="R528" i="1" s="1"/>
  <c r="L529" i="1"/>
  <c r="P529" i="1" s="1"/>
  <c r="R529" i="1" s="1"/>
  <c r="L530" i="1"/>
  <c r="P530" i="1" s="1"/>
  <c r="R530" i="1" s="1"/>
  <c r="L531" i="1"/>
  <c r="P531" i="1" s="1"/>
  <c r="L532" i="1"/>
  <c r="P532" i="1" s="1"/>
  <c r="R532" i="1" s="1"/>
  <c r="L533" i="1"/>
  <c r="P533" i="1" s="1"/>
  <c r="R533" i="1" s="1"/>
  <c r="L534" i="1"/>
  <c r="P534" i="1" s="1"/>
  <c r="L535" i="1"/>
  <c r="P535" i="1" s="1"/>
  <c r="R535" i="1" s="1"/>
  <c r="L536" i="1"/>
  <c r="P536" i="1" s="1"/>
  <c r="R536" i="1" s="1"/>
  <c r="L537" i="1"/>
  <c r="P537" i="1" s="1"/>
  <c r="R537" i="1" s="1"/>
  <c r="L538" i="1"/>
  <c r="P538" i="1" s="1"/>
  <c r="R538" i="1" s="1"/>
  <c r="L539" i="1"/>
  <c r="P539" i="1" s="1"/>
  <c r="R539" i="1" s="1"/>
  <c r="L540" i="1"/>
  <c r="P540" i="1" s="1"/>
  <c r="R540" i="1" s="1"/>
  <c r="L541" i="1"/>
  <c r="P541" i="1" s="1"/>
  <c r="R541" i="1" s="1"/>
  <c r="L542" i="1"/>
  <c r="P542" i="1" s="1"/>
  <c r="L543" i="1"/>
  <c r="P543" i="1" s="1"/>
  <c r="R543" i="1" s="1"/>
  <c r="L544" i="1"/>
  <c r="P544" i="1" s="1"/>
  <c r="R544" i="1" s="1"/>
  <c r="L545" i="1"/>
  <c r="P545" i="1" s="1"/>
  <c r="R545" i="1" s="1"/>
  <c r="L546" i="1"/>
  <c r="P546" i="1" s="1"/>
  <c r="R546" i="1" s="1"/>
  <c r="L547" i="1"/>
  <c r="P547" i="1" s="1"/>
  <c r="R547" i="1" s="1"/>
  <c r="L548" i="1"/>
  <c r="P548" i="1" s="1"/>
  <c r="R548" i="1" s="1"/>
  <c r="L549" i="1"/>
  <c r="P549" i="1" s="1"/>
  <c r="R549" i="1" s="1"/>
  <c r="L550" i="1"/>
  <c r="P550" i="1" s="1"/>
  <c r="R550" i="1" s="1"/>
  <c r="L551" i="1"/>
  <c r="P551" i="1" s="1"/>
  <c r="R551" i="1" s="1"/>
  <c r="L552" i="1"/>
  <c r="P552" i="1" s="1"/>
  <c r="R552" i="1" s="1"/>
  <c r="L553" i="1"/>
  <c r="P553" i="1" s="1"/>
  <c r="R553" i="1" s="1"/>
  <c r="L554" i="1"/>
  <c r="P554" i="1" s="1"/>
  <c r="R554" i="1" s="1"/>
  <c r="L555" i="1"/>
  <c r="P555" i="1" s="1"/>
  <c r="R555" i="1" s="1"/>
  <c r="L556" i="1"/>
  <c r="P556" i="1" s="1"/>
  <c r="R556" i="1" s="1"/>
  <c r="L557" i="1"/>
  <c r="P557" i="1" s="1"/>
  <c r="R557" i="1" s="1"/>
  <c r="L558" i="1"/>
  <c r="P558" i="1" s="1"/>
  <c r="R558" i="1" s="1"/>
  <c r="L559" i="1"/>
  <c r="P559" i="1" s="1"/>
  <c r="R559" i="1" s="1"/>
  <c r="L560" i="1"/>
  <c r="P560" i="1" s="1"/>
  <c r="R560" i="1" s="1"/>
  <c r="L561" i="1"/>
  <c r="P561" i="1" s="1"/>
  <c r="R561" i="1" s="1"/>
  <c r="L562" i="1"/>
  <c r="P562" i="1" s="1"/>
  <c r="R562" i="1" s="1"/>
  <c r="L563" i="1"/>
  <c r="P563" i="1" s="1"/>
  <c r="R563" i="1" s="1"/>
  <c r="L564" i="1"/>
  <c r="P564" i="1" s="1"/>
  <c r="R564" i="1" s="1"/>
  <c r="L565" i="1"/>
  <c r="P565" i="1" s="1"/>
  <c r="R565" i="1" s="1"/>
  <c r="L566" i="1"/>
  <c r="P566" i="1" s="1"/>
  <c r="R566" i="1" s="1"/>
  <c r="L567" i="1"/>
  <c r="P567" i="1" s="1"/>
  <c r="R567" i="1" s="1"/>
  <c r="L568" i="1"/>
  <c r="P568" i="1" s="1"/>
  <c r="R568" i="1" s="1"/>
  <c r="L569" i="1"/>
  <c r="P569" i="1" s="1"/>
  <c r="R569" i="1" s="1"/>
  <c r="L570" i="1"/>
  <c r="P570" i="1" s="1"/>
  <c r="R570" i="1" s="1"/>
  <c r="L571" i="1"/>
  <c r="P571" i="1" s="1"/>
  <c r="R571" i="1" s="1"/>
  <c r="L572" i="1"/>
  <c r="P572" i="1" s="1"/>
  <c r="R572" i="1" s="1"/>
  <c r="L573" i="1"/>
  <c r="P573" i="1" s="1"/>
  <c r="R573" i="1" s="1"/>
  <c r="L574" i="1"/>
  <c r="P574" i="1" s="1"/>
  <c r="R574" i="1" s="1"/>
  <c r="L575" i="1"/>
  <c r="P575" i="1" s="1"/>
  <c r="R575" i="1" s="1"/>
  <c r="L576" i="1"/>
  <c r="P576" i="1" s="1"/>
  <c r="R576" i="1" s="1"/>
  <c r="L577" i="1"/>
  <c r="P577" i="1" s="1"/>
  <c r="R577" i="1" s="1"/>
  <c r="L578" i="1"/>
  <c r="P578" i="1" s="1"/>
  <c r="R578" i="1" s="1"/>
  <c r="L579" i="1"/>
  <c r="P579" i="1" s="1"/>
  <c r="R579" i="1" s="1"/>
  <c r="L580" i="1"/>
  <c r="P580" i="1" s="1"/>
  <c r="R580" i="1" s="1"/>
  <c r="L581" i="1"/>
  <c r="P581" i="1" s="1"/>
  <c r="R581" i="1" s="1"/>
  <c r="L582" i="1"/>
  <c r="P582" i="1" s="1"/>
  <c r="R582" i="1" s="1"/>
  <c r="L583" i="1"/>
  <c r="P583" i="1" s="1"/>
  <c r="R583" i="1" s="1"/>
  <c r="L584" i="1"/>
  <c r="P584" i="1" s="1"/>
  <c r="R584" i="1" s="1"/>
  <c r="L585" i="1"/>
  <c r="P585" i="1" s="1"/>
  <c r="R585" i="1" s="1"/>
  <c r="L586" i="1"/>
  <c r="P586" i="1" s="1"/>
  <c r="R586" i="1" s="1"/>
  <c r="L587" i="1"/>
  <c r="P587" i="1" s="1"/>
  <c r="R587" i="1" s="1"/>
  <c r="L588" i="1"/>
  <c r="P588" i="1" s="1"/>
  <c r="R588" i="1" s="1"/>
  <c r="L589" i="1"/>
  <c r="P589" i="1" s="1"/>
  <c r="R589" i="1" s="1"/>
  <c r="L590" i="1"/>
  <c r="P590" i="1" s="1"/>
  <c r="R590" i="1" s="1"/>
  <c r="L591" i="1"/>
  <c r="P591" i="1" s="1"/>
  <c r="R591" i="1" s="1"/>
  <c r="L592" i="1"/>
  <c r="P592" i="1" s="1"/>
  <c r="R592" i="1" s="1"/>
  <c r="L593" i="1"/>
  <c r="P593" i="1" s="1"/>
  <c r="R593" i="1" s="1"/>
  <c r="L594" i="1"/>
  <c r="P594" i="1" s="1"/>
  <c r="R594" i="1" s="1"/>
  <c r="L595" i="1"/>
  <c r="P595" i="1" s="1"/>
  <c r="R595" i="1" s="1"/>
  <c r="L596" i="1"/>
  <c r="P596" i="1" s="1"/>
  <c r="L597" i="1"/>
  <c r="P597" i="1" s="1"/>
  <c r="R597" i="1" s="1"/>
  <c r="L598" i="1"/>
  <c r="P598" i="1" s="1"/>
  <c r="R598" i="1" s="1"/>
  <c r="L599" i="1"/>
  <c r="P599" i="1" s="1"/>
  <c r="R599" i="1" s="1"/>
  <c r="L600" i="1"/>
  <c r="P600" i="1" s="1"/>
  <c r="R600" i="1" s="1"/>
  <c r="L601" i="1"/>
  <c r="P601" i="1" s="1"/>
  <c r="R601" i="1" s="1"/>
  <c r="L602" i="1"/>
  <c r="P602" i="1" s="1"/>
  <c r="R602" i="1" s="1"/>
  <c r="L603" i="1"/>
  <c r="P603" i="1" s="1"/>
  <c r="R603" i="1" s="1"/>
  <c r="L604" i="1"/>
  <c r="P604" i="1" s="1"/>
  <c r="R604" i="1" s="1"/>
  <c r="L605" i="1"/>
  <c r="P605" i="1" s="1"/>
  <c r="R605" i="1" s="1"/>
  <c r="L606" i="1"/>
  <c r="P606" i="1" s="1"/>
  <c r="R606" i="1" s="1"/>
  <c r="L607" i="1"/>
  <c r="P607" i="1" s="1"/>
  <c r="R607" i="1" s="1"/>
  <c r="L608" i="1"/>
  <c r="P608" i="1" s="1"/>
  <c r="R608" i="1" s="1"/>
  <c r="L609" i="1"/>
  <c r="P609" i="1" s="1"/>
  <c r="R609" i="1" s="1"/>
  <c r="L610" i="1"/>
  <c r="P610" i="1" s="1"/>
  <c r="R610" i="1" s="1"/>
  <c r="L611" i="1"/>
  <c r="P611" i="1" s="1"/>
  <c r="R611" i="1" s="1"/>
  <c r="L612" i="1"/>
  <c r="P612" i="1" s="1"/>
  <c r="R612" i="1" s="1"/>
  <c r="L613" i="1"/>
  <c r="P613" i="1" s="1"/>
  <c r="R613" i="1" s="1"/>
  <c r="L614" i="1"/>
  <c r="P614" i="1" s="1"/>
  <c r="R614" i="1" s="1"/>
  <c r="L615" i="1"/>
  <c r="P615" i="1" s="1"/>
  <c r="R615" i="1" s="1"/>
  <c r="L616" i="1"/>
  <c r="P616" i="1" s="1"/>
  <c r="R616" i="1" s="1"/>
  <c r="L617" i="1"/>
  <c r="P617" i="1" s="1"/>
  <c r="R617" i="1" s="1"/>
  <c r="L618" i="1"/>
  <c r="P618" i="1" s="1"/>
  <c r="R618" i="1" s="1"/>
  <c r="L619" i="1"/>
  <c r="P619" i="1" s="1"/>
  <c r="R619" i="1" s="1"/>
  <c r="L620" i="1"/>
  <c r="P620" i="1" s="1"/>
  <c r="R620" i="1" s="1"/>
  <c r="L621" i="1"/>
  <c r="P621" i="1" s="1"/>
  <c r="R621" i="1" s="1"/>
  <c r="L622" i="1"/>
  <c r="P622" i="1" s="1"/>
  <c r="R622" i="1" s="1"/>
  <c r="L623" i="1"/>
  <c r="P623" i="1" s="1"/>
  <c r="R623" i="1" s="1"/>
  <c r="L624" i="1"/>
  <c r="P624" i="1" s="1"/>
  <c r="R624" i="1" s="1"/>
  <c r="L625" i="1"/>
  <c r="P625" i="1" s="1"/>
  <c r="R625" i="1" s="1"/>
  <c r="L626" i="1"/>
  <c r="P626" i="1" s="1"/>
  <c r="R626" i="1" s="1"/>
  <c r="L627" i="1"/>
  <c r="P627" i="1" s="1"/>
  <c r="R627" i="1" s="1"/>
  <c r="L628" i="1"/>
  <c r="P628" i="1" s="1"/>
  <c r="R628" i="1" s="1"/>
  <c r="L629" i="1"/>
  <c r="P629" i="1" s="1"/>
  <c r="R629" i="1" s="1"/>
  <c r="L630" i="1"/>
  <c r="P630" i="1" s="1"/>
  <c r="R630" i="1" s="1"/>
  <c r="L631" i="1"/>
  <c r="P631" i="1" s="1"/>
  <c r="R631" i="1" s="1"/>
  <c r="L632" i="1"/>
  <c r="P632" i="1" s="1"/>
  <c r="R632" i="1" s="1"/>
  <c r="L633" i="1"/>
  <c r="P633" i="1" s="1"/>
  <c r="R633" i="1" s="1"/>
  <c r="L634" i="1"/>
  <c r="P634" i="1" s="1"/>
  <c r="R634" i="1" s="1"/>
  <c r="L635" i="1"/>
  <c r="P635" i="1" s="1"/>
  <c r="R635" i="1" s="1"/>
  <c r="L636" i="1"/>
  <c r="P636" i="1" s="1"/>
  <c r="L637" i="1"/>
  <c r="P637" i="1" s="1"/>
  <c r="R637" i="1" s="1"/>
  <c r="L638" i="1"/>
  <c r="P638" i="1" s="1"/>
  <c r="R638" i="1" s="1"/>
  <c r="L639" i="1"/>
  <c r="P639" i="1" s="1"/>
  <c r="R639" i="1" s="1"/>
  <c r="L640" i="1"/>
  <c r="P640" i="1" s="1"/>
  <c r="R640" i="1" s="1"/>
  <c r="L641" i="1"/>
  <c r="P641" i="1" s="1"/>
  <c r="R641" i="1" s="1"/>
  <c r="L642" i="1"/>
  <c r="P642" i="1" s="1"/>
  <c r="R642" i="1" s="1"/>
  <c r="L643" i="1"/>
  <c r="P643" i="1" s="1"/>
  <c r="L644" i="1"/>
  <c r="P644" i="1" s="1"/>
  <c r="R644" i="1" s="1"/>
  <c r="L645" i="1"/>
  <c r="P645" i="1" s="1"/>
  <c r="R645" i="1" s="1"/>
  <c r="L646" i="1"/>
  <c r="P646" i="1" s="1"/>
  <c r="R646" i="1" s="1"/>
  <c r="L647" i="1"/>
  <c r="P647" i="1" s="1"/>
  <c r="R647" i="1" s="1"/>
  <c r="L648" i="1"/>
  <c r="P648" i="1" s="1"/>
  <c r="R648" i="1" s="1"/>
  <c r="L649" i="1"/>
  <c r="P649" i="1" s="1"/>
  <c r="R649" i="1" s="1"/>
  <c r="L650" i="1"/>
  <c r="P650" i="1" s="1"/>
  <c r="R650" i="1" s="1"/>
  <c r="L651" i="1"/>
  <c r="P651" i="1" s="1"/>
  <c r="R651" i="1" s="1"/>
  <c r="L652" i="1"/>
  <c r="P652" i="1" s="1"/>
  <c r="R652" i="1" s="1"/>
  <c r="L653" i="1"/>
  <c r="P653" i="1" s="1"/>
  <c r="R653" i="1" s="1"/>
  <c r="L654" i="1"/>
  <c r="P654" i="1" s="1"/>
  <c r="R654" i="1" s="1"/>
  <c r="L655" i="1"/>
  <c r="P655" i="1" s="1"/>
  <c r="R655" i="1" s="1"/>
  <c r="L656" i="1"/>
  <c r="P656" i="1" s="1"/>
  <c r="R656" i="1" s="1"/>
  <c r="L657" i="1"/>
  <c r="P657" i="1" s="1"/>
  <c r="R657" i="1" s="1"/>
  <c r="L658" i="1"/>
  <c r="P658" i="1" s="1"/>
  <c r="R658" i="1" s="1"/>
  <c r="L659" i="1"/>
  <c r="P659" i="1" s="1"/>
  <c r="R659" i="1" s="1"/>
  <c r="L660" i="1"/>
  <c r="P660" i="1" s="1"/>
  <c r="R660" i="1" s="1"/>
  <c r="L661" i="1"/>
  <c r="P661" i="1" s="1"/>
  <c r="R661" i="1" s="1"/>
  <c r="L662" i="1"/>
  <c r="P662" i="1" s="1"/>
  <c r="R662" i="1" s="1"/>
  <c r="L663" i="1"/>
  <c r="P663" i="1" s="1"/>
  <c r="R663" i="1" s="1"/>
  <c r="L664" i="1"/>
  <c r="P664" i="1" s="1"/>
  <c r="R664" i="1" s="1"/>
  <c r="L665" i="1"/>
  <c r="P665" i="1" s="1"/>
  <c r="R665" i="1" s="1"/>
  <c r="L666" i="1"/>
  <c r="P666" i="1" s="1"/>
  <c r="L667" i="1"/>
  <c r="P667" i="1" s="1"/>
  <c r="R667" i="1" s="1"/>
  <c r="L668" i="1"/>
  <c r="P668" i="1" s="1"/>
  <c r="R668" i="1" s="1"/>
  <c r="L669" i="1"/>
  <c r="P669" i="1" s="1"/>
  <c r="R669" i="1" s="1"/>
  <c r="L670" i="1"/>
  <c r="P670" i="1" s="1"/>
  <c r="R670" i="1" s="1"/>
  <c r="L671" i="1"/>
  <c r="P671" i="1" s="1"/>
  <c r="R671" i="1" s="1"/>
  <c r="L672" i="1"/>
  <c r="P672" i="1" s="1"/>
  <c r="R672" i="1" s="1"/>
  <c r="L673" i="1"/>
  <c r="P673" i="1" s="1"/>
  <c r="R673" i="1" s="1"/>
  <c r="L674" i="1"/>
  <c r="P674" i="1" s="1"/>
  <c r="R674" i="1" s="1"/>
  <c r="L675" i="1"/>
  <c r="P675" i="1" s="1"/>
  <c r="R675" i="1" s="1"/>
  <c r="L676" i="1"/>
  <c r="P676" i="1" s="1"/>
  <c r="R676" i="1" s="1"/>
  <c r="L677" i="1"/>
  <c r="P677" i="1" s="1"/>
  <c r="R677" i="1" s="1"/>
  <c r="L678" i="1"/>
  <c r="P678" i="1" s="1"/>
  <c r="R678" i="1" s="1"/>
  <c r="L679" i="1"/>
  <c r="P679" i="1" s="1"/>
  <c r="R679" i="1" s="1"/>
  <c r="L680" i="1"/>
  <c r="P680" i="1" s="1"/>
  <c r="R680" i="1" s="1"/>
  <c r="L681" i="1"/>
  <c r="P681" i="1" s="1"/>
  <c r="R681" i="1" s="1"/>
  <c r="L682" i="1"/>
  <c r="P682" i="1" s="1"/>
  <c r="R682" i="1" s="1"/>
  <c r="L683" i="1"/>
  <c r="P683" i="1" s="1"/>
  <c r="R683" i="1" s="1"/>
  <c r="L684" i="1"/>
  <c r="P684" i="1" s="1"/>
  <c r="R684" i="1" s="1"/>
  <c r="L685" i="1"/>
  <c r="P685" i="1" s="1"/>
  <c r="R685" i="1" s="1"/>
  <c r="L686" i="1"/>
  <c r="P686" i="1" s="1"/>
  <c r="R686" i="1" s="1"/>
  <c r="L687" i="1"/>
  <c r="P687" i="1" s="1"/>
  <c r="R687" i="1" s="1"/>
  <c r="L688" i="1"/>
  <c r="P688" i="1" s="1"/>
  <c r="R688" i="1" s="1"/>
  <c r="L689" i="1"/>
  <c r="P689" i="1" s="1"/>
  <c r="R689" i="1" s="1"/>
  <c r="L690" i="1"/>
  <c r="P690" i="1" s="1"/>
  <c r="R690" i="1" s="1"/>
  <c r="L691" i="1"/>
  <c r="P691" i="1" s="1"/>
  <c r="R691" i="1" s="1"/>
  <c r="L692" i="1"/>
  <c r="P692" i="1" s="1"/>
  <c r="R692" i="1" s="1"/>
  <c r="L693" i="1"/>
  <c r="P693" i="1" s="1"/>
  <c r="R693" i="1" s="1"/>
  <c r="L694" i="1"/>
  <c r="P694" i="1" s="1"/>
  <c r="R694" i="1" s="1"/>
  <c r="L695" i="1"/>
  <c r="P695" i="1" s="1"/>
  <c r="R695" i="1" s="1"/>
  <c r="L696" i="1"/>
  <c r="P696" i="1" s="1"/>
  <c r="R696" i="1" s="1"/>
  <c r="L697" i="1"/>
  <c r="P697" i="1" s="1"/>
  <c r="R697" i="1" s="1"/>
  <c r="L698" i="1"/>
  <c r="P698" i="1" s="1"/>
  <c r="R698" i="1" s="1"/>
  <c r="L699" i="1"/>
  <c r="P699" i="1" s="1"/>
  <c r="R699" i="1" s="1"/>
  <c r="L700" i="1"/>
  <c r="P700" i="1" s="1"/>
  <c r="R700" i="1" s="1"/>
  <c r="L701" i="1"/>
  <c r="P701" i="1" s="1"/>
  <c r="R701" i="1" s="1"/>
  <c r="L702" i="1"/>
  <c r="P702" i="1" s="1"/>
  <c r="R702" i="1" s="1"/>
  <c r="L703" i="1"/>
  <c r="P703" i="1" s="1"/>
  <c r="R703" i="1" s="1"/>
  <c r="L704" i="1"/>
  <c r="P704" i="1" s="1"/>
  <c r="R704" i="1" s="1"/>
  <c r="L705" i="1"/>
  <c r="P705" i="1" s="1"/>
  <c r="R705" i="1" s="1"/>
  <c r="L706" i="1"/>
  <c r="P706" i="1" s="1"/>
  <c r="R706" i="1" s="1"/>
  <c r="L707" i="1"/>
  <c r="P707" i="1" s="1"/>
  <c r="R707" i="1" s="1"/>
  <c r="L708" i="1"/>
  <c r="P708" i="1" s="1"/>
  <c r="R708" i="1" s="1"/>
  <c r="L709" i="1"/>
  <c r="P709" i="1" s="1"/>
  <c r="R709" i="1" s="1"/>
  <c r="L710" i="1"/>
  <c r="P710" i="1" s="1"/>
  <c r="R710" i="1" s="1"/>
  <c r="L711" i="1"/>
  <c r="P711" i="1" s="1"/>
  <c r="R711" i="1" s="1"/>
  <c r="L712" i="1"/>
  <c r="P712" i="1" s="1"/>
  <c r="R712" i="1" s="1"/>
  <c r="L713" i="1"/>
  <c r="P713" i="1" s="1"/>
  <c r="R713" i="1" s="1"/>
  <c r="L714" i="1"/>
  <c r="P714" i="1" s="1"/>
  <c r="R714" i="1" s="1"/>
  <c r="L715" i="1"/>
  <c r="P715" i="1" s="1"/>
  <c r="R715" i="1" s="1"/>
  <c r="L716" i="1"/>
  <c r="P716" i="1" s="1"/>
  <c r="R716" i="1" s="1"/>
  <c r="L717" i="1"/>
  <c r="P717" i="1" s="1"/>
  <c r="R717" i="1" s="1"/>
  <c r="L718" i="1"/>
  <c r="P718" i="1" s="1"/>
  <c r="R718" i="1" s="1"/>
  <c r="L719" i="1"/>
  <c r="P719" i="1" s="1"/>
  <c r="R719" i="1" s="1"/>
  <c r="L720" i="1"/>
  <c r="P720" i="1" s="1"/>
  <c r="L721" i="1"/>
  <c r="P721" i="1" s="1"/>
  <c r="R721" i="1" s="1"/>
  <c r="L722" i="1"/>
  <c r="P722" i="1" s="1"/>
  <c r="R722" i="1" s="1"/>
  <c r="L723" i="1"/>
  <c r="P723" i="1" s="1"/>
  <c r="R723" i="1" s="1"/>
  <c r="L724" i="1"/>
  <c r="P724" i="1" s="1"/>
  <c r="R724" i="1" s="1"/>
  <c r="L725" i="1"/>
  <c r="P725" i="1" s="1"/>
  <c r="R725" i="1" s="1"/>
  <c r="L726" i="1"/>
  <c r="P726" i="1" s="1"/>
  <c r="R726" i="1" s="1"/>
  <c r="L727" i="1"/>
  <c r="P727" i="1" s="1"/>
  <c r="R727" i="1" s="1"/>
  <c r="L728" i="1"/>
  <c r="P728" i="1" s="1"/>
  <c r="L729" i="1"/>
  <c r="P729" i="1" s="1"/>
  <c r="R729" i="1" s="1"/>
  <c r="L730" i="1"/>
  <c r="P730" i="1" s="1"/>
  <c r="R730" i="1" s="1"/>
  <c r="L731" i="1"/>
  <c r="P731" i="1" s="1"/>
  <c r="R731" i="1" s="1"/>
  <c r="L732" i="1"/>
  <c r="P732" i="1" s="1"/>
  <c r="R732" i="1" s="1"/>
  <c r="L733" i="1"/>
  <c r="P733" i="1" s="1"/>
  <c r="R733" i="1" s="1"/>
  <c r="L734" i="1"/>
  <c r="P734" i="1" s="1"/>
  <c r="R734" i="1" s="1"/>
  <c r="L735" i="1"/>
  <c r="P735" i="1" s="1"/>
  <c r="R735" i="1" s="1"/>
  <c r="L736" i="1"/>
  <c r="P736" i="1" s="1"/>
  <c r="R736" i="1" s="1"/>
  <c r="L737" i="1"/>
  <c r="P737" i="1" s="1"/>
  <c r="R737" i="1" s="1"/>
  <c r="L738" i="1"/>
  <c r="P738" i="1" s="1"/>
  <c r="R738" i="1" s="1"/>
  <c r="L739" i="1"/>
  <c r="P739" i="1" s="1"/>
  <c r="R739" i="1" s="1"/>
  <c r="L740" i="1"/>
  <c r="P740" i="1" s="1"/>
  <c r="R740" i="1" s="1"/>
  <c r="L741" i="1"/>
  <c r="P741" i="1" s="1"/>
  <c r="R741" i="1" s="1"/>
  <c r="L742" i="1"/>
  <c r="P742" i="1" s="1"/>
  <c r="R742" i="1" s="1"/>
  <c r="L743" i="1"/>
  <c r="P743" i="1" s="1"/>
  <c r="R743" i="1" s="1"/>
  <c r="L744" i="1"/>
  <c r="P744" i="1" s="1"/>
  <c r="R744" i="1" s="1"/>
  <c r="L745" i="1"/>
  <c r="P745" i="1" s="1"/>
  <c r="R745" i="1" s="1"/>
  <c r="L746" i="1"/>
  <c r="P746" i="1" s="1"/>
  <c r="R746" i="1" s="1"/>
  <c r="L747" i="1"/>
  <c r="P747" i="1" s="1"/>
  <c r="R747" i="1" s="1"/>
  <c r="L748" i="1"/>
  <c r="P748" i="1" s="1"/>
  <c r="R748" i="1" s="1"/>
  <c r="L749" i="1"/>
  <c r="P749" i="1" s="1"/>
  <c r="R749" i="1" s="1"/>
  <c r="L750" i="1"/>
  <c r="P750" i="1" s="1"/>
  <c r="R750" i="1" s="1"/>
  <c r="L751" i="1"/>
  <c r="P751" i="1" s="1"/>
  <c r="R751" i="1" s="1"/>
  <c r="L752" i="1"/>
  <c r="P752" i="1" s="1"/>
  <c r="R752" i="1" s="1"/>
  <c r="L753" i="1"/>
  <c r="P753" i="1" s="1"/>
  <c r="R753" i="1" s="1"/>
  <c r="L754" i="1"/>
  <c r="P754" i="1" s="1"/>
  <c r="L755" i="1"/>
  <c r="P755" i="1" s="1"/>
  <c r="R755" i="1" s="1"/>
  <c r="L756" i="1"/>
  <c r="P756" i="1" s="1"/>
  <c r="R756" i="1" s="1"/>
  <c r="L757" i="1"/>
  <c r="P757" i="1" s="1"/>
  <c r="R757" i="1" s="1"/>
  <c r="L758" i="1"/>
  <c r="P758" i="1" s="1"/>
  <c r="R758" i="1" s="1"/>
  <c r="L759" i="1"/>
  <c r="P759" i="1" s="1"/>
  <c r="R759" i="1" s="1"/>
  <c r="L760" i="1"/>
  <c r="P760" i="1" s="1"/>
  <c r="R760" i="1" s="1"/>
  <c r="L761" i="1"/>
  <c r="P761" i="1" s="1"/>
  <c r="R761" i="1" s="1"/>
  <c r="L762" i="1"/>
  <c r="P762" i="1" s="1"/>
  <c r="R762" i="1" s="1"/>
  <c r="L763" i="1"/>
  <c r="P763" i="1" s="1"/>
  <c r="R763" i="1" s="1"/>
  <c r="L764" i="1"/>
  <c r="P764" i="1" s="1"/>
  <c r="R764" i="1" s="1"/>
  <c r="L765" i="1"/>
  <c r="P765" i="1" s="1"/>
  <c r="R765" i="1" s="1"/>
  <c r="L766" i="1"/>
  <c r="P766" i="1" s="1"/>
  <c r="R766" i="1" s="1"/>
  <c r="L767" i="1"/>
  <c r="L768" i="1"/>
  <c r="P768" i="1" s="1"/>
  <c r="R768" i="1" s="1"/>
  <c r="L769" i="1"/>
  <c r="N769" i="1" s="1"/>
  <c r="L770" i="1"/>
  <c r="L771" i="1"/>
  <c r="L772" i="1"/>
  <c r="L773" i="1"/>
  <c r="L774" i="1"/>
  <c r="L775" i="1"/>
  <c r="L776" i="1"/>
  <c r="N776" i="1" s="1"/>
  <c r="L777" i="1"/>
  <c r="L778" i="1"/>
  <c r="L779" i="1"/>
  <c r="N779" i="1" s="1"/>
  <c r="L780" i="1"/>
  <c r="L781" i="1"/>
  <c r="L782" i="1"/>
  <c r="L783" i="1"/>
  <c r="L784" i="1"/>
  <c r="L785" i="1"/>
  <c r="L786" i="1"/>
  <c r="N786" i="1" s="1"/>
  <c r="L787" i="1"/>
  <c r="L788" i="1"/>
  <c r="L789" i="1"/>
  <c r="N789" i="1" s="1"/>
  <c r="L790" i="1"/>
  <c r="L791" i="1"/>
  <c r="L792" i="1"/>
  <c r="L793" i="1"/>
  <c r="L794" i="1"/>
  <c r="L795" i="1"/>
  <c r="L796" i="1"/>
  <c r="P796" i="1" s="1"/>
  <c r="R796" i="1" s="1"/>
  <c r="L797" i="1"/>
  <c r="P797" i="1" s="1"/>
  <c r="R797" i="1" s="1"/>
  <c r="L798" i="1"/>
  <c r="P798" i="1" s="1"/>
  <c r="R798" i="1" s="1"/>
  <c r="L799" i="1"/>
  <c r="P799" i="1" s="1"/>
  <c r="R799" i="1" s="1"/>
  <c r="L800" i="1"/>
  <c r="P800" i="1" s="1"/>
  <c r="R800" i="1" s="1"/>
  <c r="L801" i="1"/>
  <c r="P801" i="1" s="1"/>
  <c r="R801" i="1" s="1"/>
  <c r="L802" i="1"/>
  <c r="P802" i="1" s="1"/>
  <c r="R802" i="1" s="1"/>
  <c r="L803" i="1"/>
  <c r="P803" i="1" s="1"/>
  <c r="R803" i="1" s="1"/>
  <c r="L804" i="1"/>
  <c r="P804" i="1" s="1"/>
  <c r="R804" i="1" s="1"/>
  <c r="L805" i="1"/>
  <c r="P805" i="1" s="1"/>
  <c r="R805" i="1" s="1"/>
  <c r="L806" i="1"/>
  <c r="P806" i="1" s="1"/>
  <c r="R806" i="1" s="1"/>
  <c r="L807" i="1"/>
  <c r="P807" i="1" s="1"/>
  <c r="R807" i="1" s="1"/>
  <c r="L808" i="1"/>
  <c r="P808" i="1" s="1"/>
  <c r="R808" i="1" s="1"/>
  <c r="L809" i="1"/>
  <c r="P809" i="1" s="1"/>
  <c r="R809" i="1" s="1"/>
  <c r="L810" i="1"/>
  <c r="P810" i="1" s="1"/>
  <c r="R810" i="1" s="1"/>
  <c r="L811" i="1"/>
  <c r="P811" i="1" s="1"/>
  <c r="R811" i="1" s="1"/>
  <c r="L812" i="1"/>
  <c r="P812" i="1" s="1"/>
  <c r="L813" i="1"/>
  <c r="P813" i="1" s="1"/>
  <c r="R813" i="1" s="1"/>
  <c r="L814" i="1"/>
  <c r="P814" i="1" s="1"/>
  <c r="L815" i="1"/>
  <c r="P815" i="1" s="1"/>
  <c r="R815" i="1" s="1"/>
  <c r="L816" i="1"/>
  <c r="P816" i="1" s="1"/>
  <c r="R816" i="1" s="1"/>
  <c r="L817" i="1"/>
  <c r="P817" i="1" s="1"/>
  <c r="R817" i="1" s="1"/>
  <c r="L818" i="1"/>
  <c r="P818" i="1" s="1"/>
  <c r="R818" i="1" s="1"/>
  <c r="L819" i="1"/>
  <c r="P819" i="1" s="1"/>
  <c r="R819" i="1" s="1"/>
  <c r="L820" i="1"/>
  <c r="P820" i="1" s="1"/>
  <c r="R820" i="1" s="1"/>
  <c r="L821" i="1"/>
  <c r="P821" i="1" s="1"/>
  <c r="R821" i="1" s="1"/>
  <c r="L822" i="1"/>
  <c r="P822" i="1" s="1"/>
  <c r="R822" i="1" s="1"/>
  <c r="L823" i="1"/>
  <c r="P823" i="1" s="1"/>
  <c r="L824" i="1"/>
  <c r="P824" i="1" s="1"/>
  <c r="R824" i="1" s="1"/>
  <c r="L825" i="1"/>
  <c r="P825" i="1" s="1"/>
  <c r="R825" i="1" s="1"/>
  <c r="L826" i="1"/>
  <c r="P826" i="1" s="1"/>
  <c r="R826" i="1" s="1"/>
  <c r="L827" i="1"/>
  <c r="P827" i="1" s="1"/>
  <c r="R827" i="1" s="1"/>
  <c r="L828" i="1"/>
  <c r="P828" i="1" s="1"/>
  <c r="R828" i="1" s="1"/>
  <c r="L829" i="1"/>
  <c r="P829" i="1" s="1"/>
  <c r="R829" i="1" s="1"/>
  <c r="L830" i="1"/>
  <c r="P830" i="1" s="1"/>
  <c r="L831" i="1"/>
  <c r="P831" i="1" s="1"/>
  <c r="R831" i="1" s="1"/>
  <c r="L832" i="1"/>
  <c r="P832" i="1" s="1"/>
  <c r="R832" i="1" s="1"/>
  <c r="L833" i="1"/>
  <c r="P833" i="1" s="1"/>
  <c r="R833" i="1" s="1"/>
  <c r="L834" i="1"/>
  <c r="P834" i="1" s="1"/>
  <c r="R834" i="1" s="1"/>
  <c r="L835" i="1"/>
  <c r="P835" i="1" s="1"/>
  <c r="R835" i="1" s="1"/>
  <c r="L836" i="1"/>
  <c r="P836" i="1" s="1"/>
  <c r="L837" i="1"/>
  <c r="P837" i="1" s="1"/>
  <c r="R837" i="1" s="1"/>
  <c r="L838" i="1"/>
  <c r="P838" i="1" s="1"/>
  <c r="R838" i="1" s="1"/>
  <c r="L839" i="1"/>
  <c r="P839" i="1" s="1"/>
  <c r="R839" i="1" s="1"/>
  <c r="L840" i="1"/>
  <c r="P840" i="1" s="1"/>
  <c r="R840" i="1" s="1"/>
  <c r="L841" i="1"/>
  <c r="P841" i="1" s="1"/>
  <c r="R841" i="1" s="1"/>
  <c r="L842" i="1"/>
  <c r="P842" i="1" s="1"/>
  <c r="R842" i="1" s="1"/>
  <c r="L843" i="1"/>
  <c r="P843" i="1" s="1"/>
  <c r="R843" i="1" s="1"/>
  <c r="L844" i="1"/>
  <c r="P844" i="1" s="1"/>
  <c r="R844" i="1" s="1"/>
  <c r="L845" i="1"/>
  <c r="P845" i="1" s="1"/>
  <c r="R845" i="1" s="1"/>
  <c r="L846" i="1"/>
  <c r="P846" i="1" s="1"/>
  <c r="R846" i="1" s="1"/>
  <c r="L847" i="1"/>
  <c r="P847" i="1" s="1"/>
  <c r="R847" i="1" s="1"/>
  <c r="L848" i="1"/>
  <c r="P848" i="1" s="1"/>
  <c r="R848" i="1" s="1"/>
  <c r="L849" i="1"/>
  <c r="P849" i="1" s="1"/>
  <c r="R849" i="1" s="1"/>
  <c r="L850" i="1"/>
  <c r="P850" i="1" s="1"/>
  <c r="R850" i="1" s="1"/>
  <c r="L851" i="1"/>
  <c r="P851" i="1" s="1"/>
  <c r="R851" i="1" s="1"/>
  <c r="L852" i="1"/>
  <c r="P852" i="1" s="1"/>
  <c r="R852" i="1" s="1"/>
  <c r="L853" i="1"/>
  <c r="P853" i="1" s="1"/>
  <c r="R853" i="1" s="1"/>
  <c r="L854" i="1"/>
  <c r="P854" i="1" s="1"/>
  <c r="R854" i="1" s="1"/>
  <c r="L855" i="1"/>
  <c r="P855" i="1" s="1"/>
  <c r="R855" i="1" s="1"/>
  <c r="L856" i="1"/>
  <c r="P856" i="1" s="1"/>
  <c r="R856" i="1" s="1"/>
  <c r="L857" i="1"/>
  <c r="P857" i="1" s="1"/>
  <c r="R857" i="1" s="1"/>
  <c r="L858" i="1"/>
  <c r="P858" i="1" s="1"/>
  <c r="R858" i="1" s="1"/>
  <c r="L859" i="1"/>
  <c r="P859" i="1" s="1"/>
  <c r="R859" i="1" s="1"/>
  <c r="L860" i="1"/>
  <c r="P860" i="1" s="1"/>
  <c r="R860" i="1" s="1"/>
  <c r="L861" i="1"/>
  <c r="P861" i="1" s="1"/>
  <c r="L862" i="1"/>
  <c r="P862" i="1" s="1"/>
  <c r="R862" i="1" s="1"/>
  <c r="L863" i="1"/>
  <c r="P863" i="1" s="1"/>
  <c r="R863" i="1" s="1"/>
  <c r="L864" i="1"/>
  <c r="P864" i="1" s="1"/>
  <c r="R864" i="1" s="1"/>
  <c r="L865" i="1"/>
  <c r="P865" i="1" s="1"/>
  <c r="R865" i="1" s="1"/>
  <c r="L866" i="1"/>
  <c r="P866" i="1" s="1"/>
  <c r="R866" i="1" s="1"/>
  <c r="L867" i="1"/>
  <c r="P867" i="1" s="1"/>
  <c r="R867" i="1" s="1"/>
  <c r="L868" i="1"/>
  <c r="P868" i="1" s="1"/>
  <c r="R868" i="1" s="1"/>
  <c r="L869" i="1"/>
  <c r="P869" i="1" s="1"/>
  <c r="R869" i="1" s="1"/>
  <c r="L870" i="1"/>
  <c r="P870" i="1" s="1"/>
  <c r="R870" i="1" s="1"/>
  <c r="L871" i="1"/>
  <c r="P871" i="1" s="1"/>
  <c r="R871" i="1" s="1"/>
  <c r="L872" i="1"/>
  <c r="P872" i="1" s="1"/>
  <c r="R872" i="1" s="1"/>
  <c r="L873" i="1"/>
  <c r="P873" i="1" s="1"/>
  <c r="R873" i="1" s="1"/>
  <c r="L874" i="1"/>
  <c r="P874" i="1" s="1"/>
  <c r="R874" i="1" s="1"/>
  <c r="L875" i="1"/>
  <c r="P875" i="1" s="1"/>
  <c r="R875" i="1" s="1"/>
  <c r="L876" i="1"/>
  <c r="P876" i="1" s="1"/>
  <c r="R876" i="1" s="1"/>
  <c r="L877" i="1"/>
  <c r="P877" i="1" s="1"/>
  <c r="R877" i="1" s="1"/>
  <c r="L878" i="1"/>
  <c r="P878" i="1" s="1"/>
  <c r="R878" i="1" s="1"/>
  <c r="L879" i="1"/>
  <c r="P879" i="1" s="1"/>
  <c r="R879" i="1" s="1"/>
  <c r="L880" i="1"/>
  <c r="P880" i="1" s="1"/>
  <c r="R880" i="1" s="1"/>
  <c r="L881" i="1"/>
  <c r="P881" i="1" s="1"/>
  <c r="R881" i="1" s="1"/>
  <c r="L882" i="1"/>
  <c r="P882" i="1" s="1"/>
  <c r="R882" i="1" s="1"/>
  <c r="L883" i="1"/>
  <c r="P883" i="1" s="1"/>
  <c r="R883" i="1" s="1"/>
  <c r="L884" i="1"/>
  <c r="P884" i="1" s="1"/>
  <c r="R884" i="1" s="1"/>
  <c r="L885" i="1"/>
  <c r="P885" i="1" s="1"/>
  <c r="R885" i="1" s="1"/>
  <c r="L886" i="1"/>
  <c r="P886" i="1" s="1"/>
  <c r="R886" i="1" s="1"/>
  <c r="L887" i="1"/>
  <c r="P887" i="1" s="1"/>
  <c r="R887" i="1" s="1"/>
  <c r="L888" i="1"/>
  <c r="P888" i="1" s="1"/>
  <c r="R888" i="1" s="1"/>
  <c r="L889" i="1"/>
  <c r="P889" i="1" s="1"/>
  <c r="R889" i="1" s="1"/>
  <c r="L890" i="1"/>
  <c r="P890" i="1" s="1"/>
  <c r="R890" i="1" s="1"/>
  <c r="L891" i="1"/>
  <c r="P891" i="1" s="1"/>
  <c r="R891" i="1" s="1"/>
  <c r="L892" i="1"/>
  <c r="P892" i="1" s="1"/>
  <c r="R892" i="1" s="1"/>
  <c r="L893" i="1"/>
  <c r="P893" i="1" s="1"/>
  <c r="R893" i="1" s="1"/>
  <c r="L894" i="1"/>
  <c r="L895" i="1"/>
  <c r="P895" i="1" s="1"/>
  <c r="R895" i="1" s="1"/>
  <c r="L896" i="1"/>
  <c r="P896" i="1" s="1"/>
  <c r="R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L903" i="1"/>
  <c r="L904" i="1"/>
  <c r="L905" i="1"/>
  <c r="L906" i="1"/>
  <c r="N906" i="1" s="1"/>
  <c r="L907" i="1"/>
  <c r="N907" i="1" s="1"/>
  <c r="L908" i="1"/>
  <c r="P908" i="1" s="1"/>
  <c r="R908" i="1" s="1"/>
  <c r="L909" i="1"/>
  <c r="P909" i="1" s="1"/>
  <c r="R909" i="1" s="1"/>
  <c r="L910" i="1"/>
  <c r="N910" i="1" s="1"/>
  <c r="L911" i="1"/>
  <c r="N911" i="1" s="1"/>
  <c r="L912" i="1"/>
  <c r="L913" i="1"/>
  <c r="L914" i="1"/>
  <c r="L915" i="1"/>
  <c r="P915" i="1" s="1"/>
  <c r="R915" i="1" s="1"/>
  <c r="L916" i="1"/>
  <c r="P916" i="1" s="1"/>
  <c r="R916" i="1" s="1"/>
  <c r="L917" i="1"/>
  <c r="P917" i="1" s="1"/>
  <c r="R917" i="1" s="1"/>
  <c r="L918" i="1"/>
  <c r="P918" i="1" s="1"/>
  <c r="R918" i="1" s="1"/>
  <c r="L919" i="1"/>
  <c r="P919" i="1" s="1"/>
  <c r="R919" i="1" s="1"/>
  <c r="L920" i="1"/>
  <c r="P920" i="1" s="1"/>
  <c r="R920" i="1" s="1"/>
  <c r="L921" i="1"/>
  <c r="P921" i="1" s="1"/>
  <c r="R921" i="1" s="1"/>
  <c r="L922" i="1"/>
  <c r="P922" i="1" s="1"/>
  <c r="R922" i="1" s="1"/>
  <c r="L923" i="1"/>
  <c r="P923" i="1" s="1"/>
  <c r="L924" i="1"/>
  <c r="P924" i="1" s="1"/>
  <c r="R924" i="1" s="1"/>
  <c r="L925" i="1"/>
  <c r="P925" i="1" s="1"/>
  <c r="R925" i="1" s="1"/>
  <c r="L926" i="1"/>
  <c r="P926" i="1" s="1"/>
  <c r="R926" i="1" s="1"/>
  <c r="L927" i="1"/>
  <c r="P927" i="1" s="1"/>
  <c r="R927" i="1" s="1"/>
  <c r="L928" i="1"/>
  <c r="P928" i="1" s="1"/>
  <c r="R928" i="1" s="1"/>
  <c r="L929" i="1"/>
  <c r="P929" i="1" s="1"/>
  <c r="R929" i="1" s="1"/>
  <c r="L930" i="1"/>
  <c r="P930" i="1" s="1"/>
  <c r="R930" i="1" s="1"/>
  <c r="L931" i="1"/>
  <c r="P931" i="1" s="1"/>
  <c r="R931" i="1" s="1"/>
  <c r="L932" i="1"/>
  <c r="P932" i="1" s="1"/>
  <c r="R932" i="1" s="1"/>
  <c r="L933" i="1"/>
  <c r="P933" i="1" s="1"/>
  <c r="R933" i="1" s="1"/>
  <c r="L934" i="1"/>
  <c r="P934" i="1" s="1"/>
  <c r="R934" i="1" s="1"/>
  <c r="L935" i="1"/>
  <c r="P935" i="1" s="1"/>
  <c r="R935" i="1" s="1"/>
  <c r="L936" i="1"/>
  <c r="P936" i="1" s="1"/>
  <c r="R936" i="1" s="1"/>
  <c r="L937" i="1"/>
  <c r="P937" i="1" s="1"/>
  <c r="R937" i="1" s="1"/>
  <c r="L938" i="1"/>
  <c r="P938" i="1" s="1"/>
  <c r="R938" i="1" s="1"/>
  <c r="L939" i="1"/>
  <c r="P939" i="1" s="1"/>
  <c r="R939" i="1" s="1"/>
  <c r="L940" i="1"/>
  <c r="P940" i="1" s="1"/>
  <c r="R940" i="1" s="1"/>
  <c r="L941" i="1"/>
  <c r="P941" i="1" s="1"/>
  <c r="R941" i="1" s="1"/>
  <c r="L942" i="1"/>
  <c r="P942" i="1" s="1"/>
  <c r="R942" i="1" s="1"/>
  <c r="L943" i="1"/>
  <c r="P943" i="1" s="1"/>
  <c r="R943" i="1" s="1"/>
  <c r="L944" i="1"/>
  <c r="P944" i="1" s="1"/>
  <c r="R944" i="1" s="1"/>
  <c r="L945" i="1"/>
  <c r="P945" i="1" s="1"/>
  <c r="R945" i="1" s="1"/>
  <c r="L946" i="1"/>
  <c r="P946" i="1" s="1"/>
  <c r="R946" i="1" s="1"/>
  <c r="L947" i="1"/>
  <c r="P947" i="1" s="1"/>
  <c r="R947" i="1" s="1"/>
  <c r="L948" i="1"/>
  <c r="P948" i="1" s="1"/>
  <c r="R948" i="1" s="1"/>
  <c r="L949" i="1"/>
  <c r="P949" i="1" s="1"/>
  <c r="R949" i="1" s="1"/>
  <c r="L950" i="1"/>
  <c r="P950" i="1" s="1"/>
  <c r="R950" i="1" s="1"/>
  <c r="L951" i="1"/>
  <c r="P951" i="1" s="1"/>
  <c r="R951" i="1" s="1"/>
  <c r="L952" i="1"/>
  <c r="P952" i="1" s="1"/>
  <c r="R952" i="1" s="1"/>
  <c r="L953" i="1"/>
  <c r="P953" i="1" s="1"/>
  <c r="R953" i="1" s="1"/>
  <c r="L954" i="1"/>
  <c r="P954" i="1" s="1"/>
  <c r="R954" i="1" s="1"/>
  <c r="L955" i="1"/>
  <c r="P955" i="1" s="1"/>
  <c r="R955" i="1" s="1"/>
  <c r="L956" i="1"/>
  <c r="P956" i="1" s="1"/>
  <c r="R956" i="1" s="1"/>
  <c r="L957" i="1"/>
  <c r="P957" i="1" s="1"/>
  <c r="R957" i="1" s="1"/>
  <c r="L958" i="1"/>
  <c r="P958" i="1" s="1"/>
  <c r="R958" i="1" s="1"/>
  <c r="L959" i="1"/>
  <c r="P959" i="1" s="1"/>
  <c r="R959" i="1" s="1"/>
  <c r="L960" i="1"/>
  <c r="P960" i="1" s="1"/>
  <c r="R960" i="1" s="1"/>
  <c r="L961" i="1"/>
  <c r="P961" i="1" s="1"/>
  <c r="R961" i="1" s="1"/>
  <c r="L962" i="1"/>
  <c r="P962" i="1" s="1"/>
  <c r="R962" i="1" s="1"/>
  <c r="L963" i="1"/>
  <c r="P963" i="1" s="1"/>
  <c r="R963" i="1" s="1"/>
  <c r="L964" i="1"/>
  <c r="P964" i="1" s="1"/>
  <c r="L965" i="1"/>
  <c r="P965" i="1" s="1"/>
  <c r="R965" i="1" s="1"/>
  <c r="L966" i="1"/>
  <c r="P966" i="1" s="1"/>
  <c r="R966" i="1" s="1"/>
  <c r="L967" i="1"/>
  <c r="P967" i="1" s="1"/>
  <c r="R967" i="1" s="1"/>
  <c r="L968" i="1"/>
  <c r="P968" i="1" s="1"/>
  <c r="R968" i="1" s="1"/>
  <c r="L969" i="1"/>
  <c r="P969" i="1" s="1"/>
  <c r="R969" i="1" s="1"/>
  <c r="L970" i="1"/>
  <c r="P970" i="1" s="1"/>
  <c r="R970" i="1" s="1"/>
  <c r="L971" i="1"/>
  <c r="P971" i="1" s="1"/>
  <c r="R971" i="1" s="1"/>
  <c r="L972" i="1"/>
  <c r="P972" i="1" s="1"/>
  <c r="R972" i="1" s="1"/>
  <c r="L973" i="1"/>
  <c r="P973" i="1" s="1"/>
  <c r="R973" i="1" s="1"/>
  <c r="L974" i="1"/>
  <c r="P974" i="1" s="1"/>
  <c r="R974" i="1" s="1"/>
  <c r="L975" i="1"/>
  <c r="P975" i="1" s="1"/>
  <c r="R975" i="1" s="1"/>
  <c r="L976" i="1"/>
  <c r="P976" i="1" s="1"/>
  <c r="R976" i="1" s="1"/>
  <c r="L977" i="1"/>
  <c r="P977" i="1" s="1"/>
  <c r="R977" i="1" s="1"/>
  <c r="L978" i="1"/>
  <c r="P978" i="1" s="1"/>
  <c r="R978" i="1" s="1"/>
  <c r="L979" i="1"/>
  <c r="P979" i="1" s="1"/>
  <c r="R979" i="1" s="1"/>
  <c r="L980" i="1"/>
  <c r="P980" i="1" s="1"/>
  <c r="R980" i="1" s="1"/>
  <c r="L981" i="1"/>
  <c r="P981" i="1" s="1"/>
  <c r="R981" i="1" s="1"/>
  <c r="L982" i="1"/>
  <c r="P982" i="1" s="1"/>
  <c r="R982" i="1" s="1"/>
  <c r="L983" i="1"/>
  <c r="P983" i="1" s="1"/>
  <c r="R983" i="1" s="1"/>
  <c r="L984" i="1"/>
  <c r="P984" i="1" s="1"/>
  <c r="R984" i="1" s="1"/>
  <c r="L985" i="1"/>
  <c r="P985" i="1" s="1"/>
  <c r="R985" i="1" s="1"/>
  <c r="L986" i="1"/>
  <c r="P986" i="1" s="1"/>
  <c r="R986" i="1" s="1"/>
  <c r="L987" i="1"/>
  <c r="P987" i="1" s="1"/>
  <c r="R987" i="1" s="1"/>
  <c r="L988" i="1"/>
  <c r="P988" i="1" s="1"/>
  <c r="R988" i="1" s="1"/>
  <c r="L989" i="1"/>
  <c r="P989" i="1" s="1"/>
  <c r="R989" i="1" s="1"/>
  <c r="L990" i="1"/>
  <c r="P990" i="1" s="1"/>
  <c r="R990" i="1" s="1"/>
  <c r="L991" i="1"/>
  <c r="P991" i="1" s="1"/>
  <c r="R991" i="1" s="1"/>
  <c r="L992" i="1"/>
  <c r="P992" i="1" s="1"/>
  <c r="R992" i="1" s="1"/>
  <c r="L993" i="1"/>
  <c r="P993" i="1" s="1"/>
  <c r="R993" i="1" s="1"/>
  <c r="L994" i="1"/>
  <c r="P994" i="1" s="1"/>
  <c r="R994" i="1" s="1"/>
  <c r="L995" i="1"/>
  <c r="P995" i="1" s="1"/>
  <c r="R995" i="1" s="1"/>
  <c r="L996" i="1"/>
  <c r="P996" i="1" s="1"/>
  <c r="R996" i="1" s="1"/>
  <c r="L997" i="1"/>
  <c r="P997" i="1" s="1"/>
  <c r="R997" i="1" s="1"/>
  <c r="L998" i="1"/>
  <c r="P998" i="1" s="1"/>
  <c r="R998" i="1" s="1"/>
  <c r="L999" i="1"/>
  <c r="P999" i="1" s="1"/>
  <c r="R999" i="1" s="1"/>
  <c r="L1000" i="1"/>
  <c r="P1000" i="1" s="1"/>
  <c r="R1000" i="1" s="1"/>
  <c r="L1001" i="1"/>
  <c r="P1001" i="1" s="1"/>
  <c r="R1001" i="1" s="1"/>
  <c r="L1002" i="1"/>
  <c r="P1002" i="1" s="1"/>
  <c r="R1002" i="1" s="1"/>
  <c r="L1003" i="1"/>
  <c r="P1003" i="1" s="1"/>
  <c r="R1003" i="1" s="1"/>
  <c r="L1004" i="1"/>
  <c r="P1004" i="1" s="1"/>
  <c r="R1004" i="1" s="1"/>
  <c r="L1005" i="1"/>
  <c r="P1005" i="1" s="1"/>
  <c r="R1005" i="1" s="1"/>
  <c r="L1006" i="1"/>
  <c r="P1006" i="1" s="1"/>
  <c r="R1006" i="1" s="1"/>
  <c r="L1007" i="1"/>
  <c r="P1007" i="1" s="1"/>
  <c r="R1007" i="1" s="1"/>
  <c r="L1008" i="1"/>
  <c r="P1008" i="1" s="1"/>
  <c r="R1008" i="1" s="1"/>
  <c r="L1009" i="1"/>
  <c r="P1009" i="1" s="1"/>
  <c r="R1009" i="1" s="1"/>
  <c r="L1010" i="1"/>
  <c r="P1010" i="1" s="1"/>
  <c r="R1010" i="1" s="1"/>
  <c r="L1011" i="1"/>
  <c r="P1011" i="1" s="1"/>
  <c r="R1011" i="1" s="1"/>
  <c r="L1012" i="1"/>
  <c r="P1012" i="1" s="1"/>
  <c r="R1012" i="1" s="1"/>
  <c r="L1013" i="1"/>
  <c r="P1013" i="1" s="1"/>
  <c r="R1013" i="1" s="1"/>
  <c r="L1014" i="1"/>
  <c r="P1014" i="1" s="1"/>
  <c r="R1014" i="1" s="1"/>
  <c r="L1015" i="1"/>
  <c r="P1015" i="1" s="1"/>
  <c r="L1016" i="1"/>
  <c r="P1016" i="1" s="1"/>
  <c r="R1016" i="1" s="1"/>
  <c r="L1017" i="1"/>
  <c r="P1017" i="1" s="1"/>
  <c r="R1017" i="1" s="1"/>
  <c r="L1018" i="1"/>
  <c r="P1018" i="1" s="1"/>
  <c r="R1018" i="1" s="1"/>
  <c r="L1019" i="1"/>
  <c r="P1019" i="1" s="1"/>
  <c r="R1019" i="1" s="1"/>
  <c r="L1020" i="1"/>
  <c r="P1020" i="1" s="1"/>
  <c r="R1020" i="1" s="1"/>
  <c r="L1021" i="1"/>
  <c r="P1021" i="1" s="1"/>
  <c r="R1021" i="1" s="1"/>
  <c r="L1022" i="1"/>
  <c r="P1022" i="1" s="1"/>
  <c r="R1022" i="1" s="1"/>
  <c r="L1023" i="1"/>
  <c r="P1023" i="1" s="1"/>
  <c r="R1023" i="1" s="1"/>
  <c r="L1024" i="1"/>
  <c r="P1024" i="1" s="1"/>
  <c r="R1024" i="1" s="1"/>
  <c r="L1025" i="1"/>
  <c r="P1025" i="1" s="1"/>
  <c r="R1025" i="1" s="1"/>
  <c r="L1026" i="1"/>
  <c r="P1026" i="1" s="1"/>
  <c r="R1026" i="1" s="1"/>
  <c r="L1027" i="1"/>
  <c r="P1027" i="1" s="1"/>
  <c r="L1028" i="1"/>
  <c r="P1028" i="1" s="1"/>
  <c r="R1028" i="1" s="1"/>
  <c r="L1029" i="1"/>
  <c r="P1029" i="1" s="1"/>
  <c r="R1029" i="1" s="1"/>
  <c r="L1030" i="1"/>
  <c r="P1030" i="1" s="1"/>
  <c r="R1030" i="1" s="1"/>
  <c r="L1031" i="1"/>
  <c r="P1031" i="1" s="1"/>
  <c r="R1031" i="1" s="1"/>
  <c r="L1032" i="1"/>
  <c r="P1032" i="1" s="1"/>
  <c r="R1032" i="1" s="1"/>
  <c r="L1033" i="1"/>
  <c r="P1033" i="1" s="1"/>
  <c r="R1033" i="1" s="1"/>
  <c r="L1034" i="1"/>
  <c r="P1034" i="1" s="1"/>
  <c r="R1034" i="1" s="1"/>
  <c r="L1035" i="1"/>
  <c r="P1035" i="1" s="1"/>
  <c r="R1035" i="1" s="1"/>
  <c r="L1036" i="1"/>
  <c r="P1036" i="1" s="1"/>
  <c r="R1036" i="1" s="1"/>
  <c r="L1037" i="1"/>
  <c r="P1037" i="1" s="1"/>
  <c r="R1037" i="1" s="1"/>
  <c r="L1038" i="1"/>
  <c r="P1038" i="1" s="1"/>
  <c r="R1038" i="1" s="1"/>
  <c r="L1039" i="1"/>
  <c r="P1039" i="1" s="1"/>
  <c r="L1040" i="1"/>
  <c r="P1040" i="1" s="1"/>
  <c r="R1040" i="1" s="1"/>
  <c r="L1041" i="1"/>
  <c r="P1041" i="1" s="1"/>
  <c r="R1041" i="1" s="1"/>
  <c r="L1042" i="1"/>
  <c r="P1042" i="1" s="1"/>
  <c r="R1042" i="1" s="1"/>
  <c r="L1043" i="1"/>
  <c r="P1043" i="1" s="1"/>
  <c r="R1043" i="1" s="1"/>
  <c r="L1044" i="1"/>
  <c r="P1044" i="1" s="1"/>
  <c r="R1044" i="1" s="1"/>
  <c r="L1045" i="1"/>
  <c r="P1045" i="1" s="1"/>
  <c r="R1045" i="1" s="1"/>
  <c r="L1046" i="1"/>
  <c r="P1046" i="1" s="1"/>
  <c r="R1046" i="1" s="1"/>
  <c r="L1047" i="1"/>
  <c r="P1047" i="1" s="1"/>
  <c r="R1047" i="1" s="1"/>
  <c r="L1048" i="1"/>
  <c r="P1048" i="1" s="1"/>
  <c r="R1048" i="1" s="1"/>
  <c r="L1049" i="1"/>
  <c r="P1049" i="1" s="1"/>
  <c r="R1049" i="1" s="1"/>
  <c r="L1050" i="1"/>
  <c r="P1050" i="1" s="1"/>
  <c r="R1050" i="1" s="1"/>
  <c r="L1051" i="1"/>
  <c r="P1051" i="1" s="1"/>
  <c r="R1051" i="1" s="1"/>
  <c r="L1052" i="1"/>
  <c r="P1052" i="1" s="1"/>
  <c r="R1052" i="1" s="1"/>
  <c r="L1053" i="1"/>
  <c r="P1053" i="1" s="1"/>
  <c r="R1053" i="1" s="1"/>
  <c r="L1054" i="1"/>
  <c r="P1054" i="1" s="1"/>
  <c r="R1054" i="1" s="1"/>
  <c r="L1055" i="1"/>
  <c r="P1055" i="1" s="1"/>
  <c r="R1055" i="1" s="1"/>
  <c r="L1056" i="1"/>
  <c r="P1056" i="1" s="1"/>
  <c r="R1056" i="1" s="1"/>
  <c r="L1057" i="1"/>
  <c r="P1057" i="1" s="1"/>
  <c r="R1057" i="1" s="1"/>
  <c r="L1058" i="1"/>
  <c r="P1058" i="1" s="1"/>
  <c r="R1058" i="1" s="1"/>
  <c r="L1059" i="1"/>
  <c r="P1059" i="1" s="1"/>
  <c r="R1059" i="1" s="1"/>
  <c r="L1060" i="1"/>
  <c r="P1060" i="1" s="1"/>
  <c r="R1060" i="1" s="1"/>
  <c r="L1061" i="1"/>
  <c r="P1061" i="1" s="1"/>
  <c r="R1061" i="1" s="1"/>
  <c r="L1062" i="1"/>
  <c r="P1062" i="1" s="1"/>
  <c r="R1062" i="1" s="1"/>
  <c r="L1063" i="1"/>
  <c r="P1063" i="1" s="1"/>
  <c r="R1063" i="1" s="1"/>
  <c r="L1064" i="1"/>
  <c r="P1064" i="1" s="1"/>
  <c r="R1064" i="1" s="1"/>
  <c r="L1065" i="1"/>
  <c r="P1065" i="1" s="1"/>
  <c r="R1065" i="1" s="1"/>
  <c r="L1066" i="1"/>
  <c r="P1066" i="1" s="1"/>
  <c r="R1066" i="1" s="1"/>
  <c r="L1067" i="1"/>
  <c r="P1067" i="1" s="1"/>
  <c r="L1068" i="1"/>
  <c r="P1068" i="1" s="1"/>
  <c r="R1068" i="1" s="1"/>
  <c r="L1069" i="1"/>
  <c r="P1069" i="1" s="1"/>
  <c r="R1069" i="1" s="1"/>
  <c r="L1070" i="1"/>
  <c r="P1070" i="1" s="1"/>
  <c r="R1070" i="1" s="1"/>
  <c r="L1071" i="1"/>
  <c r="P1071" i="1" s="1"/>
  <c r="R1071" i="1" s="1"/>
  <c r="L1072" i="1"/>
  <c r="P1072" i="1" s="1"/>
  <c r="R1072" i="1" s="1"/>
  <c r="L1073" i="1"/>
  <c r="P1073" i="1" s="1"/>
  <c r="R1073" i="1" s="1"/>
  <c r="L1074" i="1"/>
  <c r="P1074" i="1" s="1"/>
  <c r="R1074" i="1" s="1"/>
  <c r="L1075" i="1"/>
  <c r="P1075" i="1" s="1"/>
  <c r="R1075" i="1" s="1"/>
  <c r="L1076" i="1"/>
  <c r="P1076" i="1" s="1"/>
  <c r="R1076" i="1" s="1"/>
  <c r="L1077" i="1"/>
  <c r="P1077" i="1" s="1"/>
  <c r="R1077" i="1" s="1"/>
  <c r="L1078" i="1"/>
  <c r="P1078" i="1" s="1"/>
  <c r="R1078" i="1" s="1"/>
  <c r="L1079" i="1"/>
  <c r="P1079" i="1" s="1"/>
  <c r="R1079" i="1" s="1"/>
  <c r="L1080" i="1"/>
  <c r="P1080" i="1" s="1"/>
  <c r="R1080" i="1" s="1"/>
  <c r="L1081" i="1"/>
  <c r="P1081" i="1" s="1"/>
  <c r="R1081" i="1" s="1"/>
  <c r="L1082" i="1"/>
  <c r="P1082" i="1" s="1"/>
  <c r="R1082" i="1" s="1"/>
  <c r="L1083" i="1"/>
  <c r="P1083" i="1" s="1"/>
  <c r="R1083" i="1" s="1"/>
  <c r="L1084" i="1"/>
  <c r="P1084" i="1" s="1"/>
  <c r="L1085" i="1"/>
  <c r="P1085" i="1" s="1"/>
  <c r="R1085" i="1" s="1"/>
  <c r="L1086" i="1"/>
  <c r="P1086" i="1" s="1"/>
  <c r="R1086" i="1" s="1"/>
  <c r="L1087" i="1"/>
  <c r="P1087" i="1" s="1"/>
  <c r="R1087" i="1" s="1"/>
  <c r="L1088" i="1"/>
  <c r="P1088" i="1" s="1"/>
  <c r="R1088" i="1" s="1"/>
  <c r="L1089" i="1"/>
  <c r="P1089" i="1" s="1"/>
  <c r="R1089" i="1" s="1"/>
  <c r="L1090" i="1"/>
  <c r="P1090" i="1" s="1"/>
  <c r="R1090" i="1" s="1"/>
  <c r="L1091" i="1"/>
  <c r="P1091" i="1" s="1"/>
  <c r="R1091" i="1" s="1"/>
  <c r="L1092" i="1"/>
  <c r="P1092" i="1" s="1"/>
  <c r="R1092" i="1" s="1"/>
  <c r="L1093" i="1"/>
  <c r="P1093" i="1" s="1"/>
  <c r="R1093" i="1" s="1"/>
  <c r="L1094" i="1"/>
  <c r="P1094" i="1" s="1"/>
  <c r="R1094" i="1" s="1"/>
  <c r="L1095" i="1"/>
  <c r="P1095" i="1" s="1"/>
  <c r="R1095" i="1" s="1"/>
  <c r="L1096" i="1"/>
  <c r="P1096" i="1" s="1"/>
  <c r="R1096" i="1" s="1"/>
  <c r="L1097" i="1"/>
  <c r="P1097" i="1" s="1"/>
  <c r="R1097" i="1" s="1"/>
  <c r="L1098" i="1"/>
  <c r="P1098" i="1" s="1"/>
  <c r="R1098" i="1" s="1"/>
  <c r="L1099" i="1"/>
  <c r="P1099" i="1" s="1"/>
  <c r="R1099" i="1" s="1"/>
  <c r="L1100" i="1"/>
  <c r="P1100" i="1" s="1"/>
  <c r="R1100" i="1" s="1"/>
  <c r="L1101" i="1"/>
  <c r="P1101" i="1" s="1"/>
  <c r="R1101" i="1" s="1"/>
  <c r="L1102" i="1"/>
  <c r="P1102" i="1" s="1"/>
  <c r="R1102" i="1" s="1"/>
  <c r="L1103" i="1"/>
  <c r="P1103" i="1" s="1"/>
  <c r="R1103" i="1" s="1"/>
  <c r="L1104" i="1"/>
  <c r="P1104" i="1" s="1"/>
  <c r="R1104" i="1" s="1"/>
  <c r="L1105" i="1"/>
  <c r="P1105" i="1" s="1"/>
  <c r="R1105" i="1" s="1"/>
  <c r="L1106" i="1"/>
  <c r="P1106" i="1" s="1"/>
  <c r="R1106" i="1" s="1"/>
  <c r="L1107" i="1"/>
  <c r="P1107" i="1" s="1"/>
  <c r="R1107" i="1" s="1"/>
  <c r="L1108" i="1"/>
  <c r="P1108" i="1" s="1"/>
  <c r="R1108" i="1" s="1"/>
  <c r="L1109" i="1"/>
  <c r="P1109" i="1" s="1"/>
  <c r="R1109" i="1" s="1"/>
  <c r="L1110" i="1"/>
  <c r="P1110" i="1" s="1"/>
  <c r="R1110" i="1" s="1"/>
  <c r="L1111" i="1"/>
  <c r="P1111" i="1" s="1"/>
  <c r="R1111" i="1" s="1"/>
  <c r="L1112" i="1"/>
  <c r="P1112" i="1" s="1"/>
  <c r="R1112" i="1" s="1"/>
  <c r="L1113" i="1"/>
  <c r="P1113" i="1" s="1"/>
  <c r="R1113" i="1" s="1"/>
  <c r="L1114" i="1"/>
  <c r="P1114" i="1" s="1"/>
  <c r="R1114" i="1" s="1"/>
  <c r="L1115" i="1"/>
  <c r="P1115" i="1" s="1"/>
  <c r="R1115" i="1" s="1"/>
  <c r="L1116" i="1"/>
  <c r="P1116" i="1" s="1"/>
  <c r="R1116" i="1" s="1"/>
  <c r="L1117" i="1"/>
  <c r="P1117" i="1" s="1"/>
  <c r="R1117" i="1" s="1"/>
  <c r="L1118" i="1"/>
  <c r="P1118" i="1" s="1"/>
  <c r="R1118" i="1" s="1"/>
  <c r="L1119" i="1"/>
  <c r="P1119" i="1" s="1"/>
  <c r="R1119" i="1" s="1"/>
  <c r="L1120" i="1"/>
  <c r="P1120" i="1" s="1"/>
  <c r="R1120" i="1" s="1"/>
  <c r="L1121" i="1"/>
  <c r="P1121" i="1" s="1"/>
  <c r="R1121" i="1" s="1"/>
  <c r="L1122" i="1"/>
  <c r="P1122" i="1" s="1"/>
  <c r="R1122" i="1" s="1"/>
  <c r="L1123" i="1"/>
  <c r="P1123" i="1" s="1"/>
  <c r="R1123" i="1" s="1"/>
  <c r="L1124" i="1"/>
  <c r="P1124" i="1" s="1"/>
  <c r="R1124" i="1" s="1"/>
  <c r="L1125" i="1"/>
  <c r="P1125" i="1" s="1"/>
  <c r="R1125" i="1" s="1"/>
  <c r="L1126" i="1"/>
  <c r="P1126" i="1" s="1"/>
  <c r="R1126" i="1" s="1"/>
  <c r="L1127" i="1"/>
  <c r="P1127" i="1" s="1"/>
  <c r="R1127" i="1" s="1"/>
  <c r="L1128" i="1"/>
  <c r="P1128" i="1" s="1"/>
  <c r="R1128" i="1" s="1"/>
  <c r="L1129" i="1"/>
  <c r="P1129" i="1" s="1"/>
  <c r="R1129" i="1" s="1"/>
  <c r="L1130" i="1"/>
  <c r="P1130" i="1" s="1"/>
  <c r="R1130" i="1" s="1"/>
  <c r="L1131" i="1"/>
  <c r="P1131" i="1" s="1"/>
  <c r="R1131" i="1" s="1"/>
  <c r="L1132" i="1"/>
  <c r="P1132" i="1" s="1"/>
  <c r="R1132" i="1" s="1"/>
  <c r="L1133" i="1"/>
  <c r="P1133" i="1" s="1"/>
  <c r="R1133" i="1" s="1"/>
  <c r="L1134" i="1"/>
  <c r="P1134" i="1" s="1"/>
  <c r="R1134" i="1" s="1"/>
  <c r="L1135" i="1"/>
  <c r="P1135" i="1" s="1"/>
  <c r="R1135" i="1" s="1"/>
  <c r="L1136" i="1"/>
  <c r="P1136" i="1" s="1"/>
  <c r="R1136" i="1" s="1"/>
  <c r="L1137" i="1"/>
  <c r="P1137" i="1" s="1"/>
  <c r="R1137" i="1" s="1"/>
  <c r="L1138" i="1"/>
  <c r="P1138" i="1" s="1"/>
  <c r="R1138" i="1" s="1"/>
  <c r="L1139" i="1"/>
  <c r="P1139" i="1" s="1"/>
  <c r="R1139" i="1" s="1"/>
  <c r="L1140" i="1"/>
  <c r="P1140" i="1" s="1"/>
  <c r="R1140" i="1" s="1"/>
  <c r="L1141" i="1"/>
  <c r="P1141" i="1" s="1"/>
  <c r="R1141" i="1" s="1"/>
  <c r="L1142" i="1"/>
  <c r="P1142" i="1" s="1"/>
  <c r="R1142" i="1" s="1"/>
  <c r="L1143" i="1"/>
  <c r="P1143" i="1" s="1"/>
  <c r="R1143" i="1" s="1"/>
  <c r="L1144" i="1"/>
  <c r="P1144" i="1" s="1"/>
  <c r="R1144" i="1" s="1"/>
  <c r="L1145" i="1"/>
  <c r="P1145" i="1" s="1"/>
  <c r="R1145" i="1" s="1"/>
  <c r="L1146" i="1"/>
  <c r="P1146" i="1" s="1"/>
  <c r="R1146" i="1" s="1"/>
  <c r="L1147" i="1"/>
  <c r="P1147" i="1" s="1"/>
  <c r="R1147" i="1" s="1"/>
  <c r="L1148" i="1"/>
  <c r="P1148" i="1" s="1"/>
  <c r="R1148" i="1" s="1"/>
  <c r="L1149" i="1"/>
  <c r="P1149" i="1" s="1"/>
  <c r="R1149" i="1" s="1"/>
  <c r="L1150" i="1"/>
  <c r="P1150" i="1" s="1"/>
  <c r="R1150" i="1" s="1"/>
  <c r="L1151" i="1"/>
  <c r="P1151" i="1" s="1"/>
  <c r="R1151" i="1" s="1"/>
  <c r="L1152" i="1"/>
  <c r="P1152" i="1" s="1"/>
  <c r="R1152" i="1" s="1"/>
  <c r="L1153" i="1"/>
  <c r="P1153" i="1" s="1"/>
  <c r="R1153" i="1" s="1"/>
  <c r="L1154" i="1"/>
  <c r="P1154" i="1" s="1"/>
  <c r="R1154" i="1" s="1"/>
  <c r="L1155" i="1"/>
  <c r="P1155" i="1" s="1"/>
  <c r="R1155" i="1" s="1"/>
  <c r="L1156" i="1"/>
  <c r="P1156" i="1" s="1"/>
  <c r="R1156" i="1" s="1"/>
  <c r="L1157" i="1"/>
  <c r="P1157" i="1" s="1"/>
  <c r="L1158" i="1"/>
  <c r="P1158" i="1" s="1"/>
  <c r="R1158" i="1" s="1"/>
  <c r="L1159" i="1"/>
  <c r="P1159" i="1" s="1"/>
  <c r="L1160" i="1"/>
  <c r="P1160" i="1" s="1"/>
  <c r="R1160" i="1" s="1"/>
  <c r="L1161" i="1"/>
  <c r="P1161" i="1" s="1"/>
  <c r="R1161" i="1" s="1"/>
  <c r="L1162" i="1"/>
  <c r="P1162" i="1" s="1"/>
  <c r="R1162" i="1" s="1"/>
  <c r="L1163" i="1"/>
  <c r="P1163" i="1" s="1"/>
  <c r="R1163" i="1" s="1"/>
  <c r="L1164" i="1"/>
  <c r="P1164" i="1" s="1"/>
  <c r="R1164" i="1" s="1"/>
  <c r="L1165" i="1"/>
  <c r="P1165" i="1" s="1"/>
  <c r="R1165" i="1" s="1"/>
  <c r="L1166" i="1"/>
  <c r="P1166" i="1" s="1"/>
  <c r="R1166" i="1" s="1"/>
  <c r="L1167" i="1"/>
  <c r="P1167" i="1" s="1"/>
  <c r="R1167" i="1" s="1"/>
  <c r="L1168" i="1"/>
  <c r="P1168" i="1" s="1"/>
  <c r="R1168" i="1" s="1"/>
  <c r="L1169" i="1"/>
  <c r="P1169" i="1" s="1"/>
  <c r="R1169" i="1" s="1"/>
  <c r="L1170" i="1"/>
  <c r="P1170" i="1" s="1"/>
  <c r="R1170" i="1" s="1"/>
  <c r="L1171" i="1"/>
  <c r="P1171" i="1" s="1"/>
  <c r="R1171" i="1" s="1"/>
  <c r="L1172" i="1"/>
  <c r="P1172" i="1" s="1"/>
  <c r="R1172" i="1" s="1"/>
  <c r="L1173" i="1"/>
  <c r="P1173" i="1" s="1"/>
  <c r="L1174" i="1"/>
  <c r="P1174" i="1" s="1"/>
  <c r="R1174" i="1" s="1"/>
  <c r="L1175" i="1"/>
  <c r="P1175" i="1" s="1"/>
  <c r="R1175" i="1" s="1"/>
  <c r="L1176" i="1"/>
  <c r="P1176" i="1" s="1"/>
  <c r="R1176" i="1" s="1"/>
  <c r="L1177" i="1"/>
  <c r="P1177" i="1" s="1"/>
  <c r="R1177" i="1" s="1"/>
  <c r="L1178" i="1"/>
  <c r="P1178" i="1" s="1"/>
  <c r="R1178" i="1" s="1"/>
  <c r="L1179" i="1"/>
  <c r="P1179" i="1" s="1"/>
  <c r="R1179" i="1" s="1"/>
  <c r="L1180" i="1"/>
  <c r="P1180" i="1" s="1"/>
  <c r="R1180" i="1" s="1"/>
  <c r="L1181" i="1"/>
  <c r="P1181" i="1" s="1"/>
  <c r="R1181" i="1" s="1"/>
  <c r="L1182" i="1"/>
  <c r="P1182" i="1" s="1"/>
  <c r="R1182" i="1" s="1"/>
  <c r="L1183" i="1"/>
  <c r="P1183" i="1" s="1"/>
  <c r="R1183" i="1" s="1"/>
  <c r="L1184" i="1"/>
  <c r="P1184" i="1" s="1"/>
  <c r="R1184" i="1" s="1"/>
  <c r="L1185" i="1"/>
  <c r="P1185" i="1" s="1"/>
  <c r="R1185" i="1" s="1"/>
  <c r="L1186" i="1"/>
  <c r="P1186" i="1" s="1"/>
  <c r="R1186" i="1" s="1"/>
  <c r="L1187" i="1"/>
  <c r="P1187" i="1" s="1"/>
  <c r="R1187" i="1" s="1"/>
  <c r="L1188" i="1"/>
  <c r="P1188" i="1" s="1"/>
  <c r="R1188" i="1" s="1"/>
  <c r="L1189" i="1"/>
  <c r="P1189" i="1" s="1"/>
  <c r="R1189" i="1" s="1"/>
  <c r="L1190" i="1"/>
  <c r="P1190" i="1" s="1"/>
  <c r="R1190" i="1" s="1"/>
  <c r="L1191" i="1"/>
  <c r="P1191" i="1" s="1"/>
  <c r="R1191" i="1" s="1"/>
  <c r="L1192" i="1"/>
  <c r="P1192" i="1" s="1"/>
  <c r="R1192" i="1" s="1"/>
  <c r="L1193" i="1"/>
  <c r="P1193" i="1" s="1"/>
  <c r="R1193" i="1" s="1"/>
  <c r="L1194" i="1"/>
  <c r="P1194" i="1" s="1"/>
  <c r="R1194" i="1" s="1"/>
  <c r="L1195" i="1"/>
  <c r="P1195" i="1" s="1"/>
  <c r="R1195" i="1" s="1"/>
  <c r="L1196" i="1"/>
  <c r="P1196" i="1" s="1"/>
  <c r="R1196" i="1" s="1"/>
  <c r="L1197" i="1"/>
  <c r="P1197" i="1" s="1"/>
  <c r="R1197" i="1" s="1"/>
  <c r="L1198" i="1"/>
  <c r="P1198" i="1" s="1"/>
  <c r="R1198" i="1" s="1"/>
  <c r="L1199" i="1"/>
  <c r="P1199" i="1" s="1"/>
  <c r="R1199" i="1" s="1"/>
  <c r="L1200" i="1"/>
  <c r="P1200" i="1" s="1"/>
  <c r="R1200" i="1" s="1"/>
  <c r="L1201" i="1"/>
  <c r="P1201" i="1" s="1"/>
  <c r="R1201" i="1" s="1"/>
  <c r="L1202" i="1"/>
  <c r="P1202" i="1" s="1"/>
  <c r="R1202" i="1" s="1"/>
  <c r="L1203" i="1"/>
  <c r="P1203" i="1" s="1"/>
  <c r="R1203" i="1" s="1"/>
  <c r="L1204" i="1"/>
  <c r="P1204" i="1" s="1"/>
  <c r="R1204" i="1" s="1"/>
  <c r="L1205" i="1"/>
  <c r="P1205" i="1" s="1"/>
  <c r="R1205" i="1" s="1"/>
  <c r="L1206" i="1"/>
  <c r="P1206" i="1" s="1"/>
  <c r="R1206" i="1" s="1"/>
  <c r="L1207" i="1"/>
  <c r="P1207" i="1" s="1"/>
  <c r="R1207" i="1" s="1"/>
  <c r="L1208" i="1"/>
  <c r="P1208" i="1" s="1"/>
  <c r="R1208" i="1" s="1"/>
  <c r="L1209" i="1"/>
  <c r="P1209" i="1" s="1"/>
  <c r="R1209" i="1" s="1"/>
  <c r="L1210" i="1"/>
  <c r="P1210" i="1" s="1"/>
  <c r="R1210" i="1" s="1"/>
  <c r="L1211" i="1"/>
  <c r="P1211" i="1" s="1"/>
  <c r="L1212" i="1"/>
  <c r="P1212" i="1" s="1"/>
  <c r="R1212" i="1" s="1"/>
  <c r="L1213" i="1"/>
  <c r="P1213" i="1" s="1"/>
  <c r="R1213" i="1" s="1"/>
  <c r="L1214" i="1"/>
  <c r="P1214" i="1" s="1"/>
  <c r="R1214" i="1" s="1"/>
  <c r="L1215" i="1"/>
  <c r="P1215" i="1" s="1"/>
  <c r="R1215" i="1" s="1"/>
  <c r="L1216" i="1"/>
  <c r="P1216" i="1" s="1"/>
  <c r="R1216" i="1" s="1"/>
  <c r="L1217" i="1"/>
  <c r="P1217" i="1" s="1"/>
  <c r="R1217" i="1" s="1"/>
  <c r="L1218" i="1"/>
  <c r="P1218" i="1" s="1"/>
  <c r="R1218" i="1" s="1"/>
  <c r="L1219" i="1"/>
  <c r="P1219" i="1" s="1"/>
  <c r="R1219" i="1" s="1"/>
  <c r="L1220" i="1"/>
  <c r="P1220" i="1" s="1"/>
  <c r="R1220" i="1" s="1"/>
  <c r="L1221" i="1"/>
  <c r="P1221" i="1" s="1"/>
  <c r="R1221" i="1" s="1"/>
  <c r="L1222" i="1"/>
  <c r="P1222" i="1" s="1"/>
  <c r="R1222" i="1" s="1"/>
  <c r="L1223" i="1"/>
  <c r="P1223" i="1" s="1"/>
  <c r="R1223" i="1" s="1"/>
  <c r="L1224" i="1"/>
  <c r="P1224" i="1" s="1"/>
  <c r="R1224" i="1" s="1"/>
  <c r="L1225" i="1"/>
  <c r="P1225" i="1" s="1"/>
  <c r="R1225" i="1" s="1"/>
  <c r="L1226" i="1"/>
  <c r="P1226" i="1" s="1"/>
  <c r="R1226" i="1" s="1"/>
  <c r="L1227" i="1"/>
  <c r="P1227" i="1" s="1"/>
  <c r="R1227" i="1" s="1"/>
  <c r="L1228" i="1"/>
  <c r="P1228" i="1" s="1"/>
  <c r="R1228" i="1" s="1"/>
  <c r="L1229" i="1"/>
  <c r="P1229" i="1" s="1"/>
  <c r="R1229" i="1" s="1"/>
  <c r="L1230" i="1"/>
  <c r="P1230" i="1" s="1"/>
  <c r="R1230" i="1" s="1"/>
  <c r="L1231" i="1"/>
  <c r="P1231" i="1" s="1"/>
  <c r="R1231" i="1" s="1"/>
  <c r="L1232" i="1"/>
  <c r="P1232" i="1" s="1"/>
  <c r="R1232" i="1" s="1"/>
  <c r="L1233" i="1"/>
  <c r="P1233" i="1" s="1"/>
  <c r="R1233" i="1" s="1"/>
  <c r="L1234" i="1"/>
  <c r="P1234" i="1" s="1"/>
  <c r="R1234" i="1" s="1"/>
  <c r="L1235" i="1"/>
  <c r="P1235" i="1" s="1"/>
  <c r="R1235" i="1" s="1"/>
  <c r="L1236" i="1"/>
  <c r="P1236" i="1" s="1"/>
  <c r="R1236" i="1" s="1"/>
  <c r="L1237" i="1"/>
  <c r="P1237" i="1" s="1"/>
  <c r="R1237" i="1" s="1"/>
  <c r="L1238" i="1"/>
  <c r="P1238" i="1" s="1"/>
  <c r="R1238" i="1" s="1"/>
  <c r="L1239" i="1"/>
  <c r="P1239" i="1" s="1"/>
  <c r="R1239" i="1" s="1"/>
  <c r="L1240" i="1"/>
  <c r="P1240" i="1" s="1"/>
  <c r="R1240" i="1" s="1"/>
  <c r="L1241" i="1"/>
  <c r="P1241" i="1" s="1"/>
  <c r="R1241" i="1" s="1"/>
  <c r="L1242" i="1"/>
  <c r="P1242" i="1" s="1"/>
  <c r="R1242" i="1" s="1"/>
  <c r="L1243" i="1"/>
  <c r="P1243" i="1" s="1"/>
  <c r="R1243" i="1" s="1"/>
  <c r="L1244" i="1"/>
  <c r="P1244" i="1" s="1"/>
  <c r="R1244" i="1" s="1"/>
  <c r="L1245" i="1"/>
  <c r="P1245" i="1" s="1"/>
  <c r="R1245" i="1" s="1"/>
  <c r="L1246" i="1"/>
  <c r="P1246" i="1" s="1"/>
  <c r="R1246" i="1" s="1"/>
  <c r="L1247" i="1"/>
  <c r="P1247" i="1" s="1"/>
  <c r="R1247" i="1" s="1"/>
  <c r="L1248" i="1"/>
  <c r="P1248" i="1" s="1"/>
  <c r="R1248" i="1" s="1"/>
  <c r="L1249" i="1"/>
  <c r="P1249" i="1" s="1"/>
  <c r="R1249" i="1" s="1"/>
  <c r="L1250" i="1"/>
  <c r="P1250" i="1" s="1"/>
  <c r="R1250" i="1" s="1"/>
  <c r="L1251" i="1"/>
  <c r="P1251" i="1" s="1"/>
  <c r="R1251" i="1" s="1"/>
  <c r="L1252" i="1"/>
  <c r="P1252" i="1" s="1"/>
  <c r="R1252" i="1" s="1"/>
  <c r="L1253" i="1"/>
  <c r="P1253" i="1" s="1"/>
  <c r="R1253" i="1" s="1"/>
  <c r="L1254" i="1"/>
  <c r="P1254" i="1" s="1"/>
  <c r="R1254" i="1" s="1"/>
  <c r="L1255" i="1"/>
  <c r="P1255" i="1" s="1"/>
  <c r="R1255" i="1" s="1"/>
  <c r="L1256" i="1"/>
  <c r="P1256" i="1" s="1"/>
  <c r="L1257" i="1"/>
  <c r="P1257" i="1" s="1"/>
  <c r="R1257" i="1" s="1"/>
  <c r="L1258" i="1"/>
  <c r="P1258" i="1" s="1"/>
  <c r="R1258" i="1" s="1"/>
  <c r="L1259" i="1"/>
  <c r="P1259" i="1" s="1"/>
  <c r="R1259" i="1" s="1"/>
  <c r="L1260" i="1"/>
  <c r="P1260" i="1" s="1"/>
  <c r="R1260" i="1" s="1"/>
  <c r="L1261" i="1"/>
  <c r="P1261" i="1" s="1"/>
  <c r="R1261" i="1" s="1"/>
  <c r="L1262" i="1"/>
  <c r="P1262" i="1" s="1"/>
  <c r="R1262" i="1" s="1"/>
  <c r="L1263" i="1"/>
  <c r="P1263" i="1" s="1"/>
  <c r="R1263" i="1" s="1"/>
  <c r="L1264" i="1"/>
  <c r="P1264" i="1" s="1"/>
  <c r="R1264" i="1" s="1"/>
  <c r="L1265" i="1"/>
  <c r="P1265" i="1" s="1"/>
  <c r="R1265" i="1" s="1"/>
  <c r="L1266" i="1"/>
  <c r="P1266" i="1" s="1"/>
  <c r="R1266" i="1" s="1"/>
  <c r="L1267" i="1"/>
  <c r="P1267" i="1" s="1"/>
  <c r="L1268" i="1"/>
  <c r="P1268" i="1" s="1"/>
  <c r="R1268" i="1" s="1"/>
  <c r="L1269" i="1"/>
  <c r="P1269" i="1" s="1"/>
  <c r="R1269" i="1" s="1"/>
  <c r="L1270" i="1"/>
  <c r="P1270" i="1" s="1"/>
  <c r="R1270" i="1" s="1"/>
  <c r="L1271" i="1"/>
  <c r="P1271" i="1" s="1"/>
  <c r="R1271" i="1" s="1"/>
  <c r="L1272" i="1"/>
  <c r="P1272" i="1" s="1"/>
  <c r="R1272" i="1" s="1"/>
  <c r="L1273" i="1"/>
  <c r="P1273" i="1" s="1"/>
  <c r="R1273" i="1" s="1"/>
  <c r="L1274" i="1"/>
  <c r="P1274" i="1" s="1"/>
  <c r="R1274" i="1" s="1"/>
  <c r="L1275" i="1"/>
  <c r="P1275" i="1" s="1"/>
  <c r="R1275" i="1" s="1"/>
  <c r="L1276" i="1"/>
  <c r="P1276" i="1" s="1"/>
  <c r="R1276" i="1" s="1"/>
  <c r="L1277" i="1"/>
  <c r="P1277" i="1" s="1"/>
  <c r="R1277" i="1" s="1"/>
  <c r="L1278" i="1"/>
  <c r="P1278" i="1" s="1"/>
  <c r="R1278" i="1" s="1"/>
  <c r="L1279" i="1"/>
  <c r="P1279" i="1" s="1"/>
  <c r="R1279" i="1" s="1"/>
  <c r="L1280" i="1"/>
  <c r="P1280" i="1" s="1"/>
  <c r="R1280" i="1" s="1"/>
  <c r="L1281" i="1"/>
  <c r="P1281" i="1" s="1"/>
  <c r="R1281" i="1" s="1"/>
  <c r="L1282" i="1"/>
  <c r="P1282" i="1" s="1"/>
  <c r="R1282" i="1" s="1"/>
  <c r="L1283" i="1"/>
  <c r="P1283" i="1" s="1"/>
  <c r="R1283" i="1" s="1"/>
  <c r="L1284" i="1"/>
  <c r="P1284" i="1" s="1"/>
  <c r="R1284" i="1" s="1"/>
  <c r="L1285" i="1"/>
  <c r="P1285" i="1" s="1"/>
  <c r="R1285" i="1" s="1"/>
  <c r="L1286" i="1"/>
  <c r="P1286" i="1" s="1"/>
  <c r="L1287" i="1"/>
  <c r="P1287" i="1" s="1"/>
  <c r="R1287" i="1" s="1"/>
  <c r="L1288" i="1"/>
  <c r="P1288" i="1" s="1"/>
  <c r="R1288" i="1" s="1"/>
  <c r="L1289" i="1"/>
  <c r="P1289" i="1" s="1"/>
  <c r="R1289" i="1" s="1"/>
  <c r="L1290" i="1"/>
  <c r="P1290" i="1" s="1"/>
  <c r="R1290" i="1" s="1"/>
  <c r="L1291" i="1"/>
  <c r="P1291" i="1" s="1"/>
  <c r="R1291" i="1" s="1"/>
  <c r="L1292" i="1"/>
  <c r="P1292" i="1" s="1"/>
  <c r="R1292" i="1" s="1"/>
  <c r="L1293" i="1"/>
  <c r="P1293" i="1" s="1"/>
  <c r="R1293" i="1" s="1"/>
  <c r="L1294" i="1"/>
  <c r="P1294" i="1" s="1"/>
  <c r="R1294" i="1" s="1"/>
  <c r="L1295" i="1"/>
  <c r="P1295" i="1" s="1"/>
  <c r="R1295" i="1" s="1"/>
  <c r="L1296" i="1"/>
  <c r="P1296" i="1" s="1"/>
  <c r="R1296" i="1" s="1"/>
  <c r="L1297" i="1"/>
  <c r="P1297" i="1" s="1"/>
  <c r="R1297" i="1" s="1"/>
  <c r="L1298" i="1"/>
  <c r="P1298" i="1" s="1"/>
  <c r="R1298" i="1" s="1"/>
  <c r="L1299" i="1"/>
  <c r="P1299" i="1" s="1"/>
  <c r="R1299" i="1" s="1"/>
  <c r="L1300" i="1"/>
  <c r="P1300" i="1" s="1"/>
  <c r="L1301" i="1"/>
  <c r="P1301" i="1" s="1"/>
  <c r="R1301" i="1" s="1"/>
  <c r="L1302" i="1"/>
  <c r="P1302" i="1" s="1"/>
  <c r="R1302" i="1" s="1"/>
  <c r="L1303" i="1"/>
  <c r="P1303" i="1" s="1"/>
  <c r="R1303" i="1" s="1"/>
  <c r="L1304" i="1"/>
  <c r="P1304" i="1" s="1"/>
  <c r="R1304" i="1" s="1"/>
  <c r="L1305" i="1"/>
  <c r="P1305" i="1" s="1"/>
  <c r="R1305" i="1" s="1"/>
  <c r="L1306" i="1"/>
  <c r="P1306" i="1" s="1"/>
  <c r="L1307" i="1"/>
  <c r="P1307" i="1" s="1"/>
  <c r="R1307" i="1" s="1"/>
  <c r="L1308" i="1"/>
  <c r="P1308" i="1" s="1"/>
  <c r="R1308" i="1" s="1"/>
  <c r="L1309" i="1"/>
  <c r="P1309" i="1" s="1"/>
  <c r="R1309" i="1" s="1"/>
  <c r="L1310" i="1"/>
  <c r="P1310" i="1" s="1"/>
  <c r="R1310" i="1" s="1"/>
  <c r="L1311" i="1"/>
  <c r="P1311" i="1" s="1"/>
  <c r="R1311" i="1" s="1"/>
  <c r="L1312" i="1"/>
  <c r="P1312" i="1" s="1"/>
  <c r="R1312" i="1" s="1"/>
  <c r="L1313" i="1"/>
  <c r="P1313" i="1" s="1"/>
  <c r="R1313" i="1" s="1"/>
  <c r="L1314" i="1"/>
  <c r="P1314" i="1" s="1"/>
  <c r="R1314" i="1" s="1"/>
  <c r="L1315" i="1"/>
  <c r="P1315" i="1" s="1"/>
  <c r="R1315" i="1" s="1"/>
  <c r="L1316" i="1"/>
  <c r="P1316" i="1" s="1"/>
  <c r="R1316" i="1" s="1"/>
  <c r="L1317" i="1"/>
  <c r="P1317" i="1" s="1"/>
  <c r="R1317" i="1" s="1"/>
  <c r="L1318" i="1"/>
  <c r="P1318" i="1" s="1"/>
  <c r="R1318" i="1" s="1"/>
  <c r="L1319" i="1"/>
  <c r="P1319" i="1" s="1"/>
  <c r="R1319" i="1" s="1"/>
  <c r="L1320" i="1"/>
  <c r="P1320" i="1" s="1"/>
  <c r="R1320" i="1" s="1"/>
  <c r="L1321" i="1"/>
  <c r="P1321" i="1" s="1"/>
  <c r="R1321" i="1" s="1"/>
  <c r="L1322" i="1"/>
  <c r="P1322" i="1" s="1"/>
  <c r="R1322" i="1" s="1"/>
  <c r="L1323" i="1"/>
  <c r="P1323" i="1" s="1"/>
  <c r="R1323" i="1" s="1"/>
  <c r="L1324" i="1"/>
  <c r="P1324" i="1" s="1"/>
  <c r="R1324" i="1" s="1"/>
  <c r="L1325" i="1"/>
  <c r="P1325" i="1" s="1"/>
  <c r="R1325" i="1" s="1"/>
  <c r="L1326" i="1"/>
  <c r="P1326" i="1" s="1"/>
  <c r="R1326" i="1" s="1"/>
  <c r="L1327" i="1"/>
  <c r="P1327" i="1" s="1"/>
  <c r="R1327" i="1" s="1"/>
  <c r="L1328" i="1"/>
  <c r="P1328" i="1" s="1"/>
  <c r="R1328" i="1" s="1"/>
  <c r="L1329" i="1"/>
  <c r="P1329" i="1" s="1"/>
  <c r="R1329" i="1" s="1"/>
  <c r="L1330" i="1"/>
  <c r="P1330" i="1" s="1"/>
  <c r="R1330" i="1" s="1"/>
  <c r="L1331" i="1"/>
  <c r="P1331" i="1" s="1"/>
  <c r="R1331" i="1" s="1"/>
  <c r="L1332" i="1"/>
  <c r="P1332" i="1" s="1"/>
  <c r="R1332" i="1" s="1"/>
  <c r="L1333" i="1"/>
  <c r="P1333" i="1" s="1"/>
  <c r="R1333" i="1" s="1"/>
  <c r="L1334" i="1"/>
  <c r="P1334" i="1" s="1"/>
  <c r="R1334" i="1" s="1"/>
  <c r="L1335" i="1"/>
  <c r="P1335" i="1" s="1"/>
  <c r="R1335" i="1" s="1"/>
  <c r="L1336" i="1"/>
  <c r="P1336" i="1" s="1"/>
  <c r="R1336" i="1" s="1"/>
  <c r="L1337" i="1"/>
  <c r="P1337" i="1" s="1"/>
  <c r="R1337" i="1" s="1"/>
  <c r="L1338" i="1"/>
  <c r="P1338" i="1" s="1"/>
  <c r="R1338" i="1" s="1"/>
  <c r="L1339" i="1"/>
  <c r="P1339" i="1" s="1"/>
  <c r="R1339" i="1" s="1"/>
  <c r="L1340" i="1"/>
  <c r="P1340" i="1" s="1"/>
  <c r="L1341" i="1"/>
  <c r="P1341" i="1" s="1"/>
  <c r="R1341" i="1" s="1"/>
  <c r="L1342" i="1"/>
  <c r="P1342" i="1" s="1"/>
  <c r="R1342" i="1" s="1"/>
  <c r="L1343" i="1"/>
  <c r="P1343" i="1" s="1"/>
  <c r="R1343" i="1" s="1"/>
  <c r="L1344" i="1"/>
  <c r="P1344" i="1" s="1"/>
  <c r="R1344" i="1" s="1"/>
  <c r="L1345" i="1"/>
  <c r="P1345" i="1" s="1"/>
  <c r="R1345" i="1" s="1"/>
  <c r="L1346" i="1"/>
  <c r="P1346" i="1" s="1"/>
  <c r="R1346" i="1" s="1"/>
  <c r="L1347" i="1"/>
  <c r="P1347" i="1" s="1"/>
  <c r="R1347" i="1" s="1"/>
  <c r="L1348" i="1"/>
  <c r="P1348" i="1" s="1"/>
  <c r="R1348" i="1" s="1"/>
  <c r="L1349" i="1"/>
  <c r="P1349" i="1" s="1"/>
  <c r="L1350" i="1"/>
  <c r="P1350" i="1" s="1"/>
  <c r="L1351" i="1"/>
  <c r="P1351" i="1" s="1"/>
  <c r="R1351" i="1" s="1"/>
  <c r="L1352" i="1"/>
  <c r="P1352" i="1" s="1"/>
  <c r="R1352" i="1" s="1"/>
  <c r="L1353" i="1"/>
  <c r="P1353" i="1" s="1"/>
  <c r="R1353" i="1" s="1"/>
  <c r="L1354" i="1"/>
  <c r="P1354" i="1" s="1"/>
  <c r="R1354" i="1" s="1"/>
  <c r="L1355" i="1"/>
  <c r="P1355" i="1" s="1"/>
  <c r="R1355" i="1" s="1"/>
  <c r="L1356" i="1"/>
  <c r="P1356" i="1" s="1"/>
  <c r="R1356" i="1" s="1"/>
  <c r="L1357" i="1"/>
  <c r="P1357" i="1" s="1"/>
  <c r="L1358" i="1"/>
  <c r="P1358" i="1" s="1"/>
  <c r="R1358" i="1" s="1"/>
  <c r="L1359" i="1"/>
  <c r="P1359" i="1" s="1"/>
  <c r="R1359" i="1" s="1"/>
  <c r="L1360" i="1"/>
  <c r="P1360" i="1" s="1"/>
  <c r="R1360" i="1" s="1"/>
  <c r="L1361" i="1"/>
  <c r="P1361" i="1" s="1"/>
  <c r="R1361" i="1" s="1"/>
  <c r="L1362" i="1"/>
  <c r="P1362" i="1" s="1"/>
  <c r="R1362" i="1" s="1"/>
  <c r="L1363" i="1"/>
  <c r="P1363" i="1" s="1"/>
  <c r="R1363" i="1" s="1"/>
  <c r="L1364" i="1"/>
  <c r="P1364" i="1" s="1"/>
  <c r="R1364" i="1" s="1"/>
  <c r="L1365" i="1"/>
  <c r="P1365" i="1" s="1"/>
  <c r="R1365" i="1" s="1"/>
  <c r="L1366" i="1"/>
  <c r="P1366" i="1" s="1"/>
  <c r="R1366" i="1" s="1"/>
  <c r="L1367" i="1"/>
  <c r="P1367" i="1" s="1"/>
  <c r="R1367" i="1" s="1"/>
  <c r="L1368" i="1"/>
  <c r="P1368" i="1" s="1"/>
  <c r="R1368" i="1" s="1"/>
  <c r="L1369" i="1"/>
  <c r="P1369" i="1" s="1"/>
  <c r="R1369" i="1" s="1"/>
  <c r="L1370" i="1"/>
  <c r="P1370" i="1" s="1"/>
  <c r="R1370" i="1" s="1"/>
  <c r="L1371" i="1"/>
  <c r="P1371" i="1" s="1"/>
  <c r="R1371" i="1" s="1"/>
  <c r="L1372" i="1"/>
  <c r="P1372" i="1" s="1"/>
  <c r="R1372" i="1" s="1"/>
  <c r="L1373" i="1"/>
  <c r="P1373" i="1" s="1"/>
  <c r="R1373" i="1" s="1"/>
  <c r="L1374" i="1"/>
  <c r="P1374" i="1" s="1"/>
  <c r="R1374" i="1" s="1"/>
  <c r="L1375" i="1"/>
  <c r="P1375" i="1" s="1"/>
  <c r="R1375" i="1" s="1"/>
  <c r="L1376" i="1"/>
  <c r="P1376" i="1" s="1"/>
  <c r="R1376" i="1" s="1"/>
  <c r="L1377" i="1"/>
  <c r="P1377" i="1" s="1"/>
  <c r="L1378" i="1"/>
  <c r="P1378" i="1" s="1"/>
  <c r="R1378" i="1" s="1"/>
  <c r="L1379" i="1"/>
  <c r="P1379" i="1" s="1"/>
  <c r="R1379" i="1" s="1"/>
  <c r="L1380" i="1"/>
  <c r="P1380" i="1" s="1"/>
  <c r="L1381" i="1"/>
  <c r="P1381" i="1" s="1"/>
  <c r="R1381" i="1" s="1"/>
  <c r="L1382" i="1"/>
  <c r="P1382" i="1" s="1"/>
  <c r="R1382" i="1" s="1"/>
  <c r="L1383" i="1"/>
  <c r="P1383" i="1" s="1"/>
  <c r="R1383" i="1" s="1"/>
  <c r="L1384" i="1"/>
  <c r="P1384" i="1" s="1"/>
  <c r="R1384" i="1" s="1"/>
  <c r="L1385" i="1"/>
  <c r="P1385" i="1" s="1"/>
  <c r="R1385" i="1" s="1"/>
  <c r="L1386" i="1"/>
  <c r="P1386" i="1" s="1"/>
  <c r="R1386" i="1" s="1"/>
  <c r="L1387" i="1"/>
  <c r="P1387" i="1" s="1"/>
  <c r="R1387" i="1" s="1"/>
  <c r="L1388" i="1"/>
  <c r="P1388" i="1" s="1"/>
  <c r="R1388" i="1" s="1"/>
  <c r="L1389" i="1"/>
  <c r="P1389" i="1" s="1"/>
  <c r="R1389" i="1" s="1"/>
  <c r="L1390" i="1"/>
  <c r="P1390" i="1" s="1"/>
  <c r="R1390" i="1" s="1"/>
  <c r="L1391" i="1"/>
  <c r="P1391" i="1" s="1"/>
  <c r="R1391" i="1" s="1"/>
  <c r="L1392" i="1"/>
  <c r="P1392" i="1" s="1"/>
  <c r="R1392" i="1" s="1"/>
  <c r="L1393" i="1"/>
  <c r="P1393" i="1" s="1"/>
  <c r="R1393" i="1" s="1"/>
  <c r="L1394" i="1"/>
  <c r="P1394" i="1" s="1"/>
  <c r="R1394" i="1" s="1"/>
  <c r="L1395" i="1"/>
  <c r="P1395" i="1" s="1"/>
  <c r="R1395" i="1" s="1"/>
  <c r="L1396" i="1"/>
  <c r="P1396" i="1" s="1"/>
  <c r="R1396" i="1" s="1"/>
  <c r="L1397" i="1"/>
  <c r="P1397" i="1" s="1"/>
  <c r="R1397" i="1" s="1"/>
  <c r="L1398" i="1"/>
  <c r="P1398" i="1" s="1"/>
  <c r="R1398" i="1" s="1"/>
  <c r="L1399" i="1"/>
  <c r="P1399" i="1" s="1"/>
  <c r="R1399" i="1" s="1"/>
  <c r="L1400" i="1"/>
  <c r="P1400" i="1" s="1"/>
  <c r="R1400" i="1" s="1"/>
  <c r="L1401" i="1"/>
  <c r="P1401" i="1" s="1"/>
  <c r="R1401" i="1" s="1"/>
  <c r="L1402" i="1"/>
  <c r="P1402" i="1" s="1"/>
  <c r="R1402" i="1" s="1"/>
  <c r="L1403" i="1"/>
  <c r="P1403" i="1" s="1"/>
  <c r="R1403" i="1" s="1"/>
  <c r="L1404" i="1"/>
  <c r="P1404" i="1" s="1"/>
  <c r="R1404" i="1" s="1"/>
  <c r="L1405" i="1"/>
  <c r="P1405" i="1" s="1"/>
  <c r="R1405" i="1" s="1"/>
  <c r="L1406" i="1"/>
  <c r="P1406" i="1" s="1"/>
  <c r="R1406" i="1" s="1"/>
  <c r="L1407" i="1"/>
  <c r="P1407" i="1" s="1"/>
  <c r="R1407" i="1" s="1"/>
  <c r="L1408" i="1"/>
  <c r="P1408" i="1" s="1"/>
  <c r="R1408" i="1" s="1"/>
  <c r="L1409" i="1"/>
  <c r="P1409" i="1" s="1"/>
  <c r="R1409" i="1" s="1"/>
  <c r="L1410" i="1"/>
  <c r="P1410" i="1" s="1"/>
  <c r="R1410" i="1" s="1"/>
  <c r="L1411" i="1"/>
  <c r="P1411" i="1" s="1"/>
  <c r="R1411" i="1" s="1"/>
  <c r="L1412" i="1"/>
  <c r="P1412" i="1" s="1"/>
  <c r="R1412" i="1" s="1"/>
  <c r="L1413" i="1"/>
  <c r="P1413" i="1" s="1"/>
  <c r="R1413" i="1" s="1"/>
  <c r="L1414" i="1"/>
  <c r="P1414" i="1" s="1"/>
  <c r="R1414" i="1" s="1"/>
  <c r="L1415" i="1"/>
  <c r="P1415" i="1" s="1"/>
  <c r="R1415" i="1" s="1"/>
  <c r="L1416" i="1"/>
  <c r="P1416" i="1" s="1"/>
  <c r="R1416" i="1" s="1"/>
  <c r="L1417" i="1"/>
  <c r="P1417" i="1" s="1"/>
  <c r="R1417" i="1" s="1"/>
  <c r="L1418" i="1"/>
  <c r="P1418" i="1" s="1"/>
  <c r="R1418" i="1" s="1"/>
  <c r="L1419" i="1"/>
  <c r="P1419" i="1" s="1"/>
  <c r="R1419" i="1" s="1"/>
  <c r="L1420" i="1"/>
  <c r="P1420" i="1" s="1"/>
  <c r="R1420" i="1" s="1"/>
  <c r="L1421" i="1"/>
  <c r="P1421" i="1" s="1"/>
  <c r="R1421" i="1" s="1"/>
  <c r="L1422" i="1"/>
  <c r="P1422" i="1" s="1"/>
  <c r="R1422" i="1" s="1"/>
  <c r="L1423" i="1"/>
  <c r="P1423" i="1" s="1"/>
  <c r="R1423" i="1" s="1"/>
  <c r="L1424" i="1"/>
  <c r="P1424" i="1" s="1"/>
  <c r="R1424" i="1" s="1"/>
  <c r="L1425" i="1"/>
  <c r="P1425" i="1" s="1"/>
  <c r="R1425" i="1" s="1"/>
  <c r="L1426" i="1"/>
  <c r="P1426" i="1" s="1"/>
  <c r="R1426" i="1" s="1"/>
  <c r="L1427" i="1"/>
  <c r="P1427" i="1" s="1"/>
  <c r="R1427" i="1" s="1"/>
  <c r="L1428" i="1"/>
  <c r="P1428" i="1" s="1"/>
  <c r="R1428" i="1" s="1"/>
  <c r="L1429" i="1"/>
  <c r="P1429" i="1" s="1"/>
  <c r="R1429" i="1" s="1"/>
  <c r="L1430" i="1"/>
  <c r="P1430" i="1" s="1"/>
  <c r="R1430" i="1" s="1"/>
  <c r="L1431" i="1"/>
  <c r="P1431" i="1" s="1"/>
  <c r="R1431" i="1" s="1"/>
  <c r="L1432" i="1"/>
  <c r="P1432" i="1" s="1"/>
  <c r="R1432" i="1" s="1"/>
  <c r="L1433" i="1"/>
  <c r="P1433" i="1" s="1"/>
  <c r="R1433" i="1" s="1"/>
  <c r="L1434" i="1"/>
  <c r="P1434" i="1" s="1"/>
  <c r="R1434" i="1" s="1"/>
  <c r="L1435" i="1"/>
  <c r="P1435" i="1" s="1"/>
  <c r="R1435" i="1" s="1"/>
  <c r="L1436" i="1"/>
  <c r="P1436" i="1" s="1"/>
  <c r="R1436" i="1" s="1"/>
  <c r="L1437" i="1"/>
  <c r="P1437" i="1" s="1"/>
  <c r="R1437" i="1" s="1"/>
  <c r="L1438" i="1"/>
  <c r="P1438" i="1" s="1"/>
  <c r="R1438" i="1" s="1"/>
  <c r="L1439" i="1"/>
  <c r="P1439" i="1" s="1"/>
  <c r="R1439" i="1" s="1"/>
  <c r="L1440" i="1"/>
  <c r="P1440" i="1" s="1"/>
  <c r="R1440" i="1" s="1"/>
  <c r="L1441" i="1"/>
  <c r="P1441" i="1" s="1"/>
  <c r="R1441" i="1" s="1"/>
  <c r="L1442" i="1"/>
  <c r="P1442" i="1" s="1"/>
  <c r="L1443" i="1"/>
  <c r="P1443" i="1" s="1"/>
  <c r="R1443" i="1" s="1"/>
  <c r="L1444" i="1"/>
  <c r="P1444" i="1" s="1"/>
  <c r="R1444" i="1" s="1"/>
  <c r="L1445" i="1"/>
  <c r="P1445" i="1" s="1"/>
  <c r="R1445" i="1" s="1"/>
  <c r="L1446" i="1"/>
  <c r="P1446" i="1" s="1"/>
  <c r="R1446" i="1" s="1"/>
  <c r="L1447" i="1"/>
  <c r="P1447" i="1" s="1"/>
  <c r="R1447" i="1" s="1"/>
  <c r="L1448" i="1"/>
  <c r="P1448" i="1" s="1"/>
  <c r="R1448" i="1" s="1"/>
  <c r="L1449" i="1"/>
  <c r="P1449" i="1" s="1"/>
  <c r="R1449" i="1" s="1"/>
  <c r="L1450" i="1"/>
  <c r="P1450" i="1" s="1"/>
  <c r="R1450" i="1" s="1"/>
  <c r="L1451" i="1"/>
  <c r="P1451" i="1" s="1"/>
  <c r="R1451" i="1" s="1"/>
  <c r="L1452" i="1"/>
  <c r="P1452" i="1" s="1"/>
  <c r="R1452" i="1" s="1"/>
  <c r="L1453" i="1"/>
  <c r="P1453" i="1" s="1"/>
  <c r="R1453" i="1" s="1"/>
  <c r="L1454" i="1"/>
  <c r="P1454" i="1" s="1"/>
  <c r="R1454" i="1" s="1"/>
  <c r="L1455" i="1"/>
  <c r="P1455" i="1" s="1"/>
  <c r="R1455" i="1" s="1"/>
  <c r="L1456" i="1"/>
  <c r="P1456" i="1" s="1"/>
  <c r="R1456" i="1" s="1"/>
  <c r="L1457" i="1"/>
  <c r="P1457" i="1" s="1"/>
  <c r="R1457" i="1" s="1"/>
  <c r="L1458" i="1"/>
  <c r="P1458" i="1" s="1"/>
  <c r="R1458" i="1" s="1"/>
  <c r="L1459" i="1"/>
  <c r="P1459" i="1" s="1"/>
  <c r="R1459" i="1" s="1"/>
  <c r="L1460" i="1"/>
  <c r="P1460" i="1" s="1"/>
  <c r="R1460" i="1" s="1"/>
  <c r="L1461" i="1"/>
  <c r="P1461" i="1" s="1"/>
  <c r="R1461" i="1" s="1"/>
  <c r="L1462" i="1"/>
  <c r="P1462" i="1" s="1"/>
  <c r="R1462" i="1" s="1"/>
  <c r="L1463" i="1"/>
  <c r="P1463" i="1" s="1"/>
  <c r="R1463" i="1" s="1"/>
  <c r="L1464" i="1"/>
  <c r="P1464" i="1" s="1"/>
  <c r="L1465" i="1"/>
  <c r="P1465" i="1" s="1"/>
  <c r="R1465" i="1" s="1"/>
  <c r="L1466" i="1"/>
  <c r="P1466" i="1" s="1"/>
  <c r="R1466" i="1" s="1"/>
  <c r="L1467" i="1"/>
  <c r="P1467" i="1" s="1"/>
  <c r="R1467" i="1" s="1"/>
  <c r="L1468" i="1"/>
  <c r="P1468" i="1" s="1"/>
  <c r="L1469" i="1"/>
  <c r="P1469" i="1" s="1"/>
  <c r="R1469" i="1" s="1"/>
  <c r="L1470" i="1"/>
  <c r="P1470" i="1" s="1"/>
  <c r="R1470" i="1" s="1"/>
  <c r="L1471" i="1"/>
  <c r="P1471" i="1" s="1"/>
  <c r="R1471" i="1" s="1"/>
  <c r="L1472" i="1"/>
  <c r="P1472" i="1" s="1"/>
  <c r="R1472" i="1" s="1"/>
  <c r="L1473" i="1"/>
  <c r="P1473" i="1" s="1"/>
  <c r="R1473" i="1" s="1"/>
  <c r="L1474" i="1"/>
  <c r="P1474" i="1" s="1"/>
  <c r="R1474" i="1" s="1"/>
  <c r="L1475" i="1"/>
  <c r="P1475" i="1" s="1"/>
  <c r="R1475" i="1" s="1"/>
  <c r="L1476" i="1"/>
  <c r="P1476" i="1" s="1"/>
  <c r="R1476" i="1" s="1"/>
  <c r="L1477" i="1"/>
  <c r="P1477" i="1" s="1"/>
  <c r="R1477" i="1" s="1"/>
  <c r="L1478" i="1"/>
  <c r="P1478" i="1" s="1"/>
  <c r="R1478" i="1" s="1"/>
  <c r="L1479" i="1"/>
  <c r="P1479" i="1" s="1"/>
  <c r="R1479" i="1" s="1"/>
  <c r="L1480" i="1"/>
  <c r="P1480" i="1" s="1"/>
  <c r="R1480" i="1" s="1"/>
  <c r="L1481" i="1"/>
  <c r="P1481" i="1" s="1"/>
  <c r="R1481" i="1" s="1"/>
  <c r="L1482" i="1"/>
  <c r="P1482" i="1" s="1"/>
  <c r="R1482" i="1" s="1"/>
  <c r="L1483" i="1"/>
  <c r="P1483" i="1" s="1"/>
  <c r="R1483" i="1" s="1"/>
  <c r="L1484" i="1"/>
  <c r="P1484" i="1" s="1"/>
  <c r="R1484" i="1" s="1"/>
  <c r="L1485" i="1"/>
  <c r="P1485" i="1" s="1"/>
  <c r="R1485" i="1" s="1"/>
  <c r="L1486" i="1"/>
  <c r="P1486" i="1" s="1"/>
  <c r="R1486" i="1" s="1"/>
  <c r="L1487" i="1"/>
  <c r="P1487" i="1" s="1"/>
  <c r="R1487" i="1" s="1"/>
  <c r="L1488" i="1"/>
  <c r="P1488" i="1" s="1"/>
  <c r="R1488" i="1" s="1"/>
  <c r="L1489" i="1"/>
  <c r="P1489" i="1" s="1"/>
  <c r="R1489" i="1" s="1"/>
  <c r="L1490" i="1"/>
  <c r="P1490" i="1" s="1"/>
  <c r="R1490" i="1" s="1"/>
  <c r="L1491" i="1"/>
  <c r="P1491" i="1" s="1"/>
  <c r="R1491" i="1" s="1"/>
  <c r="L1492" i="1"/>
  <c r="P1492" i="1" s="1"/>
  <c r="R1492" i="1" s="1"/>
  <c r="L1493" i="1"/>
  <c r="P1493" i="1" s="1"/>
  <c r="R1493" i="1" s="1"/>
  <c r="L1494" i="1"/>
  <c r="P1494" i="1" s="1"/>
  <c r="R1494" i="1" s="1"/>
  <c r="L1495" i="1"/>
  <c r="P1495" i="1" s="1"/>
  <c r="R1495" i="1" s="1"/>
  <c r="L1496" i="1"/>
  <c r="P1496" i="1" s="1"/>
  <c r="R1496" i="1" s="1"/>
  <c r="L1497" i="1"/>
  <c r="P1497" i="1" s="1"/>
  <c r="R1497" i="1" s="1"/>
  <c r="L1498" i="1"/>
  <c r="P1498" i="1" s="1"/>
  <c r="R1498" i="1" s="1"/>
  <c r="L1499" i="1"/>
  <c r="P1499" i="1" s="1"/>
  <c r="R1499" i="1" s="1"/>
  <c r="L1500" i="1"/>
  <c r="P1500" i="1" s="1"/>
  <c r="R1500" i="1" s="1"/>
  <c r="L1501" i="1"/>
  <c r="P1501" i="1" s="1"/>
  <c r="R1501" i="1" s="1"/>
  <c r="L1502" i="1"/>
  <c r="P1502" i="1" s="1"/>
  <c r="R1502" i="1" s="1"/>
  <c r="L1503" i="1"/>
  <c r="P1503" i="1" s="1"/>
  <c r="L1504" i="1"/>
  <c r="P1504" i="1" s="1"/>
  <c r="R1504" i="1" s="1"/>
  <c r="L1505" i="1"/>
  <c r="P1505" i="1" s="1"/>
  <c r="R1505" i="1" s="1"/>
  <c r="L1506" i="1"/>
  <c r="P1506" i="1" s="1"/>
  <c r="R1506" i="1" s="1"/>
  <c r="L1507" i="1"/>
  <c r="P1507" i="1" s="1"/>
  <c r="R1507" i="1" s="1"/>
  <c r="L1508" i="1"/>
  <c r="P1508" i="1" s="1"/>
  <c r="R1508" i="1" s="1"/>
  <c r="L1509" i="1"/>
  <c r="P1509" i="1" s="1"/>
  <c r="R1509" i="1" s="1"/>
  <c r="L1510" i="1"/>
  <c r="P1510" i="1" s="1"/>
  <c r="R1510" i="1" s="1"/>
  <c r="L1511" i="1"/>
  <c r="P1511" i="1" s="1"/>
  <c r="L1512" i="1"/>
  <c r="P1512" i="1" s="1"/>
  <c r="R1512" i="1" s="1"/>
  <c r="L1513" i="1"/>
  <c r="P1513" i="1" s="1"/>
  <c r="R1513" i="1" s="1"/>
  <c r="L1514" i="1"/>
  <c r="P1514" i="1" s="1"/>
  <c r="R1514" i="1" s="1"/>
  <c r="L1515" i="1"/>
  <c r="P1515" i="1" s="1"/>
  <c r="R1515" i="1" s="1"/>
  <c r="L1516" i="1"/>
  <c r="P1516" i="1" s="1"/>
  <c r="R1516" i="1" s="1"/>
  <c r="L1517" i="1"/>
  <c r="P1517" i="1" s="1"/>
  <c r="L1518" i="1"/>
  <c r="P1518" i="1" s="1"/>
  <c r="R1518" i="1" s="1"/>
  <c r="L1519" i="1"/>
  <c r="P1519" i="1" s="1"/>
  <c r="R1519" i="1" s="1"/>
  <c r="L1520" i="1"/>
  <c r="P1520" i="1" s="1"/>
  <c r="R1520" i="1" s="1"/>
  <c r="L1521" i="1"/>
  <c r="P1521" i="1" s="1"/>
  <c r="R1521" i="1" s="1"/>
  <c r="L1522" i="1"/>
  <c r="P1522" i="1" s="1"/>
  <c r="R1522" i="1" s="1"/>
  <c r="L1523" i="1"/>
  <c r="P1523" i="1" s="1"/>
  <c r="R1523" i="1" s="1"/>
  <c r="L1524" i="1"/>
  <c r="P1524" i="1" s="1"/>
  <c r="R1524" i="1" s="1"/>
  <c r="L1525" i="1"/>
  <c r="P1525" i="1" s="1"/>
  <c r="R1525" i="1" s="1"/>
  <c r="L1526" i="1"/>
  <c r="P1526" i="1" s="1"/>
  <c r="R1526" i="1" s="1"/>
  <c r="L1527" i="1"/>
  <c r="P1527" i="1" s="1"/>
  <c r="L1528" i="1"/>
  <c r="P1528" i="1" s="1"/>
  <c r="R1528" i="1" s="1"/>
  <c r="L1529" i="1"/>
  <c r="P1529" i="1" s="1"/>
  <c r="R1529" i="1" s="1"/>
  <c r="L1530" i="1"/>
  <c r="P1530" i="1" s="1"/>
  <c r="R1530" i="1" s="1"/>
  <c r="L1531" i="1"/>
  <c r="P1531" i="1" s="1"/>
  <c r="R1531" i="1" s="1"/>
  <c r="L1532" i="1"/>
  <c r="P1532" i="1" s="1"/>
  <c r="R1532" i="1" s="1"/>
  <c r="L1533" i="1"/>
  <c r="P1533" i="1" s="1"/>
  <c r="R1533" i="1" s="1"/>
  <c r="L1534" i="1"/>
  <c r="P1534" i="1" s="1"/>
  <c r="R1534" i="1" s="1"/>
  <c r="L1535" i="1"/>
  <c r="P1535" i="1" s="1"/>
  <c r="R1535" i="1" s="1"/>
  <c r="L1536" i="1"/>
  <c r="P1536" i="1" s="1"/>
  <c r="L1537" i="1"/>
  <c r="P1537" i="1" s="1"/>
  <c r="R1537" i="1" s="1"/>
  <c r="L1538" i="1"/>
  <c r="P1538" i="1" s="1"/>
  <c r="R1538" i="1" s="1"/>
  <c r="L1539" i="1"/>
  <c r="P1539" i="1" s="1"/>
  <c r="R1539" i="1" s="1"/>
  <c r="L1540" i="1"/>
  <c r="P1540" i="1" s="1"/>
  <c r="R1540" i="1" s="1"/>
  <c r="L1541" i="1"/>
  <c r="P1541" i="1" s="1"/>
  <c r="L1542" i="1"/>
  <c r="P1542" i="1" s="1"/>
  <c r="R1542" i="1" s="1"/>
  <c r="L1543" i="1"/>
  <c r="P1543" i="1" s="1"/>
  <c r="R1543" i="1" s="1"/>
  <c r="L1544" i="1"/>
  <c r="P1544" i="1" s="1"/>
  <c r="L1545" i="1"/>
  <c r="P1545" i="1" s="1"/>
  <c r="R1545" i="1" s="1"/>
  <c r="L1546" i="1"/>
  <c r="P1546" i="1" s="1"/>
  <c r="L1547" i="1"/>
  <c r="P1547" i="1" s="1"/>
  <c r="R1547" i="1" s="1"/>
  <c r="L1548" i="1"/>
  <c r="P1548" i="1" s="1"/>
  <c r="R1548" i="1" s="1"/>
  <c r="L1549" i="1"/>
  <c r="P1549" i="1" s="1"/>
  <c r="R1549" i="1" s="1"/>
  <c r="L1550" i="1"/>
  <c r="P1550" i="1" s="1"/>
  <c r="R1550" i="1" s="1"/>
  <c r="L1551" i="1"/>
  <c r="P1551" i="1" s="1"/>
  <c r="R1551" i="1" s="1"/>
  <c r="L1552" i="1"/>
  <c r="P1552" i="1" s="1"/>
  <c r="R1552" i="1" s="1"/>
  <c r="L1553" i="1"/>
  <c r="P1553" i="1" s="1"/>
  <c r="R1553" i="1" s="1"/>
  <c r="L1554" i="1"/>
  <c r="P1554" i="1" s="1"/>
  <c r="R1554" i="1" s="1"/>
  <c r="L1555" i="1"/>
  <c r="P1555" i="1" s="1"/>
  <c r="R1555" i="1" s="1"/>
  <c r="L1556" i="1"/>
  <c r="P1556" i="1" s="1"/>
  <c r="R1556" i="1" s="1"/>
  <c r="L1557" i="1"/>
  <c r="P1557" i="1" s="1"/>
  <c r="R1557" i="1" s="1"/>
  <c r="L1558" i="1"/>
  <c r="P1558" i="1" s="1"/>
  <c r="R1558" i="1" s="1"/>
  <c r="L1559" i="1"/>
  <c r="P1559" i="1" s="1"/>
  <c r="R1559" i="1" s="1"/>
  <c r="L1560" i="1"/>
  <c r="P1560" i="1" s="1"/>
  <c r="R1560" i="1" s="1"/>
  <c r="L1561" i="1"/>
  <c r="P1561" i="1" s="1"/>
  <c r="R1561" i="1" s="1"/>
  <c r="L1562" i="1"/>
  <c r="P1562" i="1" s="1"/>
  <c r="R1562" i="1" s="1"/>
  <c r="L1563" i="1"/>
  <c r="P1563" i="1" s="1"/>
  <c r="R1563" i="1" s="1"/>
  <c r="L1564" i="1"/>
  <c r="P1564" i="1" s="1"/>
  <c r="R1564" i="1" s="1"/>
  <c r="L1565" i="1"/>
  <c r="P1565" i="1" s="1"/>
  <c r="R1565" i="1" s="1"/>
  <c r="L1566" i="1"/>
  <c r="P1566" i="1" s="1"/>
  <c r="R1566" i="1" s="1"/>
  <c r="L1567" i="1"/>
  <c r="P1567" i="1" s="1"/>
  <c r="R1567" i="1" s="1"/>
  <c r="L1568" i="1"/>
  <c r="P1568" i="1" s="1"/>
  <c r="R1568" i="1" s="1"/>
  <c r="L1569" i="1"/>
  <c r="P1569" i="1" s="1"/>
  <c r="R1569" i="1" s="1"/>
  <c r="L1570" i="1"/>
  <c r="P1570" i="1" s="1"/>
  <c r="R1570" i="1" s="1"/>
  <c r="L1571" i="1"/>
  <c r="P1571" i="1" s="1"/>
  <c r="R1571" i="1" s="1"/>
  <c r="L1572" i="1"/>
  <c r="P1572" i="1" s="1"/>
  <c r="R1572" i="1" s="1"/>
  <c r="L1573" i="1"/>
  <c r="P1573" i="1" s="1"/>
  <c r="R1573" i="1" s="1"/>
  <c r="L1574" i="1"/>
  <c r="P1574" i="1" s="1"/>
  <c r="R1574" i="1" s="1"/>
  <c r="L1575" i="1"/>
  <c r="P1575" i="1" s="1"/>
  <c r="R1575" i="1" s="1"/>
  <c r="L1576" i="1"/>
  <c r="P1576" i="1" s="1"/>
  <c r="R1576" i="1" s="1"/>
  <c r="L1577" i="1"/>
  <c r="P1577" i="1" s="1"/>
  <c r="R1577" i="1" s="1"/>
  <c r="L1578" i="1"/>
  <c r="P1578" i="1" s="1"/>
  <c r="R1578" i="1" s="1"/>
  <c r="L1579" i="1"/>
  <c r="P1579" i="1" s="1"/>
  <c r="R1579" i="1" s="1"/>
  <c r="L1580" i="1"/>
  <c r="P1580" i="1" s="1"/>
  <c r="R1580" i="1" s="1"/>
  <c r="L1581" i="1"/>
  <c r="P1581" i="1" s="1"/>
  <c r="R1581" i="1" s="1"/>
  <c r="L1582" i="1"/>
  <c r="P1582" i="1" s="1"/>
  <c r="R1582" i="1" s="1"/>
  <c r="L1583" i="1"/>
  <c r="P1583" i="1" s="1"/>
  <c r="R1583" i="1" s="1"/>
  <c r="L1584" i="1"/>
  <c r="P1584" i="1" s="1"/>
  <c r="R1584" i="1" s="1"/>
  <c r="L1585" i="1"/>
  <c r="P1585" i="1" s="1"/>
  <c r="R1585" i="1" s="1"/>
  <c r="L1586" i="1"/>
  <c r="P1586" i="1" s="1"/>
  <c r="R1586" i="1" s="1"/>
  <c r="L1587" i="1"/>
  <c r="P1587" i="1" s="1"/>
  <c r="L1588" i="1"/>
  <c r="P1588" i="1" s="1"/>
  <c r="R1588" i="1" s="1"/>
  <c r="L1589" i="1"/>
  <c r="P1589" i="1" s="1"/>
  <c r="R1589" i="1" s="1"/>
  <c r="L1590" i="1"/>
  <c r="P1590" i="1" s="1"/>
  <c r="R1590" i="1" s="1"/>
  <c r="L1591" i="1"/>
  <c r="P1591" i="1" s="1"/>
  <c r="R1591" i="1" s="1"/>
  <c r="L1592" i="1"/>
  <c r="P1592" i="1" s="1"/>
  <c r="R1592" i="1" s="1"/>
  <c r="L1593" i="1"/>
  <c r="P1593" i="1" s="1"/>
  <c r="R1593" i="1" s="1"/>
  <c r="L1594" i="1"/>
  <c r="P1594" i="1" s="1"/>
  <c r="R1594" i="1" s="1"/>
  <c r="L1595" i="1"/>
  <c r="P1595" i="1" s="1"/>
  <c r="R1595" i="1" s="1"/>
  <c r="L1596" i="1"/>
  <c r="P1596" i="1" s="1"/>
  <c r="R1596" i="1" s="1"/>
  <c r="L1597" i="1"/>
  <c r="P1597" i="1" s="1"/>
  <c r="R1597" i="1" s="1"/>
  <c r="L1598" i="1"/>
  <c r="P1598" i="1" s="1"/>
  <c r="R1598" i="1" s="1"/>
  <c r="L1599" i="1"/>
  <c r="P1599" i="1" s="1"/>
  <c r="R1599" i="1" s="1"/>
  <c r="L1600" i="1"/>
  <c r="P1600" i="1" s="1"/>
  <c r="R1600" i="1" s="1"/>
  <c r="L1601" i="1"/>
  <c r="P1601" i="1" s="1"/>
  <c r="R1601" i="1" s="1"/>
  <c r="L1602" i="1"/>
  <c r="P1602" i="1" s="1"/>
  <c r="R1602" i="1" s="1"/>
  <c r="L1603" i="1"/>
  <c r="P1603" i="1" s="1"/>
  <c r="R1603" i="1" s="1"/>
  <c r="L1604" i="1"/>
  <c r="P1604" i="1" s="1"/>
  <c r="R1604" i="1" s="1"/>
  <c r="L1605" i="1"/>
  <c r="P1605" i="1" s="1"/>
  <c r="R1605" i="1" s="1"/>
  <c r="L1606" i="1"/>
  <c r="P1606" i="1" s="1"/>
  <c r="R1606" i="1" s="1"/>
  <c r="L1607" i="1"/>
  <c r="P1607" i="1" s="1"/>
  <c r="R1607" i="1" s="1"/>
  <c r="L1608" i="1"/>
  <c r="P1608" i="1" s="1"/>
  <c r="R1608" i="1" s="1"/>
  <c r="L1609" i="1"/>
  <c r="P1609" i="1" s="1"/>
  <c r="R1609" i="1" s="1"/>
  <c r="L1610" i="1"/>
  <c r="P1610" i="1" s="1"/>
  <c r="R1610" i="1" s="1"/>
  <c r="L1611" i="1"/>
  <c r="P1611" i="1" s="1"/>
  <c r="R1611" i="1" s="1"/>
  <c r="L1612" i="1"/>
  <c r="P1612" i="1" s="1"/>
  <c r="R1612" i="1" s="1"/>
  <c r="L1613" i="1"/>
  <c r="P1613" i="1" s="1"/>
  <c r="R1613" i="1" s="1"/>
  <c r="L1614" i="1"/>
  <c r="P1614" i="1" s="1"/>
  <c r="R1614" i="1" s="1"/>
  <c r="L1615" i="1"/>
  <c r="P1615" i="1" s="1"/>
  <c r="R1615" i="1" s="1"/>
  <c r="L1616" i="1"/>
  <c r="P1616" i="1" s="1"/>
  <c r="R1616" i="1" s="1"/>
  <c r="L1617" i="1"/>
  <c r="P1617" i="1" s="1"/>
  <c r="R1617" i="1" s="1"/>
  <c r="L1618" i="1"/>
  <c r="P1618" i="1" s="1"/>
  <c r="R1618" i="1" s="1"/>
  <c r="L1619" i="1"/>
  <c r="P1619" i="1" s="1"/>
  <c r="R1619" i="1" s="1"/>
  <c r="L1620" i="1"/>
  <c r="P1620" i="1" s="1"/>
  <c r="R1620" i="1" s="1"/>
  <c r="L1621" i="1"/>
  <c r="P1621" i="1" s="1"/>
  <c r="R1621" i="1" s="1"/>
  <c r="L1622" i="1"/>
  <c r="P1622" i="1" s="1"/>
  <c r="R1622" i="1" s="1"/>
  <c r="L1623" i="1"/>
  <c r="P1623" i="1" s="1"/>
  <c r="R1623" i="1" s="1"/>
  <c r="L1624" i="1"/>
  <c r="P1624" i="1" s="1"/>
  <c r="R1624" i="1" s="1"/>
  <c r="L1625" i="1"/>
  <c r="P1625" i="1" s="1"/>
  <c r="R1625" i="1" s="1"/>
  <c r="L1626" i="1"/>
  <c r="P1626" i="1" s="1"/>
  <c r="R1626" i="1" s="1"/>
  <c r="L1627" i="1"/>
  <c r="P1627" i="1" s="1"/>
  <c r="R1627" i="1" s="1"/>
  <c r="L1628" i="1"/>
  <c r="P1628" i="1" s="1"/>
  <c r="R1628" i="1" s="1"/>
  <c r="L1629" i="1"/>
  <c r="P1629" i="1" s="1"/>
  <c r="R1629" i="1" s="1"/>
  <c r="L1630" i="1"/>
  <c r="P1630" i="1" s="1"/>
  <c r="R1630" i="1" s="1"/>
  <c r="L1631" i="1"/>
  <c r="P1631" i="1" s="1"/>
  <c r="R1631" i="1" s="1"/>
  <c r="L1632" i="1"/>
  <c r="P1632" i="1" s="1"/>
  <c r="R1632" i="1" s="1"/>
  <c r="L1633" i="1"/>
  <c r="P1633" i="1" s="1"/>
  <c r="R1633" i="1" s="1"/>
  <c r="L1634" i="1"/>
  <c r="P1634" i="1" s="1"/>
  <c r="R1634" i="1" s="1"/>
  <c r="L1635" i="1"/>
  <c r="P1635" i="1" s="1"/>
  <c r="R1635" i="1" s="1"/>
  <c r="L1636" i="1"/>
  <c r="P1636" i="1" s="1"/>
  <c r="R1636" i="1" s="1"/>
  <c r="L1637" i="1"/>
  <c r="P1637" i="1" s="1"/>
  <c r="R1637" i="1" s="1"/>
  <c r="L1638" i="1"/>
  <c r="P1638" i="1" s="1"/>
  <c r="R1638" i="1" s="1"/>
  <c r="L1639" i="1"/>
  <c r="P1639" i="1" s="1"/>
  <c r="R1639" i="1" s="1"/>
  <c r="L1640" i="1"/>
  <c r="P1640" i="1" s="1"/>
  <c r="L1641" i="1"/>
  <c r="P1641" i="1" s="1"/>
  <c r="R1641" i="1" s="1"/>
  <c r="L1642" i="1"/>
  <c r="P1642" i="1" s="1"/>
  <c r="R1642" i="1" s="1"/>
  <c r="L1643" i="1"/>
  <c r="P1643" i="1" s="1"/>
  <c r="L1644" i="1"/>
  <c r="P1644" i="1" s="1"/>
  <c r="R1644" i="1" s="1"/>
  <c r="L1645" i="1"/>
  <c r="P1645" i="1" s="1"/>
  <c r="R1645" i="1" s="1"/>
  <c r="L1646" i="1"/>
  <c r="P1646" i="1" s="1"/>
  <c r="R1646" i="1" s="1"/>
  <c r="L1647" i="1"/>
  <c r="P1647" i="1" s="1"/>
  <c r="R1647" i="1" s="1"/>
  <c r="L1648" i="1"/>
  <c r="P1648" i="1" s="1"/>
  <c r="L1649" i="1"/>
  <c r="P1649" i="1" s="1"/>
  <c r="R1649" i="1" s="1"/>
  <c r="L1650" i="1"/>
  <c r="P1650" i="1" s="1"/>
  <c r="R1650" i="1" s="1"/>
  <c r="L1651" i="1"/>
  <c r="P1651" i="1" s="1"/>
  <c r="R1651" i="1" s="1"/>
  <c r="L1652" i="1"/>
  <c r="P1652" i="1" s="1"/>
  <c r="R1652" i="1" s="1"/>
  <c r="L1653" i="1"/>
  <c r="P1653" i="1" s="1"/>
  <c r="R1653" i="1" s="1"/>
  <c r="L1654" i="1"/>
  <c r="P1654" i="1" s="1"/>
  <c r="R1654" i="1" s="1"/>
  <c r="L1655" i="1"/>
  <c r="P1655" i="1" s="1"/>
  <c r="R1655" i="1" s="1"/>
  <c r="L1656" i="1"/>
  <c r="P1656" i="1" s="1"/>
  <c r="R1656" i="1" s="1"/>
  <c r="L1657" i="1"/>
  <c r="P1657" i="1" s="1"/>
  <c r="L1658" i="1"/>
  <c r="P1658" i="1" s="1"/>
  <c r="R1658" i="1" s="1"/>
  <c r="L1659" i="1"/>
  <c r="P1659" i="1" s="1"/>
  <c r="R1659" i="1" s="1"/>
  <c r="L1660" i="1"/>
  <c r="P1660" i="1" s="1"/>
  <c r="R1660" i="1" s="1"/>
  <c r="L1661" i="1"/>
  <c r="P1661" i="1" s="1"/>
  <c r="R1661" i="1" s="1"/>
  <c r="L1662" i="1"/>
  <c r="P1662" i="1" s="1"/>
  <c r="R1662" i="1" s="1"/>
  <c r="L1663" i="1"/>
  <c r="P1663" i="1" s="1"/>
  <c r="R1663" i="1" s="1"/>
  <c r="L1664" i="1"/>
  <c r="P1664" i="1" s="1"/>
  <c r="L1665" i="1"/>
  <c r="P1665" i="1" s="1"/>
  <c r="R1665" i="1" s="1"/>
  <c r="L1666" i="1"/>
  <c r="P1666" i="1" s="1"/>
  <c r="R1666" i="1" s="1"/>
  <c r="L1667" i="1"/>
  <c r="P1667" i="1" s="1"/>
  <c r="R1667" i="1" s="1"/>
  <c r="L1668" i="1"/>
  <c r="P1668" i="1" s="1"/>
  <c r="R1668" i="1" s="1"/>
  <c r="L1669" i="1"/>
  <c r="P1669" i="1" s="1"/>
  <c r="R1669" i="1" s="1"/>
  <c r="L1670" i="1"/>
  <c r="P1670" i="1" s="1"/>
  <c r="R1670" i="1" s="1"/>
  <c r="L1671" i="1"/>
  <c r="P1671" i="1" s="1"/>
  <c r="R1671" i="1" s="1"/>
  <c r="L1672" i="1"/>
  <c r="P1672" i="1" s="1"/>
  <c r="R1672" i="1" s="1"/>
  <c r="L1673" i="1"/>
  <c r="P1673" i="1" s="1"/>
  <c r="R1673" i="1" s="1"/>
  <c r="L1674" i="1"/>
  <c r="P1674" i="1" s="1"/>
  <c r="R1674" i="1" s="1"/>
  <c r="L1675" i="1"/>
  <c r="P1675" i="1" s="1"/>
  <c r="L1676" i="1"/>
  <c r="P1676" i="1" s="1"/>
  <c r="R1676" i="1" s="1"/>
  <c r="L1677" i="1"/>
  <c r="P1677" i="1" s="1"/>
  <c r="R1677" i="1" s="1"/>
  <c r="L1678" i="1"/>
  <c r="P1678" i="1" s="1"/>
  <c r="R1678" i="1" s="1"/>
  <c r="L1679" i="1"/>
  <c r="P1679" i="1" s="1"/>
  <c r="R1679" i="1" s="1"/>
  <c r="L1680" i="1"/>
  <c r="P1680" i="1" s="1"/>
  <c r="R1680" i="1" s="1"/>
  <c r="L1681" i="1"/>
  <c r="P1681" i="1" s="1"/>
  <c r="R1681" i="1" s="1"/>
  <c r="L1682" i="1"/>
  <c r="P1682" i="1" s="1"/>
  <c r="R1682" i="1" s="1"/>
  <c r="L1683" i="1"/>
  <c r="P1683" i="1" s="1"/>
  <c r="R1683" i="1" s="1"/>
  <c r="L1684" i="1"/>
  <c r="P1684" i="1" s="1"/>
  <c r="R1684" i="1" s="1"/>
  <c r="L1685" i="1"/>
  <c r="P1685" i="1" s="1"/>
  <c r="R1685" i="1" s="1"/>
  <c r="L1686" i="1"/>
  <c r="P1686" i="1" s="1"/>
  <c r="R1686" i="1" s="1"/>
  <c r="L1687" i="1"/>
  <c r="P1687" i="1" s="1"/>
  <c r="L1688" i="1"/>
  <c r="P1688" i="1" s="1"/>
  <c r="R1688" i="1" s="1"/>
  <c r="L1689" i="1"/>
  <c r="P1689" i="1" s="1"/>
  <c r="R1689" i="1" s="1"/>
  <c r="L1690" i="1"/>
  <c r="P1690" i="1" s="1"/>
  <c r="R1690" i="1" s="1"/>
  <c r="L1691" i="1"/>
  <c r="P1691" i="1" s="1"/>
  <c r="R1691" i="1" s="1"/>
  <c r="L1692" i="1"/>
  <c r="P1692" i="1" s="1"/>
  <c r="R1692" i="1" s="1"/>
  <c r="L1693" i="1"/>
  <c r="P1693" i="1" s="1"/>
  <c r="R1693" i="1" s="1"/>
  <c r="L1694" i="1"/>
  <c r="P1694" i="1" s="1"/>
  <c r="R1694" i="1" s="1"/>
  <c r="L1695" i="1"/>
  <c r="P1695" i="1" s="1"/>
  <c r="R1695" i="1" s="1"/>
  <c r="L1696" i="1"/>
  <c r="P1696" i="1" s="1"/>
  <c r="R1696" i="1" s="1"/>
  <c r="L1697" i="1"/>
  <c r="P1697" i="1" s="1"/>
  <c r="R1697" i="1" s="1"/>
  <c r="L1698" i="1"/>
  <c r="P1698" i="1" s="1"/>
  <c r="R1698" i="1" s="1"/>
  <c r="L1699" i="1"/>
  <c r="P1699" i="1" s="1"/>
  <c r="L1700" i="1"/>
  <c r="P1700" i="1" s="1"/>
  <c r="R1700" i="1" s="1"/>
  <c r="L1701" i="1"/>
  <c r="P1701" i="1" s="1"/>
  <c r="R1701" i="1" s="1"/>
  <c r="L1702" i="1"/>
  <c r="P1702" i="1" s="1"/>
  <c r="R1702" i="1" s="1"/>
  <c r="L1703" i="1"/>
  <c r="P1703" i="1" s="1"/>
  <c r="R1703" i="1" s="1"/>
  <c r="L1704" i="1"/>
  <c r="P1704" i="1" s="1"/>
  <c r="R1704" i="1" s="1"/>
  <c r="L1705" i="1"/>
  <c r="P1705" i="1" s="1"/>
  <c r="R1705" i="1" s="1"/>
  <c r="L1706" i="1"/>
  <c r="P1706" i="1" s="1"/>
  <c r="R1706" i="1" s="1"/>
  <c r="L1707" i="1"/>
  <c r="P1707" i="1" s="1"/>
  <c r="R1707" i="1" s="1"/>
  <c r="L1708" i="1"/>
  <c r="P1708" i="1" s="1"/>
  <c r="R1708" i="1" s="1"/>
  <c r="L1709" i="1"/>
  <c r="P1709" i="1" s="1"/>
  <c r="R1709" i="1" s="1"/>
  <c r="L1710" i="1"/>
  <c r="P1710" i="1" s="1"/>
  <c r="R1710" i="1" s="1"/>
  <c r="L1711" i="1"/>
  <c r="P1711" i="1" s="1"/>
  <c r="R1711" i="1" s="1"/>
  <c r="L1712" i="1"/>
  <c r="P1712" i="1" s="1"/>
  <c r="R1712" i="1" s="1"/>
  <c r="L1713" i="1"/>
  <c r="P1713" i="1" s="1"/>
  <c r="R1713" i="1" s="1"/>
  <c r="L1714" i="1"/>
  <c r="P1714" i="1" s="1"/>
  <c r="R1714" i="1" s="1"/>
  <c r="L1715" i="1"/>
  <c r="P1715" i="1" s="1"/>
  <c r="R1715" i="1" s="1"/>
  <c r="L1716" i="1"/>
  <c r="P1716" i="1" s="1"/>
  <c r="R1716" i="1" s="1"/>
  <c r="L1717" i="1"/>
  <c r="P1717" i="1" s="1"/>
  <c r="R1717" i="1" s="1"/>
  <c r="L1718" i="1"/>
  <c r="P1718" i="1" s="1"/>
  <c r="R1718" i="1" s="1"/>
  <c r="L1719" i="1"/>
  <c r="P1719" i="1" s="1"/>
  <c r="R1719" i="1" s="1"/>
  <c r="L1720" i="1"/>
  <c r="P1720" i="1" s="1"/>
  <c r="R1720" i="1" s="1"/>
  <c r="L1721" i="1"/>
  <c r="P1721" i="1" s="1"/>
  <c r="R1721" i="1" s="1"/>
  <c r="L1722" i="1"/>
  <c r="P1722" i="1" s="1"/>
  <c r="R1722" i="1" s="1"/>
  <c r="L1723" i="1"/>
  <c r="P1723" i="1" s="1"/>
  <c r="R1723" i="1" s="1"/>
  <c r="L1724" i="1"/>
  <c r="P1724" i="1" s="1"/>
  <c r="R1724" i="1" s="1"/>
  <c r="L1725" i="1"/>
  <c r="P1725" i="1" s="1"/>
  <c r="R1725" i="1" s="1"/>
  <c r="L1726" i="1"/>
  <c r="P1726" i="1" s="1"/>
  <c r="R1726" i="1" s="1"/>
  <c r="L1727" i="1"/>
  <c r="P1727" i="1" s="1"/>
  <c r="R1727" i="1" s="1"/>
  <c r="L1728" i="1"/>
  <c r="P1728" i="1" s="1"/>
  <c r="L1729" i="1"/>
  <c r="P1729" i="1" s="1"/>
  <c r="R1729" i="1" s="1"/>
  <c r="L1730" i="1"/>
  <c r="P1730" i="1" s="1"/>
  <c r="R1730" i="1" s="1"/>
  <c r="L1731" i="1"/>
  <c r="P1731" i="1" s="1"/>
  <c r="R1731" i="1" s="1"/>
  <c r="L1732" i="1"/>
  <c r="P1732" i="1" s="1"/>
  <c r="R1732" i="1" s="1"/>
  <c r="L1733" i="1"/>
  <c r="P1733" i="1" s="1"/>
  <c r="R1733" i="1" s="1"/>
  <c r="L1734" i="1"/>
  <c r="P1734" i="1" s="1"/>
  <c r="R1734" i="1" s="1"/>
  <c r="L1735" i="1"/>
  <c r="P1735" i="1" s="1"/>
  <c r="R1735" i="1" s="1"/>
  <c r="L1736" i="1"/>
  <c r="P1736" i="1" s="1"/>
  <c r="L1737" i="1"/>
  <c r="P1737" i="1" s="1"/>
  <c r="R1737" i="1" s="1"/>
  <c r="L1738" i="1"/>
  <c r="P1738" i="1" s="1"/>
  <c r="R1738" i="1" s="1"/>
  <c r="L1739" i="1"/>
  <c r="P1739" i="1" s="1"/>
  <c r="R1739" i="1" s="1"/>
  <c r="L1740" i="1"/>
  <c r="P1740" i="1" s="1"/>
  <c r="R1740" i="1" s="1"/>
  <c r="L1741" i="1"/>
  <c r="P1741" i="1" s="1"/>
  <c r="R1741" i="1" s="1"/>
  <c r="L1742" i="1"/>
  <c r="P1742" i="1" s="1"/>
  <c r="R1742" i="1" s="1"/>
  <c r="L1743" i="1"/>
  <c r="P1743" i="1" s="1"/>
  <c r="R1743" i="1" s="1"/>
  <c r="L1744" i="1"/>
  <c r="P1744" i="1" s="1"/>
  <c r="R1744" i="1" s="1"/>
  <c r="L1745" i="1"/>
  <c r="P1745" i="1" s="1"/>
  <c r="R1745" i="1" s="1"/>
  <c r="L1746" i="1"/>
  <c r="P1746" i="1" s="1"/>
  <c r="R1746" i="1" s="1"/>
  <c r="L1747" i="1"/>
  <c r="P1747" i="1" s="1"/>
  <c r="R1747" i="1" s="1"/>
  <c r="L1748" i="1"/>
  <c r="P1748" i="1" s="1"/>
  <c r="R1748" i="1" s="1"/>
  <c r="L1749" i="1"/>
  <c r="P1749" i="1" s="1"/>
  <c r="R1749" i="1" s="1"/>
  <c r="L1750" i="1"/>
  <c r="P1750" i="1" s="1"/>
  <c r="R1750" i="1" s="1"/>
  <c r="L1751" i="1"/>
  <c r="P1751" i="1" s="1"/>
  <c r="R1751" i="1" s="1"/>
  <c r="L1752" i="1"/>
  <c r="P1752" i="1" s="1"/>
  <c r="R1752" i="1" s="1"/>
  <c r="L1753" i="1"/>
  <c r="P1753" i="1" s="1"/>
  <c r="R1753" i="1" s="1"/>
  <c r="L1754" i="1"/>
  <c r="P1754" i="1" s="1"/>
  <c r="R1754" i="1" s="1"/>
  <c r="L1755" i="1"/>
  <c r="P1755" i="1" s="1"/>
  <c r="R1755" i="1" s="1"/>
  <c r="L1756" i="1"/>
  <c r="P1756" i="1" s="1"/>
  <c r="R1756" i="1" s="1"/>
  <c r="L1757" i="1"/>
  <c r="P1757" i="1" s="1"/>
  <c r="R1757" i="1" s="1"/>
  <c r="L1758" i="1"/>
  <c r="P1758" i="1" s="1"/>
  <c r="R1758" i="1" s="1"/>
  <c r="L1759" i="1"/>
  <c r="P1759" i="1" s="1"/>
  <c r="R1759" i="1" s="1"/>
  <c r="L1760" i="1"/>
  <c r="P1760" i="1" s="1"/>
  <c r="R1760" i="1" s="1"/>
  <c r="L1761" i="1"/>
  <c r="P1761" i="1" s="1"/>
  <c r="R1761" i="1" s="1"/>
  <c r="L1762" i="1"/>
  <c r="P1762" i="1" s="1"/>
  <c r="R1762" i="1" s="1"/>
  <c r="L1763" i="1"/>
  <c r="P1763" i="1" s="1"/>
  <c r="R1763" i="1" s="1"/>
  <c r="L1764" i="1"/>
  <c r="P1764" i="1" s="1"/>
  <c r="R1764" i="1" s="1"/>
  <c r="L1765" i="1"/>
  <c r="P1765" i="1" s="1"/>
  <c r="R1765" i="1" s="1"/>
  <c r="L1766" i="1"/>
  <c r="P1766" i="1" s="1"/>
  <c r="R1766" i="1" s="1"/>
  <c r="L1767" i="1"/>
  <c r="P1767" i="1" s="1"/>
  <c r="R1767" i="1" s="1"/>
  <c r="L1768" i="1"/>
  <c r="P1768" i="1" s="1"/>
  <c r="R1768" i="1" s="1"/>
  <c r="L1769" i="1"/>
  <c r="P1769" i="1" s="1"/>
  <c r="R1769" i="1" s="1"/>
  <c r="L1770" i="1"/>
  <c r="P1770" i="1" s="1"/>
  <c r="R1770" i="1" s="1"/>
  <c r="L1771" i="1"/>
  <c r="P1771" i="1" s="1"/>
  <c r="R1771" i="1" s="1"/>
  <c r="L1772" i="1"/>
  <c r="P1772" i="1" s="1"/>
  <c r="R1772" i="1" s="1"/>
  <c r="L1773" i="1"/>
  <c r="P1773" i="1" s="1"/>
  <c r="R1773" i="1" s="1"/>
  <c r="L1774" i="1"/>
  <c r="P1774" i="1" s="1"/>
  <c r="R1774" i="1" s="1"/>
  <c r="L1775" i="1"/>
  <c r="P1775" i="1" s="1"/>
  <c r="R1775" i="1" s="1"/>
  <c r="L1776" i="1"/>
  <c r="P1776" i="1" s="1"/>
  <c r="L1777" i="1"/>
  <c r="P1777" i="1" s="1"/>
  <c r="R1777" i="1" s="1"/>
  <c r="L1778" i="1"/>
  <c r="P1778" i="1" s="1"/>
  <c r="R1778" i="1" s="1"/>
  <c r="L1779" i="1"/>
  <c r="P1779" i="1" s="1"/>
  <c r="R1779" i="1" s="1"/>
  <c r="L1780" i="1"/>
  <c r="P1780" i="1" s="1"/>
  <c r="R1780" i="1" s="1"/>
  <c r="L1781" i="1"/>
  <c r="P1781" i="1" s="1"/>
  <c r="R1781" i="1" s="1"/>
  <c r="L1782" i="1"/>
  <c r="P1782" i="1" s="1"/>
  <c r="R1782" i="1" s="1"/>
  <c r="L1783" i="1"/>
  <c r="P1783" i="1" s="1"/>
  <c r="R1783" i="1" s="1"/>
  <c r="L1784" i="1"/>
  <c r="P1784" i="1" s="1"/>
  <c r="R1784" i="1" s="1"/>
  <c r="L1785" i="1"/>
  <c r="P1785" i="1" s="1"/>
  <c r="R1785" i="1" s="1"/>
  <c r="L1786" i="1"/>
  <c r="P1786" i="1" s="1"/>
  <c r="R1786" i="1" s="1"/>
  <c r="L1787" i="1"/>
  <c r="P1787" i="1" s="1"/>
  <c r="R1787" i="1" s="1"/>
  <c r="L1788" i="1"/>
  <c r="P1788" i="1" s="1"/>
  <c r="R1788" i="1" s="1"/>
  <c r="L1789" i="1"/>
  <c r="P1789" i="1" s="1"/>
  <c r="R1789" i="1" s="1"/>
  <c r="L1790" i="1"/>
  <c r="P1790" i="1" s="1"/>
  <c r="R1790" i="1" s="1"/>
  <c r="L1791" i="1"/>
  <c r="P1791" i="1" s="1"/>
  <c r="R1791" i="1" s="1"/>
  <c r="L1792" i="1"/>
  <c r="P1792" i="1" s="1"/>
  <c r="R1792" i="1" s="1"/>
  <c r="L1793" i="1"/>
  <c r="P1793" i="1" s="1"/>
  <c r="R1793" i="1" s="1"/>
  <c r="L1794" i="1"/>
  <c r="P1794" i="1" s="1"/>
  <c r="R1794" i="1" s="1"/>
  <c r="L1795" i="1"/>
  <c r="P1795" i="1" s="1"/>
  <c r="R1795" i="1" s="1"/>
  <c r="L1796" i="1"/>
  <c r="P1796" i="1" s="1"/>
  <c r="R1796" i="1" s="1"/>
  <c r="L1797" i="1"/>
  <c r="P1797" i="1" s="1"/>
  <c r="R1797" i="1" s="1"/>
  <c r="L1798" i="1"/>
  <c r="P1798" i="1" s="1"/>
  <c r="R1798" i="1" s="1"/>
  <c r="L1799" i="1"/>
  <c r="P1799" i="1" s="1"/>
  <c r="R1799" i="1" s="1"/>
  <c r="L1800" i="1"/>
  <c r="P1800" i="1" s="1"/>
  <c r="R1800" i="1" s="1"/>
  <c r="L1801" i="1"/>
  <c r="P1801" i="1" s="1"/>
  <c r="R1801" i="1" s="1"/>
  <c r="L1802" i="1"/>
  <c r="P1802" i="1" s="1"/>
  <c r="R1802" i="1" s="1"/>
  <c r="L1803" i="1"/>
  <c r="P1803" i="1" s="1"/>
  <c r="L1804" i="1"/>
  <c r="P1804" i="1" s="1"/>
  <c r="R1804" i="1" s="1"/>
  <c r="L1805" i="1"/>
  <c r="P1805" i="1" s="1"/>
  <c r="R1805" i="1" s="1"/>
  <c r="L1806" i="1"/>
  <c r="P1806" i="1" s="1"/>
  <c r="R1806" i="1" s="1"/>
  <c r="L1807" i="1"/>
  <c r="P1807" i="1" s="1"/>
  <c r="R1807" i="1" s="1"/>
  <c r="L1808" i="1"/>
  <c r="P1808" i="1" s="1"/>
  <c r="R1808" i="1" s="1"/>
  <c r="L1809" i="1"/>
  <c r="P1809" i="1" s="1"/>
  <c r="R1809" i="1" s="1"/>
  <c r="L1810" i="1"/>
  <c r="P1810" i="1" s="1"/>
  <c r="R1810" i="1" s="1"/>
  <c r="L1811" i="1"/>
  <c r="P1811" i="1" s="1"/>
  <c r="R1811" i="1" s="1"/>
  <c r="L1812" i="1"/>
  <c r="P1812" i="1" s="1"/>
  <c r="R1812" i="1" s="1"/>
  <c r="L1813" i="1"/>
  <c r="P1813" i="1" s="1"/>
  <c r="R1813" i="1" s="1"/>
  <c r="L1814" i="1"/>
  <c r="P1814" i="1" s="1"/>
  <c r="R1814" i="1" s="1"/>
  <c r="L1815" i="1"/>
  <c r="P1815" i="1" s="1"/>
  <c r="R1815" i="1" s="1"/>
  <c r="L1816" i="1"/>
  <c r="P1816" i="1" s="1"/>
  <c r="R1816" i="1" s="1"/>
  <c r="L1817" i="1"/>
  <c r="P1817" i="1" s="1"/>
  <c r="R1817" i="1" s="1"/>
  <c r="L1818" i="1"/>
  <c r="P1818" i="1" s="1"/>
  <c r="R1818" i="1" s="1"/>
  <c r="L1819" i="1"/>
  <c r="P1819" i="1" s="1"/>
  <c r="R1819" i="1" s="1"/>
  <c r="L1820" i="1"/>
  <c r="P1820" i="1" s="1"/>
  <c r="R1820" i="1" s="1"/>
  <c r="L1821" i="1"/>
  <c r="P1821" i="1" s="1"/>
  <c r="R1821" i="1" s="1"/>
  <c r="L1822" i="1"/>
  <c r="P1822" i="1" s="1"/>
  <c r="R1822" i="1" s="1"/>
  <c r="L1823" i="1"/>
  <c r="P1823" i="1" s="1"/>
  <c r="R1823" i="1" s="1"/>
  <c r="L1824" i="1"/>
  <c r="P1824" i="1" s="1"/>
  <c r="R1824" i="1" s="1"/>
  <c r="L1825" i="1"/>
  <c r="P1825" i="1" s="1"/>
  <c r="R1825" i="1" s="1"/>
  <c r="L1826" i="1"/>
  <c r="P1826" i="1" s="1"/>
  <c r="R1826" i="1" s="1"/>
  <c r="L1827" i="1"/>
  <c r="P1827" i="1" s="1"/>
  <c r="R1827" i="1" s="1"/>
  <c r="L1828" i="1"/>
  <c r="P1828" i="1" s="1"/>
  <c r="R1828" i="1" s="1"/>
  <c r="L1829" i="1"/>
  <c r="P1829" i="1" s="1"/>
  <c r="R1829" i="1" s="1"/>
  <c r="L1830" i="1"/>
  <c r="P1830" i="1" s="1"/>
  <c r="R1830" i="1" s="1"/>
  <c r="L1831" i="1"/>
  <c r="P1831" i="1" s="1"/>
  <c r="R1831" i="1" s="1"/>
  <c r="L1832" i="1"/>
  <c r="P1832" i="1" s="1"/>
  <c r="R1832" i="1" s="1"/>
  <c r="L1833" i="1"/>
  <c r="P1833" i="1" s="1"/>
  <c r="R1833" i="1" s="1"/>
  <c r="L1834" i="1"/>
  <c r="P1834" i="1" s="1"/>
  <c r="R1834" i="1" s="1"/>
  <c r="L1835" i="1"/>
  <c r="P1835" i="1" s="1"/>
  <c r="R1835" i="1" s="1"/>
  <c r="L1836" i="1"/>
  <c r="P1836" i="1" s="1"/>
  <c r="R1836" i="1" s="1"/>
  <c r="L1837" i="1"/>
  <c r="P1837" i="1" s="1"/>
  <c r="R1837" i="1" s="1"/>
  <c r="L1838" i="1"/>
  <c r="P1838" i="1" s="1"/>
  <c r="R1838" i="1" s="1"/>
  <c r="L1839" i="1"/>
  <c r="P1839" i="1" s="1"/>
  <c r="R1839" i="1" s="1"/>
  <c r="L1840" i="1"/>
  <c r="P1840" i="1" s="1"/>
  <c r="R1840" i="1" s="1"/>
  <c r="L1841" i="1"/>
  <c r="P1841" i="1" s="1"/>
  <c r="R1841" i="1" s="1"/>
  <c r="L1842" i="1"/>
  <c r="P1842" i="1" s="1"/>
  <c r="R1842" i="1" s="1"/>
  <c r="L1843" i="1"/>
  <c r="P1843" i="1" s="1"/>
  <c r="R1843" i="1" s="1"/>
  <c r="L1844" i="1"/>
  <c r="P1844" i="1" s="1"/>
  <c r="R1844" i="1" s="1"/>
  <c r="L1845" i="1"/>
  <c r="P1845" i="1" s="1"/>
  <c r="R1845" i="1" s="1"/>
  <c r="L1846" i="1"/>
  <c r="P1846" i="1" s="1"/>
  <c r="R1846" i="1" s="1"/>
  <c r="L1847" i="1"/>
  <c r="P1847" i="1" s="1"/>
  <c r="R1847" i="1" s="1"/>
  <c r="L1848" i="1"/>
  <c r="P1848" i="1" s="1"/>
  <c r="R1848" i="1" s="1"/>
  <c r="L1849" i="1"/>
  <c r="P1849" i="1" s="1"/>
  <c r="R1849" i="1" s="1"/>
  <c r="L1850" i="1"/>
  <c r="P1850" i="1" s="1"/>
  <c r="R1850" i="1" s="1"/>
  <c r="L1851" i="1"/>
  <c r="P1851" i="1" s="1"/>
  <c r="R1851" i="1" s="1"/>
  <c r="L1852" i="1"/>
  <c r="P1852" i="1" s="1"/>
  <c r="R1852" i="1" s="1"/>
  <c r="L1853" i="1"/>
  <c r="P1853" i="1" s="1"/>
  <c r="R1853" i="1" s="1"/>
  <c r="L1854" i="1"/>
  <c r="P1854" i="1" s="1"/>
  <c r="R1854" i="1" s="1"/>
  <c r="L1855" i="1"/>
  <c r="P1855" i="1" s="1"/>
  <c r="R1855" i="1" s="1"/>
  <c r="L1856" i="1"/>
  <c r="P1856" i="1" s="1"/>
  <c r="R1856" i="1" s="1"/>
  <c r="L1857" i="1"/>
  <c r="P1857" i="1" s="1"/>
  <c r="R1857" i="1" s="1"/>
  <c r="L1858" i="1"/>
  <c r="P1858" i="1" s="1"/>
  <c r="R1858" i="1" s="1"/>
  <c r="L1859" i="1"/>
  <c r="P1859" i="1" s="1"/>
  <c r="R1859" i="1" s="1"/>
  <c r="L1860" i="1"/>
  <c r="P1860" i="1" s="1"/>
  <c r="R1860" i="1" s="1"/>
  <c r="L1861" i="1"/>
  <c r="P1861" i="1" s="1"/>
  <c r="R1861" i="1" s="1"/>
  <c r="L1862" i="1"/>
  <c r="P1862" i="1" s="1"/>
  <c r="R1862" i="1" s="1"/>
  <c r="L1863" i="1"/>
  <c r="P1863" i="1" s="1"/>
  <c r="R1863" i="1" s="1"/>
  <c r="L1864" i="1"/>
  <c r="P1864" i="1" s="1"/>
  <c r="R1864" i="1" s="1"/>
  <c r="L1865" i="1"/>
  <c r="P1865" i="1" s="1"/>
  <c r="R1865" i="1" s="1"/>
  <c r="L1866" i="1"/>
  <c r="P1866" i="1" s="1"/>
  <c r="R1866" i="1" s="1"/>
  <c r="L1867" i="1"/>
  <c r="P1867" i="1" s="1"/>
  <c r="R1867" i="1" s="1"/>
  <c r="L1868" i="1"/>
  <c r="P1868" i="1" s="1"/>
  <c r="R1868" i="1" s="1"/>
  <c r="L1869" i="1"/>
  <c r="P1869" i="1" s="1"/>
  <c r="R1869" i="1" s="1"/>
  <c r="L1870" i="1"/>
  <c r="P1870" i="1" s="1"/>
  <c r="R1870" i="1" s="1"/>
  <c r="L1871" i="1"/>
  <c r="P1871" i="1" s="1"/>
  <c r="R1871" i="1" s="1"/>
  <c r="L1872" i="1"/>
  <c r="P1872" i="1" s="1"/>
  <c r="R1872" i="1" s="1"/>
  <c r="L1873" i="1"/>
  <c r="P1873" i="1" s="1"/>
  <c r="R1873" i="1" s="1"/>
  <c r="L1874" i="1"/>
  <c r="P1874" i="1" s="1"/>
  <c r="R1874" i="1" s="1"/>
  <c r="L1875" i="1"/>
  <c r="P1875" i="1" s="1"/>
  <c r="L1876" i="1"/>
  <c r="P1876" i="1" s="1"/>
  <c r="R1876" i="1" s="1"/>
  <c r="L1877" i="1"/>
  <c r="P1877" i="1" s="1"/>
  <c r="R1877" i="1" s="1"/>
  <c r="L1878" i="1"/>
  <c r="P1878" i="1" s="1"/>
  <c r="R1878" i="1" s="1"/>
  <c r="L1879" i="1"/>
  <c r="P1879" i="1" s="1"/>
  <c r="R1879" i="1" s="1"/>
  <c r="L1880" i="1"/>
  <c r="P1880" i="1" s="1"/>
  <c r="R1880" i="1" s="1"/>
  <c r="L1881" i="1"/>
  <c r="P1881" i="1" s="1"/>
  <c r="R1881" i="1" s="1"/>
  <c r="L1882" i="1"/>
  <c r="P1882" i="1" s="1"/>
  <c r="R1882" i="1" s="1"/>
  <c r="L1883" i="1"/>
  <c r="P1883" i="1" s="1"/>
  <c r="L1884" i="1"/>
  <c r="P1884" i="1" s="1"/>
  <c r="R1884" i="1" s="1"/>
  <c r="L1885" i="1"/>
  <c r="P1885" i="1" s="1"/>
  <c r="R1885" i="1" s="1"/>
  <c r="L1886" i="1"/>
  <c r="P1886" i="1" s="1"/>
  <c r="R1886" i="1" s="1"/>
  <c r="L1887" i="1"/>
  <c r="P1887" i="1" s="1"/>
  <c r="R1887" i="1" s="1"/>
  <c r="L1888" i="1"/>
  <c r="P1888" i="1" s="1"/>
  <c r="R1888" i="1" s="1"/>
  <c r="L1889" i="1"/>
  <c r="P1889" i="1" s="1"/>
  <c r="R1889" i="1" s="1"/>
  <c r="L1890" i="1"/>
  <c r="P1890" i="1" s="1"/>
  <c r="R1890" i="1" s="1"/>
  <c r="L1891" i="1"/>
  <c r="P1891" i="1" s="1"/>
  <c r="R1891" i="1" s="1"/>
  <c r="L1892" i="1"/>
  <c r="P1892" i="1" s="1"/>
  <c r="R1892" i="1" s="1"/>
  <c r="L1893" i="1"/>
  <c r="P1893" i="1" s="1"/>
  <c r="R1893" i="1" s="1"/>
  <c r="L1894" i="1"/>
  <c r="P1894" i="1" s="1"/>
  <c r="R1894" i="1" s="1"/>
  <c r="L1895" i="1"/>
  <c r="P1895" i="1" s="1"/>
  <c r="R1895" i="1" s="1"/>
  <c r="L1896" i="1"/>
  <c r="P1896" i="1" s="1"/>
  <c r="R1896" i="1" s="1"/>
  <c r="L1897" i="1"/>
  <c r="P1897" i="1" s="1"/>
  <c r="R1897" i="1" s="1"/>
  <c r="L1898" i="1"/>
  <c r="P1898" i="1" s="1"/>
  <c r="R1898" i="1" s="1"/>
  <c r="L1899" i="1"/>
  <c r="P1899" i="1" s="1"/>
  <c r="R1899" i="1" s="1"/>
  <c r="L1900" i="1"/>
  <c r="P1900" i="1" s="1"/>
  <c r="R1900" i="1" s="1"/>
  <c r="L1901" i="1"/>
  <c r="P1901" i="1" s="1"/>
  <c r="R1901" i="1" s="1"/>
  <c r="L1902" i="1"/>
  <c r="P1902" i="1" s="1"/>
  <c r="R1902" i="1" s="1"/>
  <c r="L1903" i="1"/>
  <c r="P1903" i="1" s="1"/>
  <c r="R1903" i="1" s="1"/>
  <c r="L1904" i="1"/>
  <c r="P1904" i="1" s="1"/>
  <c r="R1904" i="1" s="1"/>
  <c r="L1905" i="1"/>
  <c r="P1905" i="1" s="1"/>
  <c r="L1906" i="1"/>
  <c r="P1906" i="1" s="1"/>
  <c r="R1906" i="1" s="1"/>
  <c r="L1907" i="1"/>
  <c r="P1907" i="1" s="1"/>
  <c r="R1907" i="1" s="1"/>
  <c r="L1908" i="1"/>
  <c r="P1908" i="1" s="1"/>
  <c r="R1908" i="1" s="1"/>
  <c r="L1909" i="1"/>
  <c r="P1909" i="1" s="1"/>
  <c r="R1909" i="1" s="1"/>
  <c r="L1910" i="1"/>
  <c r="P1910" i="1" s="1"/>
  <c r="R1910" i="1" s="1"/>
  <c r="L1911" i="1"/>
  <c r="P1911" i="1" s="1"/>
  <c r="R1911" i="1" s="1"/>
  <c r="L1912" i="1"/>
  <c r="P1912" i="1" s="1"/>
  <c r="R1912" i="1" s="1"/>
  <c r="L1913" i="1"/>
  <c r="P1913" i="1" s="1"/>
  <c r="R1913" i="1" s="1"/>
  <c r="L1914" i="1"/>
  <c r="P1914" i="1" s="1"/>
  <c r="R1914" i="1" s="1"/>
  <c r="L1915" i="1"/>
  <c r="P1915" i="1" s="1"/>
  <c r="R1915" i="1" s="1"/>
  <c r="L1916" i="1"/>
  <c r="P1916" i="1" s="1"/>
  <c r="L1917" i="1"/>
  <c r="P1917" i="1" s="1"/>
  <c r="R1917" i="1" s="1"/>
  <c r="L1918" i="1"/>
  <c r="P1918" i="1" s="1"/>
  <c r="R1918" i="1" s="1"/>
  <c r="L1919" i="1"/>
  <c r="P1919" i="1" s="1"/>
  <c r="R1919" i="1" s="1"/>
  <c r="L1920" i="1"/>
  <c r="P1920" i="1" s="1"/>
  <c r="R1920" i="1" s="1"/>
  <c r="L1921" i="1"/>
  <c r="P1921" i="1" s="1"/>
  <c r="R1921" i="1" s="1"/>
  <c r="L1922" i="1"/>
  <c r="P1922" i="1" s="1"/>
  <c r="R1922" i="1" s="1"/>
  <c r="L1923" i="1"/>
  <c r="P1923" i="1" s="1"/>
  <c r="R1923" i="1" s="1"/>
  <c r="L1924" i="1"/>
  <c r="P1924" i="1" s="1"/>
  <c r="R1924" i="1" s="1"/>
  <c r="L1925" i="1"/>
  <c r="P1925" i="1" s="1"/>
  <c r="R1925" i="1" s="1"/>
  <c r="L1926" i="1"/>
  <c r="P1926" i="1" s="1"/>
  <c r="R1926" i="1" s="1"/>
  <c r="L1927" i="1"/>
  <c r="P1927" i="1" s="1"/>
  <c r="R1927" i="1" s="1"/>
  <c r="L1928" i="1"/>
  <c r="P1928" i="1" s="1"/>
  <c r="R1928" i="1" s="1"/>
  <c r="L1929" i="1"/>
  <c r="P1929" i="1" s="1"/>
  <c r="R1929" i="1" s="1"/>
  <c r="L1930" i="1"/>
  <c r="P1930" i="1" s="1"/>
  <c r="R1930" i="1" s="1"/>
  <c r="L1931" i="1"/>
  <c r="P1931" i="1" s="1"/>
  <c r="R1931" i="1" s="1"/>
  <c r="L1932" i="1"/>
  <c r="P1932" i="1" s="1"/>
  <c r="R1932" i="1" s="1"/>
  <c r="L1933" i="1"/>
  <c r="P1933" i="1" s="1"/>
  <c r="R1933" i="1" s="1"/>
  <c r="L1934" i="1"/>
  <c r="P1934" i="1" s="1"/>
  <c r="R1934" i="1" s="1"/>
  <c r="L1935" i="1"/>
  <c r="P1935" i="1" s="1"/>
  <c r="R1935" i="1" s="1"/>
  <c r="L1936" i="1"/>
  <c r="P1936" i="1" s="1"/>
  <c r="R1936" i="1" s="1"/>
  <c r="L1937" i="1"/>
  <c r="P1937" i="1" s="1"/>
  <c r="R1937" i="1" s="1"/>
  <c r="L1938" i="1"/>
  <c r="P1938" i="1" s="1"/>
  <c r="R1938" i="1" s="1"/>
  <c r="L1939" i="1"/>
  <c r="P1939" i="1" s="1"/>
  <c r="R1939" i="1" s="1"/>
  <c r="L1940" i="1"/>
  <c r="P1940" i="1" s="1"/>
  <c r="R1940" i="1" s="1"/>
  <c r="L1941" i="1"/>
  <c r="P1941" i="1" s="1"/>
  <c r="R1941" i="1" s="1"/>
  <c r="L1942" i="1"/>
  <c r="P1942" i="1" s="1"/>
  <c r="R1942" i="1" s="1"/>
  <c r="L1943" i="1"/>
  <c r="P1943" i="1" s="1"/>
  <c r="R1943" i="1" s="1"/>
  <c r="L1944" i="1"/>
  <c r="P1944" i="1" s="1"/>
  <c r="R1944" i="1" s="1"/>
  <c r="L1945" i="1"/>
  <c r="P1945" i="1" s="1"/>
  <c r="R1945" i="1" s="1"/>
  <c r="L1946" i="1"/>
  <c r="P1946" i="1" s="1"/>
  <c r="R1946" i="1" s="1"/>
  <c r="L1947" i="1"/>
  <c r="P1947" i="1" s="1"/>
  <c r="R1947" i="1" s="1"/>
  <c r="L1948" i="1"/>
  <c r="P1948" i="1" s="1"/>
  <c r="R1948" i="1" s="1"/>
  <c r="L1949" i="1"/>
  <c r="P1949" i="1" s="1"/>
  <c r="R1949" i="1" s="1"/>
  <c r="L1950" i="1"/>
  <c r="P1950" i="1" s="1"/>
  <c r="R1950" i="1" s="1"/>
  <c r="L1951" i="1"/>
  <c r="P1951" i="1" s="1"/>
  <c r="R1951" i="1" s="1"/>
  <c r="L1952" i="1"/>
  <c r="P1952" i="1" s="1"/>
  <c r="R1952" i="1" s="1"/>
  <c r="L1953" i="1"/>
  <c r="P1953" i="1" s="1"/>
  <c r="R1953" i="1" s="1"/>
  <c r="L1954" i="1"/>
  <c r="P1954" i="1" s="1"/>
  <c r="R1954" i="1" s="1"/>
  <c r="L1955" i="1"/>
  <c r="P1955" i="1" s="1"/>
  <c r="R1955" i="1" s="1"/>
  <c r="L1956" i="1"/>
  <c r="P1956" i="1" s="1"/>
  <c r="R1956" i="1" s="1"/>
  <c r="L1957" i="1"/>
  <c r="P1957" i="1" s="1"/>
  <c r="L1958" i="1"/>
  <c r="P1958" i="1" s="1"/>
  <c r="R1958" i="1" s="1"/>
  <c r="L1959" i="1"/>
  <c r="P1959" i="1" s="1"/>
  <c r="R1959" i="1" s="1"/>
  <c r="L1960" i="1"/>
  <c r="P1960" i="1" s="1"/>
  <c r="R1960" i="1" s="1"/>
  <c r="L1961" i="1"/>
  <c r="P1961" i="1" s="1"/>
  <c r="R1961" i="1" s="1"/>
  <c r="L1962" i="1"/>
  <c r="P1962" i="1" s="1"/>
  <c r="R1962" i="1" s="1"/>
  <c r="L1963" i="1"/>
  <c r="P1963" i="1" s="1"/>
  <c r="R1963" i="1" s="1"/>
  <c r="L1964" i="1"/>
  <c r="P1964" i="1" s="1"/>
  <c r="R1964" i="1" s="1"/>
  <c r="L1965" i="1"/>
  <c r="P1965" i="1" s="1"/>
  <c r="R1965" i="1" s="1"/>
  <c r="L1966" i="1"/>
  <c r="P1966" i="1" s="1"/>
  <c r="L1967" i="1"/>
  <c r="P1967" i="1" s="1"/>
  <c r="R1967" i="1" s="1"/>
  <c r="L1968" i="1"/>
  <c r="P1968" i="1" s="1"/>
  <c r="R1968" i="1" s="1"/>
  <c r="L1969" i="1"/>
  <c r="P1969" i="1" s="1"/>
  <c r="R1969" i="1" s="1"/>
  <c r="L1970" i="1"/>
  <c r="P1970" i="1" s="1"/>
  <c r="L1971" i="1"/>
  <c r="P1971" i="1" s="1"/>
  <c r="R1971" i="1" s="1"/>
  <c r="L1972" i="1"/>
  <c r="P1972" i="1" s="1"/>
  <c r="R1972" i="1" s="1"/>
  <c r="L1973" i="1"/>
  <c r="P1973" i="1" s="1"/>
  <c r="R1973" i="1" s="1"/>
  <c r="L1974" i="1"/>
  <c r="P1974" i="1" s="1"/>
  <c r="R1974" i="1" s="1"/>
  <c r="L1975" i="1"/>
  <c r="P1975" i="1" s="1"/>
  <c r="R1975" i="1" s="1"/>
  <c r="L1976" i="1"/>
  <c r="P1976" i="1" s="1"/>
  <c r="R1976" i="1" s="1"/>
  <c r="L1977" i="1"/>
  <c r="P1977" i="1" s="1"/>
  <c r="R1977" i="1" s="1"/>
  <c r="L1978" i="1"/>
  <c r="P1978" i="1" s="1"/>
  <c r="R1978" i="1" s="1"/>
  <c r="L1979" i="1"/>
  <c r="P1979" i="1" s="1"/>
  <c r="R1979" i="1" s="1"/>
  <c r="L1980" i="1"/>
  <c r="P1980" i="1" s="1"/>
  <c r="R1980" i="1" s="1"/>
  <c r="L1981" i="1"/>
  <c r="P1981" i="1" s="1"/>
  <c r="R1981" i="1" s="1"/>
  <c r="L1982" i="1"/>
  <c r="P1982" i="1" s="1"/>
  <c r="R1982" i="1" s="1"/>
  <c r="L1983" i="1"/>
  <c r="P1983" i="1" s="1"/>
  <c r="R1983" i="1" s="1"/>
  <c r="L1984" i="1"/>
  <c r="P1984" i="1" s="1"/>
  <c r="R1984" i="1" s="1"/>
  <c r="L1985" i="1"/>
  <c r="P1985" i="1" s="1"/>
  <c r="R1985" i="1" s="1"/>
  <c r="L1986" i="1"/>
  <c r="P1986" i="1" s="1"/>
  <c r="R1986" i="1" s="1"/>
  <c r="L1987" i="1"/>
  <c r="P1987" i="1" s="1"/>
  <c r="R1987" i="1" s="1"/>
  <c r="L1988" i="1"/>
  <c r="P1988" i="1" s="1"/>
  <c r="R1988" i="1" s="1"/>
  <c r="L1989" i="1"/>
  <c r="P1989" i="1" s="1"/>
  <c r="R1989" i="1" s="1"/>
  <c r="L1990" i="1"/>
  <c r="P1990" i="1" s="1"/>
  <c r="R1990" i="1" s="1"/>
  <c r="L1991" i="1"/>
  <c r="P1991" i="1" s="1"/>
  <c r="R1991" i="1" s="1"/>
  <c r="L1992" i="1"/>
  <c r="P1992" i="1" s="1"/>
  <c r="R1992" i="1" s="1"/>
  <c r="L1993" i="1"/>
  <c r="P1993" i="1" s="1"/>
  <c r="R1993" i="1" s="1"/>
  <c r="L1994" i="1"/>
  <c r="P1994" i="1" s="1"/>
  <c r="R1994" i="1" s="1"/>
  <c r="L1995" i="1"/>
  <c r="P1995" i="1" s="1"/>
  <c r="R1995" i="1" s="1"/>
  <c r="L1996" i="1"/>
  <c r="P1996" i="1" s="1"/>
  <c r="R1996" i="1" s="1"/>
  <c r="L1997" i="1"/>
  <c r="P1997" i="1" s="1"/>
  <c r="R1997" i="1" s="1"/>
  <c r="L1998" i="1"/>
  <c r="P1998" i="1" s="1"/>
  <c r="R1998" i="1" s="1"/>
  <c r="L1999" i="1"/>
  <c r="P1999" i="1" s="1"/>
  <c r="R1999" i="1" s="1"/>
  <c r="L2000" i="1"/>
  <c r="P2000" i="1" s="1"/>
  <c r="R2000" i="1" s="1"/>
  <c r="L2001" i="1"/>
  <c r="P2001" i="1" s="1"/>
  <c r="R2001" i="1" s="1"/>
  <c r="L2002" i="1"/>
  <c r="P2002" i="1" s="1"/>
  <c r="R2002" i="1" s="1"/>
  <c r="L2003" i="1"/>
  <c r="P2003" i="1" s="1"/>
  <c r="R2003" i="1" s="1"/>
  <c r="L2004" i="1"/>
  <c r="P2004" i="1" s="1"/>
  <c r="R2004" i="1" s="1"/>
  <c r="L2005" i="1"/>
  <c r="P2005" i="1" s="1"/>
  <c r="R2005" i="1" s="1"/>
  <c r="L2006" i="1"/>
  <c r="P2006" i="1" s="1"/>
  <c r="R2006" i="1" s="1"/>
  <c r="L2007" i="1"/>
  <c r="P2007" i="1" s="1"/>
  <c r="R2007" i="1" s="1"/>
  <c r="L2008" i="1"/>
  <c r="P2008" i="1" s="1"/>
  <c r="R2008" i="1" s="1"/>
  <c r="L2009" i="1"/>
  <c r="P2009" i="1" s="1"/>
  <c r="R2009" i="1" s="1"/>
  <c r="L2010" i="1"/>
  <c r="P2010" i="1" s="1"/>
  <c r="R2010" i="1" s="1"/>
  <c r="L2011" i="1"/>
  <c r="P2011" i="1" s="1"/>
  <c r="R2011" i="1" s="1"/>
  <c r="L2012" i="1"/>
  <c r="P2012" i="1" s="1"/>
  <c r="R2012" i="1" s="1"/>
  <c r="L2013" i="1"/>
  <c r="P2013" i="1" s="1"/>
  <c r="R2013" i="1" s="1"/>
  <c r="L2014" i="1"/>
  <c r="P2014" i="1" s="1"/>
  <c r="R2014" i="1" s="1"/>
  <c r="L2015" i="1"/>
  <c r="P2015" i="1" s="1"/>
  <c r="R2015" i="1" s="1"/>
  <c r="L2016" i="1"/>
  <c r="P2016" i="1" s="1"/>
  <c r="R2016" i="1" s="1"/>
  <c r="L2017" i="1"/>
  <c r="P2017" i="1" s="1"/>
  <c r="R2017" i="1" s="1"/>
  <c r="L2018" i="1"/>
  <c r="P2018" i="1" s="1"/>
  <c r="R2018" i="1" s="1"/>
  <c r="L2019" i="1"/>
  <c r="P2019" i="1" s="1"/>
  <c r="R2019" i="1" s="1"/>
  <c r="L2020" i="1"/>
  <c r="P2020" i="1" s="1"/>
  <c r="R2020" i="1" s="1"/>
  <c r="L2021" i="1"/>
  <c r="P2021" i="1" s="1"/>
  <c r="R2021" i="1" s="1"/>
  <c r="L2022" i="1"/>
  <c r="P2022" i="1" s="1"/>
  <c r="R2022" i="1" s="1"/>
  <c r="L2023" i="1"/>
  <c r="P2023" i="1" s="1"/>
  <c r="R2023" i="1" s="1"/>
  <c r="L2024" i="1"/>
  <c r="P2024" i="1" s="1"/>
  <c r="R2024" i="1" s="1"/>
  <c r="L2025" i="1"/>
  <c r="P2025" i="1" s="1"/>
  <c r="R2025" i="1" s="1"/>
  <c r="L2026" i="1"/>
  <c r="P2026" i="1" s="1"/>
  <c r="R2026" i="1" s="1"/>
  <c r="L2027" i="1"/>
  <c r="P2027" i="1" s="1"/>
  <c r="L2028" i="1"/>
  <c r="P2028" i="1" s="1"/>
  <c r="R2028" i="1" s="1"/>
  <c r="L2029" i="1"/>
  <c r="P2029" i="1" s="1"/>
  <c r="R2029" i="1" s="1"/>
  <c r="L2030" i="1"/>
  <c r="P2030" i="1" s="1"/>
  <c r="R2030" i="1" s="1"/>
  <c r="L2031" i="1"/>
  <c r="P2031" i="1" s="1"/>
  <c r="R2031" i="1" s="1"/>
  <c r="L2032" i="1"/>
  <c r="P2032" i="1" s="1"/>
  <c r="R2032" i="1" s="1"/>
  <c r="L2033" i="1"/>
  <c r="P2033" i="1" s="1"/>
  <c r="R2033" i="1" s="1"/>
  <c r="L2034" i="1"/>
  <c r="P2034" i="1" s="1"/>
  <c r="R2034" i="1" s="1"/>
  <c r="L2035" i="1"/>
  <c r="P2035" i="1" s="1"/>
  <c r="R2035" i="1" s="1"/>
  <c r="L2036" i="1"/>
  <c r="P2036" i="1" s="1"/>
  <c r="R2036" i="1" s="1"/>
  <c r="L2037" i="1"/>
  <c r="P2037" i="1" s="1"/>
  <c r="R2037" i="1" s="1"/>
  <c r="L2038" i="1"/>
  <c r="P2038" i="1" s="1"/>
  <c r="R2038" i="1" s="1"/>
  <c r="L2039" i="1"/>
  <c r="P2039" i="1" s="1"/>
  <c r="R2039" i="1" s="1"/>
  <c r="L2040" i="1"/>
  <c r="P2040" i="1" s="1"/>
  <c r="R2040" i="1" s="1"/>
  <c r="L2041" i="1"/>
  <c r="P2041" i="1" s="1"/>
  <c r="R2041" i="1" s="1"/>
  <c r="L2042" i="1"/>
  <c r="P2042" i="1" s="1"/>
  <c r="R2042" i="1" s="1"/>
  <c r="L2043" i="1"/>
  <c r="P2043" i="1" s="1"/>
  <c r="R2043" i="1" s="1"/>
  <c r="L2044" i="1"/>
  <c r="P2044" i="1" s="1"/>
  <c r="R2044" i="1" s="1"/>
  <c r="L2045" i="1"/>
  <c r="P2045" i="1" s="1"/>
  <c r="R2045" i="1" s="1"/>
  <c r="L2046" i="1"/>
  <c r="P2046" i="1" s="1"/>
  <c r="R2046" i="1" s="1"/>
  <c r="L2047" i="1"/>
  <c r="P2047" i="1" s="1"/>
  <c r="L2048" i="1"/>
  <c r="P2048" i="1" s="1"/>
  <c r="R2048" i="1" s="1"/>
  <c r="L2049" i="1"/>
  <c r="P2049" i="1" s="1"/>
  <c r="R2049" i="1" s="1"/>
  <c r="L2050" i="1"/>
  <c r="P2050" i="1" s="1"/>
  <c r="R2050" i="1" s="1"/>
  <c r="L2051" i="1"/>
  <c r="P2051" i="1" s="1"/>
  <c r="R2051" i="1" s="1"/>
  <c r="L2052" i="1"/>
  <c r="P2052" i="1" s="1"/>
  <c r="R2052" i="1" s="1"/>
  <c r="L2053" i="1"/>
  <c r="P2053" i="1" s="1"/>
  <c r="R2053" i="1" s="1"/>
  <c r="L2054" i="1"/>
  <c r="P2054" i="1" s="1"/>
  <c r="R2054" i="1" s="1"/>
  <c r="L2055" i="1"/>
  <c r="P2055" i="1" s="1"/>
  <c r="R2055" i="1" s="1"/>
  <c r="L2056" i="1"/>
  <c r="P2056" i="1" s="1"/>
  <c r="R2056" i="1" s="1"/>
  <c r="L2057" i="1"/>
  <c r="P2057" i="1" s="1"/>
  <c r="R2057" i="1" s="1"/>
  <c r="L2058" i="1"/>
  <c r="P2058" i="1" s="1"/>
  <c r="R2058" i="1" s="1"/>
  <c r="L2059" i="1"/>
  <c r="P2059" i="1" s="1"/>
  <c r="R2059" i="1" s="1"/>
  <c r="L2060" i="1"/>
  <c r="P2060" i="1" s="1"/>
  <c r="R2060" i="1" s="1"/>
  <c r="L2061" i="1"/>
  <c r="P2061" i="1" s="1"/>
  <c r="R2061" i="1" s="1"/>
  <c r="L2062" i="1"/>
  <c r="P2062" i="1" s="1"/>
  <c r="R2062" i="1" s="1"/>
  <c r="L2063" i="1"/>
  <c r="P2063" i="1" s="1"/>
  <c r="R2063" i="1" s="1"/>
  <c r="L2064" i="1"/>
  <c r="P2064" i="1" s="1"/>
  <c r="R2064" i="1" s="1"/>
  <c r="L2065" i="1"/>
  <c r="P2065" i="1" s="1"/>
  <c r="R2065" i="1" s="1"/>
  <c r="L2066" i="1"/>
  <c r="P2066" i="1" s="1"/>
  <c r="L2067" i="1"/>
  <c r="P2067" i="1" s="1"/>
  <c r="R2067" i="1" s="1"/>
  <c r="L2068" i="1"/>
  <c r="P2068" i="1" s="1"/>
  <c r="R2068" i="1" s="1"/>
  <c r="L2069" i="1"/>
  <c r="P2069" i="1" s="1"/>
  <c r="R2069" i="1" s="1"/>
  <c r="L2070" i="1"/>
  <c r="P2070" i="1" s="1"/>
  <c r="R2070" i="1" s="1"/>
  <c r="L2071" i="1"/>
  <c r="P2071" i="1" s="1"/>
  <c r="L2072" i="1"/>
  <c r="P2072" i="1" s="1"/>
  <c r="R2072" i="1" s="1"/>
  <c r="L2073" i="1"/>
  <c r="P2073" i="1" s="1"/>
  <c r="R2073" i="1" s="1"/>
  <c r="L2074" i="1"/>
  <c r="P2074" i="1" s="1"/>
  <c r="R2074" i="1" s="1"/>
  <c r="L2075" i="1"/>
  <c r="P2075" i="1" s="1"/>
  <c r="R2075" i="1" s="1"/>
  <c r="L2076" i="1"/>
  <c r="P2076" i="1" s="1"/>
  <c r="R2076" i="1" s="1"/>
  <c r="L2077" i="1"/>
  <c r="P2077" i="1" s="1"/>
  <c r="R2077" i="1" s="1"/>
  <c r="L2078" i="1"/>
  <c r="P2078" i="1" s="1"/>
  <c r="R2078" i="1" s="1"/>
  <c r="L2079" i="1"/>
  <c r="P2079" i="1" s="1"/>
  <c r="L2080" i="1"/>
  <c r="P2080" i="1" s="1"/>
  <c r="R2080" i="1" s="1"/>
  <c r="L2081" i="1"/>
  <c r="P2081" i="1" s="1"/>
  <c r="R2081" i="1" s="1"/>
  <c r="L2082" i="1"/>
  <c r="P2082" i="1" s="1"/>
  <c r="R2082" i="1" s="1"/>
  <c r="L2083" i="1"/>
  <c r="P2083" i="1" s="1"/>
  <c r="R2083" i="1" s="1"/>
  <c r="L2084" i="1"/>
  <c r="P2084" i="1" s="1"/>
  <c r="R2084" i="1" s="1"/>
  <c r="L2085" i="1"/>
  <c r="P2085" i="1" s="1"/>
  <c r="R2085" i="1" s="1"/>
  <c r="L2086" i="1"/>
  <c r="P2086" i="1" s="1"/>
  <c r="R2086" i="1" s="1"/>
  <c r="L2087" i="1"/>
  <c r="P2087" i="1" s="1"/>
  <c r="R2087" i="1" s="1"/>
  <c r="L2088" i="1"/>
  <c r="P2088" i="1" s="1"/>
  <c r="R2088" i="1" s="1"/>
  <c r="L2089" i="1"/>
  <c r="P2089" i="1" s="1"/>
  <c r="R2089" i="1" s="1"/>
  <c r="L2090" i="1"/>
  <c r="P2090" i="1" s="1"/>
  <c r="R2090" i="1" s="1"/>
  <c r="L2091" i="1"/>
  <c r="P2091" i="1" s="1"/>
  <c r="R2091" i="1" s="1"/>
  <c r="L2092" i="1"/>
  <c r="P2092" i="1" s="1"/>
  <c r="R2092" i="1" s="1"/>
  <c r="L2093" i="1"/>
  <c r="P2093" i="1" s="1"/>
  <c r="R2093" i="1" s="1"/>
  <c r="L2094" i="1"/>
  <c r="P2094" i="1" s="1"/>
  <c r="R2094" i="1" s="1"/>
  <c r="L2095" i="1"/>
  <c r="P2095" i="1" s="1"/>
  <c r="R2095" i="1" s="1"/>
  <c r="L2096" i="1"/>
  <c r="P2096" i="1" s="1"/>
  <c r="L2097" i="1"/>
  <c r="P2097" i="1" s="1"/>
  <c r="R2097" i="1" s="1"/>
  <c r="L2098" i="1"/>
  <c r="P2098" i="1" s="1"/>
  <c r="R2098" i="1" s="1"/>
  <c r="L2099" i="1"/>
  <c r="P2099" i="1" s="1"/>
  <c r="R2099" i="1" s="1"/>
  <c r="L2100" i="1"/>
  <c r="P2100" i="1" s="1"/>
  <c r="R2100" i="1" s="1"/>
  <c r="L2101" i="1"/>
  <c r="P2101" i="1" s="1"/>
  <c r="R2101" i="1" s="1"/>
  <c r="L2102" i="1"/>
  <c r="P2102" i="1" s="1"/>
  <c r="R2102" i="1" s="1"/>
  <c r="L2103" i="1"/>
  <c r="P2103" i="1" s="1"/>
  <c r="R2103" i="1" s="1"/>
  <c r="L2104" i="1"/>
  <c r="P2104" i="1" s="1"/>
  <c r="R2104" i="1" s="1"/>
  <c r="L2105" i="1"/>
  <c r="P2105" i="1" s="1"/>
  <c r="R2105" i="1" s="1"/>
  <c r="L2106" i="1"/>
  <c r="P2106" i="1" s="1"/>
  <c r="R2106" i="1" s="1"/>
  <c r="L2107" i="1"/>
  <c r="P2107" i="1" s="1"/>
  <c r="R2107" i="1" s="1"/>
  <c r="L2108" i="1"/>
  <c r="P2108" i="1" s="1"/>
  <c r="R2108" i="1" s="1"/>
  <c r="L2109" i="1"/>
  <c r="P2109" i="1" s="1"/>
  <c r="R2109" i="1" s="1"/>
  <c r="L2110" i="1"/>
  <c r="P2110" i="1" s="1"/>
  <c r="R2110" i="1" s="1"/>
  <c r="L2111" i="1"/>
  <c r="P2111" i="1" s="1"/>
  <c r="R2111" i="1" s="1"/>
  <c r="L2112" i="1"/>
  <c r="P2112" i="1" s="1"/>
  <c r="R2112" i="1" s="1"/>
  <c r="L2113" i="1"/>
  <c r="P2113" i="1" s="1"/>
  <c r="R2113" i="1" s="1"/>
  <c r="L2114" i="1"/>
  <c r="P2114" i="1" s="1"/>
  <c r="R2114" i="1" s="1"/>
  <c r="L2115" i="1"/>
  <c r="P2115" i="1" s="1"/>
  <c r="R2115" i="1" s="1"/>
  <c r="L2116" i="1"/>
  <c r="P2116" i="1" s="1"/>
  <c r="R2116" i="1" s="1"/>
  <c r="L2117" i="1"/>
  <c r="P2117" i="1" s="1"/>
  <c r="R2117" i="1" s="1"/>
  <c r="L2118" i="1"/>
  <c r="P2118" i="1" s="1"/>
  <c r="R2118" i="1" s="1"/>
  <c r="L2119" i="1"/>
  <c r="P2119" i="1" s="1"/>
  <c r="R2119" i="1" s="1"/>
  <c r="L2120" i="1"/>
  <c r="P2120" i="1" s="1"/>
  <c r="R2120" i="1" s="1"/>
  <c r="L2121" i="1"/>
  <c r="P2121" i="1" s="1"/>
  <c r="R2121" i="1" s="1"/>
  <c r="L2122" i="1"/>
  <c r="P2122" i="1" s="1"/>
  <c r="R2122" i="1" s="1"/>
  <c r="L2123" i="1"/>
  <c r="P2123" i="1" s="1"/>
  <c r="R2123" i="1" s="1"/>
  <c r="L2124" i="1"/>
  <c r="P2124" i="1" s="1"/>
  <c r="R2124" i="1" s="1"/>
  <c r="L2125" i="1"/>
  <c r="P2125" i="1" s="1"/>
  <c r="R2125" i="1" s="1"/>
  <c r="L2126" i="1"/>
  <c r="P2126" i="1" s="1"/>
  <c r="R2126" i="1" s="1"/>
  <c r="L2127" i="1"/>
  <c r="P2127" i="1" s="1"/>
  <c r="R2127" i="1" s="1"/>
  <c r="L2128" i="1"/>
  <c r="P2128" i="1" s="1"/>
  <c r="R2128" i="1" s="1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5" i="5" l="1" a="1"/>
  <c r="K5" i="5" s="1"/>
  <c r="J5" i="5" a="1"/>
  <c r="J5" i="5" s="1"/>
  <c r="L6" i="9"/>
  <c r="C6" i="9"/>
  <c r="C13" i="9" s="1" a="1"/>
  <c r="C13" i="9" s="1"/>
  <c r="P776" i="1"/>
  <c r="N905" i="1"/>
  <c r="P905" i="1"/>
  <c r="R905" i="1" s="1"/>
  <c r="P769" i="1"/>
  <c r="R769" i="1" s="1"/>
  <c r="N795" i="1"/>
  <c r="P795" i="1"/>
  <c r="R795" i="1" s="1"/>
  <c r="N785" i="1"/>
  <c r="P785" i="1"/>
  <c r="R785" i="1" s="1"/>
  <c r="N775" i="1"/>
  <c r="P775" i="1"/>
  <c r="R775" i="1" s="1"/>
  <c r="N914" i="1"/>
  <c r="P914" i="1"/>
  <c r="R914" i="1" s="1"/>
  <c r="N904" i="1"/>
  <c r="P904" i="1"/>
  <c r="R904" i="1" s="1"/>
  <c r="N894" i="1"/>
  <c r="P894" i="1"/>
  <c r="R894" i="1" s="1"/>
  <c r="N794" i="1"/>
  <c r="P794" i="1"/>
  <c r="R794" i="1" s="1"/>
  <c r="N784" i="1"/>
  <c r="P784" i="1"/>
  <c r="R784" i="1" s="1"/>
  <c r="N774" i="1"/>
  <c r="P774" i="1"/>
  <c r="R774" i="1" s="1"/>
  <c r="P907" i="1"/>
  <c r="R907" i="1" s="1"/>
  <c r="P906" i="1"/>
  <c r="R906" i="1" s="1"/>
  <c r="P901" i="1"/>
  <c r="R901" i="1" s="1"/>
  <c r="N913" i="1"/>
  <c r="P913" i="1"/>
  <c r="R913" i="1" s="1"/>
  <c r="P900" i="1"/>
  <c r="R900" i="1" s="1"/>
  <c r="N791" i="1"/>
  <c r="P791" i="1"/>
  <c r="R791" i="1" s="1"/>
  <c r="N781" i="1"/>
  <c r="P781" i="1"/>
  <c r="R781" i="1" s="1"/>
  <c r="N771" i="1"/>
  <c r="P771" i="1"/>
  <c r="R771" i="1" s="1"/>
  <c r="P899" i="1"/>
  <c r="R899" i="1" s="1"/>
  <c r="P898" i="1"/>
  <c r="R898" i="1" s="1"/>
  <c r="P789" i="1"/>
  <c r="R789" i="1" s="1"/>
  <c r="N903" i="1"/>
  <c r="P903" i="1"/>
  <c r="R903" i="1" s="1"/>
  <c r="N788" i="1"/>
  <c r="O788" i="1" s="1"/>
  <c r="P788" i="1"/>
  <c r="R788" i="1" s="1"/>
  <c r="N778" i="1"/>
  <c r="P778" i="1"/>
  <c r="R778" i="1" s="1"/>
  <c r="P911" i="1"/>
  <c r="R911" i="1" s="1"/>
  <c r="P897" i="1"/>
  <c r="R897" i="1" s="1"/>
  <c r="P786" i="1"/>
  <c r="R786" i="1" s="1"/>
  <c r="N793" i="1"/>
  <c r="P793" i="1"/>
  <c r="R793" i="1" s="1"/>
  <c r="N783" i="1"/>
  <c r="P783" i="1"/>
  <c r="R783" i="1" s="1"/>
  <c r="N773" i="1"/>
  <c r="P773" i="1"/>
  <c r="R773" i="1" s="1"/>
  <c r="N912" i="1"/>
  <c r="P912" i="1"/>
  <c r="R912" i="1" s="1"/>
  <c r="N902" i="1"/>
  <c r="P902" i="1"/>
  <c r="R902" i="1" s="1"/>
  <c r="N792" i="1"/>
  <c r="P792" i="1"/>
  <c r="R792" i="1" s="1"/>
  <c r="N782" i="1"/>
  <c r="P782" i="1"/>
  <c r="R782" i="1" s="1"/>
  <c r="N772" i="1"/>
  <c r="P772" i="1"/>
  <c r="R772" i="1" s="1"/>
  <c r="N790" i="1"/>
  <c r="P790" i="1"/>
  <c r="R790" i="1" s="1"/>
  <c r="N780" i="1"/>
  <c r="P780" i="1"/>
  <c r="R780" i="1" s="1"/>
  <c r="N770" i="1"/>
  <c r="P770" i="1"/>
  <c r="R770" i="1" s="1"/>
  <c r="N787" i="1"/>
  <c r="P787" i="1"/>
  <c r="R787" i="1" s="1"/>
  <c r="N777" i="1"/>
  <c r="P777" i="1"/>
  <c r="R777" i="1" s="1"/>
  <c r="N767" i="1"/>
  <c r="P767" i="1"/>
  <c r="R767" i="1" s="1"/>
  <c r="P910" i="1"/>
  <c r="R910" i="1" s="1"/>
  <c r="P779" i="1"/>
  <c r="R779" i="1" s="1"/>
  <c r="F5" i="8"/>
  <c r="H5" i="5" a="1"/>
  <c r="H5" i="5" s="1"/>
  <c r="F59" i="7"/>
  <c r="G59" i="7" s="1"/>
  <c r="I59" i="7" s="1"/>
  <c r="F60" i="7"/>
  <c r="G60" i="7" s="1"/>
  <c r="I60" i="7" s="1"/>
  <c r="F6" i="8"/>
  <c r="G5" i="5" a="1"/>
  <c r="G5" i="5" s="1"/>
  <c r="D32" i="15" a="1"/>
  <c r="C12" i="13"/>
  <c r="B20" i="13" a="1"/>
  <c r="B20" i="13" s="1"/>
  <c r="H14" i="9"/>
  <c r="H15" i="9"/>
  <c r="E4" i="9"/>
  <c r="U2" i="1" a="1"/>
  <c r="U2" i="1" s="1"/>
  <c r="B9" i="15" a="1"/>
  <c r="B9" i="15" s="1"/>
  <c r="B10" i="14" s="1"/>
  <c r="B10" i="15"/>
  <c r="C10" i="14" s="1"/>
  <c r="N908" i="1"/>
  <c r="N909" i="1"/>
  <c r="F56" i="7"/>
  <c r="W915" i="1" a="1"/>
  <c r="W915" i="1" s="1"/>
  <c r="X915" i="1" s="1"/>
  <c r="N915" i="1"/>
  <c r="F54" i="7"/>
  <c r="F58" i="7"/>
  <c r="N896" i="1"/>
  <c r="F55" i="7"/>
  <c r="F57" i="7"/>
  <c r="F52" i="7"/>
  <c r="F41" i="7"/>
  <c r="F33" i="7"/>
  <c r="F17" i="7"/>
  <c r="F12" i="7"/>
  <c r="G12" i="7" s="1"/>
  <c r="I12" i="7" s="1"/>
  <c r="N360" i="1" s="1"/>
  <c r="F5" i="7"/>
  <c r="F45" i="7"/>
  <c r="F48" i="7"/>
  <c r="F38" i="7"/>
  <c r="F11" i="7"/>
  <c r="O914" i="1"/>
  <c r="O904" i="1"/>
  <c r="O894" i="1"/>
  <c r="O794" i="1"/>
  <c r="O784" i="1"/>
  <c r="O774" i="1"/>
  <c r="O913" i="1"/>
  <c r="F43" i="7"/>
  <c r="F36" i="7"/>
  <c r="F44" i="7"/>
  <c r="F13" i="7"/>
  <c r="O780" i="1"/>
  <c r="O770" i="1"/>
  <c r="F34" i="7"/>
  <c r="F32" i="7"/>
  <c r="F28" i="7"/>
  <c r="F24" i="7"/>
  <c r="F20" i="7"/>
  <c r="F4" i="7"/>
  <c r="O779" i="1"/>
  <c r="F51" i="7"/>
  <c r="F46" i="7"/>
  <c r="F39" i="7"/>
  <c r="F37" i="7"/>
  <c r="F35" i="7"/>
  <c r="F30" i="7"/>
  <c r="F27" i="7"/>
  <c r="F26" i="7"/>
  <c r="O903" i="1"/>
  <c r="F16" i="7"/>
  <c r="F53" i="7"/>
  <c r="F25" i="7"/>
  <c r="F21" i="7"/>
  <c r="F8" i="7"/>
  <c r="O898" i="1"/>
  <c r="O778" i="1"/>
  <c r="F49" i="7"/>
  <c r="F15" i="7"/>
  <c r="F22" i="7"/>
  <c r="O912" i="1"/>
  <c r="O902" i="1"/>
  <c r="F14" i="7"/>
  <c r="O791" i="1"/>
  <c r="O907" i="1"/>
  <c r="F47" i="7"/>
  <c r="F40" i="7"/>
  <c r="F29" i="7"/>
  <c r="F18" i="7"/>
  <c r="F7" i="7"/>
  <c r="O793" i="1"/>
  <c r="O783" i="1"/>
  <c r="O773" i="1"/>
  <c r="F42" i="7"/>
  <c r="F19" i="7"/>
  <c r="F10" i="7"/>
  <c r="O792" i="1"/>
  <c r="O782" i="1"/>
  <c r="O772" i="1"/>
  <c r="F50" i="7"/>
  <c r="F31" i="7"/>
  <c r="F9" i="7"/>
  <c r="F23" i="7"/>
  <c r="Q2096" i="1"/>
  <c r="Q2066" i="1"/>
  <c r="O906" i="1"/>
  <c r="F6" i="7"/>
  <c r="O915" i="1"/>
  <c r="O909" i="1"/>
  <c r="O911" i="1"/>
  <c r="O901" i="1"/>
  <c r="O781" i="1"/>
  <c r="O771" i="1"/>
  <c r="O910" i="1"/>
  <c r="O900" i="1"/>
  <c r="O790" i="1"/>
  <c r="O899" i="1"/>
  <c r="O789" i="1"/>
  <c r="O769" i="1"/>
  <c r="O897" i="1"/>
  <c r="O787" i="1"/>
  <c r="O777" i="1"/>
  <c r="O767" i="1"/>
  <c r="O786" i="1"/>
  <c r="Q776" i="1"/>
  <c r="O776" i="1"/>
  <c r="O905" i="1"/>
  <c r="O795" i="1"/>
  <c r="O785" i="1"/>
  <c r="O775" i="1"/>
  <c r="G5" i="7" l="1"/>
  <c r="I5" i="7" s="1"/>
  <c r="N44" i="1" s="1"/>
  <c r="C11" i="9" a="1"/>
  <c r="C11" i="9" s="1"/>
  <c r="P30" i="9" a="1"/>
  <c r="P30" i="9" s="1"/>
  <c r="Q30" i="9" s="1" a="1"/>
  <c r="Q30" i="9" s="1"/>
  <c r="P18" i="9" a="1"/>
  <c r="P18" i="9" s="1"/>
  <c r="Q18" i="9" s="1" a="1"/>
  <c r="Q18" i="9" s="1"/>
  <c r="P56" i="9" a="1"/>
  <c r="P56" i="9" s="1"/>
  <c r="Q56" i="9" s="1" a="1"/>
  <c r="Q56" i="9" s="1"/>
  <c r="P63" i="9" a="1"/>
  <c r="P63" i="9" s="1"/>
  <c r="Q63" i="9" s="1" a="1"/>
  <c r="Q63" i="9" s="1"/>
  <c r="P49" i="9" a="1"/>
  <c r="P49" i="9" s="1"/>
  <c r="Q49" i="9" s="1" a="1"/>
  <c r="Q49" i="9" s="1"/>
  <c r="P46" i="9" a="1"/>
  <c r="P46" i="9" s="1"/>
  <c r="Q46" i="9" s="1" a="1"/>
  <c r="Q46" i="9" s="1"/>
  <c r="P25" i="9" a="1"/>
  <c r="P25" i="9" s="1"/>
  <c r="Q25" i="9" s="1" a="1"/>
  <c r="Q25" i="9" s="1"/>
  <c r="P53" i="9" a="1"/>
  <c r="P53" i="9" s="1"/>
  <c r="Q53" i="9" s="1" a="1"/>
  <c r="Q53" i="9" s="1"/>
  <c r="P58" i="9" a="1"/>
  <c r="P58" i="9" s="1"/>
  <c r="Q58" i="9" s="1" a="1"/>
  <c r="Q58" i="9" s="1"/>
  <c r="P37" i="9" a="1"/>
  <c r="P37" i="9" s="1"/>
  <c r="Q37" i="9" s="1" a="1"/>
  <c r="Q37" i="9" s="1"/>
  <c r="P8" i="9" a="1"/>
  <c r="P8" i="9" s="1"/>
  <c r="Q8" i="9" s="1" a="1"/>
  <c r="Q8" i="9" s="1"/>
  <c r="P54" i="9" a="1"/>
  <c r="P54" i="9" s="1"/>
  <c r="Q54" i="9" s="1" a="1"/>
  <c r="Q54" i="9" s="1"/>
  <c r="P15" i="9" a="1"/>
  <c r="P15" i="9" s="1"/>
  <c r="Q15" i="9" s="1" a="1"/>
  <c r="Q15" i="9" s="1"/>
  <c r="P51" i="9" a="1"/>
  <c r="P51" i="9" s="1"/>
  <c r="Q51" i="9" s="1" a="1"/>
  <c r="Q51" i="9" s="1"/>
  <c r="P20" i="9" a="1"/>
  <c r="P20" i="9" s="1"/>
  <c r="Q20" i="9" s="1" a="1"/>
  <c r="Q20" i="9" s="1"/>
  <c r="P12" i="9" a="1"/>
  <c r="P12" i="9" s="1"/>
  <c r="Q12" i="9" s="1" a="1"/>
  <c r="Q12" i="9" s="1"/>
  <c r="C14" i="9"/>
  <c r="P41" i="9" a="1"/>
  <c r="P41" i="9" s="1"/>
  <c r="Q41" i="9" s="1" a="1"/>
  <c r="Q41" i="9" s="1"/>
  <c r="P38" i="9" a="1"/>
  <c r="P38" i="9" s="1"/>
  <c r="Q38" i="9" s="1" a="1"/>
  <c r="Q38" i="9" s="1"/>
  <c r="P17" i="9" a="1"/>
  <c r="P17" i="9" s="1"/>
  <c r="Q17" i="9" s="1" a="1"/>
  <c r="Q17" i="9" s="1"/>
  <c r="P65" i="9" a="1"/>
  <c r="P65" i="9" s="1"/>
  <c r="Q65" i="9" s="1" a="1"/>
  <c r="Q65" i="9" s="1"/>
  <c r="P34" i="9" a="1"/>
  <c r="P34" i="9" s="1"/>
  <c r="Q34" i="9" s="1" a="1"/>
  <c r="Q34" i="9" s="1"/>
  <c r="P62" i="9" a="1"/>
  <c r="P62" i="9" s="1"/>
  <c r="Q62" i="9" s="1" a="1"/>
  <c r="Q62" i="9" s="1"/>
  <c r="P31" i="9" a="1"/>
  <c r="P31" i="9" s="1"/>
  <c r="Q31" i="9" s="1" a="1"/>
  <c r="Q31" i="9" s="1"/>
  <c r="P45" i="9" a="1"/>
  <c r="P45" i="9" s="1"/>
  <c r="Q45" i="9" s="1" a="1"/>
  <c r="Q45" i="9" s="1"/>
  <c r="P48" i="9" a="1"/>
  <c r="P48" i="9" s="1"/>
  <c r="Q48" i="9" s="1" a="1"/>
  <c r="Q48" i="9" s="1"/>
  <c r="P27" i="9" a="1"/>
  <c r="P27" i="9" s="1"/>
  <c r="Q27" i="9" s="1" a="1"/>
  <c r="Q27" i="9" s="1"/>
  <c r="P44" i="9" a="1"/>
  <c r="P44" i="9" s="1"/>
  <c r="Q44" i="9" s="1" a="1"/>
  <c r="Q44" i="9" s="1"/>
  <c r="P28" i="9" a="1"/>
  <c r="P28" i="9" s="1"/>
  <c r="Q28" i="9" s="1" a="1"/>
  <c r="Q28" i="9" s="1"/>
  <c r="P9" i="9" a="1"/>
  <c r="P9" i="9" s="1"/>
  <c r="Q9" i="9" s="1" a="1"/>
  <c r="Q9" i="9" s="1"/>
  <c r="P55" i="9" a="1"/>
  <c r="P55" i="9" s="1"/>
  <c r="Q55" i="9" s="1" a="1"/>
  <c r="Q55" i="9" s="1"/>
  <c r="P24" i="9" a="1"/>
  <c r="P24" i="9" s="1"/>
  <c r="Q24" i="9" s="1" a="1"/>
  <c r="Q24" i="9" s="1"/>
  <c r="P52" i="9" a="1"/>
  <c r="P52" i="9" s="1"/>
  <c r="Q52" i="9" s="1" a="1"/>
  <c r="Q52" i="9" s="1"/>
  <c r="P21" i="9" a="1"/>
  <c r="P21" i="9" s="1"/>
  <c r="Q21" i="9" s="1" a="1"/>
  <c r="Q21" i="9" s="1"/>
  <c r="P42" i="9" a="1"/>
  <c r="P42" i="9" s="1"/>
  <c r="Q42" i="9" s="1" a="1"/>
  <c r="Q42" i="9" s="1"/>
  <c r="P13" i="9" a="1"/>
  <c r="P13" i="9" s="1"/>
  <c r="Q13" i="9" s="1" a="1"/>
  <c r="Q13" i="9" s="1"/>
  <c r="P19" i="9" a="1"/>
  <c r="P19" i="9" s="1"/>
  <c r="Q19" i="9" s="1" a="1"/>
  <c r="Q19" i="9" s="1"/>
  <c r="P60" i="9" a="1"/>
  <c r="P60" i="9" s="1"/>
  <c r="Q60" i="9" s="1" a="1"/>
  <c r="Q60" i="9" s="1"/>
  <c r="P29" i="9" a="1"/>
  <c r="P29" i="9" s="1"/>
  <c r="Q29" i="9" s="1" a="1"/>
  <c r="Q29" i="9" s="1"/>
  <c r="P39" i="9" a="1"/>
  <c r="P39" i="9" s="1"/>
  <c r="Q39" i="9" s="1" a="1"/>
  <c r="Q39" i="9" s="1"/>
  <c r="P35" i="9" a="1"/>
  <c r="P35" i="9" s="1"/>
  <c r="Q35" i="9" s="1" a="1"/>
  <c r="Q35" i="9" s="1"/>
  <c r="P32" i="9" a="1"/>
  <c r="P32" i="9" s="1"/>
  <c r="Q32" i="9" s="1" a="1"/>
  <c r="Q32" i="9" s="1"/>
  <c r="C9" i="9"/>
  <c r="P22" i="9" a="1"/>
  <c r="P22" i="9" s="1"/>
  <c r="Q22" i="9" s="1" a="1"/>
  <c r="Q22" i="9" s="1"/>
  <c r="P59" i="9" a="1"/>
  <c r="P59" i="9" s="1"/>
  <c r="Q59" i="9" s="1" a="1"/>
  <c r="Q59" i="9" s="1"/>
  <c r="P6" i="9" a="1"/>
  <c r="P6" i="9" s="1"/>
  <c r="Q6" i="9" s="1" a="1"/>
  <c r="Q6" i="9" s="1"/>
  <c r="P36" i="9" a="1"/>
  <c r="P36" i="9" s="1"/>
  <c r="Q36" i="9" s="1" a="1"/>
  <c r="Q36" i="9" s="1"/>
  <c r="P7" i="9" a="1"/>
  <c r="P7" i="9" s="1"/>
  <c r="Q7" i="9" s="1" a="1"/>
  <c r="Q7" i="9" s="1"/>
  <c r="P43" i="9" a="1"/>
  <c r="P43" i="9" s="1"/>
  <c r="Q43" i="9" s="1" a="1"/>
  <c r="Q43" i="9" s="1"/>
  <c r="P14" i="9" a="1"/>
  <c r="P14" i="9" s="1"/>
  <c r="Q14" i="9" s="1" a="1"/>
  <c r="Q14" i="9" s="1"/>
  <c r="P50" i="9" a="1"/>
  <c r="P50" i="9" s="1"/>
  <c r="Q50" i="9" s="1" a="1"/>
  <c r="Q50" i="9" s="1"/>
  <c r="C10" i="9"/>
  <c r="P10" i="9" a="1"/>
  <c r="P10" i="9" s="1"/>
  <c r="Q10" i="9" s="1" a="1"/>
  <c r="Q10" i="9" s="1"/>
  <c r="P57" i="9" a="1"/>
  <c r="P57" i="9" s="1"/>
  <c r="Q57" i="9" s="1" a="1"/>
  <c r="Q57" i="9" s="1"/>
  <c r="P26" i="9" a="1"/>
  <c r="P26" i="9" s="1"/>
  <c r="Q26" i="9" s="1" a="1"/>
  <c r="Q26" i="9" s="1"/>
  <c r="P40" i="9" a="1"/>
  <c r="P40" i="9" s="1"/>
  <c r="Q40" i="9" s="1" a="1"/>
  <c r="Q40" i="9" s="1"/>
  <c r="C12" i="9" a="1"/>
  <c r="C12" i="9" s="1"/>
  <c r="P33" i="9" a="1"/>
  <c r="P33" i="9" s="1"/>
  <c r="Q33" i="9" s="1" a="1"/>
  <c r="Q33" i="9" s="1"/>
  <c r="C15" i="9"/>
  <c r="B34" i="9" a="1"/>
  <c r="B34" i="9" s="1"/>
  <c r="P47" i="9" a="1"/>
  <c r="P47" i="9" s="1"/>
  <c r="Q47" i="9" s="1" a="1"/>
  <c r="Q47" i="9" s="1"/>
  <c r="P16" i="9" a="1"/>
  <c r="P16" i="9" s="1"/>
  <c r="Q16" i="9" s="1" a="1"/>
  <c r="Q16" i="9" s="1"/>
  <c r="P64" i="9" a="1"/>
  <c r="P64" i="9" s="1"/>
  <c r="Q64" i="9" s="1" a="1"/>
  <c r="Q64" i="9" s="1"/>
  <c r="P23" i="9" a="1"/>
  <c r="P23" i="9" s="1"/>
  <c r="Q23" i="9" s="1" a="1"/>
  <c r="Q23" i="9" s="1"/>
  <c r="P61" i="9" a="1"/>
  <c r="P61" i="9" s="1"/>
  <c r="Q61" i="9" s="1" a="1"/>
  <c r="Q61" i="9" s="1"/>
  <c r="N2086" i="1"/>
  <c r="O2086" i="1" s="1"/>
  <c r="N2098" i="1"/>
  <c r="O2098" i="1" s="1"/>
  <c r="N2119" i="1"/>
  <c r="N2084" i="1"/>
  <c r="O2084" i="1" s="1"/>
  <c r="N2116" i="1"/>
  <c r="O2116" i="1" s="1"/>
  <c r="N2070" i="1"/>
  <c r="O2070" i="1" s="1"/>
  <c r="N2049" i="1"/>
  <c r="N2096" i="1"/>
  <c r="O2096" i="1" s="1"/>
  <c r="N2050" i="1"/>
  <c r="O2050" i="1" s="1"/>
  <c r="N2082" i="1"/>
  <c r="O2082" i="1" s="1"/>
  <c r="N56" i="1"/>
  <c r="N2074" i="1"/>
  <c r="O2074" i="1" s="1"/>
  <c r="N2106" i="1"/>
  <c r="O2106" i="1" s="1"/>
  <c r="N2078" i="1"/>
  <c r="N2060" i="1"/>
  <c r="O2060" i="1" s="1"/>
  <c r="N2068" i="1"/>
  <c r="O2068" i="1" s="1"/>
  <c r="N2067" i="1"/>
  <c r="O2067" i="1" s="1"/>
  <c r="N2080" i="1"/>
  <c r="O2080" i="1" s="1"/>
  <c r="N2089" i="1"/>
  <c r="N2071" i="1"/>
  <c r="N2081" i="1"/>
  <c r="N2104" i="1"/>
  <c r="O2104" i="1" s="1"/>
  <c r="N2075" i="1"/>
  <c r="O2075" i="1" s="1"/>
  <c r="N2108" i="1"/>
  <c r="O2108" i="1" s="1"/>
  <c r="N2047" i="1"/>
  <c r="N2097" i="1"/>
  <c r="O2097" i="1" s="1"/>
  <c r="N2090" i="1"/>
  <c r="O2090" i="1" s="1"/>
  <c r="N2091" i="1"/>
  <c r="N2111" i="1"/>
  <c r="N2052" i="1"/>
  <c r="O2052" i="1" s="1"/>
  <c r="N2114" i="1"/>
  <c r="N2095" i="1"/>
  <c r="O2095" i="1" s="1"/>
  <c r="N2128" i="1"/>
  <c r="N2057" i="1"/>
  <c r="N2127" i="1"/>
  <c r="O2127" i="1" s="1"/>
  <c r="N2100" i="1"/>
  <c r="O2100" i="1" s="1"/>
  <c r="N2103" i="1"/>
  <c r="N2062" i="1"/>
  <c r="N2092" i="1"/>
  <c r="O2092" i="1" s="1"/>
  <c r="P11" i="9" a="1"/>
  <c r="P11" i="9" s="1"/>
  <c r="Q11" i="9" s="1" a="1"/>
  <c r="Q11" i="9" s="1"/>
  <c r="N2054" i="1"/>
  <c r="O2054" i="1" s="1"/>
  <c r="N2065" i="1"/>
  <c r="O2065" i="1" s="1"/>
  <c r="N2117" i="1"/>
  <c r="N2051" i="1"/>
  <c r="N2061" i="1"/>
  <c r="O2061" i="1" s="1"/>
  <c r="N2123" i="1"/>
  <c r="O2123" i="1" s="1"/>
  <c r="N2064" i="1"/>
  <c r="O2064" i="1" s="1"/>
  <c r="N2085" i="1"/>
  <c r="O2085" i="1" s="1"/>
  <c r="N2058" i="1"/>
  <c r="N2121" i="1"/>
  <c r="N2101" i="1"/>
  <c r="N2115" i="1"/>
  <c r="O2115" i="1" s="1"/>
  <c r="N2072" i="1"/>
  <c r="O2072" i="1" s="1"/>
  <c r="N2093" i="1"/>
  <c r="O2093" i="1" s="1"/>
  <c r="N2102" i="1"/>
  <c r="O2102" i="1" s="1"/>
  <c r="N2048" i="1"/>
  <c r="O2048" i="1" s="1"/>
  <c r="N2118" i="1"/>
  <c r="O2118" i="1" s="1"/>
  <c r="N2113" i="1"/>
  <c r="O2113" i="1" s="1"/>
  <c r="N2083" i="1"/>
  <c r="O2083" i="1" s="1"/>
  <c r="N2094" i="1"/>
  <c r="O2094" i="1" s="1"/>
  <c r="N2126" i="1"/>
  <c r="O2126" i="1" s="1"/>
  <c r="N2124" i="1"/>
  <c r="O2124" i="1" s="1"/>
  <c r="N2105" i="1"/>
  <c r="O2105" i="1" s="1"/>
  <c r="N2056" i="1"/>
  <c r="O2056" i="1" s="1"/>
  <c r="N2077" i="1"/>
  <c r="O2077" i="1" s="1"/>
  <c r="N2088" i="1"/>
  <c r="O2088" i="1" s="1"/>
  <c r="N2110" i="1"/>
  <c r="O2110" i="1" s="1"/>
  <c r="N2069" i="1"/>
  <c r="N2112" i="1"/>
  <c r="O2112" i="1" s="1"/>
  <c r="N2073" i="1"/>
  <c r="N2125" i="1"/>
  <c r="O2125" i="1" s="1"/>
  <c r="N2066" i="1"/>
  <c r="O2066" i="1" s="1"/>
  <c r="N2087" i="1"/>
  <c r="N2120" i="1"/>
  <c r="O2120" i="1" s="1"/>
  <c r="N2099" i="1"/>
  <c r="O2099" i="1" s="1"/>
  <c r="N2063" i="1"/>
  <c r="O2063" i="1" s="1"/>
  <c r="N2122" i="1"/>
  <c r="O2122" i="1" s="1"/>
  <c r="N2055" i="1"/>
  <c r="O2055" i="1" s="1"/>
  <c r="N2076" i="1"/>
  <c r="O2076" i="1" s="1"/>
  <c r="N2107" i="1"/>
  <c r="N2079" i="1"/>
  <c r="N2109" i="1"/>
  <c r="O2109" i="1" s="1"/>
  <c r="N2059" i="1"/>
  <c r="N2053" i="1"/>
  <c r="O2053" i="1" s="1"/>
  <c r="W909" i="1" a="1"/>
  <c r="W909" i="1" s="1"/>
  <c r="X909" i="1" s="1"/>
  <c r="Q909" i="1"/>
  <c r="W908" i="1" a="1"/>
  <c r="W908" i="1" s="1"/>
  <c r="X908" i="1" s="1"/>
  <c r="Q908" i="1"/>
  <c r="N344" i="1"/>
  <c r="N354" i="1"/>
  <c r="N364" i="1"/>
  <c r="G17" i="7"/>
  <c r="I17" i="7" s="1"/>
  <c r="N500" i="1" s="1"/>
  <c r="O500" i="1" s="1"/>
  <c r="O2117" i="1"/>
  <c r="N66" i="1"/>
  <c r="O66" i="1" s="1"/>
  <c r="N50" i="1"/>
  <c r="O908" i="1"/>
  <c r="C9" i="8"/>
  <c r="C10" i="13" a="1"/>
  <c r="C10" i="13" s="1"/>
  <c r="C9" i="13" a="1"/>
  <c r="C9" i="13" s="1"/>
  <c r="N80" i="1"/>
  <c r="O80" i="1" s="1"/>
  <c r="D32" i="15"/>
  <c r="B32" i="15" s="1" a="1"/>
  <c r="B32" i="15" s="1"/>
  <c r="H13" i="9"/>
  <c r="G44" i="7"/>
  <c r="I44" i="7" s="1"/>
  <c r="N1493" i="1" s="1"/>
  <c r="O1493" i="1" s="1"/>
  <c r="N1481" i="1"/>
  <c r="O1481" i="1" s="1"/>
  <c r="N1488" i="1"/>
  <c r="N1495" i="1"/>
  <c r="O1495" i="1" s="1"/>
  <c r="N1480" i="1"/>
  <c r="O1480" i="1" s="1"/>
  <c r="N1474" i="1"/>
  <c r="N357" i="1"/>
  <c r="N85" i="1"/>
  <c r="O85" i="1" s="1"/>
  <c r="N76" i="1"/>
  <c r="O76" i="1" s="1"/>
  <c r="G19" i="7"/>
  <c r="I19" i="7" s="1"/>
  <c r="N582" i="1" s="1"/>
  <c r="G13" i="7"/>
  <c r="I13" i="7" s="1"/>
  <c r="N379" i="1" s="1"/>
  <c r="O379" i="1" s="1"/>
  <c r="G26" i="7"/>
  <c r="I26" i="7" s="1"/>
  <c r="N798" i="1" s="1"/>
  <c r="O798" i="1" s="1"/>
  <c r="N809" i="1"/>
  <c r="O809" i="1" s="1"/>
  <c r="G48" i="7"/>
  <c r="I48" i="7" s="1"/>
  <c r="N1661" i="1" s="1"/>
  <c r="G57" i="7"/>
  <c r="I57" i="7" s="1"/>
  <c r="N356" i="1"/>
  <c r="O356" i="1" s="1"/>
  <c r="G45" i="7"/>
  <c r="I45" i="7" s="1"/>
  <c r="N1536" i="1" s="1"/>
  <c r="N1540" i="1"/>
  <c r="O1540" i="1" s="1"/>
  <c r="N1532" i="1"/>
  <c r="O1532" i="1" s="1"/>
  <c r="N1538" i="1"/>
  <c r="N1533" i="1"/>
  <c r="O1533" i="1" s="1"/>
  <c r="N1544" i="1"/>
  <c r="O1544" i="1" s="1"/>
  <c r="N1516" i="1"/>
  <c r="O1516" i="1" s="1"/>
  <c r="N1525" i="1"/>
  <c r="N1517" i="1"/>
  <c r="O1517" i="1" s="1"/>
  <c r="G23" i="7"/>
  <c r="I23" i="7" s="1"/>
  <c r="G27" i="7"/>
  <c r="I27" i="7" s="1"/>
  <c r="N836" i="1" s="1"/>
  <c r="O836" i="1" s="1"/>
  <c r="N849" i="1"/>
  <c r="O849" i="1" s="1"/>
  <c r="N366" i="1"/>
  <c r="O366" i="1" s="1"/>
  <c r="G7" i="7"/>
  <c r="I7" i="7" s="1"/>
  <c r="N186" i="1" s="1"/>
  <c r="G41" i="7"/>
  <c r="I41" i="7" s="1"/>
  <c r="N1381" i="1" s="1"/>
  <c r="O1381" i="1" s="1"/>
  <c r="G29" i="7"/>
  <c r="I29" i="7" s="1"/>
  <c r="N895" i="1" s="1"/>
  <c r="G40" i="7"/>
  <c r="I40" i="7" s="1"/>
  <c r="N1332" i="1" s="1"/>
  <c r="N1338" i="1"/>
  <c r="O1338" i="1" s="1"/>
  <c r="G47" i="7"/>
  <c r="I47" i="7" s="1"/>
  <c r="N1613" i="1" s="1"/>
  <c r="G15" i="7"/>
  <c r="I15" i="7" s="1"/>
  <c r="N445" i="1" s="1"/>
  <c r="O445" i="1" s="1"/>
  <c r="O896" i="1"/>
  <c r="N90" i="1"/>
  <c r="O90" i="1" s="1"/>
  <c r="G20" i="7"/>
  <c r="I20" i="7" s="1"/>
  <c r="N624" i="1" s="1"/>
  <c r="O624" i="1" s="1"/>
  <c r="N350" i="1"/>
  <c r="N54" i="1"/>
  <c r="G9" i="7"/>
  <c r="I9" i="7" s="1"/>
  <c r="N239" i="1" s="1"/>
  <c r="G8" i="7"/>
  <c r="I8" i="7" s="1"/>
  <c r="N211" i="1" s="1"/>
  <c r="O211" i="1" s="1"/>
  <c r="N223" i="1"/>
  <c r="O223" i="1" s="1"/>
  <c r="G30" i="7"/>
  <c r="I30" i="7" s="1"/>
  <c r="N961" i="1" s="1"/>
  <c r="O961" i="1" s="1"/>
  <c r="N916" i="1"/>
  <c r="O916" i="1" s="1"/>
  <c r="N64" i="1"/>
  <c r="G33" i="7"/>
  <c r="I33" i="7" s="1"/>
  <c r="N1064" i="1" s="1"/>
  <c r="G21" i="7"/>
  <c r="I21" i="7" s="1"/>
  <c r="N663" i="1" s="1"/>
  <c r="G50" i="7"/>
  <c r="I50" i="7" s="1"/>
  <c r="N1712" i="1" s="1"/>
  <c r="G25" i="7"/>
  <c r="I25" i="7" s="1"/>
  <c r="N768" i="1" s="1"/>
  <c r="O768" i="1" s="1"/>
  <c r="G37" i="7"/>
  <c r="I37" i="7" s="1"/>
  <c r="N1242" i="1" s="1"/>
  <c r="G32" i="7"/>
  <c r="I32" i="7" s="1"/>
  <c r="N1021" i="1" s="1"/>
  <c r="N72" i="1"/>
  <c r="N62" i="1"/>
  <c r="N52" i="1"/>
  <c r="N42" i="1"/>
  <c r="N91" i="1"/>
  <c r="N71" i="1"/>
  <c r="N61" i="1"/>
  <c r="N51" i="1"/>
  <c r="O51" i="1" s="1"/>
  <c r="N89" i="1"/>
  <c r="N92" i="1"/>
  <c r="N41" i="1"/>
  <c r="N49" i="1"/>
  <c r="O49" i="1" s="1"/>
  <c r="N82" i="1"/>
  <c r="O82" i="1" s="1"/>
  <c r="N78" i="1"/>
  <c r="N75" i="1"/>
  <c r="N47" i="1"/>
  <c r="O47" i="1" s="1"/>
  <c r="N70" i="1"/>
  <c r="N84" i="1"/>
  <c r="N79" i="1"/>
  <c r="N68" i="1"/>
  <c r="O68" i="1" s="1"/>
  <c r="N65" i="1"/>
  <c r="O65" i="1" s="1"/>
  <c r="N58" i="1"/>
  <c r="O58" i="1" s="1"/>
  <c r="N55" i="1"/>
  <c r="O55" i="1" s="1"/>
  <c r="N86" i="1"/>
  <c r="N74" i="1"/>
  <c r="N69" i="1"/>
  <c r="N48" i="1"/>
  <c r="N45" i="1"/>
  <c r="O45" i="1" s="1"/>
  <c r="N83" i="1"/>
  <c r="N73" i="1"/>
  <c r="O73" i="1" s="1"/>
  <c r="N81" i="1"/>
  <c r="N63" i="1"/>
  <c r="N87" i="1"/>
  <c r="O87" i="1" s="1"/>
  <c r="N46" i="1"/>
  <c r="O46" i="1" s="1"/>
  <c r="N53" i="1"/>
  <c r="N77" i="1"/>
  <c r="N43" i="1"/>
  <c r="N67" i="1"/>
  <c r="N59" i="1"/>
  <c r="O59" i="1" s="1"/>
  <c r="N88" i="1"/>
  <c r="G43" i="7"/>
  <c r="I43" i="7" s="1"/>
  <c r="N1465" i="1" s="1"/>
  <c r="O1465" i="1" s="1"/>
  <c r="G22" i="7"/>
  <c r="I22" i="7" s="1"/>
  <c r="N696" i="1" s="1"/>
  <c r="O696" i="1" s="1"/>
  <c r="G16" i="7"/>
  <c r="I16" i="7" s="1"/>
  <c r="N490" i="1" s="1"/>
  <c r="O490" i="1" s="1"/>
  <c r="G24" i="7"/>
  <c r="I24" i="7" s="1"/>
  <c r="N740" i="1" s="1"/>
  <c r="O740" i="1" s="1"/>
  <c r="G6" i="7"/>
  <c r="I6" i="7" s="1"/>
  <c r="N111" i="1" s="1"/>
  <c r="G14" i="7"/>
  <c r="I14" i="7" s="1"/>
  <c r="N411" i="1" s="1"/>
  <c r="O411" i="1" s="1"/>
  <c r="N425" i="1"/>
  <c r="O425" i="1" s="1"/>
  <c r="O2114" i="1"/>
  <c r="Q915" i="1"/>
  <c r="G39" i="7"/>
  <c r="I39" i="7" s="1"/>
  <c r="N1291" i="1" s="1"/>
  <c r="O1291" i="1" s="1"/>
  <c r="G34" i="7"/>
  <c r="I34" i="7" s="1"/>
  <c r="G11" i="7"/>
  <c r="I11" i="7" s="1"/>
  <c r="N322" i="1" s="1"/>
  <c r="O322" i="1" s="1"/>
  <c r="N353" i="1"/>
  <c r="N815" i="1"/>
  <c r="O815" i="1" s="1"/>
  <c r="G4" i="7"/>
  <c r="I4" i="7" s="1"/>
  <c r="G49" i="7"/>
  <c r="I49" i="7" s="1"/>
  <c r="N1692" i="1" s="1"/>
  <c r="G10" i="7"/>
  <c r="I10" i="7" s="1"/>
  <c r="N260" i="1" s="1"/>
  <c r="O260" i="1" s="1"/>
  <c r="N272" i="1"/>
  <c r="G46" i="7"/>
  <c r="I46" i="7" s="1"/>
  <c r="N1572" i="1" s="1"/>
  <c r="N160" i="1"/>
  <c r="O160" i="1" s="1"/>
  <c r="N1486" i="1"/>
  <c r="O1486" i="1" s="1"/>
  <c r="N57" i="1"/>
  <c r="O57" i="1" s="1"/>
  <c r="G56" i="7"/>
  <c r="I56" i="7" s="1"/>
  <c r="N1946" i="1" s="1"/>
  <c r="N367" i="1"/>
  <c r="O367" i="1" s="1"/>
  <c r="N343" i="1"/>
  <c r="O343" i="1" s="1"/>
  <c r="G31" i="7"/>
  <c r="I31" i="7" s="1"/>
  <c r="N1009" i="1" s="1"/>
  <c r="O1009" i="1" s="1"/>
  <c r="N992" i="1"/>
  <c r="G18" i="7"/>
  <c r="I18" i="7" s="1"/>
  <c r="N545" i="1" s="1"/>
  <c r="G53" i="7"/>
  <c r="I53" i="7" s="1"/>
  <c r="N1829" i="1" s="1"/>
  <c r="O1829" i="1" s="1"/>
  <c r="G51" i="7"/>
  <c r="I51" i="7" s="1"/>
  <c r="N1745" i="1" s="1"/>
  <c r="G38" i="7"/>
  <c r="I38" i="7" s="1"/>
  <c r="N1259" i="1" s="1"/>
  <c r="N362" i="1"/>
  <c r="N361" i="1"/>
  <c r="O361" i="1" s="1"/>
  <c r="N352" i="1"/>
  <c r="N351" i="1"/>
  <c r="N342" i="1"/>
  <c r="N341" i="1"/>
  <c r="N349" i="1"/>
  <c r="O349" i="1" s="1"/>
  <c r="N359" i="1"/>
  <c r="O359" i="1" s="1"/>
  <c r="N994" i="1"/>
  <c r="N346" i="1"/>
  <c r="O346" i="1" s="1"/>
  <c r="N363" i="1"/>
  <c r="G58" i="7"/>
  <c r="I58" i="7" s="1"/>
  <c r="N2046" i="1" s="1"/>
  <c r="G54" i="7"/>
  <c r="I54" i="7" s="1"/>
  <c r="N345" i="1"/>
  <c r="O345" i="1" s="1"/>
  <c r="N348" i="1"/>
  <c r="O348" i="1" s="1"/>
  <c r="N1006" i="1"/>
  <c r="N355" i="1"/>
  <c r="O355" i="1" s="1"/>
  <c r="N358" i="1"/>
  <c r="O358" i="1" s="1"/>
  <c r="N983" i="1"/>
  <c r="G55" i="7"/>
  <c r="I55" i="7" s="1"/>
  <c r="N1892" i="1" s="1"/>
  <c r="N1016" i="1"/>
  <c r="O1016" i="1" s="1"/>
  <c r="N365" i="1"/>
  <c r="N995" i="1"/>
  <c r="O995" i="1" s="1"/>
  <c r="G42" i="7"/>
  <c r="I42" i="7" s="1"/>
  <c r="N1406" i="1" s="1"/>
  <c r="G35" i="7"/>
  <c r="I35" i="7" s="1"/>
  <c r="N1183" i="1" s="1"/>
  <c r="G28" i="7"/>
  <c r="I28" i="7" s="1"/>
  <c r="N892" i="1" s="1"/>
  <c r="O892" i="1" s="1"/>
  <c r="G36" i="7"/>
  <c r="I36" i="7" s="1"/>
  <c r="N1222" i="1" s="1"/>
  <c r="N347" i="1"/>
  <c r="O347" i="1" s="1"/>
  <c r="N997" i="1"/>
  <c r="O997" i="1" s="1"/>
  <c r="N1005" i="1"/>
  <c r="Q2052" i="1"/>
  <c r="G52" i="7"/>
  <c r="I52" i="7" s="1"/>
  <c r="O2073" i="1"/>
  <c r="O2103" i="1"/>
  <c r="O2062" i="1"/>
  <c r="O344" i="1"/>
  <c r="Q777" i="1"/>
  <c r="W777" i="1" a="1"/>
  <c r="W777" i="1" s="1"/>
  <c r="X777" i="1" s="1"/>
  <c r="O895" i="1"/>
  <c r="O2107" i="1"/>
  <c r="O75" i="1"/>
  <c r="W786" i="1" a="1"/>
  <c r="W786" i="1" s="1"/>
  <c r="X786" i="1" s="1"/>
  <c r="Q786" i="1"/>
  <c r="O2128" i="1"/>
  <c r="W769" i="1" a="1"/>
  <c r="W769" i="1" s="1"/>
  <c r="X769" i="1" s="1"/>
  <c r="Q769" i="1"/>
  <c r="O2069" i="1"/>
  <c r="W911" i="1" a="1"/>
  <c r="W911" i="1" s="1"/>
  <c r="X911" i="1" s="1"/>
  <c r="Q911" i="1"/>
  <c r="Q2086" i="1"/>
  <c r="W2086" i="1" a="1"/>
  <c r="W2086" i="1" s="1"/>
  <c r="X2086" i="1" s="1"/>
  <c r="O2051" i="1"/>
  <c r="Q792" i="1"/>
  <c r="W792" i="1" a="1"/>
  <c r="W792" i="1" s="1"/>
  <c r="X792" i="1" s="1"/>
  <c r="W2082" i="1" a="1"/>
  <c r="W2082" i="1" s="1"/>
  <c r="X2082" i="1" s="1"/>
  <c r="Q2082" i="1"/>
  <c r="W2083" i="1" a="1"/>
  <c r="W2083" i="1" s="1"/>
  <c r="X2083" i="1" s="1"/>
  <c r="Q2083" i="1"/>
  <c r="Q923" i="1"/>
  <c r="W780" i="1" a="1"/>
  <c r="W780" i="1" s="1"/>
  <c r="X780" i="1" s="1"/>
  <c r="Q780" i="1"/>
  <c r="Q2100" i="1"/>
  <c r="W2100" i="1" a="1"/>
  <c r="W2100" i="1" s="1"/>
  <c r="X2100" i="1" s="1"/>
  <c r="W784" i="1" a="1"/>
  <c r="W784" i="1" s="1"/>
  <c r="X784" i="1" s="1"/>
  <c r="Q784" i="1"/>
  <c r="W904" i="1" a="1"/>
  <c r="W904" i="1" s="1"/>
  <c r="X904" i="1" s="1"/>
  <c r="Q904" i="1"/>
  <c r="W775" i="1" a="1"/>
  <c r="W775" i="1" s="1"/>
  <c r="X775" i="1" s="1"/>
  <c r="Q775" i="1"/>
  <c r="Q767" i="1"/>
  <c r="W767" i="1" a="1"/>
  <c r="W767" i="1" s="1"/>
  <c r="X767" i="1" s="1"/>
  <c r="O1538" i="1"/>
  <c r="O50" i="1"/>
  <c r="W900" i="1" a="1"/>
  <c r="W900" i="1" s="1"/>
  <c r="X900" i="1" s="1"/>
  <c r="Q900" i="1"/>
  <c r="W906" i="1" a="1"/>
  <c r="W906" i="1" s="1"/>
  <c r="X906" i="1" s="1"/>
  <c r="Q906" i="1"/>
  <c r="Q2108" i="1"/>
  <c r="W2108" i="1" a="1"/>
  <c r="W2108" i="1" s="1"/>
  <c r="X2108" i="1" s="1"/>
  <c r="Q451" i="1"/>
  <c r="Q2071" i="1"/>
  <c r="O2071" i="1"/>
  <c r="W783" i="1" a="1"/>
  <c r="W783" i="1" s="1"/>
  <c r="X783" i="1" s="1"/>
  <c r="Q783" i="1"/>
  <c r="W2064" i="1" a="1"/>
  <c r="W2064" i="1" s="1"/>
  <c r="X2064" i="1" s="1"/>
  <c r="Q2064" i="1"/>
  <c r="Q907" i="1"/>
  <c r="W907" i="1" a="1"/>
  <c r="W907" i="1" s="1"/>
  <c r="X907" i="1" s="1"/>
  <c r="W791" i="1" a="1"/>
  <c r="W791" i="1" s="1"/>
  <c r="X791" i="1" s="1"/>
  <c r="Q791" i="1"/>
  <c r="W912" i="1" a="1"/>
  <c r="W912" i="1" s="1"/>
  <c r="X912" i="1" s="1"/>
  <c r="Q912" i="1"/>
  <c r="W788" i="1" a="1"/>
  <c r="W788" i="1" s="1"/>
  <c r="X788" i="1" s="1"/>
  <c r="Q788" i="1"/>
  <c r="Q899" i="1"/>
  <c r="W899" i="1" a="1"/>
  <c r="W899" i="1" s="1"/>
  <c r="X899" i="1" s="1"/>
  <c r="W2050" i="1" a="1"/>
  <c r="W2050" i="1" s="1"/>
  <c r="X2050" i="1" s="1"/>
  <c r="Q2050" i="1"/>
  <c r="O2081" i="1"/>
  <c r="W2112" i="1" a="1"/>
  <c r="W2112" i="1" s="1"/>
  <c r="X2112" i="1" s="1"/>
  <c r="Q2112" i="1"/>
  <c r="Q1503" i="1"/>
  <c r="Q2113" i="1"/>
  <c r="W2113" i="1" a="1"/>
  <c r="W2113" i="1" s="1"/>
  <c r="X2113" i="1" s="1"/>
  <c r="O351" i="1"/>
  <c r="Q2075" i="1"/>
  <c r="W2075" i="1" a="1"/>
  <c r="W2075" i="1" s="1"/>
  <c r="X2075" i="1" s="1"/>
  <c r="W779" i="1" a="1"/>
  <c r="W779" i="1" s="1"/>
  <c r="X779" i="1" s="1"/>
  <c r="Q779" i="1"/>
  <c r="W794" i="1" a="1"/>
  <c r="W794" i="1" s="1"/>
  <c r="X794" i="1" s="1"/>
  <c r="Q794" i="1"/>
  <c r="W914" i="1" a="1"/>
  <c r="W914" i="1" s="1"/>
  <c r="X914" i="1" s="1"/>
  <c r="Q914" i="1"/>
  <c r="O2057" i="1"/>
  <c r="W785" i="1" a="1"/>
  <c r="W785" i="1" s="1"/>
  <c r="X785" i="1" s="1"/>
  <c r="Q785" i="1"/>
  <c r="Q427" i="1"/>
  <c r="W789" i="1" a="1"/>
  <c r="W789" i="1" s="1"/>
  <c r="X789" i="1" s="1"/>
  <c r="Q789" i="1"/>
  <c r="Q861" i="1"/>
  <c r="W2106" i="1" a="1"/>
  <c r="W2106" i="1" s="1"/>
  <c r="X2106" i="1" s="1"/>
  <c r="Q2106" i="1"/>
  <c r="O2101" i="1"/>
  <c r="W2072" i="1" a="1"/>
  <c r="W2072" i="1" s="1"/>
  <c r="X2072" i="1" s="1"/>
  <c r="Q2072" i="1"/>
  <c r="W793" i="1" a="1"/>
  <c r="W793" i="1" s="1"/>
  <c r="X793" i="1" s="1"/>
  <c r="Q793" i="1"/>
  <c r="O364" i="1"/>
  <c r="W2124" i="1" a="1"/>
  <c r="W2124" i="1" s="1"/>
  <c r="X2124" i="1" s="1"/>
  <c r="Q2124" i="1"/>
  <c r="Q1517" i="1"/>
  <c r="O360" i="1"/>
  <c r="W910" i="1" a="1"/>
  <c r="W910" i="1" s="1"/>
  <c r="X910" i="1" s="1"/>
  <c r="Q910" i="1"/>
  <c r="Q2056" i="1"/>
  <c r="W2056" i="1" a="1"/>
  <c r="W2056" i="1" s="1"/>
  <c r="X2056" i="1" s="1"/>
  <c r="O1332" i="1"/>
  <c r="O363" i="1"/>
  <c r="Q2088" i="1"/>
  <c r="W2088" i="1" a="1"/>
  <c r="W2088" i="1" s="1"/>
  <c r="X2088" i="1" s="1"/>
  <c r="W2070" i="1" a="1"/>
  <c r="W2070" i="1" s="1"/>
  <c r="X2070" i="1" s="1"/>
  <c r="Q2070" i="1"/>
  <c r="W2123" i="1" a="1"/>
  <c r="W2123" i="1" s="1"/>
  <c r="X2123" i="1" s="1"/>
  <c r="Q2123" i="1"/>
  <c r="W2084" i="1" a="1"/>
  <c r="W2084" i="1" s="1"/>
  <c r="X2084" i="1" s="1"/>
  <c r="Q2084" i="1"/>
  <c r="W2055" i="1" a="1"/>
  <c r="W2055" i="1" s="1"/>
  <c r="X2055" i="1" s="1"/>
  <c r="Q2055" i="1"/>
  <c r="Q2060" i="1"/>
  <c r="W2060" i="1" a="1"/>
  <c r="W2060" i="1" s="1"/>
  <c r="X2060" i="1" s="1"/>
  <c r="Q1544" i="1"/>
  <c r="W2062" i="1" a="1"/>
  <c r="W2062" i="1" s="1"/>
  <c r="X2062" i="1" s="1"/>
  <c r="Q2062" i="1"/>
  <c r="Q2073" i="1"/>
  <c r="W2073" i="1" a="1"/>
  <c r="W2073" i="1" s="1"/>
  <c r="X2073" i="1" s="1"/>
  <c r="W795" i="1" a="1"/>
  <c r="W795" i="1" s="1"/>
  <c r="X795" i="1" s="1"/>
  <c r="Q795" i="1"/>
  <c r="O2087" i="1"/>
  <c r="W771" i="1" a="1"/>
  <c r="W771" i="1" s="1"/>
  <c r="X771" i="1" s="1"/>
  <c r="Q771" i="1"/>
  <c r="Q2077" i="1"/>
  <c r="W2077" i="1" a="1"/>
  <c r="W2077" i="1" s="1"/>
  <c r="X2077" i="1" s="1"/>
  <c r="Q2110" i="1"/>
  <c r="W2110" i="1" a="1"/>
  <c r="W2110" i="1" s="1"/>
  <c r="X2110" i="1" s="1"/>
  <c r="O1661" i="1"/>
  <c r="O362" i="1"/>
  <c r="Q823" i="1"/>
  <c r="O2059" i="1"/>
  <c r="W913" i="1" a="1"/>
  <c r="W913" i="1" s="1"/>
  <c r="X913" i="1" s="1"/>
  <c r="Q913" i="1"/>
  <c r="W2054" i="1" a="1"/>
  <c r="W2054" i="1" s="1"/>
  <c r="X2054" i="1" s="1"/>
  <c r="Q2054" i="1"/>
  <c r="O61" i="1"/>
  <c r="Q2116" i="1"/>
  <c r="W2116" i="1" a="1"/>
  <c r="W2116" i="1" s="1"/>
  <c r="X2116" i="1" s="1"/>
  <c r="W772" i="1" a="1"/>
  <c r="W772" i="1" s="1"/>
  <c r="X772" i="1" s="1"/>
  <c r="Q772" i="1"/>
  <c r="Q814" i="1"/>
  <c r="W2090" i="1" a="1"/>
  <c r="W2090" i="1" s="1"/>
  <c r="X2090" i="1" s="1"/>
  <c r="Q2090" i="1"/>
  <c r="O2091" i="1"/>
  <c r="O354" i="1"/>
  <c r="W2114" i="1" a="1"/>
  <c r="W2114" i="1" s="1"/>
  <c r="X2114" i="1" s="1"/>
  <c r="Q2114" i="1"/>
  <c r="Q1468" i="1"/>
  <c r="W2068" i="1" a="1"/>
  <c r="W2068" i="1" s="1"/>
  <c r="X2068" i="1" s="1"/>
  <c r="Q2068" i="1"/>
  <c r="W2080" i="1" a="1"/>
  <c r="W2080" i="1" s="1"/>
  <c r="X2080" i="1" s="1"/>
  <c r="Q2080" i="1"/>
  <c r="W2092" i="1" a="1"/>
  <c r="W2092" i="1" s="1"/>
  <c r="X2092" i="1" s="1"/>
  <c r="Q2092" i="1"/>
  <c r="W2074" i="1" a="1"/>
  <c r="W2074" i="1" s="1"/>
  <c r="X2074" i="1" s="1"/>
  <c r="Q2074" i="1"/>
  <c r="Q2079" i="1"/>
  <c r="O2079" i="1"/>
  <c r="Q2093" i="1"/>
  <c r="W2093" i="1" a="1"/>
  <c r="W2093" i="1" s="1"/>
  <c r="X2093" i="1" s="1"/>
  <c r="W905" i="1" a="1"/>
  <c r="W905" i="1" s="1"/>
  <c r="X905" i="1" s="1"/>
  <c r="Q905" i="1"/>
  <c r="Q1536" i="1"/>
  <c r="O1536" i="1"/>
  <c r="Q897" i="1"/>
  <c r="W897" i="1" a="1"/>
  <c r="W897" i="1" s="1"/>
  <c r="X897" i="1" s="1"/>
  <c r="Q1527" i="1"/>
  <c r="O2058" i="1"/>
  <c r="W896" i="1" a="1"/>
  <c r="W896" i="1" s="1"/>
  <c r="X896" i="1" s="1"/>
  <c r="Q896" i="1"/>
  <c r="W781" i="1" a="1"/>
  <c r="W781" i="1" s="1"/>
  <c r="X781" i="1" s="1"/>
  <c r="Q781" i="1"/>
  <c r="Q2097" i="1"/>
  <c r="W2097" i="1" a="1"/>
  <c r="W2097" i="1" s="1"/>
  <c r="X2097" i="1" s="1"/>
  <c r="W2115" i="1" a="1"/>
  <c r="W2115" i="1" s="1"/>
  <c r="X2115" i="1" s="1"/>
  <c r="Q2115" i="1"/>
  <c r="Q2085" i="1"/>
  <c r="W2085" i="1" a="1"/>
  <c r="W2085" i="1" s="1"/>
  <c r="X2085" i="1" s="1"/>
  <c r="W898" i="1" a="1"/>
  <c r="W898" i="1" s="1"/>
  <c r="X898" i="1" s="1"/>
  <c r="Q898" i="1"/>
  <c r="W2053" i="1" a="1"/>
  <c r="W2053" i="1" s="1"/>
  <c r="X2053" i="1" s="1"/>
  <c r="Q2053" i="1"/>
  <c r="O2089" i="1"/>
  <c r="W770" i="1" a="1"/>
  <c r="W770" i="1" s="1"/>
  <c r="X770" i="1" s="1"/>
  <c r="Q770" i="1"/>
  <c r="W2104" i="1" a="1"/>
  <c r="W2104" i="1" s="1"/>
  <c r="X2104" i="1" s="1"/>
  <c r="Q2104" i="1"/>
  <c r="W2095" i="1" a="1"/>
  <c r="W2095" i="1" s="1"/>
  <c r="X2095" i="1" s="1"/>
  <c r="Q2095" i="1"/>
  <c r="O56" i="1"/>
  <c r="Q787" i="1"/>
  <c r="W787" i="1" a="1"/>
  <c r="W787" i="1" s="1"/>
  <c r="X787" i="1" s="1"/>
  <c r="Q1546" i="1"/>
  <c r="O2078" i="1"/>
  <c r="W790" i="1" a="1"/>
  <c r="W790" i="1" s="1"/>
  <c r="X790" i="1" s="1"/>
  <c r="Q790" i="1"/>
  <c r="W901" i="1" a="1"/>
  <c r="W901" i="1" s="1"/>
  <c r="X901" i="1" s="1"/>
  <c r="Q901" i="1"/>
  <c r="Q836" i="1"/>
  <c r="Q2076" i="1"/>
  <c r="W2076" i="1" a="1"/>
  <c r="W2076" i="1" s="1"/>
  <c r="X2076" i="1" s="1"/>
  <c r="W2126" i="1" a="1"/>
  <c r="W2126" i="1" s="1"/>
  <c r="X2126" i="1" s="1"/>
  <c r="Q2126" i="1"/>
  <c r="W782" i="1" a="1"/>
  <c r="W782" i="1" s="1"/>
  <c r="X782" i="1" s="1"/>
  <c r="Q782" i="1"/>
  <c r="Q2067" i="1"/>
  <c r="W2067" i="1" a="1"/>
  <c r="W2067" i="1" s="1"/>
  <c r="X2067" i="1" s="1"/>
  <c r="Q2063" i="1"/>
  <c r="W2063" i="1" a="1"/>
  <c r="W2063" i="1" s="1"/>
  <c r="X2063" i="1" s="1"/>
  <c r="W778" i="1" a="1"/>
  <c r="W778" i="1" s="1"/>
  <c r="X778" i="1" s="1"/>
  <c r="Q778" i="1"/>
  <c r="O1488" i="1"/>
  <c r="Q2118" i="1"/>
  <c r="W2118" i="1" a="1"/>
  <c r="W2118" i="1" s="1"/>
  <c r="X2118" i="1" s="1"/>
  <c r="Q2120" i="1"/>
  <c r="W2120" i="1" a="1"/>
  <c r="W2120" i="1" s="1"/>
  <c r="X2120" i="1" s="1"/>
  <c r="W2094" i="1" a="1"/>
  <c r="W2094" i="1" s="1"/>
  <c r="X2094" i="1" s="1"/>
  <c r="Q2094" i="1"/>
  <c r="W2122" i="1" a="1"/>
  <c r="W2122" i="1" s="1"/>
  <c r="X2122" i="1" s="1"/>
  <c r="Q2122" i="1"/>
  <c r="W774" i="1" a="1"/>
  <c r="W774" i="1" s="1"/>
  <c r="X774" i="1" s="1"/>
  <c r="Q774" i="1"/>
  <c r="W894" i="1" a="1"/>
  <c r="W894" i="1" s="1"/>
  <c r="X894" i="1" s="1"/>
  <c r="Q894" i="1"/>
  <c r="O357" i="1"/>
  <c r="Q55" i="1"/>
  <c r="O86" i="1"/>
  <c r="O186" i="1"/>
  <c r="Q1015" i="1"/>
  <c r="O2049" i="1"/>
  <c r="W2117" i="1" a="1"/>
  <c r="W2117" i="1" s="1"/>
  <c r="X2117" i="1" s="1"/>
  <c r="Q2117" i="1"/>
  <c r="W2048" i="1" a="1"/>
  <c r="W2048" i="1" s="1"/>
  <c r="X2048" i="1" s="1"/>
  <c r="Q2048" i="1"/>
  <c r="W773" i="1" a="1"/>
  <c r="W773" i="1" s="1"/>
  <c r="X773" i="1" s="1"/>
  <c r="Q773" i="1"/>
  <c r="W902" i="1" a="1"/>
  <c r="W902" i="1" s="1"/>
  <c r="X902" i="1" s="1"/>
  <c r="Q902" i="1"/>
  <c r="W2105" i="1" a="1"/>
  <c r="W2105" i="1" s="1"/>
  <c r="X2105" i="1" s="1"/>
  <c r="Q2105" i="1"/>
  <c r="O2121" i="1"/>
  <c r="Q903" i="1"/>
  <c r="W903" i="1" a="1"/>
  <c r="W903" i="1" s="1"/>
  <c r="X903" i="1" s="1"/>
  <c r="W2103" i="1" a="1"/>
  <c r="W2103" i="1" s="1"/>
  <c r="X2103" i="1" s="1"/>
  <c r="Q2103" i="1"/>
  <c r="O2119" i="1"/>
  <c r="O2111" i="1"/>
  <c r="Q2065" i="1"/>
  <c r="W2065" i="1" a="1"/>
  <c r="W2065" i="1" s="1"/>
  <c r="X2065" i="1" s="1"/>
  <c r="Q2125" i="1"/>
  <c r="W2125" i="1" a="1"/>
  <c r="W2125" i="1" s="1"/>
  <c r="X2125" i="1" s="1"/>
  <c r="N400" i="1" l="1"/>
  <c r="O400" i="1" s="1"/>
  <c r="N262" i="1"/>
  <c r="N673" i="1"/>
  <c r="N960" i="1"/>
  <c r="N1528" i="1"/>
  <c r="O1528" i="1" s="1"/>
  <c r="N1522" i="1"/>
  <c r="O1522" i="1" s="1"/>
  <c r="N963" i="1"/>
  <c r="O963" i="1" s="1"/>
  <c r="N845" i="1"/>
  <c r="O845" i="1" s="1"/>
  <c r="N1691" i="1"/>
  <c r="N921" i="1"/>
  <c r="O921" i="1" s="1"/>
  <c r="N831" i="1"/>
  <c r="O831" i="1" s="1"/>
  <c r="N1526" i="1"/>
  <c r="O1526" i="1" s="1"/>
  <c r="N1519" i="1"/>
  <c r="O1519" i="1" s="1"/>
  <c r="N844" i="1"/>
  <c r="N502" i="1"/>
  <c r="O502" i="1" s="1"/>
  <c r="N834" i="1"/>
  <c r="N1527" i="1"/>
  <c r="O1527" i="1" s="1"/>
  <c r="N1520" i="1"/>
  <c r="O1520" i="1" s="1"/>
  <c r="N1468" i="1"/>
  <c r="O1468" i="1" s="1"/>
  <c r="N269" i="1"/>
  <c r="N1534" i="1"/>
  <c r="O1534" i="1" s="1"/>
  <c r="N1539" i="1"/>
  <c r="O1539" i="1" s="1"/>
  <c r="N1489" i="1"/>
  <c r="O1489" i="1" s="1"/>
  <c r="N969" i="1"/>
  <c r="N1008" i="1"/>
  <c r="O1008" i="1" s="1"/>
  <c r="N820" i="1"/>
  <c r="O820" i="1" s="1"/>
  <c r="N1012" i="1"/>
  <c r="N934" i="1"/>
  <c r="O934" i="1" s="1"/>
  <c r="N1663" i="1"/>
  <c r="O1663" i="1" s="1"/>
  <c r="N1429" i="1"/>
  <c r="N977" i="1"/>
  <c r="O977" i="1" s="1"/>
  <c r="N1832" i="1"/>
  <c r="O1832" i="1" s="1"/>
  <c r="N1555" i="1"/>
  <c r="O1555" i="1" s="1"/>
  <c r="N827" i="1"/>
  <c r="N942" i="1"/>
  <c r="N833" i="1"/>
  <c r="O833" i="1" s="1"/>
  <c r="N823" i="1"/>
  <c r="O823" i="1" s="1"/>
  <c r="N988" i="1"/>
  <c r="N973" i="1"/>
  <c r="N863" i="1"/>
  <c r="O863" i="1" s="1"/>
  <c r="N971" i="1"/>
  <c r="O971" i="1" s="1"/>
  <c r="N325" i="1"/>
  <c r="O325" i="1" s="1"/>
  <c r="N857" i="1"/>
  <c r="O857" i="1" s="1"/>
  <c r="N1826" i="1"/>
  <c r="N998" i="1"/>
  <c r="O998" i="1" s="1"/>
  <c r="N1664" i="1"/>
  <c r="N339" i="1"/>
  <c r="O339" i="1" s="1"/>
  <c r="N471" i="1"/>
  <c r="O471" i="1" s="1"/>
  <c r="N826" i="1"/>
  <c r="O826" i="1" s="1"/>
  <c r="N947" i="1"/>
  <c r="O947" i="1" s="1"/>
  <c r="N1478" i="1"/>
  <c r="O1478" i="1" s="1"/>
  <c r="N1824" i="1"/>
  <c r="O1824" i="1" s="1"/>
  <c r="N1822" i="1"/>
  <c r="N420" i="1"/>
  <c r="O420" i="1" s="1"/>
  <c r="N810" i="1"/>
  <c r="O810" i="1" s="1"/>
  <c r="N630" i="1"/>
  <c r="O630" i="1" s="1"/>
  <c r="N444" i="1"/>
  <c r="O444" i="1" s="1"/>
  <c r="N935" i="1"/>
  <c r="O935" i="1" s="1"/>
  <c r="N962" i="1"/>
  <c r="O962" i="1" s="1"/>
  <c r="N1327" i="1"/>
  <c r="O1327" i="1" s="1"/>
  <c r="N840" i="1"/>
  <c r="O840" i="1" s="1"/>
  <c r="N1518" i="1"/>
  <c r="O1518" i="1" s="1"/>
  <c r="N1665" i="1"/>
  <c r="N1504" i="1"/>
  <c r="N1506" i="1"/>
  <c r="O1506" i="1" s="1"/>
  <c r="N493" i="1"/>
  <c r="N405" i="1"/>
  <c r="O405" i="1" s="1"/>
  <c r="N462" i="1"/>
  <c r="O462" i="1" s="1"/>
  <c r="N1238" i="1"/>
  <c r="O1238" i="1" s="1"/>
  <c r="N949" i="1"/>
  <c r="O949" i="1" s="1"/>
  <c r="N939" i="1"/>
  <c r="O939" i="1" s="1"/>
  <c r="N1487" i="1"/>
  <c r="O1487" i="1" s="1"/>
  <c r="N604" i="1"/>
  <c r="N446" i="1"/>
  <c r="O446" i="1" s="1"/>
  <c r="N1494" i="1"/>
  <c r="O1494" i="1" s="1"/>
  <c r="N1472" i="1"/>
  <c r="N95" i="1"/>
  <c r="O95" i="1" s="1"/>
  <c r="N923" i="1"/>
  <c r="O923" i="1" s="1"/>
  <c r="N1439" i="1"/>
  <c r="N933" i="1"/>
  <c r="N441" i="1"/>
  <c r="O441" i="1" s="1"/>
  <c r="N1507" i="1"/>
  <c r="O1507" i="1" s="1"/>
  <c r="N859" i="1"/>
  <c r="O859" i="1" s="1"/>
  <c r="N1523" i="1"/>
  <c r="O1523" i="1" s="1"/>
  <c r="N1475" i="1"/>
  <c r="O1475" i="1" s="1"/>
  <c r="N1473" i="1"/>
  <c r="O1473" i="1" s="1"/>
  <c r="N455" i="1"/>
  <c r="O455" i="1" s="1"/>
  <c r="N1816" i="1"/>
  <c r="O1816" i="1" s="1"/>
  <c r="N1236" i="1"/>
  <c r="O1236" i="1" s="1"/>
  <c r="N96" i="1"/>
  <c r="O96" i="1" s="1"/>
  <c r="N1702" i="1"/>
  <c r="N1402" i="1"/>
  <c r="N1476" i="1"/>
  <c r="O1476" i="1" s="1"/>
  <c r="N1294" i="1"/>
  <c r="O1294" i="1" s="1"/>
  <c r="N121" i="1"/>
  <c r="O121" i="1" s="1"/>
  <c r="N1364" i="1"/>
  <c r="N948" i="1"/>
  <c r="O948" i="1" s="1"/>
  <c r="N251" i="1"/>
  <c r="O251" i="1" s="1"/>
  <c r="N451" i="1"/>
  <c r="O451" i="1" s="1"/>
  <c r="N1500" i="1"/>
  <c r="N1483" i="1"/>
  <c r="O1483" i="1" s="1"/>
  <c r="N1322" i="1"/>
  <c r="O1322" i="1" s="1"/>
  <c r="N454" i="1"/>
  <c r="N940" i="1"/>
  <c r="N936" i="1"/>
  <c r="O936" i="1" s="1"/>
  <c r="N927" i="1"/>
  <c r="O927" i="1" s="1"/>
  <c r="N952" i="1"/>
  <c r="O952" i="1" s="1"/>
  <c r="N2007" i="1"/>
  <c r="N495" i="1"/>
  <c r="O495" i="1" s="1"/>
  <c r="N496" i="1"/>
  <c r="O496" i="1" s="1"/>
  <c r="N244" i="1"/>
  <c r="N253" i="1"/>
  <c r="N1819" i="1"/>
  <c r="N498" i="1"/>
  <c r="O498" i="1" s="1"/>
  <c r="N134" i="1"/>
  <c r="N106" i="1"/>
  <c r="O106" i="1" s="1"/>
  <c r="N503" i="1"/>
  <c r="O503" i="1" s="1"/>
  <c r="N511" i="1"/>
  <c r="O511" i="1" s="1"/>
  <c r="N234" i="1"/>
  <c r="N2040" i="1"/>
  <c r="N1833" i="1"/>
  <c r="N466" i="1"/>
  <c r="O466" i="1" s="1"/>
  <c r="N505" i="1"/>
  <c r="O505" i="1" s="1"/>
  <c r="N494" i="1"/>
  <c r="O494" i="1" s="1"/>
  <c r="N522" i="1"/>
  <c r="O522" i="1" s="1"/>
  <c r="N315" i="1"/>
  <c r="O315" i="1" s="1"/>
  <c r="N115" i="1"/>
  <c r="O115" i="1" s="1"/>
  <c r="N102" i="1"/>
  <c r="O102" i="1" s="1"/>
  <c r="N1384" i="1"/>
  <c r="N1227" i="1"/>
  <c r="O1227" i="1" s="1"/>
  <c r="N240" i="1"/>
  <c r="O240" i="1" s="1"/>
  <c r="N944" i="1"/>
  <c r="N951" i="1"/>
  <c r="O951" i="1" s="1"/>
  <c r="N246" i="1"/>
  <c r="O246" i="1" s="1"/>
  <c r="N608" i="1"/>
  <c r="N512" i="1"/>
  <c r="O512" i="1" s="1"/>
  <c r="N105" i="1"/>
  <c r="O105" i="1" s="1"/>
  <c r="N113" i="1"/>
  <c r="O113" i="1" s="1"/>
  <c r="N520" i="1"/>
  <c r="O520" i="1" s="1"/>
  <c r="N2042" i="1"/>
  <c r="N513" i="1"/>
  <c r="O513" i="1" s="1"/>
  <c r="N521" i="1"/>
  <c r="O521" i="1" s="1"/>
  <c r="N380" i="1"/>
  <c r="O380" i="1" s="1"/>
  <c r="N2011" i="1"/>
  <c r="O2011" i="1" s="1"/>
  <c r="N1820" i="1"/>
  <c r="O1820" i="1" s="1"/>
  <c r="N236" i="1"/>
  <c r="N508" i="1"/>
  <c r="O508" i="1" s="1"/>
  <c r="N506" i="1"/>
  <c r="O506" i="1" s="1"/>
  <c r="N509" i="1"/>
  <c r="O509" i="1" s="1"/>
  <c r="N1694" i="1"/>
  <c r="N118" i="1"/>
  <c r="N109" i="1"/>
  <c r="O109" i="1" s="1"/>
  <c r="N235" i="1"/>
  <c r="O235" i="1" s="1"/>
  <c r="N1628" i="1"/>
  <c r="N1830" i="1"/>
  <c r="N510" i="1"/>
  <c r="N523" i="1"/>
  <c r="N499" i="1"/>
  <c r="O499" i="1" s="1"/>
  <c r="N1675" i="1"/>
  <c r="N337" i="1"/>
  <c r="O337" i="1" s="1"/>
  <c r="N125" i="1"/>
  <c r="O125" i="1" s="1"/>
  <c r="N112" i="1"/>
  <c r="N487" i="1"/>
  <c r="O487" i="1" s="1"/>
  <c r="N1449" i="1"/>
  <c r="O1449" i="1" s="1"/>
  <c r="N248" i="1"/>
  <c r="N1634" i="1"/>
  <c r="N825" i="1"/>
  <c r="O825" i="1" s="1"/>
  <c r="N99" i="1"/>
  <c r="N209" i="1"/>
  <c r="N232" i="1"/>
  <c r="N497" i="1"/>
  <c r="O497" i="1" s="1"/>
  <c r="N1633" i="1"/>
  <c r="N1827" i="1"/>
  <c r="O1827" i="1" s="1"/>
  <c r="N144" i="1"/>
  <c r="O144" i="1" s="1"/>
  <c r="N518" i="1"/>
  <c r="O518" i="1" s="1"/>
  <c r="N492" i="1"/>
  <c r="O492" i="1" s="1"/>
  <c r="N1579" i="1"/>
  <c r="N1677" i="1"/>
  <c r="N216" i="1"/>
  <c r="O216" i="1" s="1"/>
  <c r="N321" i="1"/>
  <c r="O321" i="1" s="1"/>
  <c r="N432" i="1"/>
  <c r="O432" i="1" s="1"/>
  <c r="N127" i="1"/>
  <c r="O127" i="1" s="1"/>
  <c r="N142" i="1"/>
  <c r="N483" i="1"/>
  <c r="O483" i="1" s="1"/>
  <c r="N507" i="1"/>
  <c r="O507" i="1" s="1"/>
  <c r="N966" i="1"/>
  <c r="O966" i="1" s="1"/>
  <c r="N943" i="1"/>
  <c r="O943" i="1" s="1"/>
  <c r="N196" i="1"/>
  <c r="O196" i="1" s="1"/>
  <c r="N247" i="1"/>
  <c r="O247" i="1" s="1"/>
  <c r="N1621" i="1"/>
  <c r="O1621" i="1" s="1"/>
  <c r="N814" i="1"/>
  <c r="O814" i="1" s="1"/>
  <c r="N1470" i="1"/>
  <c r="O1470" i="1" s="1"/>
  <c r="N1509" i="1"/>
  <c r="O1509" i="1" s="1"/>
  <c r="N137" i="1"/>
  <c r="O137" i="1" s="1"/>
  <c r="N515" i="1"/>
  <c r="O515" i="1" s="1"/>
  <c r="N491" i="1"/>
  <c r="N1688" i="1"/>
  <c r="N93" i="1"/>
  <c r="O93" i="1" s="1"/>
  <c r="N122" i="1"/>
  <c r="N479" i="1"/>
  <c r="O479" i="1" s="1"/>
  <c r="N1815" i="1"/>
  <c r="N519" i="1"/>
  <c r="O519" i="1" s="1"/>
  <c r="N501" i="1"/>
  <c r="O501" i="1" s="1"/>
  <c r="N1683" i="1"/>
  <c r="N103" i="1"/>
  <c r="N101" i="1"/>
  <c r="N461" i="1"/>
  <c r="O461" i="1" s="1"/>
  <c r="N257" i="1"/>
  <c r="O257" i="1" s="1"/>
  <c r="N649" i="1"/>
  <c r="N937" i="1"/>
  <c r="O937" i="1" s="1"/>
  <c r="N958" i="1"/>
  <c r="O958" i="1" s="1"/>
  <c r="N194" i="1"/>
  <c r="N231" i="1"/>
  <c r="N250" i="1"/>
  <c r="N1619" i="1"/>
  <c r="O1619" i="1" s="1"/>
  <c r="N385" i="1"/>
  <c r="O385" i="1" s="1"/>
  <c r="N1471" i="1"/>
  <c r="O1471" i="1" s="1"/>
  <c r="N60" i="1"/>
  <c r="N872" i="1"/>
  <c r="O872" i="1" s="1"/>
  <c r="N9" i="1"/>
  <c r="O9" i="1" s="1"/>
  <c r="N27" i="1"/>
  <c r="O27" i="1" s="1"/>
  <c r="N26" i="1"/>
  <c r="O26" i="1" s="1"/>
  <c r="N20" i="1"/>
  <c r="O20" i="1" s="1"/>
  <c r="N40" i="1"/>
  <c r="O40" i="1" s="1"/>
  <c r="Q519" i="1"/>
  <c r="N1570" i="1"/>
  <c r="O1570" i="1" s="1"/>
  <c r="N1561" i="1"/>
  <c r="O1561" i="1" s="1"/>
  <c r="N889" i="1"/>
  <c r="N883" i="1"/>
  <c r="O883" i="1" s="1"/>
  <c r="N891" i="1"/>
  <c r="N867" i="1"/>
  <c r="O867" i="1" s="1"/>
  <c r="N885" i="1"/>
  <c r="O885" i="1" s="1"/>
  <c r="N1717" i="1"/>
  <c r="N1557" i="1"/>
  <c r="O1557" i="1" s="1"/>
  <c r="N1591" i="1"/>
  <c r="O1591" i="1" s="1"/>
  <c r="N1546" i="1"/>
  <c r="O1546" i="1" s="1"/>
  <c r="N1563" i="1"/>
  <c r="N1551" i="1"/>
  <c r="O1551" i="1" s="1"/>
  <c r="N1581" i="1"/>
  <c r="O1581" i="1" s="1"/>
  <c r="N1550" i="1"/>
  <c r="O1550" i="1" s="1"/>
  <c r="N1588" i="1"/>
  <c r="O1588" i="1" s="1"/>
  <c r="N1568" i="1"/>
  <c r="O1568" i="1" s="1"/>
  <c r="N1603" i="1"/>
  <c r="N1575" i="1"/>
  <c r="O1575" i="1" s="1"/>
  <c r="N1151" i="1"/>
  <c r="O1151" i="1" s="1"/>
  <c r="N1123" i="1"/>
  <c r="N1130" i="1"/>
  <c r="O1130" i="1" s="1"/>
  <c r="N1140" i="1"/>
  <c r="O1140" i="1" s="1"/>
  <c r="N1143" i="1"/>
  <c r="O1143" i="1" s="1"/>
  <c r="N1730" i="1"/>
  <c r="O1730" i="1" s="1"/>
  <c r="N1732" i="1"/>
  <c r="N1719" i="1"/>
  <c r="N1713" i="1"/>
  <c r="N1711" i="1"/>
  <c r="N1701" i="1"/>
  <c r="N1718" i="1"/>
  <c r="N1715" i="1"/>
  <c r="N1727" i="1"/>
  <c r="N723" i="1"/>
  <c r="N715" i="1"/>
  <c r="O715" i="1" s="1"/>
  <c r="N716" i="1"/>
  <c r="O716" i="1" s="1"/>
  <c r="N893" i="1"/>
  <c r="O893" i="1" s="1"/>
  <c r="N2035" i="1"/>
  <c r="N2037" i="1"/>
  <c r="N2044" i="1"/>
  <c r="N2017" i="1"/>
  <c r="N871" i="1"/>
  <c r="O871" i="1" s="1"/>
  <c r="N881" i="1"/>
  <c r="O881" i="1" s="1"/>
  <c r="N888" i="1"/>
  <c r="O888" i="1" s="1"/>
  <c r="N1001" i="1"/>
  <c r="N972" i="1"/>
  <c r="N982" i="1"/>
  <c r="N999" i="1"/>
  <c r="O999" i="1" s="1"/>
  <c r="N1015" i="1"/>
  <c r="O1015" i="1" s="1"/>
  <c r="N1003" i="1"/>
  <c r="N1011" i="1"/>
  <c r="N993" i="1"/>
  <c r="N981" i="1"/>
  <c r="O981" i="1" s="1"/>
  <c r="N979" i="1"/>
  <c r="N975" i="1"/>
  <c r="O975" i="1" s="1"/>
  <c r="N1013" i="1"/>
  <c r="N991" i="1"/>
  <c r="O991" i="1" s="1"/>
  <c r="N985" i="1"/>
  <c r="O985" i="1" s="1"/>
  <c r="N987" i="1"/>
  <c r="O987" i="1" s="1"/>
  <c r="N875" i="1"/>
  <c r="O875" i="1" s="1"/>
  <c r="N1401" i="1"/>
  <c r="N1416" i="1"/>
  <c r="N1431" i="1"/>
  <c r="N878" i="1"/>
  <c r="O878" i="1" s="1"/>
  <c r="N873" i="1"/>
  <c r="N1814" i="1"/>
  <c r="N1828" i="1"/>
  <c r="O1828" i="1" s="1"/>
  <c r="N1817" i="1"/>
  <c r="O1817" i="1" s="1"/>
  <c r="N1813" i="1"/>
  <c r="N1821" i="1"/>
  <c r="O1821" i="1" s="1"/>
  <c r="N1811" i="1"/>
  <c r="N1836" i="1"/>
  <c r="O1836" i="1" s="1"/>
  <c r="N1547" i="1"/>
  <c r="O1547" i="1" s="1"/>
  <c r="N824" i="1"/>
  <c r="O824" i="1" s="1"/>
  <c r="N1479" i="1"/>
  <c r="N1499" i="1"/>
  <c r="O1499" i="1" s="1"/>
  <c r="N1693" i="1"/>
  <c r="O1693" i="1" s="1"/>
  <c r="N332" i="1"/>
  <c r="O332" i="1" s="1"/>
  <c r="N1299" i="1"/>
  <c r="O1299" i="1" s="1"/>
  <c r="N393" i="1"/>
  <c r="O393" i="1" s="1"/>
  <c r="N746" i="1"/>
  <c r="O746" i="1" s="1"/>
  <c r="N1695" i="1"/>
  <c r="N1678" i="1"/>
  <c r="N297" i="1"/>
  <c r="O297" i="1" s="1"/>
  <c r="N309" i="1"/>
  <c r="O309" i="1" s="1"/>
  <c r="N306" i="1"/>
  <c r="O306" i="1" s="1"/>
  <c r="N1301" i="1"/>
  <c r="O1301" i="1" s="1"/>
  <c r="N427" i="1"/>
  <c r="O427" i="1" s="1"/>
  <c r="N110" i="1"/>
  <c r="N119" i="1"/>
  <c r="N139" i="1"/>
  <c r="O139" i="1" s="1"/>
  <c r="N765" i="1"/>
  <c r="O765" i="1" s="1"/>
  <c r="N192" i="1"/>
  <c r="N237" i="1"/>
  <c r="O237" i="1" s="1"/>
  <c r="N864" i="1"/>
  <c r="O864" i="1" s="1"/>
  <c r="N852" i="1"/>
  <c r="O852" i="1" s="1"/>
  <c r="N1650" i="1"/>
  <c r="O1650" i="1" s="1"/>
  <c r="N813" i="1"/>
  <c r="N1485" i="1"/>
  <c r="O1485" i="1" s="1"/>
  <c r="N1510" i="1"/>
  <c r="O1510" i="1" s="1"/>
  <c r="N1491" i="1"/>
  <c r="O1491" i="1" s="1"/>
  <c r="N1503" i="1"/>
  <c r="O1503" i="1" s="1"/>
  <c r="N334" i="1"/>
  <c r="O334" i="1" s="1"/>
  <c r="N312" i="1"/>
  <c r="O312" i="1" s="1"/>
  <c r="N1289" i="1"/>
  <c r="O1289" i="1" s="1"/>
  <c r="N396" i="1"/>
  <c r="O396" i="1" s="1"/>
  <c r="N742" i="1"/>
  <c r="O742" i="1" s="1"/>
  <c r="N188" i="1"/>
  <c r="O188" i="1" s="1"/>
  <c r="N219" i="1"/>
  <c r="O219" i="1" s="1"/>
  <c r="N866" i="1"/>
  <c r="O866" i="1" s="1"/>
  <c r="N851" i="1"/>
  <c r="O851" i="1" s="1"/>
  <c r="N821" i="1"/>
  <c r="O821" i="1" s="1"/>
  <c r="N1511" i="1"/>
  <c r="N861" i="1"/>
  <c r="O861" i="1" s="1"/>
  <c r="N318" i="1"/>
  <c r="O318" i="1" s="1"/>
  <c r="N331" i="1"/>
  <c r="O331" i="1" s="1"/>
  <c r="N1323" i="1"/>
  <c r="N392" i="1"/>
  <c r="O392" i="1" s="1"/>
  <c r="N195" i="1"/>
  <c r="O195" i="1" s="1"/>
  <c r="N241" i="1"/>
  <c r="N254" i="1"/>
  <c r="N838" i="1"/>
  <c r="O838" i="1" s="1"/>
  <c r="N829" i="1"/>
  <c r="O829" i="1" s="1"/>
  <c r="N1505" i="1"/>
  <c r="O1505" i="1" s="1"/>
  <c r="N1477" i="1"/>
  <c r="O1477" i="1" s="1"/>
  <c r="N1469" i="1"/>
  <c r="O1469" i="1" s="1"/>
  <c r="N205" i="1"/>
  <c r="O205" i="1" s="1"/>
  <c r="N207" i="1"/>
  <c r="O207" i="1" s="1"/>
  <c r="Q2047" i="1"/>
  <c r="O2047" i="1"/>
  <c r="N274" i="1"/>
  <c r="N1697" i="1"/>
  <c r="O1697" i="1" s="1"/>
  <c r="N124" i="1"/>
  <c r="N335" i="1"/>
  <c r="O335" i="1" s="1"/>
  <c r="N126" i="1"/>
  <c r="O126" i="1" s="1"/>
  <c r="N128" i="1"/>
  <c r="N123" i="1"/>
  <c r="N865" i="1"/>
  <c r="O865" i="1" s="1"/>
  <c r="N208" i="1"/>
  <c r="O208" i="1" s="1"/>
  <c r="N837" i="1"/>
  <c r="O837" i="1" s="1"/>
  <c r="N265" i="1"/>
  <c r="O265" i="1" s="1"/>
  <c r="N1698" i="1"/>
  <c r="O1698" i="1" s="1"/>
  <c r="N296" i="1"/>
  <c r="N143" i="1"/>
  <c r="N138" i="1"/>
  <c r="N141" i="1"/>
  <c r="N486" i="1"/>
  <c r="O486" i="1" s="1"/>
  <c r="N956" i="1"/>
  <c r="O956" i="1" s="1"/>
  <c r="N938" i="1"/>
  <c r="O938" i="1" s="1"/>
  <c r="N931" i="1"/>
  <c r="O931" i="1" s="1"/>
  <c r="N203" i="1"/>
  <c r="O203" i="1" s="1"/>
  <c r="N229" i="1"/>
  <c r="N846" i="1"/>
  <c r="O846" i="1" s="1"/>
  <c r="N858" i="1"/>
  <c r="O858" i="1" s="1"/>
  <c r="N819" i="1"/>
  <c r="O819" i="1" s="1"/>
  <c r="N1490" i="1"/>
  <c r="O1490" i="1" s="1"/>
  <c r="N1497" i="1"/>
  <c r="O1497" i="1" s="1"/>
  <c r="N1482" i="1"/>
  <c r="O1482" i="1" s="1"/>
  <c r="O1183" i="1"/>
  <c r="W2102" i="1" a="1"/>
  <c r="W2102" i="1" s="1"/>
  <c r="X2102" i="1" s="1"/>
  <c r="Q2102" i="1"/>
  <c r="N1898" i="1"/>
  <c r="N1896" i="1"/>
  <c r="N1897" i="1"/>
  <c r="N1893" i="1"/>
  <c r="N1911" i="1"/>
  <c r="N1903" i="1"/>
  <c r="N1909" i="1"/>
  <c r="N1907" i="1"/>
  <c r="N1906" i="1"/>
  <c r="O1021" i="1"/>
  <c r="O1259" i="1"/>
  <c r="O1242" i="1"/>
  <c r="O365" i="1"/>
  <c r="O1826" i="1"/>
  <c r="N1188" i="1"/>
  <c r="N1162" i="1"/>
  <c r="N1173" i="1"/>
  <c r="O2007" i="1"/>
  <c r="O827" i="1"/>
  <c r="N1268" i="1"/>
  <c r="N1226" i="1"/>
  <c r="N1321" i="1"/>
  <c r="N1266" i="1"/>
  <c r="N1273" i="1"/>
  <c r="N1253" i="1"/>
  <c r="N1254" i="1"/>
  <c r="N1255" i="1"/>
  <c r="N1252" i="1"/>
  <c r="N1271" i="1"/>
  <c r="N1260" i="1"/>
  <c r="N1261" i="1"/>
  <c r="N1263" i="1"/>
  <c r="N1958" i="1"/>
  <c r="N1978" i="1"/>
  <c r="N1980" i="1"/>
  <c r="N1997" i="1"/>
  <c r="N1910" i="1"/>
  <c r="N574" i="1"/>
  <c r="N578" i="1"/>
  <c r="N2014" i="1"/>
  <c r="N2041" i="1"/>
  <c r="N2009" i="1"/>
  <c r="N2022" i="1"/>
  <c r="N2005" i="1"/>
  <c r="N2006" i="1"/>
  <c r="N2020" i="1"/>
  <c r="N2008" i="1"/>
  <c r="N2021" i="1"/>
  <c r="N2026" i="1"/>
  <c r="N2033" i="1"/>
  <c r="N2027" i="1"/>
  <c r="N2039" i="1"/>
  <c r="N2034" i="1"/>
  <c r="N2030" i="1"/>
  <c r="N2029" i="1"/>
  <c r="N2036" i="1"/>
  <c r="N2016" i="1"/>
  <c r="N2038" i="1"/>
  <c r="N2018" i="1"/>
  <c r="N2013" i="1"/>
  <c r="N2015" i="1"/>
  <c r="N2045" i="1"/>
  <c r="N2043" i="1"/>
  <c r="N2019" i="1"/>
  <c r="N1762" i="1"/>
  <c r="N1751" i="1"/>
  <c r="N1746" i="1"/>
  <c r="N1750" i="1"/>
  <c r="N1753" i="1"/>
  <c r="N1758" i="1"/>
  <c r="N1743" i="1"/>
  <c r="N1738" i="1"/>
  <c r="N1754" i="1"/>
  <c r="N1759" i="1"/>
  <c r="N1765" i="1"/>
  <c r="O1830" i="1"/>
  <c r="N566" i="1"/>
  <c r="N571" i="1"/>
  <c r="N584" i="1"/>
  <c r="N589" i="1"/>
  <c r="N585" i="1"/>
  <c r="N562" i="1"/>
  <c r="N568" i="1"/>
  <c r="N563" i="1"/>
  <c r="N580" i="1"/>
  <c r="N561" i="1"/>
  <c r="N565" i="1"/>
  <c r="N587" i="1"/>
  <c r="N576" i="1"/>
  <c r="N592" i="1"/>
  <c r="N596" i="1"/>
  <c r="N577" i="1"/>
  <c r="N591" i="1"/>
  <c r="N586" i="1"/>
  <c r="N595" i="1"/>
  <c r="N590" i="1"/>
  <c r="N581" i="1"/>
  <c r="N575" i="1"/>
  <c r="N583" i="1"/>
  <c r="N564" i="1"/>
  <c r="N572" i="1"/>
  <c r="N594" i="1"/>
  <c r="N569" i="1"/>
  <c r="N579" i="1"/>
  <c r="N570" i="1"/>
  <c r="N573" i="1"/>
  <c r="N2025" i="1"/>
  <c r="N685" i="1"/>
  <c r="N671" i="1"/>
  <c r="N695" i="1"/>
  <c r="N683" i="1"/>
  <c r="N693" i="1"/>
  <c r="N678" i="1"/>
  <c r="N675" i="1"/>
  <c r="N676" i="1"/>
  <c r="N694" i="1"/>
  <c r="N691" i="1"/>
  <c r="N686" i="1"/>
  <c r="N689" i="1"/>
  <c r="N674" i="1"/>
  <c r="N681" i="1"/>
  <c r="N677" i="1"/>
  <c r="O1745" i="1"/>
  <c r="O1006" i="1"/>
  <c r="O889" i="1"/>
  <c r="N1766" i="1"/>
  <c r="N1423" i="1"/>
  <c r="N1755" i="1"/>
  <c r="N2024" i="1"/>
  <c r="N2032" i="1"/>
  <c r="N1035" i="1"/>
  <c r="N1333" i="1"/>
  <c r="O1429" i="1"/>
  <c r="O342" i="1"/>
  <c r="O1005" i="1"/>
  <c r="N2012" i="1"/>
  <c r="N662" i="1"/>
  <c r="N659" i="1"/>
  <c r="N646" i="1"/>
  <c r="N644" i="1"/>
  <c r="N639" i="1"/>
  <c r="N667" i="1"/>
  <c r="N647" i="1"/>
  <c r="N666" i="1"/>
  <c r="N670" i="1"/>
  <c r="N668" i="1"/>
  <c r="N641" i="1"/>
  <c r="N648" i="1"/>
  <c r="N661" i="1"/>
  <c r="N645" i="1"/>
  <c r="N640" i="1"/>
  <c r="N652" i="1"/>
  <c r="N638" i="1"/>
  <c r="N1343" i="1"/>
  <c r="N588" i="1"/>
  <c r="N1421" i="1"/>
  <c r="N1418" i="1"/>
  <c r="N1428" i="1"/>
  <c r="N1411" i="1"/>
  <c r="N1415" i="1"/>
  <c r="N1413" i="1"/>
  <c r="N1420" i="1"/>
  <c r="N1412" i="1"/>
  <c r="N1430" i="1"/>
  <c r="N1410" i="1"/>
  <c r="N2023" i="1"/>
  <c r="N1737" i="1"/>
  <c r="N1060" i="1"/>
  <c r="N1033" i="1"/>
  <c r="N1045" i="1"/>
  <c r="N1037" i="1"/>
  <c r="N1049" i="1"/>
  <c r="N1038" i="1"/>
  <c r="N1031" i="1"/>
  <c r="N868" i="1"/>
  <c r="N1053" i="1"/>
  <c r="N1048" i="1"/>
  <c r="N699" i="1"/>
  <c r="N731" i="1"/>
  <c r="N698" i="1"/>
  <c r="N706" i="1"/>
  <c r="N726" i="1"/>
  <c r="N709" i="1"/>
  <c r="N719" i="1"/>
  <c r="N725" i="1"/>
  <c r="N724" i="1"/>
  <c r="N720" i="1"/>
  <c r="N711" i="1"/>
  <c r="N732" i="1"/>
  <c r="N730" i="1"/>
  <c r="N722" i="1"/>
  <c r="N713" i="1"/>
  <c r="N701" i="1"/>
  <c r="N705" i="1"/>
  <c r="N717" i="1"/>
  <c r="N700" i="1"/>
  <c r="N567" i="1"/>
  <c r="N1744" i="1"/>
  <c r="N2010" i="1"/>
  <c r="N1447" i="1"/>
  <c r="N1463" i="1"/>
  <c r="N1455" i="1"/>
  <c r="N1462" i="1"/>
  <c r="N1456" i="1"/>
  <c r="N1452" i="1"/>
  <c r="N1446" i="1"/>
  <c r="N1458" i="1"/>
  <c r="N1460" i="1"/>
  <c r="N1448" i="1"/>
  <c r="N1459" i="1"/>
  <c r="N1450" i="1"/>
  <c r="N1451" i="1"/>
  <c r="N1454" i="1"/>
  <c r="N1461" i="1"/>
  <c r="N1440" i="1"/>
  <c r="N1324" i="1"/>
  <c r="N1359" i="1"/>
  <c r="N1340" i="1"/>
  <c r="N1328" i="1"/>
  <c r="N1330" i="1"/>
  <c r="N1351" i="1"/>
  <c r="N1345" i="1"/>
  <c r="N1357" i="1"/>
  <c r="N1349" i="1"/>
  <c r="N1355" i="1"/>
  <c r="N1353" i="1"/>
  <c r="N1335" i="1"/>
  <c r="N1339" i="1"/>
  <c r="N1350" i="1"/>
  <c r="N1356" i="1"/>
  <c r="N1347" i="1"/>
  <c r="N1341" i="1"/>
  <c r="N1354" i="1"/>
  <c r="N1346" i="1"/>
  <c r="N1344" i="1"/>
  <c r="N560" i="1"/>
  <c r="N593" i="1"/>
  <c r="N464" i="1"/>
  <c r="N305" i="1"/>
  <c r="N327" i="1"/>
  <c r="N301" i="1"/>
  <c r="N1145" i="1"/>
  <c r="N1300" i="1"/>
  <c r="N1293" i="1"/>
  <c r="N488" i="1"/>
  <c r="N470" i="1"/>
  <c r="N950" i="1"/>
  <c r="N1243" i="1"/>
  <c r="N1725" i="1"/>
  <c r="N1721" i="1"/>
  <c r="N917" i="1"/>
  <c r="N965" i="1"/>
  <c r="N926" i="1"/>
  <c r="N919" i="1"/>
  <c r="N928" i="1"/>
  <c r="N225" i="1"/>
  <c r="N201" i="1"/>
  <c r="N1358" i="1"/>
  <c r="N159" i="1"/>
  <c r="N828" i="1"/>
  <c r="N855" i="1"/>
  <c r="N839" i="1"/>
  <c r="N1515" i="1"/>
  <c r="N1529" i="1"/>
  <c r="N1541" i="1"/>
  <c r="N384" i="1"/>
  <c r="N1835" i="1"/>
  <c r="N1810" i="1"/>
  <c r="N314" i="1"/>
  <c r="N304" i="1"/>
  <c r="N336" i="1"/>
  <c r="N303" i="1"/>
  <c r="N329" i="1"/>
  <c r="N1133" i="1"/>
  <c r="N1306" i="1"/>
  <c r="N1281" i="1"/>
  <c r="N419" i="1"/>
  <c r="N467" i="1"/>
  <c r="N478" i="1"/>
  <c r="N1228" i="1"/>
  <c r="N1735" i="1"/>
  <c r="N1733" i="1"/>
  <c r="N925" i="1"/>
  <c r="N929" i="1"/>
  <c r="N932" i="1"/>
  <c r="N968" i="1"/>
  <c r="N922" i="1"/>
  <c r="N193" i="1"/>
  <c r="O193" i="1" s="1"/>
  <c r="N221" i="1"/>
  <c r="N258" i="1"/>
  <c r="N151" i="1"/>
  <c r="N843" i="1"/>
  <c r="N848" i="1"/>
  <c r="N842" i="1"/>
  <c r="N1535" i="1"/>
  <c r="N1531" i="1"/>
  <c r="N1521" i="1"/>
  <c r="N382" i="1"/>
  <c r="N1502" i="1"/>
  <c r="N310" i="1"/>
  <c r="N319" i="1"/>
  <c r="N302" i="1"/>
  <c r="N1142" i="1"/>
  <c r="N1320" i="1"/>
  <c r="N1313" i="1"/>
  <c r="N477" i="1"/>
  <c r="N489" i="1"/>
  <c r="N1728" i="1"/>
  <c r="N1703" i="1"/>
  <c r="N1508" i="1"/>
  <c r="N514" i="1"/>
  <c r="N606" i="1"/>
  <c r="N1319" i="1"/>
  <c r="N1309" i="1"/>
  <c r="N1825" i="1"/>
  <c r="N474" i="1"/>
  <c r="N481" i="1"/>
  <c r="N1708" i="1"/>
  <c r="N1146" i="1"/>
  <c r="N1699" i="1"/>
  <c r="N504" i="1"/>
  <c r="N877" i="1"/>
  <c r="N882" i="1"/>
  <c r="O882" i="1" s="1"/>
  <c r="N1834" i="1"/>
  <c r="N879" i="1"/>
  <c r="N1831" i="1"/>
  <c r="N1812" i="1"/>
  <c r="N1548" i="1"/>
  <c r="N1571" i="1"/>
  <c r="N326" i="1"/>
  <c r="N338" i="1"/>
  <c r="N323" i="1"/>
  <c r="N1127" i="1"/>
  <c r="N1278" i="1"/>
  <c r="N1283" i="1"/>
  <c r="N401" i="1"/>
  <c r="N762" i="1"/>
  <c r="N465" i="1"/>
  <c r="N176" i="1"/>
  <c r="N1233" i="1"/>
  <c r="N1716" i="1"/>
  <c r="N1731" i="1"/>
  <c r="N959" i="1"/>
  <c r="N945" i="1"/>
  <c r="N920" i="1"/>
  <c r="N953" i="1"/>
  <c r="N918" i="1"/>
  <c r="N215" i="1"/>
  <c r="N222" i="1"/>
  <c r="N238" i="1"/>
  <c r="N252" i="1"/>
  <c r="N1608" i="1"/>
  <c r="N1390" i="1"/>
  <c r="N856" i="1"/>
  <c r="N853" i="1"/>
  <c r="N832" i="1"/>
  <c r="N1537" i="1"/>
  <c r="N1542" i="1"/>
  <c r="N1512" i="1"/>
  <c r="N1492" i="1"/>
  <c r="N1823" i="1"/>
  <c r="N1809" i="1"/>
  <c r="N307" i="1"/>
  <c r="D9" i="8"/>
  <c r="B13" i="15"/>
  <c r="E10" i="14" s="1"/>
  <c r="N298" i="1"/>
  <c r="N299" i="1"/>
  <c r="N292" i="1"/>
  <c r="N1115" i="1"/>
  <c r="N1305" i="1"/>
  <c r="N1292" i="1"/>
  <c r="N395" i="1"/>
  <c r="N422" i="1"/>
  <c r="N484" i="1"/>
  <c r="N1726" i="1"/>
  <c r="N1710" i="1"/>
  <c r="N946" i="1"/>
  <c r="N955" i="1"/>
  <c r="N954" i="1"/>
  <c r="N941" i="1"/>
  <c r="N189" i="1"/>
  <c r="N199" i="1"/>
  <c r="N245" i="1"/>
  <c r="N249" i="1"/>
  <c r="N1609" i="1"/>
  <c r="N165" i="1"/>
  <c r="N835" i="1"/>
  <c r="N862" i="1"/>
  <c r="N841" i="1"/>
  <c r="N1545" i="1"/>
  <c r="N1543" i="1"/>
  <c r="N1530" i="1"/>
  <c r="N373" i="1"/>
  <c r="N517" i="1"/>
  <c r="O545" i="1"/>
  <c r="O1222" i="1"/>
  <c r="O1188" i="1"/>
  <c r="O1946" i="1"/>
  <c r="N1854" i="1"/>
  <c r="N1874" i="1"/>
  <c r="N1845" i="1"/>
  <c r="N1840" i="1"/>
  <c r="N1868" i="1"/>
  <c r="N1859" i="1"/>
  <c r="N1837" i="1"/>
  <c r="N1851" i="1"/>
  <c r="N1880" i="1"/>
  <c r="N1850" i="1"/>
  <c r="N1847" i="1"/>
  <c r="N1866" i="1"/>
  <c r="N1877" i="1"/>
  <c r="N1864" i="1"/>
  <c r="N1843" i="1"/>
  <c r="N1858" i="1"/>
  <c r="N1865" i="1"/>
  <c r="N1842" i="1"/>
  <c r="N1879" i="1"/>
  <c r="N1855" i="1"/>
  <c r="N1844" i="1"/>
  <c r="N1871" i="1"/>
  <c r="N1873" i="1"/>
  <c r="N1852" i="1"/>
  <c r="N1838" i="1"/>
  <c r="N1849" i="1"/>
  <c r="N1846" i="1"/>
  <c r="N1875" i="1"/>
  <c r="N1878" i="1"/>
  <c r="N1862" i="1"/>
  <c r="N1848" i="1"/>
  <c r="N1876" i="1"/>
  <c r="N1869" i="1"/>
  <c r="N1870" i="1"/>
  <c r="N1867" i="1"/>
  <c r="N1853" i="1"/>
  <c r="N1872" i="1"/>
  <c r="N1856" i="1"/>
  <c r="N1914" i="1"/>
  <c r="N1932" i="1"/>
  <c r="N1923" i="1"/>
  <c r="N1939" i="1"/>
  <c r="N1945" i="1"/>
  <c r="N1916" i="1"/>
  <c r="N1930" i="1"/>
  <c r="N1913" i="1"/>
  <c r="N1912" i="1"/>
  <c r="N1925" i="1"/>
  <c r="N1885" i="1"/>
  <c r="N1918" i="1"/>
  <c r="N1937" i="1"/>
  <c r="N1944" i="1"/>
  <c r="N1943" i="1"/>
  <c r="N1927" i="1"/>
  <c r="N1950" i="1"/>
  <c r="N1929" i="1"/>
  <c r="N1938" i="1"/>
  <c r="N1924" i="1"/>
  <c r="N1928" i="1"/>
  <c r="N1948" i="1"/>
  <c r="N1936" i="1"/>
  <c r="N1941" i="1"/>
  <c r="N1951" i="1"/>
  <c r="N1942" i="1"/>
  <c r="N1940" i="1"/>
  <c r="N1917" i="1"/>
  <c r="N1839" i="1"/>
  <c r="N1953" i="1"/>
  <c r="N1922" i="1"/>
  <c r="N1926" i="1"/>
  <c r="N1949" i="1"/>
  <c r="N1952" i="1"/>
  <c r="N1921" i="1"/>
  <c r="N1920" i="1"/>
  <c r="N1931" i="1"/>
  <c r="N1933" i="1"/>
  <c r="N2031" i="1"/>
  <c r="N1947" i="1"/>
  <c r="N1915" i="1"/>
  <c r="N1199" i="1"/>
  <c r="O1911" i="1"/>
  <c r="N1218" i="1"/>
  <c r="N1212" i="1"/>
  <c r="O1896" i="1"/>
  <c r="O983" i="1"/>
  <c r="O2038" i="1"/>
  <c r="O2044" i="1"/>
  <c r="N1210" i="1"/>
  <c r="N1200" i="1"/>
  <c r="N1194" i="1"/>
  <c r="N1196" i="1"/>
  <c r="N1224" i="1"/>
  <c r="N1214" i="1"/>
  <c r="N1190" i="1"/>
  <c r="N1204" i="1"/>
  <c r="N1207" i="1"/>
  <c r="N1223" i="1"/>
  <c r="N1193" i="1"/>
  <c r="N1225" i="1"/>
  <c r="N1107" i="1"/>
  <c r="N1209" i="1"/>
  <c r="N1205" i="1"/>
  <c r="N1208" i="1"/>
  <c r="N1216" i="1"/>
  <c r="N1211" i="1"/>
  <c r="N1192" i="1"/>
  <c r="N1213" i="1"/>
  <c r="N1201" i="1"/>
  <c r="N1217" i="1"/>
  <c r="N1195" i="1"/>
  <c r="N1219" i="1"/>
  <c r="N1220" i="1"/>
  <c r="N1197" i="1"/>
  <c r="N1203" i="1"/>
  <c r="N1202" i="1"/>
  <c r="N1935" i="1"/>
  <c r="N536" i="1"/>
  <c r="N533" i="1"/>
  <c r="N557" i="1"/>
  <c r="N540" i="1"/>
  <c r="N530" i="1"/>
  <c r="N554" i="1"/>
  <c r="N544" i="1"/>
  <c r="N524" i="1"/>
  <c r="N550" i="1"/>
  <c r="N556" i="1"/>
  <c r="N682" i="1"/>
  <c r="N529" i="1"/>
  <c r="N634" i="1"/>
  <c r="N541" i="1"/>
  <c r="N527" i="1"/>
  <c r="N546" i="1"/>
  <c r="N535" i="1"/>
  <c r="N548" i="1"/>
  <c r="N558" i="1"/>
  <c r="N539" i="1"/>
  <c r="N559" i="1"/>
  <c r="N543" i="1"/>
  <c r="N542" i="1"/>
  <c r="N555" i="1"/>
  <c r="N531" i="1"/>
  <c r="N687" i="1"/>
  <c r="N525" i="1"/>
  <c r="N532" i="1"/>
  <c r="N537" i="1"/>
  <c r="N547" i="1"/>
  <c r="N526" i="1"/>
  <c r="N553" i="1"/>
  <c r="N528" i="1"/>
  <c r="N549" i="1"/>
  <c r="N552" i="1"/>
  <c r="N551" i="1"/>
  <c r="N534" i="1"/>
  <c r="W2052" i="1" a="1"/>
  <c r="W2052" i="1" s="1"/>
  <c r="X2052" i="1" s="1"/>
  <c r="N1860" i="1"/>
  <c r="N1215" i="1"/>
  <c r="N1160" i="1"/>
  <c r="N1156" i="1"/>
  <c r="N1174" i="1"/>
  <c r="N1186" i="1"/>
  <c r="N1184" i="1"/>
  <c r="N1164" i="1"/>
  <c r="N1176" i="1"/>
  <c r="N1180" i="1"/>
  <c r="N1170" i="1"/>
  <c r="N1167" i="1"/>
  <c r="N1157" i="1"/>
  <c r="N1185" i="1"/>
  <c r="N1175" i="1"/>
  <c r="N1171" i="1"/>
  <c r="N1168" i="1"/>
  <c r="N1177" i="1"/>
  <c r="N1179" i="1"/>
  <c r="N1159" i="1"/>
  <c r="N1165" i="1"/>
  <c r="N1163" i="1"/>
  <c r="N1166" i="1"/>
  <c r="N1182" i="1"/>
  <c r="N1158" i="1"/>
  <c r="N1108" i="1"/>
  <c r="N1181" i="1"/>
  <c r="N1172" i="1"/>
  <c r="N1178" i="1"/>
  <c r="N1169" i="1"/>
  <c r="N1189" i="1"/>
  <c r="N1161" i="1"/>
  <c r="N1861" i="1"/>
  <c r="N538" i="1"/>
  <c r="O891" i="1"/>
  <c r="N1191" i="1"/>
  <c r="N1187" i="1"/>
  <c r="O1910" i="1"/>
  <c r="N1206" i="1"/>
  <c r="N1841" i="1"/>
  <c r="O1906" i="1"/>
  <c r="N1857" i="1"/>
  <c r="N1221" i="1"/>
  <c r="N1881" i="1"/>
  <c r="O1758" i="1"/>
  <c r="N1198" i="1"/>
  <c r="N1934" i="1"/>
  <c r="N1863" i="1"/>
  <c r="N1919" i="1"/>
  <c r="O1897" i="1"/>
  <c r="O1892" i="1"/>
  <c r="O2005" i="1"/>
  <c r="N1747" i="1"/>
  <c r="N1764" i="1"/>
  <c r="N1763" i="1"/>
  <c r="N1749" i="1"/>
  <c r="N1756" i="1"/>
  <c r="N1740" i="1"/>
  <c r="N1770" i="1"/>
  <c r="N1748" i="1"/>
  <c r="N1767" i="1"/>
  <c r="N1769" i="1"/>
  <c r="N1760" i="1"/>
  <c r="N14" i="1"/>
  <c r="N4" i="1"/>
  <c r="N29" i="1"/>
  <c r="N3" i="1"/>
  <c r="N34" i="1"/>
  <c r="N24" i="1"/>
  <c r="N2" i="1"/>
  <c r="N32" i="1"/>
  <c r="N8" i="1"/>
  <c r="N16" i="1"/>
  <c r="N31" i="1"/>
  <c r="N39" i="1"/>
  <c r="N5" i="1"/>
  <c r="N33" i="1"/>
  <c r="N23" i="1"/>
  <c r="N35" i="1"/>
  <c r="N17" i="1"/>
  <c r="N1081" i="1"/>
  <c r="N1078" i="1"/>
  <c r="N1100" i="1"/>
  <c r="N1095" i="1"/>
  <c r="N1090" i="1"/>
  <c r="N1102" i="1"/>
  <c r="N1062" i="1"/>
  <c r="N1069" i="1"/>
  <c r="N1065" i="1"/>
  <c r="N1086" i="1"/>
  <c r="N1071" i="1"/>
  <c r="N1068" i="1"/>
  <c r="N1105" i="1"/>
  <c r="N1067" i="1"/>
  <c r="N1084" i="1"/>
  <c r="N1092" i="1"/>
  <c r="N1061" i="1"/>
  <c r="N1066" i="1"/>
  <c r="N1070" i="1"/>
  <c r="N1104" i="1"/>
  <c r="N1098" i="1"/>
  <c r="N1079" i="1"/>
  <c r="N1094" i="1"/>
  <c r="N1096" i="1"/>
  <c r="N1076" i="1"/>
  <c r="N1083" i="1"/>
  <c r="N1097" i="1"/>
  <c r="N1075" i="1"/>
  <c r="N1101" i="1"/>
  <c r="N1073" i="1"/>
  <c r="N1087" i="1"/>
  <c r="N1088" i="1"/>
  <c r="N1091" i="1"/>
  <c r="N1072" i="1"/>
  <c r="N1077" i="1"/>
  <c r="N1089" i="1"/>
  <c r="N597" i="1"/>
  <c r="N633" i="1"/>
  <c r="N631" i="1"/>
  <c r="N623" i="1"/>
  <c r="N618" i="1"/>
  <c r="N607" i="1"/>
  <c r="N621" i="1"/>
  <c r="N613" i="1"/>
  <c r="N612" i="1"/>
  <c r="N637" i="1"/>
  <c r="N610" i="1"/>
  <c r="N614" i="1"/>
  <c r="N602" i="1"/>
  <c r="N627" i="1"/>
  <c r="N605" i="1"/>
  <c r="N629" i="1"/>
  <c r="N619" i="1"/>
  <c r="N636" i="1"/>
  <c r="N601" i="1"/>
  <c r="N635" i="1"/>
  <c r="N632" i="1"/>
  <c r="N620" i="1"/>
  <c r="N617" i="1"/>
  <c r="N616" i="1"/>
  <c r="N599" i="1"/>
  <c r="N628" i="1"/>
  <c r="N600" i="1"/>
  <c r="N1383" i="1"/>
  <c r="N163" i="1"/>
  <c r="N1434" i="1"/>
  <c r="N1400" i="1"/>
  <c r="N1427" i="1"/>
  <c r="N1424" i="1"/>
  <c r="N1436" i="1"/>
  <c r="N1414" i="1"/>
  <c r="N1404" i="1"/>
  <c r="N1407" i="1"/>
  <c r="N1435" i="1"/>
  <c r="N1403" i="1"/>
  <c r="O1403" i="1" s="1"/>
  <c r="N1432" i="1"/>
  <c r="N1438" i="1"/>
  <c r="N1437" i="1"/>
  <c r="N1883" i="1"/>
  <c r="N1891" i="1"/>
  <c r="N1405" i="1"/>
  <c r="N1736" i="1"/>
  <c r="O2043" i="1"/>
  <c r="N1908" i="1"/>
  <c r="N1761" i="1"/>
  <c r="N1417" i="1"/>
  <c r="N1578" i="1"/>
  <c r="N1553" i="1"/>
  <c r="N1549" i="1"/>
  <c r="N277" i="1"/>
  <c r="N271" i="1"/>
  <c r="N37" i="1"/>
  <c r="N1117" i="1"/>
  <c r="N1148" i="1"/>
  <c r="N751" i="1"/>
  <c r="N1032" i="1"/>
  <c r="N626" i="1"/>
  <c r="N1799" i="1"/>
  <c r="N1793" i="1"/>
  <c r="N1786" i="1"/>
  <c r="N1789" i="1"/>
  <c r="N1801" i="1"/>
  <c r="N1797" i="1"/>
  <c r="N1776" i="1"/>
  <c r="N1781" i="1"/>
  <c r="N1783" i="1"/>
  <c r="N1806" i="1"/>
  <c r="N1794" i="1"/>
  <c r="N1802" i="1"/>
  <c r="N1788" i="1"/>
  <c r="N1784" i="1"/>
  <c r="N1771" i="1"/>
  <c r="N1773" i="1"/>
  <c r="N1800" i="1"/>
  <c r="N1790" i="1"/>
  <c r="N1778" i="1"/>
  <c r="N1787" i="1"/>
  <c r="N1774" i="1"/>
  <c r="N1803" i="1"/>
  <c r="N1795" i="1"/>
  <c r="N1796" i="1"/>
  <c r="N1804" i="1"/>
  <c r="N1792" i="1"/>
  <c r="N1779" i="1"/>
  <c r="N1775" i="1"/>
  <c r="N1808" i="1"/>
  <c r="N1772" i="1"/>
  <c r="N1791" i="1"/>
  <c r="N1805" i="1"/>
  <c r="N1798" i="1"/>
  <c r="N1782" i="1"/>
  <c r="N1780" i="1"/>
  <c r="N1785" i="1"/>
  <c r="N1777" i="1"/>
  <c r="N1894" i="1"/>
  <c r="N1904" i="1"/>
  <c r="N1884" i="1"/>
  <c r="N1901" i="1"/>
  <c r="N1899" i="1"/>
  <c r="N1886" i="1"/>
  <c r="N1890" i="1"/>
  <c r="N1888" i="1"/>
  <c r="N1887" i="1"/>
  <c r="O2015" i="1"/>
  <c r="O2013" i="1"/>
  <c r="O2018" i="1"/>
  <c r="N1741" i="1"/>
  <c r="N263" i="1"/>
  <c r="O263" i="1" s="1"/>
  <c r="N279" i="1"/>
  <c r="N13" i="1"/>
  <c r="N1114" i="1"/>
  <c r="N1136" i="1"/>
  <c r="N1124" i="1"/>
  <c r="N1150" i="1"/>
  <c r="N1147" i="1"/>
  <c r="N1122" i="1"/>
  <c r="N1121" i="1"/>
  <c r="N1132" i="1"/>
  <c r="N1135" i="1"/>
  <c r="N1111" i="1"/>
  <c r="N1119" i="1"/>
  <c r="N1154" i="1"/>
  <c r="N1125" i="1"/>
  <c r="N1141" i="1"/>
  <c r="N1131" i="1"/>
  <c r="N1120" i="1"/>
  <c r="N1137" i="1"/>
  <c r="N1113" i="1"/>
  <c r="N1153" i="1"/>
  <c r="N1144" i="1"/>
  <c r="N1138" i="1"/>
  <c r="N1046" i="1"/>
  <c r="N1112" i="1"/>
  <c r="N1152" i="1"/>
  <c r="N1110" i="1"/>
  <c r="N1109" i="1"/>
  <c r="N7" i="1"/>
  <c r="N1074" i="1"/>
  <c r="N615" i="1"/>
  <c r="N1085" i="1"/>
  <c r="O2017" i="1"/>
  <c r="O2040" i="1"/>
  <c r="N276" i="1"/>
  <c r="N266" i="1"/>
  <c r="N285" i="1"/>
  <c r="N280" i="1"/>
  <c r="N261" i="1"/>
  <c r="N286" i="1"/>
  <c r="N290" i="1"/>
  <c r="N291" i="1"/>
  <c r="N283" i="1"/>
  <c r="N282" i="1"/>
  <c r="N273" i="1"/>
  <c r="N281" i="1"/>
  <c r="N275" i="1"/>
  <c r="N287" i="1"/>
  <c r="N10" i="1"/>
  <c r="N6" i="1"/>
  <c r="N1149" i="1"/>
  <c r="N756" i="1"/>
  <c r="N766" i="1"/>
  <c r="N750" i="1"/>
  <c r="N747" i="1"/>
  <c r="N743" i="1"/>
  <c r="N757" i="1"/>
  <c r="N752" i="1"/>
  <c r="N763" i="1"/>
  <c r="O763" i="1" s="1"/>
  <c r="N733" i="1"/>
  <c r="N754" i="1"/>
  <c r="N759" i="1"/>
  <c r="N755" i="1"/>
  <c r="N734" i="1"/>
  <c r="N749" i="1"/>
  <c r="N753" i="1"/>
  <c r="N736" i="1"/>
  <c r="N761" i="1"/>
  <c r="N748" i="1"/>
  <c r="N760" i="1"/>
  <c r="N741" i="1"/>
  <c r="N745" i="1"/>
  <c r="N744" i="1"/>
  <c r="N625" i="1"/>
  <c r="N1082" i="1"/>
  <c r="O1997" i="1"/>
  <c r="O1893" i="1"/>
  <c r="O2024" i="1"/>
  <c r="O2037" i="1"/>
  <c r="O2012" i="1"/>
  <c r="N1742" i="1"/>
  <c r="N268" i="1"/>
  <c r="N15" i="1"/>
  <c r="N19" i="1"/>
  <c r="N1155" i="1"/>
  <c r="N1139" i="1"/>
  <c r="N735" i="1"/>
  <c r="N603" i="1"/>
  <c r="N1367" i="1"/>
  <c r="N1392" i="1"/>
  <c r="N1391" i="1"/>
  <c r="N1378" i="1"/>
  <c r="N1386" i="1"/>
  <c r="N1382" i="1"/>
  <c r="N1397" i="1"/>
  <c r="N1366" i="1"/>
  <c r="N1376" i="1"/>
  <c r="N1371" i="1"/>
  <c r="N1375" i="1"/>
  <c r="N1394" i="1"/>
  <c r="N1368" i="1"/>
  <c r="N1372" i="1"/>
  <c r="N1365" i="1"/>
  <c r="N1380" i="1"/>
  <c r="N1361" i="1"/>
  <c r="N1399" i="1"/>
  <c r="N1377" i="1"/>
  <c r="N1370" i="1"/>
  <c r="N1369" i="1"/>
  <c r="N1363" i="1"/>
  <c r="O1363" i="1" s="1"/>
  <c r="N1388" i="1"/>
  <c r="N1374" i="1"/>
  <c r="O1374" i="1" s="1"/>
  <c r="N1379" i="1"/>
  <c r="N1362" i="1"/>
  <c r="N1385" i="1"/>
  <c r="N1396" i="1"/>
  <c r="N1393" i="1"/>
  <c r="O1393" i="1" s="1"/>
  <c r="N1389" i="1"/>
  <c r="N1398" i="1"/>
  <c r="N1099" i="1"/>
  <c r="N161" i="1"/>
  <c r="N168" i="1"/>
  <c r="N173" i="1"/>
  <c r="N185" i="1"/>
  <c r="N182" i="1"/>
  <c r="N158" i="1"/>
  <c r="N187" i="1"/>
  <c r="N154" i="1"/>
  <c r="N169" i="1"/>
  <c r="N155" i="1"/>
  <c r="N146" i="1"/>
  <c r="N164" i="1"/>
  <c r="O164" i="1" s="1"/>
  <c r="N150" i="1"/>
  <c r="N156" i="1"/>
  <c r="N157" i="1"/>
  <c r="N172" i="1"/>
  <c r="N178" i="1"/>
  <c r="N174" i="1"/>
  <c r="N153" i="1"/>
  <c r="N162" i="1"/>
  <c r="O162" i="1" s="1"/>
  <c r="N175" i="1"/>
  <c r="N148" i="1"/>
  <c r="N177" i="1"/>
  <c r="N179" i="1"/>
  <c r="N147" i="1"/>
  <c r="N145" i="1"/>
  <c r="N167" i="1"/>
  <c r="N152" i="1"/>
  <c r="N170" i="1"/>
  <c r="N183" i="1"/>
  <c r="N171" i="1"/>
  <c r="N184" i="1"/>
  <c r="N181" i="1"/>
  <c r="O1980" i="1"/>
  <c r="N1905" i="1"/>
  <c r="N1895" i="1"/>
  <c r="N1584" i="1"/>
  <c r="O1584" i="1" s="1"/>
  <c r="N1564" i="1"/>
  <c r="N1586" i="1"/>
  <c r="N1576" i="1"/>
  <c r="N1593" i="1"/>
  <c r="O1593" i="1" s="1"/>
  <c r="N1559" i="1"/>
  <c r="O1559" i="1" s="1"/>
  <c r="N1560" i="1"/>
  <c r="N1587" i="1"/>
  <c r="N1556" i="1"/>
  <c r="N1596" i="1"/>
  <c r="N1592" i="1"/>
  <c r="O1592" i="1" s="1"/>
  <c r="N1583" i="1"/>
  <c r="N1580" i="1"/>
  <c r="N1598" i="1"/>
  <c r="N1577" i="1"/>
  <c r="N1574" i="1"/>
  <c r="N1567" i="1"/>
  <c r="N1601" i="1"/>
  <c r="N1552" i="1"/>
  <c r="N1562" i="1"/>
  <c r="N1595" i="1"/>
  <c r="N1585" i="1"/>
  <c r="N1589" i="1"/>
  <c r="N1599" i="1"/>
  <c r="N1582" i="1"/>
  <c r="N1554" i="1"/>
  <c r="N1565" i="1"/>
  <c r="N284" i="1"/>
  <c r="N18" i="1"/>
  <c r="N12" i="1"/>
  <c r="N1134" i="1"/>
  <c r="N738" i="1"/>
  <c r="N764" i="1"/>
  <c r="N1063" i="1"/>
  <c r="O1063" i="1" s="1"/>
  <c r="O1903" i="1"/>
  <c r="N1426" i="1"/>
  <c r="N1433" i="1"/>
  <c r="N1422" i="1"/>
  <c r="N1902" i="1"/>
  <c r="N1408" i="1"/>
  <c r="O2046" i="1"/>
  <c r="O2010" i="1"/>
  <c r="N1900" i="1"/>
  <c r="N1256" i="1"/>
  <c r="N1274" i="1"/>
  <c r="N1264" i="1"/>
  <c r="N1270" i="1"/>
  <c r="N1267" i="1"/>
  <c r="N1257" i="1"/>
  <c r="N1265" i="1"/>
  <c r="N1272" i="1"/>
  <c r="N1269" i="1"/>
  <c r="N1275" i="1"/>
  <c r="N1262" i="1"/>
  <c r="N1258" i="1"/>
  <c r="N1752" i="1"/>
  <c r="O2025" i="1"/>
  <c r="N1594" i="1"/>
  <c r="N1597" i="1"/>
  <c r="N1590" i="1"/>
  <c r="N270" i="1"/>
  <c r="O270" i="1" s="1"/>
  <c r="N1684" i="1"/>
  <c r="N1807" i="1"/>
  <c r="N1690" i="1"/>
  <c r="O1690" i="1" s="1"/>
  <c r="N1696" i="1"/>
  <c r="N1679" i="1"/>
  <c r="N1680" i="1"/>
  <c r="O1680" i="1" s="1"/>
  <c r="N1686" i="1"/>
  <c r="N1676" i="1"/>
  <c r="N1682" i="1"/>
  <c r="N1681" i="1"/>
  <c r="N1685" i="1"/>
  <c r="N1689" i="1"/>
  <c r="N1687" i="1"/>
  <c r="N25" i="1"/>
  <c r="N22" i="1"/>
  <c r="N1106" i="1"/>
  <c r="N1129" i="1"/>
  <c r="N429" i="1"/>
  <c r="N739" i="1"/>
  <c r="N1018" i="1"/>
  <c r="N1240" i="1"/>
  <c r="N1230" i="1"/>
  <c r="N1250" i="1"/>
  <c r="N1247" i="1"/>
  <c r="N1248" i="1"/>
  <c r="N1237" i="1"/>
  <c r="N1232" i="1"/>
  <c r="N1245" i="1"/>
  <c r="N1235" i="1"/>
  <c r="N1249" i="1"/>
  <c r="N1244" i="1"/>
  <c r="N1231" i="1"/>
  <c r="N1239" i="1"/>
  <c r="N1241" i="1"/>
  <c r="N1234" i="1"/>
  <c r="N1251" i="1"/>
  <c r="N1229" i="1"/>
  <c r="N609" i="1"/>
  <c r="N440" i="1"/>
  <c r="N450" i="1"/>
  <c r="O450" i="1" s="1"/>
  <c r="N516" i="1"/>
  <c r="N452" i="1"/>
  <c r="N448" i="1"/>
  <c r="N442" i="1"/>
  <c r="N438" i="1"/>
  <c r="N449" i="1"/>
  <c r="N435" i="1"/>
  <c r="N457" i="1"/>
  <c r="N439" i="1"/>
  <c r="N459" i="1"/>
  <c r="N447" i="1"/>
  <c r="N453" i="1"/>
  <c r="O453" i="1" s="1"/>
  <c r="N437" i="1"/>
  <c r="N436" i="1"/>
  <c r="N458" i="1"/>
  <c r="N443" i="1"/>
  <c r="N456" i="1"/>
  <c r="N1387" i="1"/>
  <c r="N1093" i="1"/>
  <c r="N1967" i="1"/>
  <c r="N1979" i="1"/>
  <c r="N1960" i="1"/>
  <c r="N2000" i="1"/>
  <c r="N1963" i="1"/>
  <c r="N1991" i="1"/>
  <c r="N1998" i="1"/>
  <c r="N1973" i="1"/>
  <c r="N1955" i="1"/>
  <c r="N1982" i="1"/>
  <c r="N1966" i="1"/>
  <c r="N1993" i="1"/>
  <c r="N1987" i="1"/>
  <c r="N1996" i="1"/>
  <c r="N1994" i="1"/>
  <c r="N1962" i="1"/>
  <c r="N2001" i="1"/>
  <c r="N1972" i="1"/>
  <c r="N1995" i="1"/>
  <c r="N1968" i="1"/>
  <c r="N1999" i="1"/>
  <c r="N1992" i="1"/>
  <c r="N2002" i="1"/>
  <c r="N1957" i="1"/>
  <c r="N1984" i="1"/>
  <c r="N1977" i="1"/>
  <c r="N1990" i="1"/>
  <c r="N1959" i="1"/>
  <c r="N1975" i="1"/>
  <c r="N1986" i="1"/>
  <c r="N1974" i="1"/>
  <c r="N1988" i="1"/>
  <c r="N2003" i="1"/>
  <c r="N1970" i="1"/>
  <c r="N1956" i="1"/>
  <c r="N1976" i="1"/>
  <c r="N2004" i="1"/>
  <c r="N1961" i="1"/>
  <c r="N1971" i="1"/>
  <c r="N1983" i="1"/>
  <c r="N1965" i="1"/>
  <c r="N1964" i="1"/>
  <c r="N1969" i="1"/>
  <c r="N1989" i="1"/>
  <c r="N1981" i="1"/>
  <c r="N1985" i="1"/>
  <c r="N1954" i="1"/>
  <c r="N36" i="1"/>
  <c r="N1566" i="1"/>
  <c r="N1600" i="1"/>
  <c r="N1573" i="1"/>
  <c r="N288" i="1"/>
  <c r="N278" i="1"/>
  <c r="N28" i="1"/>
  <c r="N11" i="1"/>
  <c r="N30" i="1"/>
  <c r="N1116" i="1"/>
  <c r="N1118" i="1"/>
  <c r="N758" i="1"/>
  <c r="N264" i="1"/>
  <c r="N1040" i="1"/>
  <c r="N1050" i="1"/>
  <c r="O1050" i="1" s="1"/>
  <c r="N1030" i="1"/>
  <c r="N1036" i="1"/>
  <c r="N1051" i="1"/>
  <c r="N1041" i="1"/>
  <c r="O1041" i="1" s="1"/>
  <c r="N1034" i="1"/>
  <c r="O1034" i="1" s="1"/>
  <c r="N1039" i="1"/>
  <c r="N1047" i="1"/>
  <c r="N1059" i="1"/>
  <c r="N1019" i="1"/>
  <c r="N1056" i="1"/>
  <c r="N1023" i="1"/>
  <c r="N1052" i="1"/>
  <c r="N1026" i="1"/>
  <c r="N1027" i="1"/>
  <c r="N1057" i="1"/>
  <c r="N1022" i="1"/>
  <c r="O1022" i="1" s="1"/>
  <c r="N1058" i="1"/>
  <c r="N1054" i="1"/>
  <c r="N1055" i="1"/>
  <c r="N1028" i="1"/>
  <c r="N1043" i="1"/>
  <c r="N1020" i="1"/>
  <c r="N1017" i="1"/>
  <c r="N1029" i="1"/>
  <c r="O1029" i="1" s="1"/>
  <c r="N1042" i="1"/>
  <c r="N1044" i="1"/>
  <c r="N611" i="1"/>
  <c r="N1630" i="1"/>
  <c r="N1618" i="1"/>
  <c r="N1605" i="1"/>
  <c r="N1620" i="1"/>
  <c r="O1620" i="1" s="1"/>
  <c r="N1632" i="1"/>
  <c r="O1632" i="1" s="1"/>
  <c r="N1637" i="1"/>
  <c r="N1610" i="1"/>
  <c r="O1610" i="1" s="1"/>
  <c r="N1631" i="1"/>
  <c r="N1627" i="1"/>
  <c r="N1604" i="1"/>
  <c r="N1636" i="1"/>
  <c r="N1629" i="1"/>
  <c r="N1612" i="1"/>
  <c r="N1626" i="1"/>
  <c r="N1617" i="1"/>
  <c r="N1614" i="1"/>
  <c r="N1624" i="1"/>
  <c r="O1624" i="1" s="1"/>
  <c r="N1607" i="1"/>
  <c r="N1623" i="1"/>
  <c r="N1639" i="1"/>
  <c r="O1639" i="1" s="1"/>
  <c r="N1616" i="1"/>
  <c r="N1638" i="1"/>
  <c r="N1640" i="1"/>
  <c r="O1640" i="1" s="1"/>
  <c r="N1641" i="1"/>
  <c r="N1625" i="1"/>
  <c r="N1615" i="1"/>
  <c r="N1611" i="1"/>
  <c r="O1611" i="1" s="1"/>
  <c r="N1622" i="1"/>
  <c r="O1622" i="1" s="1"/>
  <c r="N1606" i="1"/>
  <c r="N1513" i="1"/>
  <c r="N1395" i="1"/>
  <c r="N1103" i="1"/>
  <c r="N1757" i="1"/>
  <c r="N1409" i="1"/>
  <c r="O1409" i="1" s="1"/>
  <c r="N1419" i="1"/>
  <c r="N1882" i="1"/>
  <c r="N1889" i="1"/>
  <c r="O2022" i="1"/>
  <c r="O2008" i="1"/>
  <c r="O2020" i="1"/>
  <c r="O2006" i="1"/>
  <c r="N1768" i="1"/>
  <c r="N1739" i="1"/>
  <c r="O1739" i="1" s="1"/>
  <c r="N1425" i="1"/>
  <c r="N1558" i="1"/>
  <c r="N1602" i="1"/>
  <c r="O1602" i="1" s="1"/>
  <c r="N1569" i="1"/>
  <c r="N267" i="1"/>
  <c r="O267" i="1" s="1"/>
  <c r="N289" i="1"/>
  <c r="N1080" i="1"/>
  <c r="N38" i="1"/>
  <c r="N21" i="1"/>
  <c r="N1024" i="1"/>
  <c r="N1126" i="1"/>
  <c r="N1128" i="1"/>
  <c r="N430" i="1"/>
  <c r="O430" i="1" s="1"/>
  <c r="N424" i="1"/>
  <c r="O424" i="1" s="1"/>
  <c r="N404" i="1"/>
  <c r="N414" i="1"/>
  <c r="N397" i="1"/>
  <c r="N402" i="1"/>
  <c r="N403" i="1"/>
  <c r="O403" i="1" s="1"/>
  <c r="N408" i="1"/>
  <c r="N431" i="1"/>
  <c r="N391" i="1"/>
  <c r="O391" i="1" s="1"/>
  <c r="N428" i="1"/>
  <c r="N398" i="1"/>
  <c r="N407" i="1"/>
  <c r="N390" i="1"/>
  <c r="N389" i="1"/>
  <c r="N423" i="1"/>
  <c r="N418" i="1"/>
  <c r="N426" i="1"/>
  <c r="N417" i="1"/>
  <c r="N421" i="1"/>
  <c r="N406" i="1"/>
  <c r="N415" i="1"/>
  <c r="N399" i="1"/>
  <c r="N433" i="1"/>
  <c r="O433" i="1" s="1"/>
  <c r="N416" i="1"/>
  <c r="N412" i="1"/>
  <c r="N394" i="1"/>
  <c r="O394" i="1" s="1"/>
  <c r="N434" i="1"/>
  <c r="N409" i="1"/>
  <c r="O409" i="1" s="1"/>
  <c r="N413" i="1"/>
  <c r="N410" i="1"/>
  <c r="O410" i="1" s="1"/>
  <c r="N737" i="1"/>
  <c r="N1025" i="1"/>
  <c r="N1246" i="1"/>
  <c r="N622" i="1"/>
  <c r="O622" i="1" s="1"/>
  <c r="N166" i="1"/>
  <c r="N1635" i="1"/>
  <c r="N1373" i="1"/>
  <c r="O1373" i="1" s="1"/>
  <c r="N149" i="1"/>
  <c r="O149" i="1" s="1"/>
  <c r="N180" i="1"/>
  <c r="O180" i="1" s="1"/>
  <c r="N1667" i="1"/>
  <c r="O2036" i="1"/>
  <c r="O2030" i="1"/>
  <c r="N1000" i="1"/>
  <c r="N974" i="1"/>
  <c r="O974" i="1" s="1"/>
  <c r="N986" i="1"/>
  <c r="N980" i="1"/>
  <c r="N984" i="1"/>
  <c r="O984" i="1" s="1"/>
  <c r="N976" i="1"/>
  <c r="O976" i="1" s="1"/>
  <c r="N970" i="1"/>
  <c r="N1004" i="1"/>
  <c r="O1004" i="1" s="1"/>
  <c r="N1014" i="1"/>
  <c r="O1014" i="1" s="1"/>
  <c r="N1010" i="1"/>
  <c r="O1010" i="1" s="1"/>
  <c r="N990" i="1"/>
  <c r="N1007" i="1"/>
  <c r="N996" i="1"/>
  <c r="O2045" i="1"/>
  <c r="N1657" i="1"/>
  <c r="N1290" i="1"/>
  <c r="O1290" i="1" s="1"/>
  <c r="N1280" i="1"/>
  <c r="N295" i="1"/>
  <c r="N328" i="1"/>
  <c r="N313" i="1"/>
  <c r="N311" i="1"/>
  <c r="N1317" i="1"/>
  <c r="N1277" i="1"/>
  <c r="N1311" i="1"/>
  <c r="O1311" i="1" s="1"/>
  <c r="N1302" i="1"/>
  <c r="N98" i="1"/>
  <c r="N135" i="1"/>
  <c r="N94" i="1"/>
  <c r="N129" i="1"/>
  <c r="N469" i="1"/>
  <c r="N468" i="1"/>
  <c r="N472" i="1"/>
  <c r="N679" i="1"/>
  <c r="O679" i="1" s="1"/>
  <c r="N692" i="1"/>
  <c r="N1445" i="1"/>
  <c r="N1442" i="1"/>
  <c r="N1441" i="1"/>
  <c r="N1700" i="1"/>
  <c r="O1700" i="1" s="1"/>
  <c r="N1734" i="1"/>
  <c r="O1734" i="1" s="1"/>
  <c r="N1723" i="1"/>
  <c r="O1723" i="1" s="1"/>
  <c r="N653" i="1"/>
  <c r="N651" i="1"/>
  <c r="N989" i="1"/>
  <c r="N964" i="1"/>
  <c r="N930" i="1"/>
  <c r="N830" i="1"/>
  <c r="N924" i="1"/>
  <c r="O924" i="1" s="1"/>
  <c r="N218" i="1"/>
  <c r="N206" i="1"/>
  <c r="N259" i="1"/>
  <c r="N242" i="1"/>
  <c r="O242" i="1" s="1"/>
  <c r="N598" i="1"/>
  <c r="N714" i="1"/>
  <c r="N1337" i="1"/>
  <c r="N1326" i="1"/>
  <c r="O1326" i="1" s="1"/>
  <c r="N1348" i="1"/>
  <c r="O1348" i="1" s="1"/>
  <c r="N708" i="1"/>
  <c r="N727" i="1"/>
  <c r="O727" i="1" s="1"/>
  <c r="N721" i="1"/>
  <c r="N1457" i="1"/>
  <c r="N1674" i="1"/>
  <c r="N1648" i="1"/>
  <c r="N1673" i="1"/>
  <c r="N808" i="1"/>
  <c r="N804" i="1"/>
  <c r="O804" i="1" s="1"/>
  <c r="N812" i="1"/>
  <c r="N383" i="1"/>
  <c r="O383" i="1" s="1"/>
  <c r="N369" i="1"/>
  <c r="N796" i="1"/>
  <c r="N1467" i="1"/>
  <c r="N1295" i="1"/>
  <c r="N1316" i="1"/>
  <c r="N1279" i="1"/>
  <c r="N1303" i="1"/>
  <c r="N697" i="1"/>
  <c r="O697" i="1" s="1"/>
  <c r="N957" i="1"/>
  <c r="N1646" i="1"/>
  <c r="N1669" i="1"/>
  <c r="N1649" i="1"/>
  <c r="N806" i="1"/>
  <c r="N822" i="1"/>
  <c r="O822" i="1" s="1"/>
  <c r="N374" i="1"/>
  <c r="N371" i="1"/>
  <c r="N1298" i="1"/>
  <c r="N1287" i="1"/>
  <c r="N1308" i="1"/>
  <c r="N1312" i="1"/>
  <c r="N480" i="1"/>
  <c r="N460" i="1"/>
  <c r="N476" i="1"/>
  <c r="N1704" i="1"/>
  <c r="O1704" i="1" s="1"/>
  <c r="N1724" i="1"/>
  <c r="O1724" i="1" s="1"/>
  <c r="N1714" i="1"/>
  <c r="O1714" i="1" s="1"/>
  <c r="N1707" i="1"/>
  <c r="O1707" i="1" s="1"/>
  <c r="N655" i="1"/>
  <c r="N669" i="1"/>
  <c r="N200" i="1"/>
  <c r="N224" i="1"/>
  <c r="N214" i="1"/>
  <c r="N190" i="1"/>
  <c r="O190" i="1" s="1"/>
  <c r="N220" i="1"/>
  <c r="N204" i="1"/>
  <c r="N657" i="1"/>
  <c r="N1656" i="1"/>
  <c r="N1672" i="1"/>
  <c r="N1652" i="1"/>
  <c r="N799" i="1"/>
  <c r="N816" i="1"/>
  <c r="N811" i="1"/>
  <c r="N386" i="1"/>
  <c r="N372" i="1"/>
  <c r="N1501" i="1"/>
  <c r="N114" i="1"/>
  <c r="N880" i="1"/>
  <c r="N870" i="1"/>
  <c r="O870" i="1" s="1"/>
  <c r="N884" i="1"/>
  <c r="O884" i="1" s="1"/>
  <c r="N874" i="1"/>
  <c r="N886" i="1"/>
  <c r="N890" i="1"/>
  <c r="O890" i="1" s="1"/>
  <c r="N876" i="1"/>
  <c r="N887" i="1"/>
  <c r="O2016" i="1"/>
  <c r="O2042" i="1"/>
  <c r="O2023" i="1"/>
  <c r="O2014" i="1"/>
  <c r="N869" i="1"/>
  <c r="N978" i="1"/>
  <c r="O978" i="1" s="1"/>
  <c r="N1002" i="1"/>
  <c r="N1818" i="1"/>
  <c r="N1464" i="1"/>
  <c r="N660" i="1"/>
  <c r="N650" i="1"/>
  <c r="N308" i="1"/>
  <c r="N293" i="1"/>
  <c r="N294" i="1"/>
  <c r="N1315" i="1"/>
  <c r="N1310" i="1"/>
  <c r="N1288" i="1"/>
  <c r="N1318" i="1"/>
  <c r="N108" i="1"/>
  <c r="O108" i="1" s="1"/>
  <c r="N132" i="1"/>
  <c r="O132" i="1" s="1"/>
  <c r="N131" i="1"/>
  <c r="O131" i="1" s="1"/>
  <c r="N463" i="1"/>
  <c r="N475" i="1"/>
  <c r="N688" i="1"/>
  <c r="N684" i="1"/>
  <c r="O684" i="1" s="1"/>
  <c r="N672" i="1"/>
  <c r="O672" i="1" s="1"/>
  <c r="N1466" i="1"/>
  <c r="N1443" i="1"/>
  <c r="N1706" i="1"/>
  <c r="O1706" i="1" s="1"/>
  <c r="N1709" i="1"/>
  <c r="O1709" i="1" s="1"/>
  <c r="N1729" i="1"/>
  <c r="O1729" i="1" s="1"/>
  <c r="N658" i="1"/>
  <c r="N642" i="1"/>
  <c r="N226" i="1"/>
  <c r="N228" i="1"/>
  <c r="N202" i="1"/>
  <c r="N243" i="1"/>
  <c r="N255" i="1"/>
  <c r="N376" i="1"/>
  <c r="N1325" i="1"/>
  <c r="O1325" i="1" s="1"/>
  <c r="N1342" i="1"/>
  <c r="O1342" i="1" s="1"/>
  <c r="N1329" i="1"/>
  <c r="N710" i="1"/>
  <c r="O710" i="1" s="1"/>
  <c r="N729" i="1"/>
  <c r="O729" i="1" s="1"/>
  <c r="N197" i="1"/>
  <c r="N1655" i="1"/>
  <c r="N1660" i="1"/>
  <c r="N1651" i="1"/>
  <c r="N797" i="1"/>
  <c r="N803" i="1"/>
  <c r="N801" i="1"/>
  <c r="N368" i="1"/>
  <c r="N381" i="1"/>
  <c r="N1514" i="1"/>
  <c r="N704" i="1"/>
  <c r="O704" i="1" s="1"/>
  <c r="N1666" i="1"/>
  <c r="N1643" i="1"/>
  <c r="N1659" i="1"/>
  <c r="N1498" i="1"/>
  <c r="N1307" i="1"/>
  <c r="O2034" i="1"/>
  <c r="O2035" i="1"/>
  <c r="O2026" i="1"/>
  <c r="O2033" i="1"/>
  <c r="N340" i="1"/>
  <c r="N330" i="1"/>
  <c r="N324" i="1"/>
  <c r="N317" i="1"/>
  <c r="N316" i="1"/>
  <c r="N320" i="1"/>
  <c r="N300" i="1"/>
  <c r="N1285" i="1"/>
  <c r="N1297" i="1"/>
  <c r="N1282" i="1"/>
  <c r="N130" i="1"/>
  <c r="O130" i="1" s="1"/>
  <c r="N120" i="1"/>
  <c r="N100" i="1"/>
  <c r="N104" i="1"/>
  <c r="O104" i="1" s="1"/>
  <c r="N97" i="1"/>
  <c r="O97" i="1" s="1"/>
  <c r="N116" i="1"/>
  <c r="N117" i="1"/>
  <c r="N107" i="1"/>
  <c r="O107" i="1" s="1"/>
  <c r="N473" i="1"/>
  <c r="N482" i="1"/>
  <c r="N690" i="1"/>
  <c r="O690" i="1" s="1"/>
  <c r="N680" i="1"/>
  <c r="N1444" i="1"/>
  <c r="O1444" i="1" s="1"/>
  <c r="N1453" i="1"/>
  <c r="O1453" i="1" s="1"/>
  <c r="N140" i="1"/>
  <c r="N1705" i="1"/>
  <c r="O1705" i="1" s="1"/>
  <c r="N1722" i="1"/>
  <c r="O1722" i="1" s="1"/>
  <c r="N1720" i="1"/>
  <c r="O1720" i="1" s="1"/>
  <c r="N643" i="1"/>
  <c r="O643" i="1" s="1"/>
  <c r="N665" i="1"/>
  <c r="N198" i="1"/>
  <c r="N227" i="1"/>
  <c r="N212" i="1"/>
  <c r="N230" i="1"/>
  <c r="O230" i="1" s="1"/>
  <c r="N256" i="1"/>
  <c r="N1360" i="1"/>
  <c r="O1360" i="1" s="1"/>
  <c r="N1334" i="1"/>
  <c r="O1334" i="1" s="1"/>
  <c r="N1352" i="1"/>
  <c r="N1331" i="1"/>
  <c r="N485" i="1"/>
  <c r="N854" i="1"/>
  <c r="N850" i="1"/>
  <c r="N860" i="1"/>
  <c r="N847" i="1"/>
  <c r="N718" i="1"/>
  <c r="O718" i="1" s="1"/>
  <c r="N702" i="1"/>
  <c r="O702" i="1" s="1"/>
  <c r="N1647" i="1"/>
  <c r="N1671" i="1"/>
  <c r="N1662" i="1"/>
  <c r="N818" i="1"/>
  <c r="N800" i="1"/>
  <c r="O800" i="1" s="1"/>
  <c r="N802" i="1"/>
  <c r="N370" i="1"/>
  <c r="O370" i="1" s="1"/>
  <c r="N133" i="1"/>
  <c r="O133" i="1" s="1"/>
  <c r="N712" i="1"/>
  <c r="O712" i="1" s="1"/>
  <c r="O1525" i="1"/>
  <c r="N1645" i="1"/>
  <c r="N1670" i="1"/>
  <c r="N1642" i="1"/>
  <c r="O1642" i="1" s="1"/>
  <c r="N388" i="1"/>
  <c r="N375" i="1"/>
  <c r="N1336" i="1"/>
  <c r="O1336" i="1" s="1"/>
  <c r="N1524" i="1"/>
  <c r="N1644" i="1"/>
  <c r="N1653" i="1"/>
  <c r="N1668" i="1"/>
  <c r="N807" i="1"/>
  <c r="N805" i="1"/>
  <c r="N377" i="1"/>
  <c r="N378" i="1"/>
  <c r="N2028" i="1"/>
  <c r="N1484" i="1"/>
  <c r="N1496" i="1"/>
  <c r="N333" i="1"/>
  <c r="N233" i="1"/>
  <c r="O233" i="1" s="1"/>
  <c r="N217" i="1"/>
  <c r="N1304" i="1"/>
  <c r="N1314" i="1"/>
  <c r="N1276" i="1"/>
  <c r="N1296" i="1"/>
  <c r="N1286" i="1"/>
  <c r="N1284" i="1"/>
  <c r="N664" i="1"/>
  <c r="O664" i="1" s="1"/>
  <c r="N654" i="1"/>
  <c r="N210" i="1"/>
  <c r="N213" i="1"/>
  <c r="N191" i="1"/>
  <c r="N707" i="1"/>
  <c r="O707" i="1" s="1"/>
  <c r="N703" i="1"/>
  <c r="N728" i="1"/>
  <c r="O728" i="1" s="1"/>
  <c r="N136" i="1"/>
  <c r="O136" i="1" s="1"/>
  <c r="N1654" i="1"/>
  <c r="N1658" i="1"/>
  <c r="N817" i="1"/>
  <c r="N387" i="1"/>
  <c r="N656" i="1"/>
  <c r="N967" i="1"/>
  <c r="Q1803" i="1"/>
  <c r="O1803" i="1"/>
  <c r="O608" i="1"/>
  <c r="W1680" i="1" a="1"/>
  <c r="W1680" i="1" s="1"/>
  <c r="X1680" i="1" s="1"/>
  <c r="Q193" i="1"/>
  <c r="O1123" i="1"/>
  <c r="W1063" i="1" a="1"/>
  <c r="W1063" i="1" s="1"/>
  <c r="X1063" i="1" s="1"/>
  <c r="O1535" i="1"/>
  <c r="O1515" i="1"/>
  <c r="W934" i="1" a="1"/>
  <c r="W934" i="1" s="1"/>
  <c r="X934" i="1" s="1"/>
  <c r="Q934" i="1"/>
  <c r="O52" i="1"/>
  <c r="W1299" i="1" a="1"/>
  <c r="W1299" i="1" s="1"/>
  <c r="X1299" i="1" s="1"/>
  <c r="Q1299" i="1"/>
  <c r="W499" i="1" a="1"/>
  <c r="W499" i="1" s="1"/>
  <c r="X499" i="1" s="1"/>
  <c r="Q499" i="1"/>
  <c r="W1338" i="1" a="1"/>
  <c r="W1338" i="1" s="1"/>
  <c r="X1338" i="1" s="1"/>
  <c r="Q1338" i="1"/>
  <c r="W392" i="1" a="1"/>
  <c r="W392" i="1" s="1"/>
  <c r="X392" i="1" s="1"/>
  <c r="Q392" i="1"/>
  <c r="W59" i="1" a="1"/>
  <c r="W59" i="1" s="1"/>
  <c r="X59" i="1" s="1"/>
  <c r="Q59" i="1"/>
  <c r="W68" i="1" a="1"/>
  <c r="W68" i="1" s="1"/>
  <c r="X68" i="1" s="1"/>
  <c r="Q68" i="1"/>
  <c r="O412" i="1"/>
  <c r="W1550" i="1" a="1"/>
  <c r="W1550" i="1" s="1"/>
  <c r="X1550" i="1" s="1"/>
  <c r="Q1550" i="1"/>
  <c r="W1540" i="1" a="1"/>
  <c r="W1540" i="1" s="1"/>
  <c r="X1540" i="1" s="1"/>
  <c r="Q1540" i="1"/>
  <c r="W863" i="1" a="1"/>
  <c r="W863" i="1" s="1"/>
  <c r="X863" i="1" s="1"/>
  <c r="Q863" i="1"/>
  <c r="O1323" i="1"/>
  <c r="O942" i="1"/>
  <c r="O730" i="1"/>
  <c r="O179" i="1"/>
  <c r="O1831" i="1"/>
  <c r="Q1557" i="1"/>
  <c r="W1557" i="1" a="1"/>
  <c r="W1557" i="1" s="1"/>
  <c r="X1557" i="1" s="1"/>
  <c r="Q1473" i="1"/>
  <c r="W1473" i="1" a="1"/>
  <c r="W1473" i="1" s="1"/>
  <c r="X1473" i="1" s="1"/>
  <c r="W1140" i="1" a="1"/>
  <c r="W1140" i="1" s="1"/>
  <c r="X1140" i="1" s="1"/>
  <c r="Q1140" i="1"/>
  <c r="W1826" i="1" a="1"/>
  <c r="W1826" i="1" s="1"/>
  <c r="X1826" i="1" s="1"/>
  <c r="Q1826" i="1"/>
  <c r="W971" i="1" a="1"/>
  <c r="W971" i="1" s="1"/>
  <c r="X971" i="1" s="1"/>
  <c r="Q971" i="1"/>
  <c r="W441" i="1" a="1"/>
  <c r="W441" i="1" s="1"/>
  <c r="X441" i="1" s="1"/>
  <c r="Q441" i="1"/>
  <c r="W240" i="1" a="1"/>
  <c r="W240" i="1" s="1"/>
  <c r="X240" i="1" s="1"/>
  <c r="Q240" i="1"/>
  <c r="W1429" i="1" a="1"/>
  <c r="W1429" i="1" s="1"/>
  <c r="X1429" i="1" s="1"/>
  <c r="Q1429" i="1"/>
  <c r="W998" i="1" a="1"/>
  <c r="W998" i="1" s="1"/>
  <c r="X998" i="1" s="1"/>
  <c r="Q998" i="1"/>
  <c r="W425" i="1" a="1"/>
  <c r="W425" i="1" s="1"/>
  <c r="X425" i="1" s="1"/>
  <c r="Q425" i="1"/>
  <c r="W515" i="1" a="1"/>
  <c r="W515" i="1" s="1"/>
  <c r="X515" i="1" s="1"/>
  <c r="Q515" i="1"/>
  <c r="Q720" i="1"/>
  <c r="O720" i="1"/>
  <c r="O1754" i="1"/>
  <c r="O123" i="1"/>
  <c r="W1301" i="1" a="1"/>
  <c r="W1301" i="1" s="1"/>
  <c r="X1301" i="1" s="1"/>
  <c r="Q1301" i="1"/>
  <c r="W180" i="1" a="1"/>
  <c r="W180" i="1" s="1"/>
  <c r="X180" i="1" s="1"/>
  <c r="Q180" i="1"/>
  <c r="O1751" i="1"/>
  <c r="O1358" i="1"/>
  <c r="O992" i="1"/>
  <c r="W364" i="1" a="1"/>
  <c r="W364" i="1" s="1"/>
  <c r="X364" i="1" s="1"/>
  <c r="Q364" i="1"/>
  <c r="Q343" i="1"/>
  <c r="W343" i="1" a="1"/>
  <c r="W343" i="1" s="1"/>
  <c r="X343" i="1" s="1"/>
  <c r="W852" i="1" a="1"/>
  <c r="W852" i="1" s="1"/>
  <c r="X852" i="1" s="1"/>
  <c r="Q852" i="1"/>
  <c r="W1291" i="1" a="1"/>
  <c r="W1291" i="1" s="1"/>
  <c r="X1291" i="1" s="1"/>
  <c r="Q1291" i="1"/>
  <c r="W1619" i="1" a="1"/>
  <c r="W1619" i="1" s="1"/>
  <c r="X1619" i="1" s="1"/>
  <c r="Q1619" i="1"/>
  <c r="Q1227" i="1"/>
  <c r="W1227" i="1" a="1"/>
  <c r="W1227" i="1" s="1"/>
  <c r="X1227" i="1" s="1"/>
  <c r="O236" i="1"/>
  <c r="O705" i="1"/>
  <c r="W1568" i="1" a="1"/>
  <c r="W1568" i="1" s="1"/>
  <c r="X1568" i="1" s="1"/>
  <c r="Q1568" i="1"/>
  <c r="W27" i="1" a="1"/>
  <c r="W27" i="1" s="1"/>
  <c r="X27" i="1" s="1"/>
  <c r="Q27" i="1"/>
  <c r="Q1143" i="1"/>
  <c r="W1143" i="1" a="1"/>
  <c r="W1143" i="1" s="1"/>
  <c r="X1143" i="1" s="1"/>
  <c r="W522" i="1" a="1"/>
  <c r="W522" i="1" s="1"/>
  <c r="X522" i="1" s="1"/>
  <c r="Q522" i="1"/>
  <c r="O813" i="1"/>
  <c r="O152" i="1"/>
  <c r="O1589" i="1"/>
  <c r="O252" i="1"/>
  <c r="W102" i="1" a="1"/>
  <c r="W102" i="1" s="1"/>
  <c r="X102" i="1" s="1"/>
  <c r="Q102" i="1"/>
  <c r="O731" i="1"/>
  <c r="W121" i="1" a="1"/>
  <c r="W121" i="1" s="1"/>
  <c r="X121" i="1" s="1"/>
  <c r="Q121" i="1"/>
  <c r="W50" i="1" a="1"/>
  <c r="W50" i="1" s="1"/>
  <c r="X50" i="1" s="1"/>
  <c r="Q50" i="1"/>
  <c r="O1572" i="1"/>
  <c r="W503" i="1" a="1"/>
  <c r="W503" i="1" s="1"/>
  <c r="X503" i="1" s="1"/>
  <c r="Q503" i="1"/>
  <c r="O264" i="1"/>
  <c r="W513" i="1" a="1"/>
  <c r="W513" i="1" s="1"/>
  <c r="X513" i="1" s="1"/>
  <c r="Q513" i="1"/>
  <c r="W75" i="1" a="1"/>
  <c r="W75" i="1" s="1"/>
  <c r="X75" i="1" s="1"/>
  <c r="Q75" i="1"/>
  <c r="O714" i="1"/>
  <c r="O1812" i="1"/>
  <c r="O1406" i="1"/>
  <c r="Q1381" i="1"/>
  <c r="W1381" i="1" a="1"/>
  <c r="W1381" i="1" s="1"/>
  <c r="X1381" i="1" s="1"/>
  <c r="W339" i="1" a="1"/>
  <c r="W339" i="1" s="1"/>
  <c r="X339" i="1" s="1"/>
  <c r="Q339" i="1"/>
  <c r="W40" i="1" a="1"/>
  <c r="W40" i="1" s="1"/>
  <c r="X40" i="1" s="1"/>
  <c r="Q40" i="1"/>
  <c r="W1222" i="1" a="1"/>
  <c r="W1222" i="1" s="1"/>
  <c r="X1222" i="1" s="1"/>
  <c r="Q1222" i="1"/>
  <c r="W893" i="1" a="1"/>
  <c r="W893" i="1" s="1"/>
  <c r="X893" i="1" s="1"/>
  <c r="Q893" i="1"/>
  <c r="O62" i="1"/>
  <c r="O1182" i="1"/>
  <c r="O1695" i="1"/>
  <c r="O269" i="1"/>
  <c r="W2127" i="1" a="1"/>
  <c r="W2127" i="1" s="1"/>
  <c r="X2127" i="1" s="1"/>
  <c r="Q2127" i="1"/>
  <c r="W995" i="1" a="1"/>
  <c r="W995" i="1" s="1"/>
  <c r="X995" i="1" s="1"/>
  <c r="Q995" i="1"/>
  <c r="W45" i="1" a="1"/>
  <c r="W45" i="1" s="1"/>
  <c r="X45" i="1" s="1"/>
  <c r="Q45" i="1"/>
  <c r="W981" i="1" a="1"/>
  <c r="W981" i="1" s="1"/>
  <c r="X981" i="1" s="1"/>
  <c r="Q981" i="1"/>
  <c r="Q247" i="1"/>
  <c r="W247" i="1" a="1"/>
  <c r="W247" i="1" s="1"/>
  <c r="X247" i="1" s="1"/>
  <c r="O1583" i="1"/>
  <c r="O1563" i="1"/>
  <c r="W58" i="1" a="1"/>
  <c r="W58" i="1" s="1"/>
  <c r="X58" i="1" s="1"/>
  <c r="Q58" i="1"/>
  <c r="W356" i="1" a="1"/>
  <c r="W356" i="1" s="1"/>
  <c r="X356" i="1" s="1"/>
  <c r="Q356" i="1"/>
  <c r="O1432" i="1"/>
  <c r="O1413" i="1"/>
  <c r="W630" i="1" a="1"/>
  <c r="W630" i="1" s="1"/>
  <c r="X630" i="1" s="1"/>
  <c r="Q630" i="1"/>
  <c r="O1835" i="1"/>
  <c r="O544" i="1"/>
  <c r="O582" i="1"/>
  <c r="W1911" i="1" a="1"/>
  <c r="W1911" i="1" s="1"/>
  <c r="X1911" i="1" s="1"/>
  <c r="Q1911" i="1"/>
  <c r="Q1476" i="1"/>
  <c r="W1476" i="1" a="1"/>
  <c r="W1476" i="1" s="1"/>
  <c r="X1476" i="1" s="1"/>
  <c r="W105" i="1" a="1"/>
  <c r="W105" i="1" s="1"/>
  <c r="X105" i="1" s="1"/>
  <c r="Q105" i="1"/>
  <c r="O1418" i="1"/>
  <c r="W495" i="1" a="1"/>
  <c r="W495" i="1" s="1"/>
  <c r="X495" i="1" s="1"/>
  <c r="Q495" i="1"/>
  <c r="O1775" i="1"/>
  <c r="W1494" i="1" a="1"/>
  <c r="W1494" i="1" s="1"/>
  <c r="X1494" i="1" s="1"/>
  <c r="Q1494" i="1"/>
  <c r="O573" i="1"/>
  <c r="W351" i="1" a="1"/>
  <c r="W351" i="1" s="1"/>
  <c r="X351" i="1" s="1"/>
  <c r="Q351" i="1"/>
  <c r="W608" i="1" a="1"/>
  <c r="W608" i="1" s="1"/>
  <c r="X608" i="1" s="1"/>
  <c r="Q608" i="1"/>
  <c r="O42" i="1"/>
  <c r="O1410" i="1"/>
  <c r="O1343" i="1"/>
  <c r="W2081" i="1" a="1"/>
  <c r="W2081" i="1" s="1"/>
  <c r="X2081" i="1" s="1"/>
  <c r="Q2081" i="1"/>
  <c r="Q1327" i="1"/>
  <c r="W1327" i="1" a="1"/>
  <c r="W1327" i="1" s="1"/>
  <c r="X1327" i="1" s="1"/>
  <c r="O493" i="1"/>
  <c r="O1691" i="1"/>
  <c r="O274" i="1"/>
  <c r="W624" i="1" a="1"/>
  <c r="W624" i="1" s="1"/>
  <c r="X624" i="1" s="1"/>
  <c r="Q624" i="1"/>
  <c r="O1665" i="1"/>
  <c r="O1603" i="1"/>
  <c r="O43" i="1"/>
  <c r="O124" i="1"/>
  <c r="W1663" i="1" a="1"/>
  <c r="W1663" i="1" s="1"/>
  <c r="X1663" i="1" s="1"/>
  <c r="Q1663" i="1"/>
  <c r="Q1322" i="1"/>
  <c r="W1322" i="1" a="1"/>
  <c r="W1322" i="1" s="1"/>
  <c r="X1322" i="1" s="1"/>
  <c r="O273" i="1"/>
  <c r="O1718" i="1"/>
  <c r="W506" i="1" a="1"/>
  <c r="W506" i="1" s="1"/>
  <c r="X506" i="1" s="1"/>
  <c r="Q506" i="1"/>
  <c r="Q1836" i="1"/>
  <c r="W1836" i="1" a="1"/>
  <c r="W1836" i="1" s="1"/>
  <c r="X1836" i="1" s="1"/>
  <c r="Q1487" i="1"/>
  <c r="W1487" i="1" a="1"/>
  <c r="W1487" i="1" s="1"/>
  <c r="X1487" i="1" s="1"/>
  <c r="W991" i="1" a="1"/>
  <c r="W991" i="1" s="1"/>
  <c r="X991" i="1" s="1"/>
  <c r="Q991" i="1"/>
  <c r="O694" i="1"/>
  <c r="O1708" i="1"/>
  <c r="O272" i="1"/>
  <c r="O1630" i="1"/>
  <c r="O1416" i="1"/>
  <c r="Q65" i="1"/>
  <c r="W65" i="1" a="1"/>
  <c r="W65" i="1" s="1"/>
  <c r="X65" i="1" s="1"/>
  <c r="Q127" i="1"/>
  <c r="W127" i="1" a="1"/>
  <c r="W127" i="1" s="1"/>
  <c r="X127" i="1" s="1"/>
  <c r="W866" i="1" a="1"/>
  <c r="W866" i="1" s="1"/>
  <c r="X866" i="1" s="1"/>
  <c r="Q866" i="1"/>
  <c r="W1491" i="1" a="1"/>
  <c r="W1491" i="1" s="1"/>
  <c r="X1491" i="1" s="1"/>
  <c r="Q1491" i="1"/>
  <c r="Q2078" i="1"/>
  <c r="W2078" i="1" a="1"/>
  <c r="W2078" i="1" s="1"/>
  <c r="X2078" i="1" s="1"/>
  <c r="O699" i="1"/>
  <c r="O1683" i="1"/>
  <c r="W1478" i="1" a="1"/>
  <c r="W1478" i="1" s="1"/>
  <c r="X1478" i="1" s="1"/>
  <c r="Q1478" i="1"/>
  <c r="O138" i="1"/>
  <c r="W471" i="1" a="1"/>
  <c r="W471" i="1" s="1"/>
  <c r="X471" i="1" s="1"/>
  <c r="Q471" i="1"/>
  <c r="O1333" i="1"/>
  <c r="O352" i="1"/>
  <c r="O350" i="1"/>
  <c r="O941" i="1"/>
  <c r="O1692" i="1"/>
  <c r="W1480" i="1" a="1"/>
  <c r="W1480" i="1" s="1"/>
  <c r="X1480" i="1" s="1"/>
  <c r="Q1480" i="1"/>
  <c r="O724" i="1"/>
  <c r="O23" i="1"/>
  <c r="O1090" i="1"/>
  <c r="O244" i="1"/>
  <c r="O1330" i="1"/>
  <c r="Q1821" i="1"/>
  <c r="W1821" i="1" a="1"/>
  <c r="W1821" i="1" s="1"/>
  <c r="X1821" i="1" s="1"/>
  <c r="W359" i="1" a="1"/>
  <c r="W359" i="1" s="1"/>
  <c r="X359" i="1" s="1"/>
  <c r="Q359" i="1"/>
  <c r="W496" i="1" a="1"/>
  <c r="W496" i="1" s="1"/>
  <c r="X496" i="1" s="1"/>
  <c r="Q496" i="1"/>
  <c r="O1454" i="1"/>
  <c r="O1023" i="1"/>
  <c r="O1421" i="1"/>
  <c r="O1684" i="1"/>
  <c r="O972" i="1"/>
  <c r="O91" i="1"/>
  <c r="O1407" i="1"/>
  <c r="O1726" i="1"/>
  <c r="Q936" i="1"/>
  <c r="W936" i="1" a="1"/>
  <c r="W936" i="1" s="1"/>
  <c r="X936" i="1" s="1"/>
  <c r="W740" i="1" a="1"/>
  <c r="W740" i="1" s="1"/>
  <c r="X740" i="1" s="1"/>
  <c r="Q740" i="1"/>
  <c r="O973" i="1"/>
  <c r="O452" i="1"/>
  <c r="O390" i="1"/>
  <c r="O209" i="1"/>
  <c r="O662" i="1"/>
  <c r="O644" i="1"/>
  <c r="W833" i="1" a="1"/>
  <c r="W833" i="1" s="1"/>
  <c r="X833" i="1" s="1"/>
  <c r="Q833" i="1"/>
  <c r="Q1188" i="1"/>
  <c r="W1188" i="1" a="1"/>
  <c r="W1188" i="1" s="1"/>
  <c r="X1188" i="1" s="1"/>
  <c r="Q1236" i="1"/>
  <c r="W1236" i="1" a="1"/>
  <c r="W1236" i="1" s="1"/>
  <c r="X1236" i="1" s="1"/>
  <c r="W545" i="1" a="1"/>
  <c r="W545" i="1" s="1"/>
  <c r="X545" i="1" s="1"/>
  <c r="Q545" i="1"/>
  <c r="O933" i="1"/>
  <c r="O678" i="1"/>
  <c r="O84" i="1"/>
  <c r="O723" i="1"/>
  <c r="W2091" i="1" a="1"/>
  <c r="W2091" i="1" s="1"/>
  <c r="X2091" i="1" s="1"/>
  <c r="Q2091" i="1"/>
  <c r="Q57" i="1"/>
  <c r="W57" i="1" a="1"/>
  <c r="W57" i="1" s="1"/>
  <c r="X57" i="1" s="1"/>
  <c r="W888" i="1" a="1"/>
  <c r="W888" i="1" s="1"/>
  <c r="X888" i="1" s="1"/>
  <c r="Q888" i="1"/>
  <c r="W881" i="1" a="1"/>
  <c r="W881" i="1" s="1"/>
  <c r="X881" i="1" s="1"/>
  <c r="Q881" i="1"/>
  <c r="Q237" i="1"/>
  <c r="W237" i="1" a="1"/>
  <c r="W237" i="1" s="1"/>
  <c r="X237" i="1" s="1"/>
  <c r="W115" i="1" a="1"/>
  <c r="W115" i="1" s="1"/>
  <c r="X115" i="1" s="1"/>
  <c r="Q115" i="1"/>
  <c r="O1283" i="1"/>
  <c r="O649" i="1"/>
  <c r="O268" i="1"/>
  <c r="O112" i="1"/>
  <c r="Q507" i="1"/>
  <c r="W507" i="1" a="1"/>
  <c r="W507" i="1" s="1"/>
  <c r="X507" i="1" s="1"/>
  <c r="Q1332" i="1"/>
  <c r="W1332" i="1" a="1"/>
  <c r="W1332" i="1" s="1"/>
  <c r="X1332" i="1" s="1"/>
  <c r="W342" i="1" a="1"/>
  <c r="W342" i="1" s="1"/>
  <c r="X342" i="1" s="1"/>
  <c r="Q342" i="1"/>
  <c r="W838" i="1" a="1"/>
  <c r="W838" i="1" s="1"/>
  <c r="X838" i="1" s="1"/>
  <c r="Q838" i="1"/>
  <c r="Q1664" i="1"/>
  <c r="O1664" i="1"/>
  <c r="O1070" i="1"/>
  <c r="O1359" i="1"/>
  <c r="O103" i="1"/>
  <c r="O54" i="1"/>
  <c r="O72" i="1"/>
  <c r="W742" i="1" a="1"/>
  <c r="W742" i="1" s="1"/>
  <c r="X742" i="1" s="1"/>
  <c r="Q742" i="1"/>
  <c r="O79" i="1"/>
  <c r="O238" i="1"/>
  <c r="Q1827" i="1"/>
  <c r="W1827" i="1" a="1"/>
  <c r="W1827" i="1" s="1"/>
  <c r="X1827" i="1" s="1"/>
  <c r="Q2057" i="1"/>
  <c r="W2057" i="1" a="1"/>
  <c r="W2057" i="1" s="1"/>
  <c r="X2057" i="1" s="1"/>
  <c r="O1822" i="1"/>
  <c r="O510" i="1"/>
  <c r="O83" i="1"/>
  <c r="O1344" i="1"/>
  <c r="O1013" i="1"/>
  <c r="W1829" i="1" a="1"/>
  <c r="W1829" i="1" s="1"/>
  <c r="X1829" i="1" s="1"/>
  <c r="Q1829" i="1"/>
  <c r="O1735" i="1"/>
  <c r="O253" i="1"/>
  <c r="Q1640" i="1"/>
  <c r="W1495" i="1" a="1"/>
  <c r="W1495" i="1" s="1"/>
  <c r="X1495" i="1" s="1"/>
  <c r="Q1495" i="1"/>
  <c r="O1383" i="1"/>
  <c r="O134" i="1"/>
  <c r="Q2099" i="1"/>
  <c r="W2099" i="1" a="1"/>
  <c r="W2099" i="1" s="1"/>
  <c r="X2099" i="1" s="1"/>
  <c r="W1538" i="1" a="1"/>
  <c r="W1538" i="1" s="1"/>
  <c r="X1538" i="1" s="1"/>
  <c r="Q1538" i="1"/>
  <c r="O1504" i="1"/>
  <c r="O1364" i="1"/>
  <c r="O1422" i="1"/>
  <c r="W432" i="1" a="1"/>
  <c r="W432" i="1" s="1"/>
  <c r="X432" i="1" s="1"/>
  <c r="Q432" i="1"/>
  <c r="O1436" i="1"/>
  <c r="W520" i="1" a="1"/>
  <c r="W520" i="1" s="1"/>
  <c r="X520" i="1" s="1"/>
  <c r="Q520" i="1"/>
  <c r="Q1539" i="1"/>
  <c r="W1539" i="1" a="1"/>
  <c r="W1539" i="1" s="1"/>
  <c r="X1539" i="1" s="1"/>
  <c r="Q947" i="1"/>
  <c r="W947" i="1" a="1"/>
  <c r="W947" i="1" s="1"/>
  <c r="X947" i="1" s="1"/>
  <c r="Q297" i="1"/>
  <c r="W297" i="1" a="1"/>
  <c r="W297" i="1" s="1"/>
  <c r="X297" i="1" s="1"/>
  <c r="W455" i="1" a="1"/>
  <c r="W455" i="1" s="1"/>
  <c r="X455" i="1" s="1"/>
  <c r="Q455" i="1"/>
  <c r="W344" i="1" a="1"/>
  <c r="W344" i="1" s="1"/>
  <c r="X344" i="1" s="1"/>
  <c r="Q344" i="1"/>
  <c r="Q497" i="1"/>
  <c r="W497" i="1" a="1"/>
  <c r="W497" i="1" s="1"/>
  <c r="X497" i="1" s="1"/>
  <c r="O982" i="1"/>
  <c r="W501" i="1" a="1"/>
  <c r="W501" i="1" s="1"/>
  <c r="X501" i="1" s="1"/>
  <c r="Q501" i="1"/>
  <c r="O60" i="1"/>
  <c r="O99" i="1"/>
  <c r="Q2098" i="1"/>
  <c r="W2098" i="1" a="1"/>
  <c r="W2098" i="1" s="1"/>
  <c r="X2098" i="1" s="1"/>
  <c r="W348" i="1" a="1"/>
  <c r="W348" i="1" s="1"/>
  <c r="X348" i="1" s="1"/>
  <c r="Q348" i="1"/>
  <c r="W985" i="1" a="1"/>
  <c r="W985" i="1" s="1"/>
  <c r="X985" i="1" s="1"/>
  <c r="Q985" i="1"/>
  <c r="W975" i="1" a="1"/>
  <c r="W975" i="1" s="1"/>
  <c r="X975" i="1" s="1"/>
  <c r="Q975" i="1"/>
  <c r="O1244" i="1"/>
  <c r="O713" i="1"/>
  <c r="W2061" i="1" a="1"/>
  <c r="W2061" i="1" s="1"/>
  <c r="X2061" i="1" s="1"/>
  <c r="Q2061" i="1"/>
  <c r="O1769" i="1"/>
  <c r="W2011" i="1" a="1"/>
  <c r="W2011" i="1" s="1"/>
  <c r="X2011" i="1" s="1"/>
  <c r="Q2011" i="1"/>
  <c r="O701" i="1"/>
  <c r="W849" i="1" a="1"/>
  <c r="W849" i="1" s="1"/>
  <c r="X849" i="1" s="1"/>
  <c r="Q849" i="1"/>
  <c r="Q728" i="1"/>
  <c r="W829" i="1" a="1"/>
  <c r="W829" i="1" s="1"/>
  <c r="X829" i="1" s="1"/>
  <c r="Q829" i="1"/>
  <c r="W56" i="1" a="1"/>
  <c r="W56" i="1" s="1"/>
  <c r="X56" i="1" s="1"/>
  <c r="Q56" i="1"/>
  <c r="O683" i="1"/>
  <c r="O220" i="1"/>
  <c r="O1725" i="1"/>
  <c r="W883" i="1" a="1"/>
  <c r="W883" i="1" s="1"/>
  <c r="X883" i="1" s="1"/>
  <c r="Q883" i="1"/>
  <c r="W952" i="1" a="1"/>
  <c r="W952" i="1" s="1"/>
  <c r="X952" i="1" s="1"/>
  <c r="Q952" i="1"/>
  <c r="O69" i="1"/>
  <c r="Q2058" i="1"/>
  <c r="W2058" i="1" a="1"/>
  <c r="W2058" i="1" s="1"/>
  <c r="X2058" i="1" s="1"/>
  <c r="W318" i="1" a="1"/>
  <c r="W318" i="1" s="1"/>
  <c r="X318" i="1" s="1"/>
  <c r="Q318" i="1"/>
  <c r="W445" i="1" a="1"/>
  <c r="W445" i="1" s="1"/>
  <c r="X445" i="1" s="1"/>
  <c r="Q445" i="1"/>
  <c r="O1414" i="1"/>
  <c r="Q643" i="1"/>
  <c r="O761" i="1"/>
  <c r="W1506" i="1" a="1"/>
  <c r="W1506" i="1" s="1"/>
  <c r="X1506" i="1" s="1"/>
  <c r="Q1506" i="1"/>
  <c r="O603" i="1"/>
  <c r="W2059" i="1" a="1"/>
  <c r="W2059" i="1" s="1"/>
  <c r="X2059" i="1" s="1"/>
  <c r="Q2059" i="1"/>
  <c r="Q1675" i="1"/>
  <c r="O1675" i="1"/>
  <c r="W892" i="1" a="1"/>
  <c r="W892" i="1" s="1"/>
  <c r="X892" i="1" s="1"/>
  <c r="Q892" i="1"/>
  <c r="W446" i="1" a="1"/>
  <c r="W446" i="1" s="1"/>
  <c r="X446" i="1" s="1"/>
  <c r="Q446" i="1"/>
  <c r="O583" i="1"/>
  <c r="O159" i="1"/>
  <c r="O88" i="1"/>
  <c r="O1354" i="1"/>
  <c r="O1412" i="1"/>
  <c r="O1733" i="1"/>
  <c r="O229" i="1"/>
  <c r="W216" i="1" a="1"/>
  <c r="W216" i="1" s="1"/>
  <c r="X216" i="1" s="1"/>
  <c r="Q216" i="1"/>
  <c r="O290" i="1"/>
  <c r="O119" i="1"/>
  <c r="W864" i="1" a="1"/>
  <c r="W864" i="1" s="1"/>
  <c r="X864" i="1" s="1"/>
  <c r="Q864" i="1"/>
  <c r="O593" i="1"/>
  <c r="O1694" i="1"/>
  <c r="O993" i="1"/>
  <c r="Q207" i="1"/>
  <c r="W207" i="1" a="1"/>
  <c r="W207" i="1" s="1"/>
  <c r="X207" i="1" s="1"/>
  <c r="W966" i="1" a="1"/>
  <c r="W966" i="1" s="1"/>
  <c r="X966" i="1" s="1"/>
  <c r="Q966" i="1"/>
  <c r="W1123" i="1" a="1"/>
  <c r="W1123" i="1" s="1"/>
  <c r="X1123" i="1" s="1"/>
  <c r="Q1123" i="1"/>
  <c r="W882" i="1" a="1"/>
  <c r="W882" i="1" s="1"/>
  <c r="X882" i="1" s="1"/>
  <c r="Q882" i="1"/>
  <c r="O1400" i="1"/>
  <c r="Q1238" i="1"/>
  <c r="W1238" i="1" a="1"/>
  <c r="W1238" i="1" s="1"/>
  <c r="X1238" i="1" s="1"/>
  <c r="W1151" i="1" a="1"/>
  <c r="W1151" i="1" s="1"/>
  <c r="X1151" i="1" s="1"/>
  <c r="Q1151" i="1"/>
  <c r="O1339" i="1"/>
  <c r="W1528" i="1" a="1"/>
  <c r="W1528" i="1" s="1"/>
  <c r="X1528" i="1" s="1"/>
  <c r="Q1528" i="1"/>
  <c r="W1471" i="1" a="1"/>
  <c r="W1471" i="1" s="1"/>
  <c r="X1471" i="1" s="1"/>
  <c r="Q1471" i="1"/>
  <c r="W895" i="1" a="1"/>
  <c r="W895" i="1" s="1"/>
  <c r="X895" i="1" s="1"/>
  <c r="Q895" i="1"/>
  <c r="K29" i="7" s="1"/>
  <c r="W715" i="1" a="1"/>
  <c r="W715" i="1" s="1"/>
  <c r="X715" i="1" s="1"/>
  <c r="Q715" i="1"/>
  <c r="O1502" i="1"/>
  <c r="O700" i="1"/>
  <c r="W891" i="1" a="1"/>
  <c r="W891" i="1" s="1"/>
  <c r="X891" i="1" s="1"/>
  <c r="Q891" i="1"/>
  <c r="W125" i="1" a="1"/>
  <c r="W125" i="1" s="1"/>
  <c r="X125" i="1" s="1"/>
  <c r="Q125" i="1"/>
  <c r="Q1621" i="1"/>
  <c r="W1621" i="1" a="1"/>
  <c r="W1621" i="1" s="1"/>
  <c r="X1621" i="1" s="1"/>
  <c r="O353" i="1"/>
  <c r="O491" i="1"/>
  <c r="O1764" i="1"/>
  <c r="O693" i="1"/>
  <c r="O668" i="1"/>
  <c r="O584" i="1"/>
  <c r="W1661" i="1" a="1"/>
  <c r="W1661" i="1" s="1"/>
  <c r="X1661" i="1" s="1"/>
  <c r="Q1661" i="1"/>
  <c r="W490" i="1" a="1"/>
  <c r="W490" i="1" s="1"/>
  <c r="X490" i="1" s="1"/>
  <c r="Q490" i="1"/>
  <c r="Q1497" i="1"/>
  <c r="W1497" i="1" a="1"/>
  <c r="W1497" i="1" s="1"/>
  <c r="X1497" i="1" s="1"/>
  <c r="O1384" i="1"/>
  <c r="O564" i="1"/>
  <c r="O142" i="1"/>
  <c r="W73" i="1" a="1"/>
  <c r="W73" i="1" s="1"/>
  <c r="X73" i="1" s="1"/>
  <c r="Q73" i="1"/>
  <c r="O1124" i="1"/>
  <c r="Q812" i="1"/>
  <c r="O812" i="1"/>
  <c r="O53" i="1"/>
  <c r="Q987" i="1"/>
  <c r="W987" i="1" a="1"/>
  <c r="W987" i="1" s="1"/>
  <c r="X987" i="1" s="1"/>
  <c r="W505" i="1" a="1"/>
  <c r="W505" i="1" s="1"/>
  <c r="X505" i="1" s="1"/>
  <c r="Q505" i="1"/>
  <c r="Q337" i="1"/>
  <c r="W337" i="1" a="1"/>
  <c r="W337" i="1" s="1"/>
  <c r="X337" i="1" s="1"/>
  <c r="O1614" i="1"/>
  <c r="O1392" i="1"/>
  <c r="W931" i="1" a="1"/>
  <c r="W931" i="1" s="1"/>
  <c r="X931" i="1" s="1"/>
  <c r="Q931" i="1"/>
  <c r="W411" i="1" a="1"/>
  <c r="W411" i="1" s="1"/>
  <c r="X411" i="1" s="1"/>
  <c r="Q411" i="1"/>
  <c r="O1434" i="1"/>
  <c r="O533" i="1"/>
  <c r="O1430" i="1"/>
  <c r="Q1680" i="1"/>
  <c r="W521" i="1" a="1"/>
  <c r="W521" i="1" s="1"/>
  <c r="X521" i="1" s="1"/>
  <c r="Q521" i="1"/>
  <c r="W859" i="1" a="1"/>
  <c r="W859" i="1" s="1"/>
  <c r="X859" i="1" s="1"/>
  <c r="Q859" i="1"/>
  <c r="W1505" i="1" a="1"/>
  <c r="W1505" i="1" s="1"/>
  <c r="X1505" i="1" s="1"/>
  <c r="Q1505" i="1"/>
  <c r="W385" i="1" a="1"/>
  <c r="W385" i="1" s="1"/>
  <c r="X385" i="1" s="1"/>
  <c r="Q385" i="1"/>
  <c r="O1064" i="1"/>
  <c r="W309" i="1" a="1"/>
  <c r="W309" i="1" s="1"/>
  <c r="X309" i="1" s="1"/>
  <c r="Q309" i="1"/>
  <c r="O988" i="1"/>
  <c r="W511" i="1" a="1"/>
  <c r="W511" i="1" s="1"/>
  <c r="X511" i="1" s="1"/>
  <c r="Q511" i="1"/>
  <c r="O70" i="1"/>
  <c r="W809" i="1" a="1"/>
  <c r="W809" i="1" s="1"/>
  <c r="X809" i="1" s="1"/>
  <c r="Q809" i="1"/>
  <c r="O1427" i="1"/>
  <c r="Q837" i="1"/>
  <c r="W837" i="1" a="1"/>
  <c r="W837" i="1" s="1"/>
  <c r="X837" i="1" s="1"/>
  <c r="W956" i="1" a="1"/>
  <c r="W956" i="1" s="1"/>
  <c r="X956" i="1" s="1"/>
  <c r="Q956" i="1"/>
  <c r="Q1485" i="1"/>
  <c r="W1485" i="1" a="1"/>
  <c r="W1485" i="1" s="1"/>
  <c r="X1485" i="1" s="1"/>
  <c r="W1516" i="1" a="1"/>
  <c r="W1516" i="1" s="1"/>
  <c r="X1516" i="1" s="1"/>
  <c r="Q1516" i="1"/>
  <c r="W82" i="1" a="1"/>
  <c r="W82" i="1" s="1"/>
  <c r="X82" i="1" s="1"/>
  <c r="Q82" i="1"/>
  <c r="Q1532" i="1"/>
  <c r="W1532" i="1" a="1"/>
  <c r="W1532" i="1" s="1"/>
  <c r="X1532" i="1" s="1"/>
  <c r="O261" i="1"/>
  <c r="O562" i="1"/>
  <c r="W420" i="1" a="1"/>
  <c r="W420" i="1" s="1"/>
  <c r="X420" i="1" s="1"/>
  <c r="Q420" i="1"/>
  <c r="Q1499" i="1"/>
  <c r="W1499" i="1" a="1"/>
  <c r="W1499" i="1" s="1"/>
  <c r="X1499" i="1" s="1"/>
  <c r="Q487" i="1"/>
  <c r="W487" i="1" a="1"/>
  <c r="W487" i="1" s="1"/>
  <c r="X487" i="1" s="1"/>
  <c r="O1633" i="1"/>
  <c r="O1564" i="1"/>
  <c r="O163" i="1"/>
  <c r="O288" i="1"/>
  <c r="W334" i="1" a="1"/>
  <c r="W334" i="1" s="1"/>
  <c r="X334" i="1" s="1"/>
  <c r="Q334" i="1"/>
  <c r="O673" i="1"/>
  <c r="W46" i="1" a="1"/>
  <c r="W46" i="1" s="1"/>
  <c r="X46" i="1" s="1"/>
  <c r="Q46" i="1"/>
  <c r="O1144" i="1"/>
  <c r="O574" i="1"/>
  <c r="W462" i="1" a="1"/>
  <c r="W462" i="1" s="1"/>
  <c r="X462" i="1" s="1"/>
  <c r="Q462" i="1"/>
  <c r="W1490" i="1" a="1"/>
  <c r="W1490" i="1" s="1"/>
  <c r="X1490" i="1" s="1"/>
  <c r="Q1490" i="1"/>
  <c r="O1368" i="1"/>
  <c r="O1341" i="1"/>
  <c r="O1243" i="1"/>
  <c r="Q149" i="1"/>
  <c r="W1470" i="1" a="1"/>
  <c r="W1470" i="1" s="1"/>
  <c r="X1470" i="1" s="1"/>
  <c r="Q1470" i="1"/>
  <c r="O1404" i="1"/>
  <c r="W1533" i="1" a="1"/>
  <c r="W1533" i="1" s="1"/>
  <c r="X1533" i="1" s="1"/>
  <c r="Q1533" i="1"/>
  <c r="W332" i="1" a="1"/>
  <c r="W332" i="1" s="1"/>
  <c r="X332" i="1" s="1"/>
  <c r="Q332" i="1"/>
  <c r="W1510" i="1" a="1"/>
  <c r="W1510" i="1" s="1"/>
  <c r="X1510" i="1" s="1"/>
  <c r="Q1510" i="1"/>
  <c r="W9" i="1" a="1"/>
  <c r="W9" i="1" s="1"/>
  <c r="X9" i="1" s="1"/>
  <c r="Q9" i="1"/>
  <c r="W948" i="1" a="1"/>
  <c r="W948" i="1" s="1"/>
  <c r="X948" i="1" s="1"/>
  <c r="Q948" i="1"/>
  <c r="Q1477" i="1"/>
  <c r="W1477" i="1" a="1"/>
  <c r="W1477" i="1" s="1"/>
  <c r="X1477" i="1" s="1"/>
  <c r="O77" i="1"/>
  <c r="W1555" i="1" a="1"/>
  <c r="W1555" i="1" s="1"/>
  <c r="X1555" i="1" s="1"/>
  <c r="Q1555" i="1"/>
  <c r="W405" i="1" a="1"/>
  <c r="W405" i="1" s="1"/>
  <c r="X405" i="1" s="1"/>
  <c r="Q405" i="1"/>
  <c r="W938" i="1" a="1"/>
  <c r="W938" i="1" s="1"/>
  <c r="X938" i="1" s="1"/>
  <c r="Q938" i="1"/>
  <c r="W126" i="1" a="1"/>
  <c r="W126" i="1" s="1"/>
  <c r="X126" i="1" s="1"/>
  <c r="Q126" i="1"/>
  <c r="W1816" i="1" a="1"/>
  <c r="W1816" i="1" s="1"/>
  <c r="X1816" i="1" s="1"/>
  <c r="Q1816" i="1"/>
  <c r="O722" i="1"/>
  <c r="O514" i="1"/>
  <c r="O1562" i="1"/>
  <c r="O1628" i="1"/>
  <c r="O48" i="1"/>
  <c r="W831" i="1" a="1"/>
  <c r="W831" i="1" s="1"/>
  <c r="X831" i="1" s="1"/>
  <c r="Q831" i="1"/>
  <c r="W1486" i="1" a="1"/>
  <c r="W1486" i="1" s="1"/>
  <c r="X1486" i="1" s="1"/>
  <c r="Q1486" i="1"/>
  <c r="W1561" i="1" a="1"/>
  <c r="W1561" i="1" s="1"/>
  <c r="X1561" i="1" s="1"/>
  <c r="Q1561" i="1"/>
  <c r="O231" i="1"/>
  <c r="O1554" i="1"/>
  <c r="O280" i="1"/>
  <c r="W824" i="1" a="1"/>
  <c r="W824" i="1" s="1"/>
  <c r="X824" i="1" s="1"/>
  <c r="Q824" i="1"/>
  <c r="O63" i="1"/>
  <c r="W1294" i="1" a="1"/>
  <c r="W1294" i="1" s="1"/>
  <c r="X1294" i="1" s="1"/>
  <c r="Q1294" i="1"/>
  <c r="W203" i="1" a="1"/>
  <c r="W203" i="1" s="1"/>
  <c r="X203" i="1" s="1"/>
  <c r="Q203" i="1"/>
  <c r="W90" i="1" a="1"/>
  <c r="W90" i="1" s="1"/>
  <c r="X90" i="1" s="1"/>
  <c r="Q90" i="1"/>
  <c r="W716" i="1" a="1"/>
  <c r="W716" i="1" s="1"/>
  <c r="X716" i="1" s="1"/>
  <c r="Q716" i="1"/>
  <c r="O1375" i="1"/>
  <c r="O454" i="1"/>
  <c r="O262" i="1"/>
  <c r="W1290" i="1" a="1"/>
  <c r="W1290" i="1" s="1"/>
  <c r="X1290" i="1" s="1"/>
  <c r="Q1290" i="1"/>
  <c r="Q1021" i="1"/>
  <c r="W1021" i="1" a="1"/>
  <c r="W1021" i="1" s="1"/>
  <c r="X1021" i="1" s="1"/>
  <c r="W379" i="1" a="1"/>
  <c r="W379" i="1" s="1"/>
  <c r="X379" i="1" s="1"/>
  <c r="Q379" i="1"/>
  <c r="W306" i="1" a="1"/>
  <c r="W306" i="1" s="1"/>
  <c r="X306" i="1" s="1"/>
  <c r="Q306" i="1"/>
  <c r="O1721" i="1"/>
  <c r="W1449" i="1" a="1"/>
  <c r="W1449" i="1" s="1"/>
  <c r="X1449" i="1" s="1"/>
  <c r="Q1449" i="1"/>
  <c r="W1008" i="1" a="1"/>
  <c r="W1008" i="1" s="1"/>
  <c r="X1008" i="1" s="1"/>
  <c r="Q1008" i="1"/>
  <c r="W325" i="1" a="1"/>
  <c r="W325" i="1" s="1"/>
  <c r="X325" i="1" s="1"/>
  <c r="Q325" i="1"/>
  <c r="W512" i="1" a="1"/>
  <c r="W512" i="1" s="1"/>
  <c r="X512" i="1" s="1"/>
  <c r="Q512" i="1"/>
  <c r="O1329" i="1"/>
  <c r="O689" i="1"/>
  <c r="O1204" i="1"/>
  <c r="O1548" i="1"/>
  <c r="O1748" i="1"/>
  <c r="W2089" i="1" a="1"/>
  <c r="W2089" i="1" s="1"/>
  <c r="X2089" i="1" s="1"/>
  <c r="Q2089" i="1"/>
  <c r="O98" i="1"/>
  <c r="W2111" i="1" a="1"/>
  <c r="W2111" i="1" s="1"/>
  <c r="X2111" i="1" s="1"/>
  <c r="Q2111" i="1"/>
  <c r="O960" i="1"/>
  <c r="O291" i="1"/>
  <c r="O71" i="1"/>
  <c r="O920" i="1"/>
  <c r="W1469" i="1" a="1"/>
  <c r="W1469" i="1" s="1"/>
  <c r="X1469" i="1" s="1"/>
  <c r="Q1469" i="1"/>
  <c r="O1669" i="1"/>
  <c r="O1074" i="1"/>
  <c r="W51" i="1" a="1"/>
  <c r="W51" i="1" s="1"/>
  <c r="X51" i="1" s="1"/>
  <c r="Q51" i="1"/>
  <c r="W139" i="1" a="1"/>
  <c r="W139" i="1" s="1"/>
  <c r="X139" i="1" s="1"/>
  <c r="Q139" i="1"/>
  <c r="W518" i="1" a="1"/>
  <c r="W518" i="1" s="1"/>
  <c r="X518" i="1" s="1"/>
  <c r="Q518" i="1"/>
  <c r="W260" i="1" a="1"/>
  <c r="W260" i="1" s="1"/>
  <c r="X260" i="1" s="1"/>
  <c r="Q260" i="1"/>
  <c r="W251" i="1" a="1"/>
  <c r="W251" i="1" s="1"/>
  <c r="X251" i="1" s="1"/>
  <c r="Q251" i="1"/>
  <c r="O873" i="1"/>
  <c r="W1824" i="1" a="1"/>
  <c r="W1824" i="1" s="1"/>
  <c r="X1824" i="1" s="1"/>
  <c r="Q1824" i="1"/>
  <c r="W951" i="1" a="1"/>
  <c r="W951" i="1" s="1"/>
  <c r="X951" i="1" s="1"/>
  <c r="Q951" i="1"/>
  <c r="O110" i="1"/>
  <c r="W1758" i="1" a="1"/>
  <c r="W1758" i="1" s="1"/>
  <c r="X1758" i="1" s="1"/>
  <c r="Q1758" i="1"/>
  <c r="Q867" i="1"/>
  <c r="W867" i="1" a="1"/>
  <c r="W867" i="1" s="1"/>
  <c r="X867" i="1" s="1"/>
  <c r="W49" i="1" a="1"/>
  <c r="W49" i="1" s="1"/>
  <c r="X49" i="1" s="1"/>
  <c r="Q49" i="1"/>
  <c r="O1104" i="1"/>
  <c r="O192" i="1"/>
  <c r="O1819" i="1"/>
  <c r="O1002" i="1"/>
  <c r="O1328" i="1"/>
  <c r="O1713" i="1"/>
  <c r="W502" i="1" a="1"/>
  <c r="W502" i="1" s="1"/>
  <c r="X502" i="1" s="1"/>
  <c r="Q502" i="1"/>
  <c r="O1431" i="1"/>
  <c r="W851" i="1" a="1"/>
  <c r="W851" i="1" s="1"/>
  <c r="X851" i="1" s="1"/>
  <c r="Q851" i="1"/>
  <c r="Q131" i="1"/>
  <c r="W349" i="1" a="1"/>
  <c r="W349" i="1" s="1"/>
  <c r="X349" i="1" s="1"/>
  <c r="Q349" i="1"/>
  <c r="W1130" i="1" a="1"/>
  <c r="W1130" i="1" s="1"/>
  <c r="X1130" i="1" s="1"/>
  <c r="Q1130" i="1"/>
  <c r="W1693" i="1" a="1"/>
  <c r="W1693" i="1" s="1"/>
  <c r="X1693" i="1" s="1"/>
  <c r="Q1693" i="1"/>
  <c r="W492" i="1" a="1"/>
  <c r="W492" i="1" s="1"/>
  <c r="X492" i="1" s="1"/>
  <c r="Q492" i="1"/>
  <c r="O1353" i="1"/>
  <c r="Q1591" i="1"/>
  <c r="W1591" i="1" a="1"/>
  <c r="W1591" i="1" s="1"/>
  <c r="X1591" i="1" s="1"/>
  <c r="W798" i="1" a="1"/>
  <c r="W798" i="1" s="1"/>
  <c r="X798" i="1" s="1"/>
  <c r="Q798" i="1"/>
  <c r="O92" i="1"/>
  <c r="W810" i="1" a="1"/>
  <c r="W810" i="1" s="1"/>
  <c r="X810" i="1" s="1"/>
  <c r="Q810" i="1"/>
  <c r="W845" i="1" a="1"/>
  <c r="W845" i="1" s="1"/>
  <c r="X845" i="1" s="1"/>
  <c r="Q845" i="1"/>
  <c r="W1005" i="1" a="1"/>
  <c r="W1005" i="1" s="1"/>
  <c r="X1005" i="1" s="1"/>
  <c r="Q1005" i="1"/>
  <c r="W144" i="1" a="1"/>
  <c r="W144" i="1" s="1"/>
  <c r="X144" i="1" s="1"/>
  <c r="Q144" i="1"/>
  <c r="O168" i="1"/>
  <c r="W96" i="1" a="1"/>
  <c r="W96" i="1" s="1"/>
  <c r="X96" i="1" s="1"/>
  <c r="Q96" i="1"/>
  <c r="W2109" i="1" a="1"/>
  <c r="W2109" i="1" s="1"/>
  <c r="X2109" i="1" s="1"/>
  <c r="Q2109" i="1"/>
  <c r="Q927" i="1"/>
  <c r="W927" i="1" a="1"/>
  <c r="W927" i="1" s="1"/>
  <c r="X927" i="1" s="1"/>
  <c r="Q1465" i="1"/>
  <c r="W1465" i="1" a="1"/>
  <c r="W1465" i="1" s="1"/>
  <c r="X1465" i="1" s="1"/>
  <c r="O719" i="1"/>
  <c r="O249" i="1"/>
  <c r="Q999" i="1"/>
  <c r="W999" i="1" a="1"/>
  <c r="W999" i="1" s="1"/>
  <c r="X999" i="1" s="1"/>
  <c r="W396" i="1" a="1"/>
  <c r="W396" i="1" s="1"/>
  <c r="X396" i="1" s="1"/>
  <c r="Q396" i="1"/>
  <c r="O423" i="1"/>
  <c r="O1814" i="1"/>
  <c r="O994" i="1"/>
  <c r="W361" i="1" a="1"/>
  <c r="W361" i="1" s="1"/>
  <c r="X361" i="1" s="1"/>
  <c r="Q361" i="1"/>
  <c r="Q1475" i="1"/>
  <c r="W1475" i="1" a="1"/>
  <c r="W1475" i="1" s="1"/>
  <c r="X1475" i="1" s="1"/>
  <c r="Q365" i="1"/>
  <c r="W365" i="1" a="1"/>
  <c r="W365" i="1" s="1"/>
  <c r="X365" i="1" s="1"/>
  <c r="W113" i="1" a="1"/>
  <c r="W113" i="1" s="1"/>
  <c r="X113" i="1" s="1"/>
  <c r="Q113" i="1"/>
  <c r="Q1519" i="1"/>
  <c r="W1519" i="1" a="1"/>
  <c r="W1519" i="1" s="1"/>
  <c r="X1519" i="1" s="1"/>
  <c r="O674" i="1"/>
  <c r="W486" i="1" a="1"/>
  <c r="W486" i="1" s="1"/>
  <c r="X486" i="1" s="1"/>
  <c r="Q486" i="1"/>
  <c r="O1712" i="1"/>
  <c r="Q1697" i="1"/>
  <c r="W1697" i="1" a="1"/>
  <c r="W1697" i="1" s="1"/>
  <c r="X1697" i="1" s="1"/>
  <c r="O128" i="1"/>
  <c r="W61" i="1" a="1"/>
  <c r="W61" i="1" s="1"/>
  <c r="X61" i="1" s="1"/>
  <c r="Q61" i="1"/>
  <c r="O1763" i="1"/>
  <c r="O1011" i="1"/>
  <c r="Q1699" i="1"/>
  <c r="O1699" i="1"/>
  <c r="O1716" i="1"/>
  <c r="W815" i="1" a="1"/>
  <c r="W815" i="1" s="1"/>
  <c r="X815" i="1" s="1"/>
  <c r="Q815" i="1"/>
  <c r="W345" i="1" a="1"/>
  <c r="W345" i="1" s="1"/>
  <c r="X345" i="1" s="1"/>
  <c r="Q345" i="1"/>
  <c r="W858" i="1" a="1"/>
  <c r="W858" i="1" s="1"/>
  <c r="X858" i="1" s="1"/>
  <c r="Q858" i="1"/>
  <c r="Q347" i="1"/>
  <c r="W347" i="1" a="1"/>
  <c r="W347" i="1" s="1"/>
  <c r="X347" i="1" s="1"/>
  <c r="Q1588" i="1"/>
  <c r="W1588" i="1" a="1"/>
  <c r="W1588" i="1" s="1"/>
  <c r="X1588" i="1" s="1"/>
  <c r="O1394" i="1"/>
  <c r="W1520" i="1" a="1"/>
  <c r="W1520" i="1" s="1"/>
  <c r="X1520" i="1" s="1"/>
  <c r="Q1520" i="1"/>
  <c r="Q1006" i="1"/>
  <c r="W1006" i="1" a="1"/>
  <c r="W1006" i="1" s="1"/>
  <c r="X1006" i="1" s="1"/>
  <c r="O1811" i="1"/>
  <c r="O254" i="1"/>
  <c r="O1685" i="1"/>
  <c r="W961" i="1" a="1"/>
  <c r="W961" i="1" s="1"/>
  <c r="X961" i="1" s="1"/>
  <c r="Q961" i="1"/>
  <c r="Q1511" i="1"/>
  <c r="O1511" i="1"/>
  <c r="O1815" i="1"/>
  <c r="O1744" i="1"/>
  <c r="O577" i="1"/>
  <c r="Q1698" i="1"/>
  <c r="W1698" i="1" a="1"/>
  <c r="W1698" i="1" s="1"/>
  <c r="X1698" i="1" s="1"/>
  <c r="O1417" i="1"/>
  <c r="Q827" i="1"/>
  <c r="W827" i="1" a="1"/>
  <c r="W827" i="1" s="1"/>
  <c r="X827" i="1" s="1"/>
  <c r="Q765" i="1"/>
  <c r="W765" i="1" a="1"/>
  <c r="W765" i="1" s="1"/>
  <c r="X765" i="1" s="1"/>
  <c r="Q265" i="1"/>
  <c r="W265" i="1" a="1"/>
  <c r="W265" i="1" s="1"/>
  <c r="X265" i="1" s="1"/>
  <c r="W355" i="1" a="1"/>
  <c r="W355" i="1" s="1"/>
  <c r="X355" i="1" s="1"/>
  <c r="Q355" i="1"/>
  <c r="Q997" i="1"/>
  <c r="W997" i="1" a="1"/>
  <c r="W997" i="1" s="1"/>
  <c r="X997" i="1" s="1"/>
  <c r="O234" i="1"/>
  <c r="O1423" i="1"/>
  <c r="W20" i="1" a="1"/>
  <c r="W20" i="1" s="1"/>
  <c r="X20" i="1" s="1"/>
  <c r="Q20" i="1"/>
  <c r="O1580" i="1"/>
  <c r="O94" i="1"/>
  <c r="W1570" i="1" a="1"/>
  <c r="W1570" i="1" s="1"/>
  <c r="X1570" i="1" s="1"/>
  <c r="Q1570" i="1"/>
  <c r="W1481" i="1" a="1"/>
  <c r="W1481" i="1" s="1"/>
  <c r="X1481" i="1" s="1"/>
  <c r="Q1481" i="1"/>
  <c r="W1489" i="1" a="1"/>
  <c r="W1489" i="1" s="1"/>
  <c r="X1489" i="1" s="1"/>
  <c r="Q1489" i="1"/>
  <c r="W820" i="1" a="1"/>
  <c r="W820" i="1" s="1"/>
  <c r="X820" i="1" s="1"/>
  <c r="Q820" i="1"/>
  <c r="W466" i="1" a="1"/>
  <c r="W466" i="1" s="1"/>
  <c r="X466" i="1" s="1"/>
  <c r="Q466" i="1"/>
  <c r="O1682" i="1"/>
  <c r="O750" i="1"/>
  <c r="O979" i="1"/>
  <c r="O1688" i="1"/>
  <c r="W1745" i="1" a="1"/>
  <c r="W1745" i="1" s="1"/>
  <c r="X1745" i="1" s="1"/>
  <c r="Q1745" i="1"/>
  <c r="Q1507" i="1"/>
  <c r="W1507" i="1" a="1"/>
  <c r="W1507" i="1" s="1"/>
  <c r="X1507" i="1" s="1"/>
  <c r="O1174" i="1"/>
  <c r="O1439" i="1"/>
  <c r="O604" i="1"/>
  <c r="O184" i="1"/>
  <c r="W393" i="1" a="1"/>
  <c r="W393" i="1" s="1"/>
  <c r="X393" i="1" s="1"/>
  <c r="Q393" i="1"/>
  <c r="O341" i="1"/>
  <c r="Q1547" i="1"/>
  <c r="W1547" i="1" a="1"/>
  <c r="W1547" i="1" s="1"/>
  <c r="X1547" i="1" s="1"/>
  <c r="O1324" i="1"/>
  <c r="W872" i="1" a="1"/>
  <c r="W872" i="1" s="1"/>
  <c r="X872" i="1" s="1"/>
  <c r="Q872" i="1"/>
  <c r="O553" i="1"/>
  <c r="W1483" i="1" a="1"/>
  <c r="W1483" i="1" s="1"/>
  <c r="X1483" i="1" s="1"/>
  <c r="Q1483" i="1"/>
  <c r="O248" i="1"/>
  <c r="W1183" i="1" a="1"/>
  <c r="W1183" i="1" s="1"/>
  <c r="X1183" i="1" s="1"/>
  <c r="Q1183" i="1"/>
  <c r="O241" i="1"/>
  <c r="Q875" i="1"/>
  <c r="W875" i="1" a="1"/>
  <c r="W875" i="1" s="1"/>
  <c r="X875" i="1" s="1"/>
  <c r="Q977" i="1"/>
  <c r="W977" i="1" a="1"/>
  <c r="W977" i="1" s="1"/>
  <c r="X977" i="1" s="1"/>
  <c r="Q47" i="1"/>
  <c r="W47" i="1" a="1"/>
  <c r="W47" i="1" s="1"/>
  <c r="X47" i="1" s="1"/>
  <c r="W826" i="1" a="1"/>
  <c r="W826" i="1" s="1"/>
  <c r="X826" i="1" s="1"/>
  <c r="Q826" i="1"/>
  <c r="W26" i="1" a="1"/>
  <c r="W26" i="1" s="1"/>
  <c r="X26" i="1" s="1"/>
  <c r="Q26" i="1"/>
  <c r="W195" i="1" a="1"/>
  <c r="W195" i="1" s="1"/>
  <c r="X195" i="1" s="1"/>
  <c r="Q195" i="1"/>
  <c r="W768" i="1" a="1"/>
  <c r="W768" i="1" s="1"/>
  <c r="X768" i="1" s="1"/>
  <c r="Q768" i="1"/>
  <c r="W246" i="1" a="1"/>
  <c r="W246" i="1" s="1"/>
  <c r="X246" i="1" s="1"/>
  <c r="Q246" i="1"/>
  <c r="O843" i="1"/>
  <c r="O1731" i="1"/>
  <c r="O1599" i="1"/>
  <c r="W1575" i="1" a="1"/>
  <c r="W1575" i="1" s="1"/>
  <c r="X1575" i="1" s="1"/>
  <c r="Q1575" i="1"/>
  <c r="Q865" i="1"/>
  <c r="W865" i="1" a="1"/>
  <c r="W865" i="1" s="1"/>
  <c r="X865" i="1" s="1"/>
  <c r="O1084" i="1"/>
  <c r="Q1084" i="1"/>
  <c r="O1582" i="1"/>
  <c r="W1482" i="1" a="1"/>
  <c r="W1482" i="1" s="1"/>
  <c r="X1482" i="1" s="1"/>
  <c r="Q1482" i="1"/>
  <c r="W208" i="1" a="1"/>
  <c r="W208" i="1" s="1"/>
  <c r="X208" i="1" s="1"/>
  <c r="Q208" i="1"/>
  <c r="O1437" i="1"/>
  <c r="Q921" i="1"/>
  <c r="W921" i="1" a="1"/>
  <c r="W921" i="1" s="1"/>
  <c r="X921" i="1" s="1"/>
  <c r="O1560" i="1"/>
  <c r="O578" i="1"/>
  <c r="Q1242" i="1"/>
  <c r="W1242" i="1" a="1"/>
  <c r="W1242" i="1" s="1"/>
  <c r="X1242" i="1" s="1"/>
  <c r="W2069" i="1" a="1"/>
  <c r="W2069" i="1" s="1"/>
  <c r="X2069" i="1" s="1"/>
  <c r="Q2069" i="1"/>
  <c r="W1009" i="1" a="1"/>
  <c r="W1009" i="1" s="1"/>
  <c r="X1009" i="1" s="1"/>
  <c r="Q1009" i="1"/>
  <c r="W840" i="1" a="1"/>
  <c r="W840" i="1" s="1"/>
  <c r="X840" i="1" s="1"/>
  <c r="Q840" i="1"/>
  <c r="W80" i="1" a="1"/>
  <c r="W80" i="1" s="1"/>
  <c r="X80" i="1" s="1"/>
  <c r="Q80" i="1"/>
  <c r="W939" i="1" a="1"/>
  <c r="W939" i="1" s="1"/>
  <c r="X939" i="1" s="1"/>
  <c r="Q939" i="1"/>
  <c r="W1730" i="1" a="1"/>
  <c r="W1730" i="1" s="1"/>
  <c r="X1730" i="1" s="1"/>
  <c r="Q1730" i="1"/>
  <c r="O1500" i="1"/>
  <c r="O250" i="1"/>
  <c r="O414" i="1"/>
  <c r="O114" i="1"/>
  <c r="O1727" i="1"/>
  <c r="O567" i="1"/>
  <c r="O733" i="1"/>
  <c r="Q2119" i="1"/>
  <c r="W2119" i="1" a="1"/>
  <c r="W2119" i="1" s="1"/>
  <c r="X2119" i="1" s="1"/>
  <c r="W2049" i="1" a="1"/>
  <c r="W2049" i="1" s="1"/>
  <c r="X2049" i="1" s="1"/>
  <c r="Q2049" i="1"/>
  <c r="Q937" i="1"/>
  <c r="W937" i="1" a="1"/>
  <c r="W937" i="1" s="1"/>
  <c r="X937" i="1" s="1"/>
  <c r="M29" i="7"/>
  <c r="O1833" i="1"/>
  <c r="W312" i="1" a="1"/>
  <c r="W312" i="1" s="1"/>
  <c r="X312" i="1" s="1"/>
  <c r="Q312" i="1"/>
  <c r="O1604" i="1"/>
  <c r="O41" i="1"/>
  <c r="Q367" i="1"/>
  <c r="W367" i="1" a="1"/>
  <c r="W367" i="1" s="1"/>
  <c r="X367" i="1" s="1"/>
  <c r="W916" i="1" a="1"/>
  <c r="W916" i="1" s="1"/>
  <c r="X916" i="1" s="1"/>
  <c r="Q916" i="1"/>
  <c r="O1415" i="1"/>
  <c r="W483" i="1" a="1"/>
  <c r="W483" i="1" s="1"/>
  <c r="X483" i="1" s="1"/>
  <c r="Q483" i="1"/>
  <c r="W186" i="1" a="1"/>
  <c r="W186" i="1" s="1"/>
  <c r="X186" i="1" s="1"/>
  <c r="Q186" i="1"/>
  <c r="S29" i="7"/>
  <c r="P29" i="7"/>
  <c r="O1834" i="1"/>
  <c r="O3" i="1"/>
  <c r="Q1488" i="1"/>
  <c r="W1488" i="1" a="1"/>
  <c r="W1488" i="1" s="1"/>
  <c r="X1488" i="1" s="1"/>
  <c r="O148" i="1"/>
  <c r="O1623" i="1"/>
  <c r="W509" i="1" a="1"/>
  <c r="W509" i="1" s="1"/>
  <c r="X509" i="1" s="1"/>
  <c r="Q509" i="1"/>
  <c r="W219" i="1" a="1"/>
  <c r="W219" i="1" s="1"/>
  <c r="X219" i="1" s="1"/>
  <c r="Q219" i="1"/>
  <c r="O1765" i="1"/>
  <c r="W494" i="1" a="1"/>
  <c r="W494" i="1" s="1"/>
  <c r="X494" i="1" s="1"/>
  <c r="Q494" i="1"/>
  <c r="W878" i="1" a="1"/>
  <c r="W878" i="1" s="1"/>
  <c r="X878" i="1" s="1"/>
  <c r="Q878" i="1"/>
  <c r="O844" i="1"/>
  <c r="W1523" i="1" a="1"/>
  <c r="W1523" i="1" s="1"/>
  <c r="X1523" i="1" s="1"/>
  <c r="Q1523" i="1"/>
  <c r="O1752" i="1"/>
  <c r="Q2121" i="1"/>
  <c r="W2121" i="1" a="1"/>
  <c r="W2121" i="1" s="1"/>
  <c r="X2121" i="1" s="1"/>
  <c r="O1003" i="1"/>
  <c r="O1703" i="1"/>
  <c r="W223" i="1" a="1"/>
  <c r="W223" i="1" s="1"/>
  <c r="X223" i="1" s="1"/>
  <c r="Q223" i="1"/>
  <c r="O232" i="1"/>
  <c r="O101" i="1"/>
  <c r="W1259" i="1" a="1"/>
  <c r="W1259" i="1" s="1"/>
  <c r="X1259" i="1" s="1"/>
  <c r="Q1259" i="1"/>
  <c r="W500" i="1" a="1"/>
  <c r="W500" i="1" s="1"/>
  <c r="X500" i="1" s="1"/>
  <c r="Q500" i="1"/>
  <c r="W696" i="1" a="1"/>
  <c r="W696" i="1" s="1"/>
  <c r="X696" i="1" s="1"/>
  <c r="Q696" i="1"/>
  <c r="W196" i="1" a="1"/>
  <c r="W196" i="1" s="1"/>
  <c r="X196" i="1" s="1"/>
  <c r="Q196" i="1"/>
  <c r="W86" i="1" a="1"/>
  <c r="W86" i="1" s="1"/>
  <c r="X86" i="1" s="1"/>
  <c r="Q86" i="1"/>
  <c r="W66" i="1" a="1"/>
  <c r="W66" i="1" s="1"/>
  <c r="X66" i="1" s="1"/>
  <c r="Q66" i="1"/>
  <c r="O709" i="1"/>
  <c r="O1711" i="1"/>
  <c r="O1001" i="1"/>
  <c r="W315" i="1" a="1"/>
  <c r="W315" i="1" s="1"/>
  <c r="X315" i="1" s="1"/>
  <c r="Q315" i="1"/>
  <c r="O1224" i="1"/>
  <c r="Q1350" i="1"/>
  <c r="O1350" i="1"/>
  <c r="O1813" i="1"/>
  <c r="O67" i="1"/>
  <c r="O143" i="1"/>
  <c r="W400" i="1" a="1"/>
  <c r="W400" i="1" s="1"/>
  <c r="X400" i="1" s="1"/>
  <c r="Q400" i="1"/>
  <c r="O1472" i="1"/>
  <c r="Q1830" i="1"/>
  <c r="W1830" i="1" a="1"/>
  <c r="W1830" i="1" s="1"/>
  <c r="X1830" i="1" s="1"/>
  <c r="W354" i="1" a="1"/>
  <c r="W354" i="1" s="1"/>
  <c r="X354" i="1" s="1"/>
  <c r="Q354" i="1"/>
  <c r="Q1820" i="1"/>
  <c r="W1820" i="1" a="1"/>
  <c r="W1820" i="1" s="1"/>
  <c r="X1820" i="1" s="1"/>
  <c r="O1424" i="1"/>
  <c r="O944" i="1"/>
  <c r="O969" i="1"/>
  <c r="O284" i="1"/>
  <c r="O1678" i="1"/>
  <c r="O74" i="1"/>
  <c r="Q1832" i="1"/>
  <c r="W1832" i="1" a="1"/>
  <c r="W1832" i="1" s="1"/>
  <c r="X1832" i="1" s="1"/>
  <c r="W362" i="1" a="1"/>
  <c r="W362" i="1" s="1"/>
  <c r="X362" i="1" s="1"/>
  <c r="Q362" i="1"/>
  <c r="W1650" i="1" a="1"/>
  <c r="W1650" i="1" s="1"/>
  <c r="X1650" i="1" s="1"/>
  <c r="Q1650" i="1"/>
  <c r="Q1817" i="1"/>
  <c r="W1817" i="1" a="1"/>
  <c r="W1817" i="1" s="1"/>
  <c r="X1817" i="1" s="1"/>
  <c r="W93" i="1" a="1"/>
  <c r="W93" i="1" s="1"/>
  <c r="X93" i="1" s="1"/>
  <c r="Q93" i="1"/>
  <c r="Q819" i="1"/>
  <c r="W819" i="1" a="1"/>
  <c r="W819" i="1" s="1"/>
  <c r="X819" i="1" s="1"/>
  <c r="Q2087" i="1"/>
  <c r="W2087" i="1" a="1"/>
  <c r="W2087" i="1" s="1"/>
  <c r="X2087" i="1" s="1"/>
  <c r="O551" i="1"/>
  <c r="W1581" i="1" a="1"/>
  <c r="W1581" i="1" s="1"/>
  <c r="X1581" i="1" s="1"/>
  <c r="Q1581" i="1"/>
  <c r="W871" i="1" a="1"/>
  <c r="W871" i="1" s="1"/>
  <c r="X871" i="1" s="1"/>
  <c r="Q871" i="1"/>
  <c r="W360" i="1" a="1"/>
  <c r="W360" i="1" s="1"/>
  <c r="X360" i="1" s="1"/>
  <c r="Q360" i="1"/>
  <c r="W109" i="1" a="1"/>
  <c r="W109" i="1" s="1"/>
  <c r="X109" i="1" s="1"/>
  <c r="Q109" i="1"/>
  <c r="W885" i="1" a="1"/>
  <c r="W885" i="1" s="1"/>
  <c r="X885" i="1" s="1"/>
  <c r="Q885" i="1"/>
  <c r="O78" i="1"/>
  <c r="O534" i="1"/>
  <c r="Q534" i="1"/>
  <c r="O141" i="1"/>
  <c r="W160" i="1" a="1"/>
  <c r="W160" i="1" s="1"/>
  <c r="X160" i="1" s="1"/>
  <c r="Q160" i="1"/>
  <c r="Q857" i="1"/>
  <c r="W857" i="1" a="1"/>
  <c r="W857" i="1" s="1"/>
  <c r="X857" i="1" s="1"/>
  <c r="O726" i="1"/>
  <c r="W85" i="1" a="1"/>
  <c r="W85" i="1" s="1"/>
  <c r="X85" i="1" s="1"/>
  <c r="Q85" i="1"/>
  <c r="O523" i="1"/>
  <c r="O1710" i="1"/>
  <c r="O1433" i="1"/>
  <c r="W322" i="1" a="1"/>
  <c r="W322" i="1" s="1"/>
  <c r="X322" i="1" s="1"/>
  <c r="Q322" i="1"/>
  <c r="O1673" i="1"/>
  <c r="O1362" i="1"/>
  <c r="W1493" i="1" a="1"/>
  <c r="W1493" i="1" s="1"/>
  <c r="X1493" i="1" s="1"/>
  <c r="Q1493" i="1"/>
  <c r="W983" i="1" a="1"/>
  <c r="W983" i="1" s="1"/>
  <c r="X983" i="1" s="1"/>
  <c r="Q983" i="1"/>
  <c r="W935" i="1" a="1"/>
  <c r="W935" i="1" s="1"/>
  <c r="X935" i="1" s="1"/>
  <c r="Q935" i="1"/>
  <c r="W508" i="1" a="1"/>
  <c r="W508" i="1" s="1"/>
  <c r="X508" i="1" s="1"/>
  <c r="Q508" i="1"/>
  <c r="O1579" i="1"/>
  <c r="W188" i="1" a="1"/>
  <c r="W188" i="1" s="1"/>
  <c r="X188" i="1" s="1"/>
  <c r="Q188" i="1"/>
  <c r="W444" i="1" a="1"/>
  <c r="W444" i="1" s="1"/>
  <c r="X444" i="1" s="1"/>
  <c r="Q444" i="1"/>
  <c r="W963" i="1" a="1"/>
  <c r="W963" i="1" s="1"/>
  <c r="X963" i="1" s="1"/>
  <c r="Q963" i="1"/>
  <c r="O1012" i="1"/>
  <c r="W2051" i="1" a="1"/>
  <c r="W2051" i="1" s="1"/>
  <c r="X2051" i="1" s="1"/>
  <c r="Q2051" i="1"/>
  <c r="W211" i="1" a="1"/>
  <c r="W211" i="1" s="1"/>
  <c r="X211" i="1" s="1"/>
  <c r="Q211" i="1"/>
  <c r="W2128" i="1" a="1"/>
  <c r="W2128" i="1" s="1"/>
  <c r="X2128" i="1" s="1"/>
  <c r="Q2128" i="1"/>
  <c r="W358" i="1" a="1"/>
  <c r="W358" i="1" s="1"/>
  <c r="X358" i="1" s="1"/>
  <c r="Q358" i="1"/>
  <c r="O706" i="1"/>
  <c r="W825" i="1" a="1"/>
  <c r="W825" i="1" s="1"/>
  <c r="X825" i="1" s="1"/>
  <c r="Q825" i="1"/>
  <c r="W366" i="1" a="1"/>
  <c r="W366" i="1" s="1"/>
  <c r="X366" i="1" s="1"/>
  <c r="Q366" i="1"/>
  <c r="W346" i="1" a="1"/>
  <c r="W346" i="1" s="1"/>
  <c r="X346" i="1" s="1"/>
  <c r="Q346" i="1"/>
  <c r="Q257" i="1"/>
  <c r="W257" i="1" a="1"/>
  <c r="W257" i="1" s="1"/>
  <c r="X257" i="1" s="1"/>
  <c r="Q1340" i="1"/>
  <c r="O1340" i="1"/>
  <c r="W958" i="1" a="1"/>
  <c r="W958" i="1" s="1"/>
  <c r="X958" i="1" s="1"/>
  <c r="Q958" i="1"/>
  <c r="O118" i="1"/>
  <c r="O1677" i="1"/>
  <c r="Q1357" i="1"/>
  <c r="O1357" i="1"/>
  <c r="W321" i="1" a="1"/>
  <c r="W321" i="1" s="1"/>
  <c r="X321" i="1" s="1"/>
  <c r="Q321" i="1"/>
  <c r="W949" i="1" a="1"/>
  <c r="W949" i="1" s="1"/>
  <c r="X949" i="1" s="1"/>
  <c r="Q949" i="1"/>
  <c r="O1719" i="1"/>
  <c r="O1825" i="1"/>
  <c r="O1420" i="1"/>
  <c r="O1474" i="1"/>
  <c r="O1732" i="1"/>
  <c r="O548" i="1"/>
  <c r="O711" i="1"/>
  <c r="W1509" i="1" a="1"/>
  <c r="W1509" i="1" s="1"/>
  <c r="X1509" i="1" s="1"/>
  <c r="Q1509" i="1"/>
  <c r="W1518" i="1" a="1"/>
  <c r="W1518" i="1" s="1"/>
  <c r="X1518" i="1" s="1"/>
  <c r="Q1518" i="1"/>
  <c r="Q357" i="1"/>
  <c r="W357" i="1" a="1"/>
  <c r="W357" i="1" s="1"/>
  <c r="X357" i="1" s="1"/>
  <c r="Q87" i="1"/>
  <c r="W87" i="1" a="1"/>
  <c r="W87" i="1" s="1"/>
  <c r="X87" i="1" s="1"/>
  <c r="W1522" i="1" a="1"/>
  <c r="W1522" i="1" s="1"/>
  <c r="X1522" i="1" s="1"/>
  <c r="Q1522" i="1"/>
  <c r="O239" i="1"/>
  <c r="O732" i="1"/>
  <c r="O1345" i="1"/>
  <c r="Q943" i="1"/>
  <c r="W943" i="1" a="1"/>
  <c r="W943" i="1" s="1"/>
  <c r="X943" i="1" s="1"/>
  <c r="O81" i="1"/>
  <c r="W1534" i="1" a="1"/>
  <c r="W1534" i="1" s="1"/>
  <c r="X1534" i="1" s="1"/>
  <c r="Q1534" i="1"/>
  <c r="W331" i="1" a="1"/>
  <c r="W331" i="1" s="1"/>
  <c r="X331" i="1" s="1"/>
  <c r="Q331" i="1"/>
  <c r="O89" i="1"/>
  <c r="O1702" i="1"/>
  <c r="O940" i="1"/>
  <c r="O1479" i="1"/>
  <c r="O1634" i="1"/>
  <c r="O1613" i="1"/>
  <c r="O1402" i="1"/>
  <c r="W380" i="1" a="1"/>
  <c r="W380" i="1" s="1"/>
  <c r="X380" i="1" s="1"/>
  <c r="Q380" i="1"/>
  <c r="W76" i="1" a="1"/>
  <c r="W76" i="1" s="1"/>
  <c r="X76" i="1" s="1"/>
  <c r="Q76" i="1"/>
  <c r="W746" i="1" a="1"/>
  <c r="W746" i="1" s="1"/>
  <c r="X746" i="1" s="1"/>
  <c r="Q746" i="1"/>
  <c r="O717" i="1"/>
  <c r="W1016" i="1" a="1"/>
  <c r="W1016" i="1" s="1"/>
  <c r="X1016" i="1" s="1"/>
  <c r="Q1016" i="1"/>
  <c r="W335" i="1" a="1"/>
  <c r="W335" i="1" s="1"/>
  <c r="X335" i="1" s="1"/>
  <c r="Q335" i="1"/>
  <c r="O834" i="1"/>
  <c r="O1462" i="1"/>
  <c r="O659" i="1"/>
  <c r="O542" i="1"/>
  <c r="Q542" i="1"/>
  <c r="O1408" i="1"/>
  <c r="O1715" i="1"/>
  <c r="O1389" i="1"/>
  <c r="O663" i="1"/>
  <c r="O64" i="1"/>
  <c r="W363" i="1" a="1"/>
  <c r="W363" i="1" s="1"/>
  <c r="X363" i="1" s="1"/>
  <c r="Q363" i="1"/>
  <c r="W2101" i="1" a="1"/>
  <c r="W2101" i="1" s="1"/>
  <c r="X2101" i="1" s="1"/>
  <c r="Q2101" i="1"/>
  <c r="W1526" i="1" a="1"/>
  <c r="W1526" i="1" s="1"/>
  <c r="X1526" i="1" s="1"/>
  <c r="Q1526" i="1"/>
  <c r="O989" i="1"/>
  <c r="O1428" i="1"/>
  <c r="W498" i="1" a="1"/>
  <c r="W498" i="1" s="1"/>
  <c r="X498" i="1" s="1"/>
  <c r="Q498" i="1"/>
  <c r="W846" i="1" a="1"/>
  <c r="W846" i="1" s="1"/>
  <c r="X846" i="1" s="1"/>
  <c r="Q846" i="1"/>
  <c r="W205" i="1" a="1"/>
  <c r="W205" i="1" s="1"/>
  <c r="X205" i="1" s="1"/>
  <c r="Q205" i="1"/>
  <c r="W95" i="1" a="1"/>
  <c r="W95" i="1" s="1"/>
  <c r="X95" i="1" s="1"/>
  <c r="Q95" i="1"/>
  <c r="O283" i="1"/>
  <c r="O1060" i="1"/>
  <c r="W1289" i="1" a="1"/>
  <c r="W1289" i="1" s="1"/>
  <c r="X1289" i="1" s="1"/>
  <c r="Q1289" i="1"/>
  <c r="O1701" i="1"/>
  <c r="O44" i="1"/>
  <c r="O122" i="1"/>
  <c r="O120" i="1"/>
  <c r="Q2007" i="1"/>
  <c r="W2007" i="1" a="1"/>
  <c r="W2007" i="1" s="1"/>
  <c r="X2007" i="1" s="1"/>
  <c r="O1163" i="1"/>
  <c r="O154" i="1"/>
  <c r="W962" i="1" a="1"/>
  <c r="W962" i="1" s="1"/>
  <c r="X962" i="1" s="1"/>
  <c r="Q962" i="1"/>
  <c r="W1551" i="1" a="1"/>
  <c r="W1551" i="1" s="1"/>
  <c r="X1551" i="1" s="1"/>
  <c r="Q1551" i="1"/>
  <c r="W1828" i="1" a="1"/>
  <c r="W1828" i="1" s="1"/>
  <c r="X1828" i="1" s="1"/>
  <c r="Q1828" i="1"/>
  <c r="O1717" i="1"/>
  <c r="O1401" i="1"/>
  <c r="Q821" i="1"/>
  <c r="W821" i="1" a="1"/>
  <c r="W821" i="1" s="1"/>
  <c r="X821" i="1" s="1"/>
  <c r="O111" i="1"/>
  <c r="W889" i="1" a="1"/>
  <c r="W889" i="1" s="1"/>
  <c r="X889" i="1" s="1"/>
  <c r="Q889" i="1"/>
  <c r="O1426" i="1"/>
  <c r="W106" i="1" a="1"/>
  <c r="W106" i="1" s="1"/>
  <c r="X106" i="1" s="1"/>
  <c r="Q106" i="1"/>
  <c r="W461" i="1" a="1"/>
  <c r="W461" i="1" s="1"/>
  <c r="X461" i="1" s="1"/>
  <c r="Q461" i="1"/>
  <c r="W479" i="1" a="1"/>
  <c r="W479" i="1" s="1"/>
  <c r="X479" i="1" s="1"/>
  <c r="Q479" i="1"/>
  <c r="Q2107" i="1"/>
  <c r="W2107" i="1" a="1"/>
  <c r="W2107" i="1" s="1"/>
  <c r="X2107" i="1" s="1"/>
  <c r="W235" i="1" a="1"/>
  <c r="W235" i="1" s="1"/>
  <c r="X235" i="1" s="1"/>
  <c r="Q235" i="1"/>
  <c r="Q137" i="1"/>
  <c r="W137" i="1" a="1"/>
  <c r="W137" i="1" s="1"/>
  <c r="X137" i="1" s="1"/>
  <c r="N29" i="7" l="1"/>
  <c r="U29" i="7" s="1"/>
  <c r="Q194" i="1"/>
  <c r="O194" i="1"/>
  <c r="Q296" i="1"/>
  <c r="O296" i="1"/>
  <c r="O1314" i="1"/>
  <c r="Q1063" i="1"/>
  <c r="O721" i="1"/>
  <c r="O1530" i="1"/>
  <c r="O199" i="1"/>
  <c r="O395" i="1"/>
  <c r="O1809" i="1"/>
  <c r="O1608" i="1"/>
  <c r="Q323" i="1"/>
  <c r="O323" i="1"/>
  <c r="O877" i="1"/>
  <c r="O606" i="1"/>
  <c r="O302" i="1"/>
  <c r="O303" i="1"/>
  <c r="O839" i="1"/>
  <c r="O965" i="1"/>
  <c r="O1145" i="1"/>
  <c r="O1451" i="1"/>
  <c r="O1455" i="1"/>
  <c r="O1049" i="1"/>
  <c r="O652" i="1"/>
  <c r="O667" i="1"/>
  <c r="O675" i="1"/>
  <c r="O579" i="1"/>
  <c r="O586" i="1"/>
  <c r="O563" i="1"/>
  <c r="O1762" i="1"/>
  <c r="O2029" i="1"/>
  <c r="O1271" i="1"/>
  <c r="O1543" i="1"/>
  <c r="O189" i="1"/>
  <c r="O1292" i="1"/>
  <c r="O1823" i="1"/>
  <c r="O338" i="1"/>
  <c r="O504" i="1"/>
  <c r="O319" i="1"/>
  <c r="O151" i="1"/>
  <c r="O336" i="1"/>
  <c r="O855" i="1"/>
  <c r="O917" i="1"/>
  <c r="O301" i="1"/>
  <c r="O1347" i="1"/>
  <c r="O1351" i="1"/>
  <c r="O1450" i="1"/>
  <c r="O1463" i="1"/>
  <c r="O1037" i="1"/>
  <c r="O640" i="1"/>
  <c r="O639" i="1"/>
  <c r="O569" i="1"/>
  <c r="O591" i="1"/>
  <c r="O568" i="1"/>
  <c r="O1759" i="1"/>
  <c r="O2019" i="1"/>
  <c r="O1252" i="1"/>
  <c r="O1545" i="1"/>
  <c r="O1305" i="1"/>
  <c r="O1492" i="1"/>
  <c r="O1233" i="1"/>
  <c r="O326" i="1"/>
  <c r="O1508" i="1"/>
  <c r="O310" i="1"/>
  <c r="O258" i="1"/>
  <c r="O1228" i="1"/>
  <c r="O304" i="1"/>
  <c r="O828" i="1"/>
  <c r="O327" i="1"/>
  <c r="O1356" i="1"/>
  <c r="O1459" i="1"/>
  <c r="O1447" i="1"/>
  <c r="O698" i="1"/>
  <c r="O1045" i="1"/>
  <c r="O645" i="1"/>
  <c r="O1035" i="1"/>
  <c r="O677" i="1"/>
  <c r="O594" i="1"/>
  <c r="O1255" i="1"/>
  <c r="O1173" i="1"/>
  <c r="Q1173" i="1"/>
  <c r="O473" i="1"/>
  <c r="O1352" i="1"/>
  <c r="O841" i="1"/>
  <c r="O954" i="1"/>
  <c r="O1115" i="1"/>
  <c r="O1512" i="1"/>
  <c r="O222" i="1"/>
  <c r="O176" i="1"/>
  <c r="O1571" i="1"/>
  <c r="O1146" i="1"/>
  <c r="O221" i="1"/>
  <c r="O478" i="1"/>
  <c r="O314" i="1"/>
  <c r="O305" i="1"/>
  <c r="O1448" i="1"/>
  <c r="O1033" i="1"/>
  <c r="O1411" i="1"/>
  <c r="O661" i="1"/>
  <c r="O646" i="1"/>
  <c r="O2032" i="1"/>
  <c r="O681" i="1"/>
  <c r="O572" i="1"/>
  <c r="O596" i="1"/>
  <c r="Q596" i="1"/>
  <c r="O585" i="1"/>
  <c r="O1738" i="1"/>
  <c r="O2039" i="1"/>
  <c r="O2009" i="1"/>
  <c r="O1254" i="1"/>
  <c r="O1162" i="1"/>
  <c r="O1898" i="1"/>
  <c r="O862" i="1"/>
  <c r="O955" i="1"/>
  <c r="O292" i="1"/>
  <c r="O1542" i="1"/>
  <c r="O215" i="1"/>
  <c r="O465" i="1"/>
  <c r="O1728" i="1"/>
  <c r="Q1728" i="1"/>
  <c r="O382" i="1"/>
  <c r="O467" i="1"/>
  <c r="O1810" i="1"/>
  <c r="O464" i="1"/>
  <c r="O1460" i="1"/>
  <c r="O648" i="1"/>
  <c r="O695" i="1"/>
  <c r="O592" i="1"/>
  <c r="O589" i="1"/>
  <c r="O1743" i="1"/>
  <c r="O2027" i="1"/>
  <c r="Q2027" i="1"/>
  <c r="O2041" i="1"/>
  <c r="O1253" i="1"/>
  <c r="O835" i="1"/>
  <c r="O946" i="1"/>
  <c r="O299" i="1"/>
  <c r="O1537" i="1"/>
  <c r="O918" i="1"/>
  <c r="O762" i="1"/>
  <c r="O481" i="1"/>
  <c r="Q481" i="1"/>
  <c r="O489" i="1"/>
  <c r="O1521" i="1"/>
  <c r="O922" i="1"/>
  <c r="O419" i="1"/>
  <c r="O201" i="1"/>
  <c r="O950" i="1"/>
  <c r="O1335" i="1"/>
  <c r="O1458" i="1"/>
  <c r="O1048" i="1"/>
  <c r="O1737" i="1"/>
  <c r="O641" i="1"/>
  <c r="O1755" i="1"/>
  <c r="O671" i="1"/>
  <c r="O576" i="1"/>
  <c r="O1978" i="1"/>
  <c r="O1273" i="1"/>
  <c r="O165" i="1"/>
  <c r="Q165" i="1"/>
  <c r="O298" i="1"/>
  <c r="O832" i="1"/>
  <c r="O953" i="1"/>
  <c r="Q401" i="1"/>
  <c r="O401" i="1"/>
  <c r="O474" i="1"/>
  <c r="O477" i="1"/>
  <c r="O1531" i="1"/>
  <c r="O968" i="1"/>
  <c r="O1281" i="1"/>
  <c r="O384" i="1"/>
  <c r="O225" i="1"/>
  <c r="O470" i="1"/>
  <c r="O560" i="1"/>
  <c r="O1446" i="1"/>
  <c r="O1053" i="1"/>
  <c r="O686" i="1"/>
  <c r="O685" i="1"/>
  <c r="O575" i="1"/>
  <c r="O587" i="1"/>
  <c r="O571" i="1"/>
  <c r="O1753" i="1"/>
  <c r="O1958" i="1"/>
  <c r="O1266" i="1"/>
  <c r="O1907" i="1"/>
  <c r="C11" i="13" a="1"/>
  <c r="C11" i="13" s="1"/>
  <c r="O1609" i="1"/>
  <c r="O853" i="1"/>
  <c r="O879" i="1"/>
  <c r="O1313" i="1"/>
  <c r="O932" i="1"/>
  <c r="Q1306" i="1"/>
  <c r="O1306" i="1"/>
  <c r="Q1541" i="1"/>
  <c r="O1541" i="1"/>
  <c r="O928" i="1"/>
  <c r="O488" i="1"/>
  <c r="O1355" i="1"/>
  <c r="O1440" i="1"/>
  <c r="O1452" i="1"/>
  <c r="O725" i="1"/>
  <c r="O868" i="1"/>
  <c r="O588" i="1"/>
  <c r="O670" i="1"/>
  <c r="O1766" i="1"/>
  <c r="O691" i="1"/>
  <c r="O581" i="1"/>
  <c r="O565" i="1"/>
  <c r="O566" i="1"/>
  <c r="O1750" i="1"/>
  <c r="O2021" i="1"/>
  <c r="O1263" i="1"/>
  <c r="O1321" i="1"/>
  <c r="O1909" i="1"/>
  <c r="O129" i="1"/>
  <c r="O1681" i="1"/>
  <c r="O517" i="1"/>
  <c r="Q517" i="1"/>
  <c r="O484" i="1"/>
  <c r="O856" i="1"/>
  <c r="O945" i="1"/>
  <c r="O1278" i="1"/>
  <c r="O1309" i="1"/>
  <c r="O1320" i="1"/>
  <c r="O842" i="1"/>
  <c r="O929" i="1"/>
  <c r="O1133" i="1"/>
  <c r="O1529" i="1"/>
  <c r="O919" i="1"/>
  <c r="O1293" i="1"/>
  <c r="O1346" i="1"/>
  <c r="O1349" i="1"/>
  <c r="Q1349" i="1"/>
  <c r="O1461" i="1"/>
  <c r="O1456" i="1"/>
  <c r="O1031" i="1"/>
  <c r="Q666" i="1"/>
  <c r="O666" i="1"/>
  <c r="O590" i="1"/>
  <c r="O561" i="1"/>
  <c r="O1746" i="1"/>
  <c r="O1261" i="1"/>
  <c r="O1226" i="1"/>
  <c r="O1304" i="1"/>
  <c r="O373" i="1"/>
  <c r="O245" i="1"/>
  <c r="O422" i="1"/>
  <c r="O307" i="1"/>
  <c r="O1390" i="1"/>
  <c r="O959" i="1"/>
  <c r="O1127" i="1"/>
  <c r="O1319" i="1"/>
  <c r="O1142" i="1"/>
  <c r="O848" i="1"/>
  <c r="O925" i="1"/>
  <c r="O329" i="1"/>
  <c r="O926" i="1"/>
  <c r="O1300" i="1"/>
  <c r="Q1300" i="1"/>
  <c r="O1038" i="1"/>
  <c r="O638" i="1"/>
  <c r="O647" i="1"/>
  <c r="O676" i="1"/>
  <c r="O570" i="1"/>
  <c r="O595" i="1"/>
  <c r="O580" i="1"/>
  <c r="O1260" i="1"/>
  <c r="O1268" i="1"/>
  <c r="O1286" i="1"/>
  <c r="Q1286" i="1"/>
  <c r="O2028" i="1"/>
  <c r="O375" i="1"/>
  <c r="O802" i="1"/>
  <c r="O850" i="1"/>
  <c r="O227" i="1"/>
  <c r="O680" i="1"/>
  <c r="O330" i="1"/>
  <c r="O1307" i="1"/>
  <c r="O803" i="1"/>
  <c r="O660" i="1"/>
  <c r="Q2042" i="1"/>
  <c r="W2042" i="1" a="1"/>
  <c r="W2042" i="1" s="1"/>
  <c r="X2042" i="1" s="1"/>
  <c r="O1672" i="1"/>
  <c r="O655" i="1"/>
  <c r="O1287" i="1"/>
  <c r="O930" i="1"/>
  <c r="O1445" i="1"/>
  <c r="O1302" i="1"/>
  <c r="Q1657" i="1"/>
  <c r="O1657" i="1"/>
  <c r="O1667" i="1"/>
  <c r="O406" i="1"/>
  <c r="O428" i="1"/>
  <c r="O1513" i="1"/>
  <c r="O611" i="1"/>
  <c r="O1058" i="1"/>
  <c r="O1047" i="1"/>
  <c r="O758" i="1"/>
  <c r="O1566" i="1"/>
  <c r="O1971" i="1"/>
  <c r="O1975" i="1"/>
  <c r="O1995" i="1"/>
  <c r="O1955" i="1"/>
  <c r="O1387" i="1"/>
  <c r="O457" i="1"/>
  <c r="O609" i="1"/>
  <c r="O1245" i="1"/>
  <c r="O429" i="1"/>
  <c r="O1676" i="1"/>
  <c r="O1597" i="1"/>
  <c r="O1265" i="1"/>
  <c r="W2046" i="1" a="1"/>
  <c r="W2046" i="1" s="1"/>
  <c r="X2046" i="1" s="1"/>
  <c r="Q2046" i="1"/>
  <c r="O764" i="1"/>
  <c r="O1586" i="1"/>
  <c r="O183" i="1"/>
  <c r="O155" i="1"/>
  <c r="O1099" i="1"/>
  <c r="O1082" i="1"/>
  <c r="O749" i="1"/>
  <c r="O747" i="1"/>
  <c r="O276" i="1"/>
  <c r="Q276" i="1"/>
  <c r="O1110" i="1"/>
  <c r="O1131" i="1"/>
  <c r="O1147" i="1"/>
  <c r="Q2018" i="1"/>
  <c r="W2018" i="1" a="1"/>
  <c r="W2018" i="1" s="1"/>
  <c r="X2018" i="1" s="1"/>
  <c r="O1901" i="1"/>
  <c r="O1553" i="1"/>
  <c r="Q1883" i="1"/>
  <c r="O1883" i="1"/>
  <c r="O617" i="1"/>
  <c r="O602" i="1"/>
  <c r="O631" i="1"/>
  <c r="O1101" i="1"/>
  <c r="O1065" i="1"/>
  <c r="O35" i="1"/>
  <c r="O24" i="1"/>
  <c r="O1770" i="1"/>
  <c r="O1857" i="1"/>
  <c r="O538" i="1"/>
  <c r="O1185" i="1"/>
  <c r="O1156" i="1"/>
  <c r="O528" i="1"/>
  <c r="O634" i="1"/>
  <c r="O557" i="1"/>
  <c r="O1217" i="1"/>
  <c r="O1225" i="1"/>
  <c r="O1200" i="1"/>
  <c r="O1218" i="1"/>
  <c r="O1952" i="1"/>
  <c r="O1941" i="1"/>
  <c r="O1944" i="1"/>
  <c r="O1939" i="1"/>
  <c r="O1876" i="1"/>
  <c r="O1871" i="1"/>
  <c r="O1866" i="1"/>
  <c r="O1874" i="1"/>
  <c r="O1296" i="1"/>
  <c r="O378" i="1"/>
  <c r="O388" i="1"/>
  <c r="O854" i="1"/>
  <c r="O198" i="1"/>
  <c r="O340" i="1"/>
  <c r="O1498" i="1"/>
  <c r="O797" i="1"/>
  <c r="O376" i="1"/>
  <c r="Q1464" i="1"/>
  <c r="O1464" i="1"/>
  <c r="O880" i="1"/>
  <c r="O1656" i="1"/>
  <c r="O1298" i="1"/>
  <c r="O1303" i="1"/>
  <c r="O808" i="1"/>
  <c r="O1337" i="1"/>
  <c r="Q964" i="1"/>
  <c r="O964" i="1"/>
  <c r="O692" i="1"/>
  <c r="O413" i="1"/>
  <c r="O421" i="1"/>
  <c r="O1128" i="1"/>
  <c r="O1558" i="1"/>
  <c r="O1606" i="1"/>
  <c r="O1627" i="1"/>
  <c r="O1044" i="1"/>
  <c r="Q1039" i="1"/>
  <c r="O1039" i="1"/>
  <c r="O1118" i="1"/>
  <c r="O36" i="1"/>
  <c r="O1961" i="1"/>
  <c r="O1959" i="1"/>
  <c r="O1972" i="1"/>
  <c r="O1973" i="1"/>
  <c r="O456" i="1"/>
  <c r="O435" i="1"/>
  <c r="O1229" i="1"/>
  <c r="O1232" i="1"/>
  <c r="O1129" i="1"/>
  <c r="O1686" i="1"/>
  <c r="O1594" i="1"/>
  <c r="O1257" i="1"/>
  <c r="O738" i="1"/>
  <c r="O1585" i="1"/>
  <c r="O170" i="1"/>
  <c r="O153" i="1"/>
  <c r="O169" i="1"/>
  <c r="O1398" i="1"/>
  <c r="O1369" i="1"/>
  <c r="O1367" i="1"/>
  <c r="Q2012" i="1"/>
  <c r="W2012" i="1" a="1"/>
  <c r="W2012" i="1" s="1"/>
  <c r="X2012" i="1" s="1"/>
  <c r="O625" i="1"/>
  <c r="O734" i="1"/>
  <c r="O282" i="1"/>
  <c r="O1152" i="1"/>
  <c r="O1141" i="1"/>
  <c r="O1150" i="1"/>
  <c r="O1884" i="1"/>
  <c r="O626" i="1"/>
  <c r="O1578" i="1"/>
  <c r="O620" i="1"/>
  <c r="O614" i="1"/>
  <c r="O633" i="1"/>
  <c r="O1075" i="1"/>
  <c r="O1066" i="1"/>
  <c r="O1069" i="1"/>
  <c r="O34" i="1"/>
  <c r="O1740" i="1"/>
  <c r="W1897" i="1" a="1"/>
  <c r="W1897" i="1" s="1"/>
  <c r="X1897" i="1" s="1"/>
  <c r="Q1897" i="1"/>
  <c r="Q1906" i="1"/>
  <c r="W1906" i="1" a="1"/>
  <c r="W1906" i="1" s="1"/>
  <c r="X1906" i="1" s="1"/>
  <c r="O1861" i="1"/>
  <c r="O1166" i="1"/>
  <c r="Q1157" i="1"/>
  <c r="O1157" i="1"/>
  <c r="O1160" i="1"/>
  <c r="O543" i="1"/>
  <c r="O529" i="1"/>
  <c r="O1201" i="1"/>
  <c r="O1193" i="1"/>
  <c r="O1210" i="1"/>
  <c r="O1949" i="1"/>
  <c r="O1936" i="1"/>
  <c r="O1937" i="1"/>
  <c r="O1923" i="1"/>
  <c r="O1848" i="1"/>
  <c r="O1844" i="1"/>
  <c r="O1847" i="1"/>
  <c r="O1854" i="1"/>
  <c r="R29" i="7"/>
  <c r="O1276" i="1"/>
  <c r="O377" i="1"/>
  <c r="O818" i="1"/>
  <c r="O485" i="1"/>
  <c r="O665" i="1"/>
  <c r="O482" i="1"/>
  <c r="O1282" i="1"/>
  <c r="O1659" i="1"/>
  <c r="O1651" i="1"/>
  <c r="O255" i="1"/>
  <c r="O1443" i="1"/>
  <c r="O1318" i="1"/>
  <c r="O1818" i="1"/>
  <c r="Q2016" i="1"/>
  <c r="W2016" i="1" a="1"/>
  <c r="W2016" i="1" s="1"/>
  <c r="X2016" i="1" s="1"/>
  <c r="O657" i="1"/>
  <c r="O371" i="1"/>
  <c r="O1279" i="1"/>
  <c r="O1277" i="1"/>
  <c r="Q2045" i="1"/>
  <c r="W2045" i="1" a="1"/>
  <c r="W2045" i="1" s="1"/>
  <c r="X2045" i="1" s="1"/>
  <c r="O980" i="1"/>
  <c r="O417" i="1"/>
  <c r="O431" i="1"/>
  <c r="O1126" i="1"/>
  <c r="O1425" i="1"/>
  <c r="Q2022" i="1"/>
  <c r="W2022" i="1" a="1"/>
  <c r="W2022" i="1" s="1"/>
  <c r="X2022" i="1" s="1"/>
  <c r="O1607" i="1"/>
  <c r="O1631" i="1"/>
  <c r="O1042" i="1"/>
  <c r="O1057" i="1"/>
  <c r="O1116" i="1"/>
  <c r="O1954" i="1"/>
  <c r="O2004" i="1"/>
  <c r="O1990" i="1"/>
  <c r="O2001" i="1"/>
  <c r="O1998" i="1"/>
  <c r="O443" i="1"/>
  <c r="O449" i="1"/>
  <c r="O1251" i="1"/>
  <c r="O1237" i="1"/>
  <c r="O1106" i="1"/>
  <c r="Q2025" i="1"/>
  <c r="W2025" i="1" a="1"/>
  <c r="W2025" i="1" s="1"/>
  <c r="X2025" i="1" s="1"/>
  <c r="Q1267" i="1"/>
  <c r="O1267" i="1"/>
  <c r="O1134" i="1"/>
  <c r="O1595" i="1"/>
  <c r="O174" i="1"/>
  <c r="O1370" i="1"/>
  <c r="O1371" i="1"/>
  <c r="O744" i="1"/>
  <c r="O755" i="1"/>
  <c r="O766" i="1"/>
  <c r="W2040" i="1" a="1"/>
  <c r="W2040" i="1" s="1"/>
  <c r="X2040" i="1" s="1"/>
  <c r="Q2040" i="1"/>
  <c r="O1112" i="1"/>
  <c r="O1125" i="1"/>
  <c r="W2013" i="1" a="1"/>
  <c r="W2013" i="1" s="1"/>
  <c r="X2013" i="1" s="1"/>
  <c r="Q2013" i="1"/>
  <c r="O1904" i="1"/>
  <c r="O1032" i="1"/>
  <c r="O1438" i="1"/>
  <c r="O632" i="1"/>
  <c r="O610" i="1"/>
  <c r="O597" i="1"/>
  <c r="O1097" i="1"/>
  <c r="O1061" i="1"/>
  <c r="O1062" i="1"/>
  <c r="O33" i="1"/>
  <c r="O1756" i="1"/>
  <c r="O1161" i="1"/>
  <c r="O1167" i="1"/>
  <c r="O1215" i="1"/>
  <c r="O526" i="1"/>
  <c r="Q526" i="1"/>
  <c r="O559" i="1"/>
  <c r="O682" i="1"/>
  <c r="O536" i="1"/>
  <c r="O1213" i="1"/>
  <c r="O1223" i="1"/>
  <c r="W2044" i="1" a="1"/>
  <c r="W2044" i="1" s="1"/>
  <c r="X2044" i="1" s="1"/>
  <c r="Q2044" i="1"/>
  <c r="O1199" i="1"/>
  <c r="O1926" i="1"/>
  <c r="O1948" i="1"/>
  <c r="O1918" i="1"/>
  <c r="O1932" i="1"/>
  <c r="O1862" i="1"/>
  <c r="O1855" i="1"/>
  <c r="O1850" i="1"/>
  <c r="Q1946" i="1"/>
  <c r="W1946" i="1" a="1"/>
  <c r="W1946" i="1" s="1"/>
  <c r="X1946" i="1" s="1"/>
  <c r="O805" i="1"/>
  <c r="O1670" i="1"/>
  <c r="O1662" i="1"/>
  <c r="O1331" i="1"/>
  <c r="O1297" i="1"/>
  <c r="W2033" i="1" a="1"/>
  <c r="W2033" i="1" s="1"/>
  <c r="X2033" i="1" s="1"/>
  <c r="Q2033" i="1"/>
  <c r="O1643" i="1"/>
  <c r="Q1643" i="1"/>
  <c r="O1660" i="1"/>
  <c r="O243" i="1"/>
  <c r="O1466" i="1"/>
  <c r="O1288" i="1"/>
  <c r="O1501" i="1"/>
  <c r="O204" i="1"/>
  <c r="O374" i="1"/>
  <c r="O1316" i="1"/>
  <c r="O1648" i="1"/>
  <c r="Q1648" i="1"/>
  <c r="O598" i="1"/>
  <c r="O651" i="1"/>
  <c r="O472" i="1"/>
  <c r="O1317" i="1"/>
  <c r="O996" i="1"/>
  <c r="O986" i="1"/>
  <c r="O434" i="1"/>
  <c r="O426" i="1"/>
  <c r="O408" i="1"/>
  <c r="O1024" i="1"/>
  <c r="O1889" i="1"/>
  <c r="Q1027" i="1"/>
  <c r="O1027" i="1"/>
  <c r="O30" i="1"/>
  <c r="O1985" i="1"/>
  <c r="O1976" i="1"/>
  <c r="O1977" i="1"/>
  <c r="O1962" i="1"/>
  <c r="O1991" i="1"/>
  <c r="O458" i="1"/>
  <c r="O438" i="1"/>
  <c r="O1234" i="1"/>
  <c r="O1248" i="1"/>
  <c r="O22" i="1"/>
  <c r="O1679" i="1"/>
  <c r="O1270" i="1"/>
  <c r="O1902" i="1"/>
  <c r="O12" i="1"/>
  <c r="O1596" i="1"/>
  <c r="O1895" i="1"/>
  <c r="O167" i="1"/>
  <c r="O178" i="1"/>
  <c r="O187" i="1"/>
  <c r="Q1377" i="1"/>
  <c r="O1377" i="1"/>
  <c r="O1376" i="1"/>
  <c r="O735" i="1"/>
  <c r="W2037" i="1" a="1"/>
  <c r="W2037" i="1" s="1"/>
  <c r="X2037" i="1" s="1"/>
  <c r="Q2037" i="1"/>
  <c r="O745" i="1"/>
  <c r="O759" i="1"/>
  <c r="O756" i="1"/>
  <c r="Q2017" i="1"/>
  <c r="W2017" i="1" a="1"/>
  <c r="W2017" i="1" s="1"/>
  <c r="X2017" i="1" s="1"/>
  <c r="O1046" i="1"/>
  <c r="O1154" i="1"/>
  <c r="O1136" i="1"/>
  <c r="O1894" i="1"/>
  <c r="O751" i="1"/>
  <c r="O1761" i="1"/>
  <c r="O635" i="1"/>
  <c r="O637" i="1"/>
  <c r="O1089" i="1"/>
  <c r="O1083" i="1"/>
  <c r="O1092" i="1"/>
  <c r="O1102" i="1"/>
  <c r="O5" i="1"/>
  <c r="O29" i="1"/>
  <c r="O1749" i="1"/>
  <c r="O1919" i="1"/>
  <c r="O1841" i="1"/>
  <c r="O1189" i="1"/>
  <c r="O1165" i="1"/>
  <c r="O1170" i="1"/>
  <c r="O547" i="1"/>
  <c r="O539" i="1"/>
  <c r="O556" i="1"/>
  <c r="O1935" i="1"/>
  <c r="O1192" i="1"/>
  <c r="O1207" i="1"/>
  <c r="O1915" i="1"/>
  <c r="O1922" i="1"/>
  <c r="O1928" i="1"/>
  <c r="O1885" i="1"/>
  <c r="O1914" i="1"/>
  <c r="O1878" i="1"/>
  <c r="O1879" i="1"/>
  <c r="O1880" i="1"/>
  <c r="O967" i="1"/>
  <c r="O191" i="1"/>
  <c r="O807" i="1"/>
  <c r="O1645" i="1"/>
  <c r="O1671" i="1"/>
  <c r="O1285" i="1"/>
  <c r="Q2026" i="1"/>
  <c r="W2026" i="1" a="1"/>
  <c r="W2026" i="1" s="1"/>
  <c r="X2026" i="1" s="1"/>
  <c r="O1666" i="1"/>
  <c r="O1655" i="1"/>
  <c r="O202" i="1"/>
  <c r="O1310" i="1"/>
  <c r="O887" i="1"/>
  <c r="O372" i="1"/>
  <c r="O1295" i="1"/>
  <c r="O1674" i="1"/>
  <c r="O653" i="1"/>
  <c r="O468" i="1"/>
  <c r="O311" i="1"/>
  <c r="O1007" i="1"/>
  <c r="O1635" i="1"/>
  <c r="O418" i="1"/>
  <c r="O21" i="1"/>
  <c r="O1768" i="1"/>
  <c r="O1882" i="1"/>
  <c r="O1615" i="1"/>
  <c r="O1637" i="1"/>
  <c r="O1017" i="1"/>
  <c r="O1026" i="1"/>
  <c r="O1051" i="1"/>
  <c r="O11" i="1"/>
  <c r="O1981" i="1"/>
  <c r="O1956" i="1"/>
  <c r="O1984" i="1"/>
  <c r="O1994" i="1"/>
  <c r="O1963" i="1"/>
  <c r="O436" i="1"/>
  <c r="O442" i="1"/>
  <c r="O1241" i="1"/>
  <c r="O1247" i="1"/>
  <c r="O25" i="1"/>
  <c r="O1696" i="1"/>
  <c r="O1264" i="1"/>
  <c r="O18" i="1"/>
  <c r="O1552" i="1"/>
  <c r="O1556" i="1"/>
  <c r="Q1905" i="1"/>
  <c r="O1905" i="1"/>
  <c r="O145" i="1"/>
  <c r="O172" i="1"/>
  <c r="O158" i="1"/>
  <c r="O1396" i="1"/>
  <c r="O1399" i="1"/>
  <c r="O1366" i="1"/>
  <c r="O1139" i="1"/>
  <c r="O741" i="1"/>
  <c r="Q754" i="1"/>
  <c r="O754" i="1"/>
  <c r="O1149" i="1"/>
  <c r="O1138" i="1"/>
  <c r="O1119" i="1"/>
  <c r="O1114" i="1"/>
  <c r="Q2015" i="1"/>
  <c r="W2015" i="1" a="1"/>
  <c r="W2015" i="1" s="1"/>
  <c r="X2015" i="1" s="1"/>
  <c r="O1148" i="1"/>
  <c r="O1908" i="1"/>
  <c r="O601" i="1"/>
  <c r="O612" i="1"/>
  <c r="O1077" i="1"/>
  <c r="O1076" i="1"/>
  <c r="O39" i="1"/>
  <c r="O4" i="1"/>
  <c r="O1863" i="1"/>
  <c r="O1206" i="1"/>
  <c r="O1169" i="1"/>
  <c r="Q1159" i="1"/>
  <c r="O1159" i="1"/>
  <c r="O1180" i="1"/>
  <c r="O1860" i="1"/>
  <c r="O537" i="1"/>
  <c r="O558" i="1"/>
  <c r="O550" i="1"/>
  <c r="O1202" i="1"/>
  <c r="Q1211" i="1"/>
  <c r="O1211" i="1"/>
  <c r="O1947" i="1"/>
  <c r="O1953" i="1"/>
  <c r="O1924" i="1"/>
  <c r="O1925" i="1"/>
  <c r="O1856" i="1"/>
  <c r="O1875" i="1"/>
  <c r="Q1875" i="1"/>
  <c r="O1842" i="1"/>
  <c r="O1851" i="1"/>
  <c r="K60" i="7"/>
  <c r="O656" i="1"/>
  <c r="O213" i="1"/>
  <c r="O217" i="1"/>
  <c r="O1668" i="1"/>
  <c r="Q1525" i="1"/>
  <c r="W1525" i="1" a="1"/>
  <c r="W1525" i="1" s="1"/>
  <c r="X1525" i="1" s="1"/>
  <c r="O1647" i="1"/>
  <c r="O117" i="1"/>
  <c r="O300" i="1"/>
  <c r="O197" i="1"/>
  <c r="O228" i="1"/>
  <c r="O1315" i="1"/>
  <c r="O869" i="1"/>
  <c r="O876" i="1"/>
  <c r="O386" i="1"/>
  <c r="O476" i="1"/>
  <c r="O806" i="1"/>
  <c r="O1467" i="1"/>
  <c r="O1457" i="1"/>
  <c r="O259" i="1"/>
  <c r="O469" i="1"/>
  <c r="O313" i="1"/>
  <c r="O990" i="1"/>
  <c r="O1000" i="1"/>
  <c r="O166" i="1"/>
  <c r="O402" i="1"/>
  <c r="O38" i="1"/>
  <c r="O1419" i="1"/>
  <c r="O1625" i="1"/>
  <c r="O1617" i="1"/>
  <c r="O1020" i="1"/>
  <c r="O1052" i="1"/>
  <c r="O1036" i="1"/>
  <c r="O28" i="1"/>
  <c r="O1989" i="1"/>
  <c r="O1970" i="1"/>
  <c r="Q1970" i="1"/>
  <c r="O1957" i="1"/>
  <c r="Q1957" i="1"/>
  <c r="O1996" i="1"/>
  <c r="O2000" i="1"/>
  <c r="O437" i="1"/>
  <c r="O448" i="1"/>
  <c r="O1239" i="1"/>
  <c r="O1250" i="1"/>
  <c r="Q1687" i="1"/>
  <c r="O1687" i="1"/>
  <c r="O1258" i="1"/>
  <c r="O1274" i="1"/>
  <c r="O1601" i="1"/>
  <c r="O1587" i="1"/>
  <c r="Q1587" i="1"/>
  <c r="O147" i="1"/>
  <c r="O157" i="1"/>
  <c r="O182" i="1"/>
  <c r="O1385" i="1"/>
  <c r="O1361" i="1"/>
  <c r="O1397" i="1"/>
  <c r="O1155" i="1"/>
  <c r="W2024" i="1" a="1"/>
  <c r="W2024" i="1" s="1"/>
  <c r="X2024" i="1" s="1"/>
  <c r="Q2024" i="1"/>
  <c r="O760" i="1"/>
  <c r="O6" i="1"/>
  <c r="O286" i="1"/>
  <c r="O1085" i="1"/>
  <c r="O1111" i="1"/>
  <c r="Q13" i="1"/>
  <c r="O13" i="1"/>
  <c r="O1887" i="1"/>
  <c r="O1792" i="1"/>
  <c r="O1117" i="1"/>
  <c r="O1435" i="1"/>
  <c r="O636" i="1"/>
  <c r="Q636" i="1"/>
  <c r="O613" i="1"/>
  <c r="O1072" i="1"/>
  <c r="O1096" i="1"/>
  <c r="O1067" i="1"/>
  <c r="Q1067" i="1"/>
  <c r="O1095" i="1"/>
  <c r="O31" i="1"/>
  <c r="O14" i="1"/>
  <c r="O1934" i="1"/>
  <c r="O1178" i="1"/>
  <c r="O1179" i="1"/>
  <c r="O1176" i="1"/>
  <c r="O532" i="1"/>
  <c r="O524" i="1"/>
  <c r="O1203" i="1"/>
  <c r="O1216" i="1"/>
  <c r="O1190" i="1"/>
  <c r="W2038" i="1" a="1"/>
  <c r="W2038" i="1" s="1"/>
  <c r="X2038" i="1" s="1"/>
  <c r="Q2038" i="1"/>
  <c r="O2031" i="1"/>
  <c r="O1839" i="1"/>
  <c r="O1938" i="1"/>
  <c r="O1912" i="1"/>
  <c r="O1872" i="1"/>
  <c r="O1846" i="1"/>
  <c r="O1865" i="1"/>
  <c r="O1837" i="1"/>
  <c r="O703" i="1"/>
  <c r="O387" i="1"/>
  <c r="O210" i="1"/>
  <c r="O1653" i="1"/>
  <c r="O116" i="1"/>
  <c r="O320" i="1"/>
  <c r="O1514" i="1"/>
  <c r="O226" i="1"/>
  <c r="O688" i="1"/>
  <c r="O294" i="1"/>
  <c r="W2014" i="1" a="1"/>
  <c r="W2014" i="1" s="1"/>
  <c r="X2014" i="1" s="1"/>
  <c r="Q2014" i="1"/>
  <c r="O811" i="1"/>
  <c r="O214" i="1"/>
  <c r="O460" i="1"/>
  <c r="O1649" i="1"/>
  <c r="O796" i="1"/>
  <c r="O206" i="1"/>
  <c r="O328" i="1"/>
  <c r="W2030" i="1" a="1"/>
  <c r="W2030" i="1" s="1"/>
  <c r="X2030" i="1" s="1"/>
  <c r="Q2030" i="1"/>
  <c r="O416" i="1"/>
  <c r="O389" i="1"/>
  <c r="O397" i="1"/>
  <c r="O1080" i="1"/>
  <c r="W2006" i="1" a="1"/>
  <c r="W2006" i="1" s="1"/>
  <c r="X2006" i="1" s="1"/>
  <c r="Q2006" i="1"/>
  <c r="O1641" i="1"/>
  <c r="O1626" i="1"/>
  <c r="O1043" i="1"/>
  <c r="O1030" i="1"/>
  <c r="O278" i="1"/>
  <c r="O1969" i="1"/>
  <c r="O2003" i="1"/>
  <c r="O2002" i="1"/>
  <c r="O1987" i="1"/>
  <c r="O1960" i="1"/>
  <c r="O1231" i="1"/>
  <c r="O1230" i="1"/>
  <c r="O1689" i="1"/>
  <c r="O1262" i="1"/>
  <c r="O1256" i="1"/>
  <c r="Q1256" i="1"/>
  <c r="O1565" i="1"/>
  <c r="O1567" i="1"/>
  <c r="Q1980" i="1"/>
  <c r="W1980" i="1" a="1"/>
  <c r="W1980" i="1" s="1"/>
  <c r="X1980" i="1" s="1"/>
  <c r="O156" i="1"/>
  <c r="O185" i="1"/>
  <c r="O1380" i="1"/>
  <c r="Q1380" i="1"/>
  <c r="O1382" i="1"/>
  <c r="O19" i="1"/>
  <c r="O748" i="1"/>
  <c r="O10" i="1"/>
  <c r="O615" i="1"/>
  <c r="O1153" i="1"/>
  <c r="O1135" i="1"/>
  <c r="O279" i="1"/>
  <c r="O1888" i="1"/>
  <c r="O1780" i="1"/>
  <c r="O37" i="1"/>
  <c r="Q2043" i="1"/>
  <c r="W2043" i="1" a="1"/>
  <c r="W2043" i="1" s="1"/>
  <c r="X2043" i="1" s="1"/>
  <c r="O600" i="1"/>
  <c r="O619" i="1"/>
  <c r="O621" i="1"/>
  <c r="O1091" i="1"/>
  <c r="O1094" i="1"/>
  <c r="O1105" i="1"/>
  <c r="O1100" i="1"/>
  <c r="O16" i="1"/>
  <c r="O1760" i="1"/>
  <c r="O1747" i="1"/>
  <c r="O1198" i="1"/>
  <c r="W1910" i="1" a="1"/>
  <c r="W1910" i="1" s="1"/>
  <c r="X1910" i="1" s="1"/>
  <c r="Q1910" i="1"/>
  <c r="O1172" i="1"/>
  <c r="O1177" i="1"/>
  <c r="O1164" i="1"/>
  <c r="O525" i="1"/>
  <c r="O535" i="1"/>
  <c r="O1197" i="1"/>
  <c r="O1208" i="1"/>
  <c r="O1214" i="1"/>
  <c r="O1933" i="1"/>
  <c r="O1917" i="1"/>
  <c r="O1929" i="1"/>
  <c r="O1913" i="1"/>
  <c r="O1853" i="1"/>
  <c r="O1849" i="1"/>
  <c r="O1858" i="1"/>
  <c r="O1859" i="1"/>
  <c r="L29" i="7"/>
  <c r="O817" i="1"/>
  <c r="O654" i="1"/>
  <c r="O333" i="1"/>
  <c r="O1644" i="1"/>
  <c r="O256" i="1"/>
  <c r="O140" i="1"/>
  <c r="O316" i="1"/>
  <c r="W2035" i="1" a="1"/>
  <c r="W2035" i="1" s="1"/>
  <c r="X2035" i="1" s="1"/>
  <c r="Q2035" i="1"/>
  <c r="O381" i="1"/>
  <c r="O642" i="1"/>
  <c r="O475" i="1"/>
  <c r="O293" i="1"/>
  <c r="O886" i="1"/>
  <c r="O816" i="1"/>
  <c r="O224" i="1"/>
  <c r="O480" i="1"/>
  <c r="O369" i="1"/>
  <c r="O218" i="1"/>
  <c r="O295" i="1"/>
  <c r="O1246" i="1"/>
  <c r="O289" i="1"/>
  <c r="W2020" i="1" a="1"/>
  <c r="W2020" i="1" s="1"/>
  <c r="X2020" i="1" s="1"/>
  <c r="Q2020" i="1"/>
  <c r="O1757" i="1"/>
  <c r="O1612" i="1"/>
  <c r="O1605" i="1"/>
  <c r="O1028" i="1"/>
  <c r="O1056" i="1"/>
  <c r="O1964" i="1"/>
  <c r="O1988" i="1"/>
  <c r="O1992" i="1"/>
  <c r="O1993" i="1"/>
  <c r="O1979" i="1"/>
  <c r="O447" i="1"/>
  <c r="O516" i="1"/>
  <c r="O1240" i="1"/>
  <c r="O1275" i="1"/>
  <c r="O1900" i="1"/>
  <c r="O1574" i="1"/>
  <c r="O181" i="1"/>
  <c r="O177" i="1"/>
  <c r="O150" i="1"/>
  <c r="O173" i="1"/>
  <c r="O1379" i="1"/>
  <c r="O1365" i="1"/>
  <c r="O1386" i="1"/>
  <c r="O15" i="1"/>
  <c r="Q1893" i="1"/>
  <c r="W1893" i="1" a="1"/>
  <c r="W1893" i="1" s="1"/>
  <c r="X1893" i="1" s="1"/>
  <c r="O752" i="1"/>
  <c r="O287" i="1"/>
  <c r="O1113" i="1"/>
  <c r="O1132" i="1"/>
  <c r="O1890" i="1"/>
  <c r="O271" i="1"/>
  <c r="Q1736" i="1"/>
  <c r="O1736" i="1"/>
  <c r="O628" i="1"/>
  <c r="O629" i="1"/>
  <c r="O607" i="1"/>
  <c r="O1088" i="1"/>
  <c r="O1079" i="1"/>
  <c r="O1068" i="1"/>
  <c r="O1078" i="1"/>
  <c r="O8" i="1"/>
  <c r="O1187" i="1"/>
  <c r="O1181" i="1"/>
  <c r="O1168" i="1"/>
  <c r="O1184" i="1"/>
  <c r="O687" i="1"/>
  <c r="O546" i="1"/>
  <c r="O554" i="1"/>
  <c r="O1220" i="1"/>
  <c r="O1205" i="1"/>
  <c r="O1931" i="1"/>
  <c r="O1940" i="1"/>
  <c r="O1950" i="1"/>
  <c r="O1930" i="1"/>
  <c r="O1867" i="1"/>
  <c r="O1838" i="1"/>
  <c r="O1843" i="1"/>
  <c r="O1868" i="1"/>
  <c r="O1658" i="1"/>
  <c r="O1496" i="1"/>
  <c r="O1524" i="1"/>
  <c r="O847" i="1"/>
  <c r="O317" i="1"/>
  <c r="O368" i="1"/>
  <c r="O658" i="1"/>
  <c r="O463" i="1"/>
  <c r="O308" i="1"/>
  <c r="W2023" i="1" a="1"/>
  <c r="W2023" i="1" s="1"/>
  <c r="X2023" i="1" s="1"/>
  <c r="Q2023" i="1"/>
  <c r="O874" i="1"/>
  <c r="O799" i="1"/>
  <c r="O200" i="1"/>
  <c r="O1312" i="1"/>
  <c r="O1646" i="1"/>
  <c r="O708" i="1"/>
  <c r="O1441" i="1"/>
  <c r="O135" i="1"/>
  <c r="O1280" i="1"/>
  <c r="O1025" i="1"/>
  <c r="O399" i="1"/>
  <c r="O407" i="1"/>
  <c r="O404" i="1"/>
  <c r="O1103" i="1"/>
  <c r="O1638" i="1"/>
  <c r="O1629" i="1"/>
  <c r="O1618" i="1"/>
  <c r="O1055" i="1"/>
  <c r="O1019" i="1"/>
  <c r="O1040" i="1"/>
  <c r="O1573" i="1"/>
  <c r="O1965" i="1"/>
  <c r="O1974" i="1"/>
  <c r="O1999" i="1"/>
  <c r="O1966" i="1"/>
  <c r="Q1966" i="1"/>
  <c r="O1967" i="1"/>
  <c r="O459" i="1"/>
  <c r="O1249" i="1"/>
  <c r="O1018" i="1"/>
  <c r="O1269" i="1"/>
  <c r="Q1903" i="1"/>
  <c r="W1903" i="1" a="1"/>
  <c r="W1903" i="1" s="1"/>
  <c r="X1903" i="1" s="1"/>
  <c r="O1577" i="1"/>
  <c r="O1372" i="1"/>
  <c r="O1378" i="1"/>
  <c r="Q1997" i="1"/>
  <c r="W1997" i="1" a="1"/>
  <c r="W1997" i="1" s="1"/>
  <c r="X1997" i="1" s="1"/>
  <c r="O736" i="1"/>
  <c r="O757" i="1"/>
  <c r="O275" i="1"/>
  <c r="O285" i="1"/>
  <c r="O7" i="1"/>
  <c r="O1137" i="1"/>
  <c r="O1121" i="1"/>
  <c r="O1741" i="1"/>
  <c r="O1886" i="1"/>
  <c r="O277" i="1"/>
  <c r="O1405" i="1"/>
  <c r="O599" i="1"/>
  <c r="O605" i="1"/>
  <c r="O618" i="1"/>
  <c r="O1087" i="1"/>
  <c r="O1098" i="1"/>
  <c r="O1071" i="1"/>
  <c r="O1081" i="1"/>
  <c r="O32" i="1"/>
  <c r="O1767" i="1"/>
  <c r="Q2005" i="1"/>
  <c r="W2005" i="1" a="1"/>
  <c r="W2005" i="1" s="1"/>
  <c r="X2005" i="1" s="1"/>
  <c r="O1881" i="1"/>
  <c r="O1191" i="1"/>
  <c r="O1108" i="1"/>
  <c r="O1171" i="1"/>
  <c r="O1186" i="1"/>
  <c r="O552" i="1"/>
  <c r="Q531" i="1"/>
  <c r="O531" i="1"/>
  <c r="O527" i="1"/>
  <c r="O530" i="1"/>
  <c r="O1219" i="1"/>
  <c r="O1209" i="1"/>
  <c r="O1196" i="1"/>
  <c r="Q1896" i="1"/>
  <c r="W1896" i="1" a="1"/>
  <c r="W1896" i="1" s="1"/>
  <c r="X1896" i="1" s="1"/>
  <c r="O1920" i="1"/>
  <c r="O1942" i="1"/>
  <c r="O1927" i="1"/>
  <c r="Q1916" i="1"/>
  <c r="O1916" i="1"/>
  <c r="O1870" i="1"/>
  <c r="O1852" i="1"/>
  <c r="O1864" i="1"/>
  <c r="O1840" i="1"/>
  <c r="O1654" i="1"/>
  <c r="O1284" i="1"/>
  <c r="O1484" i="1"/>
  <c r="O860" i="1"/>
  <c r="O212" i="1"/>
  <c r="O100" i="1"/>
  <c r="O324" i="1"/>
  <c r="Q2034" i="1"/>
  <c r="W2034" i="1" a="1"/>
  <c r="W2034" i="1" s="1"/>
  <c r="X2034" i="1" s="1"/>
  <c r="O801" i="1"/>
  <c r="O650" i="1"/>
  <c r="O1652" i="1"/>
  <c r="O669" i="1"/>
  <c r="O1308" i="1"/>
  <c r="O957" i="1"/>
  <c r="Q830" i="1"/>
  <c r="O830" i="1"/>
  <c r="O1442" i="1"/>
  <c r="Q1442" i="1"/>
  <c r="O970" i="1"/>
  <c r="Q2036" i="1"/>
  <c r="W2036" i="1" a="1"/>
  <c r="W2036" i="1" s="1"/>
  <c r="X2036" i="1" s="1"/>
  <c r="O737" i="1"/>
  <c r="O415" i="1"/>
  <c r="O398" i="1"/>
  <c r="O1569" i="1"/>
  <c r="W2008" i="1" a="1"/>
  <c r="W2008" i="1" s="1"/>
  <c r="X2008" i="1" s="1"/>
  <c r="Q2008" i="1"/>
  <c r="O1395" i="1"/>
  <c r="O1616" i="1"/>
  <c r="O1636" i="1"/>
  <c r="O1054" i="1"/>
  <c r="O1059" i="1"/>
  <c r="O1600" i="1"/>
  <c r="O1983" i="1"/>
  <c r="O1986" i="1"/>
  <c r="O1968" i="1"/>
  <c r="O1982" i="1"/>
  <c r="O1093" i="1"/>
  <c r="O439" i="1"/>
  <c r="O440" i="1"/>
  <c r="O1235" i="1"/>
  <c r="O739" i="1"/>
  <c r="O1590" i="1"/>
  <c r="O1272" i="1"/>
  <c r="Q2010" i="1"/>
  <c r="W2010" i="1" a="1"/>
  <c r="W2010" i="1" s="1"/>
  <c r="X2010" i="1" s="1"/>
  <c r="O1598" i="1"/>
  <c r="O1576" i="1"/>
  <c r="O171" i="1"/>
  <c r="O175" i="1"/>
  <c r="O146" i="1"/>
  <c r="O161" i="1"/>
  <c r="O1388" i="1"/>
  <c r="O1391" i="1"/>
  <c r="O1742" i="1"/>
  <c r="O753" i="1"/>
  <c r="O743" i="1"/>
  <c r="O281" i="1"/>
  <c r="O266" i="1"/>
  <c r="O1109" i="1"/>
  <c r="O1120" i="1"/>
  <c r="O1122" i="1"/>
  <c r="O1899" i="1"/>
  <c r="O1549" i="1"/>
  <c r="O1891" i="1"/>
  <c r="O616" i="1"/>
  <c r="O627" i="1"/>
  <c r="O623" i="1"/>
  <c r="O1073" i="1"/>
  <c r="O1086" i="1"/>
  <c r="O17" i="1"/>
  <c r="O2" i="1"/>
  <c r="W1892" i="1" a="1"/>
  <c r="W1892" i="1" s="1"/>
  <c r="X1892" i="1" s="1"/>
  <c r="Q1892" i="1"/>
  <c r="O1221" i="1"/>
  <c r="O1158" i="1"/>
  <c r="O1175" i="1"/>
  <c r="O549" i="1"/>
  <c r="O555" i="1"/>
  <c r="O541" i="1"/>
  <c r="O540" i="1"/>
  <c r="O1195" i="1"/>
  <c r="O1107" i="1"/>
  <c r="O1194" i="1"/>
  <c r="O1212" i="1"/>
  <c r="O1921" i="1"/>
  <c r="O1951" i="1"/>
  <c r="O1943" i="1"/>
  <c r="O1945" i="1"/>
  <c r="O1869" i="1"/>
  <c r="O1873" i="1"/>
  <c r="O1877" i="1"/>
  <c r="O1845" i="1"/>
  <c r="N59" i="7"/>
  <c r="U59" i="7" s="1"/>
  <c r="Q29" i="7"/>
  <c r="O1806" i="1"/>
  <c r="O1783" i="1"/>
  <c r="O1795" i="1"/>
  <c r="L60" i="7"/>
  <c r="Q59" i="7"/>
  <c r="P60" i="7"/>
  <c r="O1778" i="1"/>
  <c r="O1789" i="1"/>
  <c r="O1804" i="1"/>
  <c r="M60" i="7"/>
  <c r="P59" i="7"/>
  <c r="S60" i="7"/>
  <c r="O1776" i="1"/>
  <c r="Q1776" i="1"/>
  <c r="O1786" i="1"/>
  <c r="O1781" i="1"/>
  <c r="O1805" i="1"/>
  <c r="S59" i="7"/>
  <c r="O60" i="7"/>
  <c r="O1787" i="1"/>
  <c r="O1782" i="1"/>
  <c r="O1808" i="1"/>
  <c r="O1777" i="1"/>
  <c r="O59" i="7"/>
  <c r="R60" i="7"/>
  <c r="O1807" i="1"/>
  <c r="O1774" i="1"/>
  <c r="O1799" i="1"/>
  <c r="O1784" i="1"/>
  <c r="R59" i="7"/>
  <c r="Q60" i="7"/>
  <c r="M59" i="7"/>
  <c r="O1801" i="1"/>
  <c r="O1771" i="1"/>
  <c r="O1773" i="1"/>
  <c r="O1788" i="1"/>
  <c r="O1800" i="1"/>
  <c r="O1790" i="1"/>
  <c r="K59" i="7"/>
  <c r="L59" i="7"/>
  <c r="O1785" i="1"/>
  <c r="O1791" i="1"/>
  <c r="O1793" i="1"/>
  <c r="N60" i="7"/>
  <c r="U60" i="7" s="1"/>
  <c r="O29" i="7"/>
  <c r="O1796" i="1"/>
  <c r="O1779" i="1"/>
  <c r="O1802" i="1"/>
  <c r="O1797" i="1"/>
  <c r="O1798" i="1"/>
  <c r="O1794" i="1"/>
  <c r="O1772" i="1"/>
  <c r="W1515" i="1" a="1"/>
  <c r="W1515" i="1" s="1"/>
  <c r="X1515" i="1" s="1"/>
  <c r="Q1515" i="1"/>
  <c r="W1535" i="1" a="1"/>
  <c r="W1535" i="1" s="1"/>
  <c r="X1535" i="1" s="1"/>
  <c r="Q1535" i="1"/>
  <c r="W989" i="1" a="1"/>
  <c r="W989" i="1" s="1"/>
  <c r="X989" i="1" s="1"/>
  <c r="Q989" i="1"/>
  <c r="W548" i="1" a="1"/>
  <c r="W548" i="1" s="1"/>
  <c r="X548" i="1" s="1"/>
  <c r="Q548" i="1"/>
  <c r="W1012" i="1" a="1"/>
  <c r="W1012" i="1" s="1"/>
  <c r="X1012" i="1" s="1"/>
  <c r="Q1012" i="1"/>
  <c r="W1579" i="1" a="1"/>
  <c r="W1579" i="1" s="1"/>
  <c r="X1579" i="1" s="1"/>
  <c r="Q1579" i="1"/>
  <c r="W148" i="1" a="1"/>
  <c r="W148" i="1" s="1"/>
  <c r="X148" i="1" s="1"/>
  <c r="Q148" i="1"/>
  <c r="W403" i="1" a="1"/>
  <c r="W403" i="1" s="1"/>
  <c r="X403" i="1" s="1"/>
  <c r="Q403" i="1"/>
  <c r="Q567" i="1"/>
  <c r="W567" i="1" a="1"/>
  <c r="W567" i="1" s="1"/>
  <c r="X567" i="1" s="1"/>
  <c r="W341" i="1" a="1"/>
  <c r="W341" i="1" s="1"/>
  <c r="X341" i="1" s="1"/>
  <c r="Q341" i="1"/>
  <c r="Q1423" i="1"/>
  <c r="W1423" i="1" a="1"/>
  <c r="W1423" i="1" s="1"/>
  <c r="X1423" i="1" s="1"/>
  <c r="W114" i="1" a="1"/>
  <c r="W114" i="1" s="1"/>
  <c r="X114" i="1" s="1"/>
  <c r="Q114" i="1"/>
  <c r="W729" i="1" a="1"/>
  <c r="W729" i="1" s="1"/>
  <c r="X729" i="1" s="1"/>
  <c r="Q729" i="1"/>
  <c r="W1474" i="1" a="1"/>
  <c r="W1474" i="1" s="1"/>
  <c r="X1474" i="1" s="1"/>
  <c r="Q1474" i="1"/>
  <c r="W370" i="1" a="1"/>
  <c r="W370" i="1" s="1"/>
  <c r="X370" i="1" s="1"/>
  <c r="Q370" i="1"/>
  <c r="W1224" i="1" a="1"/>
  <c r="W1224" i="1" s="1"/>
  <c r="X1224" i="1" s="1"/>
  <c r="Q1224" i="1"/>
  <c r="W978" i="1" a="1"/>
  <c r="W978" i="1" s="1"/>
  <c r="X978" i="1" s="1"/>
  <c r="Q978" i="1"/>
  <c r="W1752" i="1" a="1"/>
  <c r="W1752" i="1" s="1"/>
  <c r="X1752" i="1" s="1"/>
  <c r="Q1752" i="1"/>
  <c r="Q1727" i="1"/>
  <c r="W1727" i="1" a="1"/>
  <c r="W1727" i="1" s="1"/>
  <c r="X1727" i="1" s="1"/>
  <c r="L25" i="7"/>
  <c r="M25" i="7"/>
  <c r="N25" i="7"/>
  <c r="U25" i="7" s="1"/>
  <c r="K25" i="7"/>
  <c r="W1324" i="1" a="1"/>
  <c r="W1324" i="1" s="1"/>
  <c r="X1324" i="1" s="1"/>
  <c r="Q1324" i="1"/>
  <c r="W184" i="1" a="1"/>
  <c r="W184" i="1" s="1"/>
  <c r="X184" i="1" s="1"/>
  <c r="Q184" i="1"/>
  <c r="W1174" i="1" a="1"/>
  <c r="W1174" i="1" s="1"/>
  <c r="X1174" i="1" s="1"/>
  <c r="Q1174" i="1"/>
  <c r="W750" i="1" a="1"/>
  <c r="W750" i="1" s="1"/>
  <c r="X750" i="1" s="1"/>
  <c r="Q750" i="1"/>
  <c r="W1444" i="1" a="1"/>
  <c r="W1444" i="1" s="1"/>
  <c r="X1444" i="1" s="1"/>
  <c r="Q1444" i="1"/>
  <c r="W1712" i="1" a="1"/>
  <c r="W1712" i="1" s="1"/>
  <c r="X1712" i="1" s="1"/>
  <c r="Q1712" i="1"/>
  <c r="Q1329" i="1"/>
  <c r="W1329" i="1" a="1"/>
  <c r="W1329" i="1" s="1"/>
  <c r="X1329" i="1" s="1"/>
  <c r="W1374" i="1" a="1"/>
  <c r="W1374" i="1" s="1"/>
  <c r="X1374" i="1" s="1"/>
  <c r="Q1374" i="1"/>
  <c r="W119" i="1" a="1"/>
  <c r="W119" i="1" s="1"/>
  <c r="X119" i="1" s="1"/>
  <c r="Q119" i="1"/>
  <c r="W229" i="1" a="1"/>
  <c r="W229" i="1" s="1"/>
  <c r="X229" i="1" s="1"/>
  <c r="Q229" i="1"/>
  <c r="W1414" i="1" a="1"/>
  <c r="W1414" i="1" s="1"/>
  <c r="X1414" i="1" s="1"/>
  <c r="Q1414" i="1"/>
  <c r="W238" i="1" a="1"/>
  <c r="W238" i="1" s="1"/>
  <c r="X238" i="1" s="1"/>
  <c r="Q238" i="1"/>
  <c r="W274" i="1" a="1"/>
  <c r="W274" i="1" s="1"/>
  <c r="X274" i="1" s="1"/>
  <c r="Q274" i="1"/>
  <c r="W582" i="1" a="1"/>
  <c r="W582" i="1" s="1"/>
  <c r="X582" i="1" s="1"/>
  <c r="Q582" i="1"/>
  <c r="W544" i="1" a="1"/>
  <c r="W544" i="1" s="1"/>
  <c r="X544" i="1" s="1"/>
  <c r="Q544" i="1"/>
  <c r="Q1642" i="1"/>
  <c r="W1642" i="1" a="1"/>
  <c r="W1642" i="1" s="1"/>
  <c r="X1642" i="1" s="1"/>
  <c r="Q1717" i="1"/>
  <c r="W1717" i="1" a="1"/>
  <c r="W1717" i="1" s="1"/>
  <c r="X1717" i="1" s="1"/>
  <c r="Q1613" i="1"/>
  <c r="W1613" i="1" a="1"/>
  <c r="W1613" i="1" s="1"/>
  <c r="X1613" i="1" s="1"/>
  <c r="W1702" i="1" a="1"/>
  <c r="W1702" i="1" s="1"/>
  <c r="X1702" i="1" s="1"/>
  <c r="Q1702" i="1"/>
  <c r="Q1677" i="1"/>
  <c r="W1677" i="1" a="1"/>
  <c r="W1677" i="1" s="1"/>
  <c r="X1677" i="1" s="1"/>
  <c r="W523" i="1" a="1"/>
  <c r="W523" i="1" s="1"/>
  <c r="X523" i="1" s="1"/>
  <c r="Q523" i="1"/>
  <c r="W726" i="1" a="1"/>
  <c r="W726" i="1" s="1"/>
  <c r="X726" i="1" s="1"/>
  <c r="Q726" i="1"/>
  <c r="W141" i="1" a="1"/>
  <c r="W141" i="1" s="1"/>
  <c r="X141" i="1" s="1"/>
  <c r="Q141" i="1"/>
  <c r="W1678" i="1" a="1"/>
  <c r="W1678" i="1" s="1"/>
  <c r="X1678" i="1" s="1"/>
  <c r="Q1678" i="1"/>
  <c r="W1326" i="1" a="1"/>
  <c r="W1326" i="1" s="1"/>
  <c r="X1326" i="1" s="1"/>
  <c r="Q1326" i="1"/>
  <c r="Q727" i="1"/>
  <c r="W727" i="1" a="1"/>
  <c r="W727" i="1" s="1"/>
  <c r="X727" i="1" s="1"/>
  <c r="W101" i="1" a="1"/>
  <c r="W101" i="1" s="1"/>
  <c r="X101" i="1" s="1"/>
  <c r="Q101" i="1"/>
  <c r="W1623" i="1" a="1"/>
  <c r="W1623" i="1" s="1"/>
  <c r="X1623" i="1" s="1"/>
  <c r="Q1623" i="1"/>
  <c r="W41" i="1" a="1"/>
  <c r="W41" i="1" s="1"/>
  <c r="X41" i="1" s="1"/>
  <c r="Q41" i="1"/>
  <c r="Q97" i="1"/>
  <c r="W97" i="1" a="1"/>
  <c r="W97" i="1" s="1"/>
  <c r="X97" i="1" s="1"/>
  <c r="W1342" i="1" a="1"/>
  <c r="W1342" i="1" s="1"/>
  <c r="X1342" i="1" s="1"/>
  <c r="Q1342" i="1"/>
  <c r="W1731" i="1" a="1"/>
  <c r="W1731" i="1" s="1"/>
  <c r="X1731" i="1" s="1"/>
  <c r="Q1731" i="1"/>
  <c r="O25" i="7"/>
  <c r="S25" i="7"/>
  <c r="P25" i="7"/>
  <c r="Q25" i="7"/>
  <c r="R25" i="7"/>
  <c r="W241" i="1" a="1"/>
  <c r="W241" i="1" s="1"/>
  <c r="X241" i="1" s="1"/>
  <c r="Q241" i="1"/>
  <c r="W248" i="1" a="1"/>
  <c r="W248" i="1" s="1"/>
  <c r="X248" i="1" s="1"/>
  <c r="Q248" i="1"/>
  <c r="W1722" i="1" a="1"/>
  <c r="W1722" i="1" s="1"/>
  <c r="X1722" i="1" s="1"/>
  <c r="Q1722" i="1"/>
  <c r="Q577" i="1"/>
  <c r="W577" i="1" a="1"/>
  <c r="W577" i="1" s="1"/>
  <c r="X577" i="1" s="1"/>
  <c r="W1815" i="1" a="1"/>
  <c r="W1815" i="1" s="1"/>
  <c r="X1815" i="1" s="1"/>
  <c r="Q1815" i="1"/>
  <c r="Q1685" i="1"/>
  <c r="W1685" i="1" a="1"/>
  <c r="W1685" i="1" s="1"/>
  <c r="X1685" i="1" s="1"/>
  <c r="W1814" i="1" a="1"/>
  <c r="W1814" i="1" s="1"/>
  <c r="X1814" i="1" s="1"/>
  <c r="Q1814" i="1"/>
  <c r="W249" i="1" a="1"/>
  <c r="W249" i="1" s="1"/>
  <c r="X249" i="1" s="1"/>
  <c r="Q249" i="1"/>
  <c r="W129" i="1" a="1"/>
  <c r="W129" i="1" s="1"/>
  <c r="X129" i="1" s="1"/>
  <c r="Q129" i="1"/>
  <c r="W1713" i="1" a="1"/>
  <c r="W1713" i="1" s="1"/>
  <c r="X1713" i="1" s="1"/>
  <c r="Q1713" i="1"/>
  <c r="W192" i="1" a="1"/>
  <c r="W192" i="1" s="1"/>
  <c r="X192" i="1" s="1"/>
  <c r="Q192" i="1"/>
  <c r="Q1669" i="1"/>
  <c r="W1669" i="1" a="1"/>
  <c r="W1669" i="1" s="1"/>
  <c r="X1669" i="1" s="1"/>
  <c r="W960" i="1" a="1"/>
  <c r="W960" i="1" s="1"/>
  <c r="X960" i="1" s="1"/>
  <c r="Q960" i="1"/>
  <c r="W98" i="1" a="1"/>
  <c r="W98" i="1" s="1"/>
  <c r="X98" i="1" s="1"/>
  <c r="Q98" i="1"/>
  <c r="W1562" i="1" a="1"/>
  <c r="W1562" i="1" s="1"/>
  <c r="X1562" i="1" s="1"/>
  <c r="Q1562" i="1"/>
  <c r="W242" i="1" a="1"/>
  <c r="W242" i="1" s="1"/>
  <c r="X242" i="1" s="1"/>
  <c r="Q242" i="1"/>
  <c r="W1633" i="1" a="1"/>
  <c r="W1633" i="1" s="1"/>
  <c r="X1633" i="1" s="1"/>
  <c r="Q1633" i="1"/>
  <c r="W712" i="1" a="1"/>
  <c r="W712" i="1" s="1"/>
  <c r="X712" i="1" s="1"/>
  <c r="Q712" i="1"/>
  <c r="W53" i="1" a="1"/>
  <c r="W53" i="1" s="1"/>
  <c r="X53" i="1" s="1"/>
  <c r="Q53" i="1"/>
  <c r="W1764" i="1" a="1"/>
  <c r="W1764" i="1" s="1"/>
  <c r="X1764" i="1" s="1"/>
  <c r="Q1764" i="1"/>
  <c r="W700" i="1" a="1"/>
  <c r="W700" i="1" s="1"/>
  <c r="X700" i="1" s="1"/>
  <c r="Q700" i="1"/>
  <c r="W1050" i="1" a="1"/>
  <c r="W1050" i="1" s="1"/>
  <c r="X1050" i="1" s="1"/>
  <c r="Q1050" i="1"/>
  <c r="W593" i="1" a="1"/>
  <c r="W593" i="1" s="1"/>
  <c r="X593" i="1" s="1"/>
  <c r="Q593" i="1"/>
  <c r="W1412" i="1" a="1"/>
  <c r="W1412" i="1" s="1"/>
  <c r="X1412" i="1" s="1"/>
  <c r="Q1412" i="1"/>
  <c r="W159" i="1" a="1"/>
  <c r="W159" i="1" s="1"/>
  <c r="X159" i="1" s="1"/>
  <c r="Q159" i="1"/>
  <c r="W603" i="1" a="1"/>
  <c r="W603" i="1" s="1"/>
  <c r="X603" i="1" s="1"/>
  <c r="Q603" i="1"/>
  <c r="W99" i="1" a="1"/>
  <c r="W99" i="1" s="1"/>
  <c r="X99" i="1" s="1"/>
  <c r="Q99" i="1"/>
  <c r="W982" i="1" a="1"/>
  <c r="W982" i="1" s="1"/>
  <c r="X982" i="1" s="1"/>
  <c r="Q982" i="1"/>
  <c r="W450" i="1" a="1"/>
  <c r="W450" i="1" s="1"/>
  <c r="X450" i="1" s="1"/>
  <c r="Q450" i="1"/>
  <c r="W1735" i="1" a="1"/>
  <c r="W1735" i="1" s="1"/>
  <c r="X1735" i="1" s="1"/>
  <c r="Q1735" i="1"/>
  <c r="W409" i="1" a="1"/>
  <c r="W409" i="1" s="1"/>
  <c r="X409" i="1" s="1"/>
  <c r="Q409" i="1"/>
  <c r="W72" i="1" a="1"/>
  <c r="W72" i="1" s="1"/>
  <c r="X72" i="1" s="1"/>
  <c r="Q72" i="1"/>
  <c r="W1070" i="1" a="1"/>
  <c r="W1070" i="1" s="1"/>
  <c r="X1070" i="1" s="1"/>
  <c r="Q1070" i="1"/>
  <c r="W662" i="1" a="1"/>
  <c r="W662" i="1" s="1"/>
  <c r="X662" i="1" s="1"/>
  <c r="Q662" i="1"/>
  <c r="W1726" i="1" a="1"/>
  <c r="W1726" i="1" s="1"/>
  <c r="X1726" i="1" s="1"/>
  <c r="Q1726" i="1"/>
  <c r="W91" i="1" a="1"/>
  <c r="W91" i="1" s="1"/>
  <c r="X91" i="1" s="1"/>
  <c r="Q91" i="1"/>
  <c r="W1330" i="1" a="1"/>
  <c r="W1330" i="1" s="1"/>
  <c r="X1330" i="1" s="1"/>
  <c r="Q1330" i="1"/>
  <c r="W1620" i="1" a="1"/>
  <c r="W1620" i="1" s="1"/>
  <c r="X1620" i="1" s="1"/>
  <c r="Q1620" i="1"/>
  <c r="Q1343" i="1"/>
  <c r="W1343" i="1" a="1"/>
  <c r="W1343" i="1" s="1"/>
  <c r="X1343" i="1" s="1"/>
  <c r="W62" i="1" a="1"/>
  <c r="W62" i="1" s="1"/>
  <c r="X62" i="1" s="1"/>
  <c r="Q62" i="1"/>
  <c r="W1453" i="1" a="1"/>
  <c r="W1453" i="1" s="1"/>
  <c r="X1453" i="1" s="1"/>
  <c r="Q1453" i="1"/>
  <c r="W1010" i="1" a="1"/>
  <c r="W1010" i="1" s="1"/>
  <c r="X1010" i="1" s="1"/>
  <c r="Q1010" i="1"/>
  <c r="W252" i="1" a="1"/>
  <c r="W252" i="1" s="1"/>
  <c r="X252" i="1" s="1"/>
  <c r="Q252" i="1"/>
  <c r="Q992" i="1"/>
  <c r="W992" i="1" a="1"/>
  <c r="W992" i="1" s="1"/>
  <c r="X992" i="1" s="1"/>
  <c r="W1831" i="1" a="1"/>
  <c r="W1831" i="1" s="1"/>
  <c r="X1831" i="1" s="1"/>
  <c r="Q1831" i="1"/>
  <c r="W412" i="1" a="1"/>
  <c r="W412" i="1" s="1"/>
  <c r="X412" i="1" s="1"/>
  <c r="Q412" i="1"/>
  <c r="W284" i="1" a="1"/>
  <c r="W284" i="1" s="1"/>
  <c r="X284" i="1" s="1"/>
  <c r="Q284" i="1"/>
  <c r="W1424" i="1" a="1"/>
  <c r="W1424" i="1" s="1"/>
  <c r="X1424" i="1" s="1"/>
  <c r="Q1424" i="1"/>
  <c r="W1500" i="1" a="1"/>
  <c r="W1500" i="1" s="1"/>
  <c r="X1500" i="1" s="1"/>
  <c r="Q1500" i="1"/>
  <c r="W1582" i="1" a="1"/>
  <c r="W1582" i="1" s="1"/>
  <c r="X1582" i="1" s="1"/>
  <c r="Q1582" i="1"/>
  <c r="Q1682" i="1"/>
  <c r="W1682" i="1" a="1"/>
  <c r="W1682" i="1" s="1"/>
  <c r="X1682" i="1" s="1"/>
  <c r="W94" i="1" a="1"/>
  <c r="W94" i="1" s="1"/>
  <c r="X94" i="1" s="1"/>
  <c r="Q94" i="1"/>
  <c r="W254" i="1" a="1"/>
  <c r="W254" i="1" s="1"/>
  <c r="X254" i="1" s="1"/>
  <c r="Q254" i="1"/>
  <c r="W1602" i="1" a="1"/>
  <c r="W1602" i="1" s="1"/>
  <c r="X1602" i="1" s="1"/>
  <c r="Q1602" i="1"/>
  <c r="W674" i="1" a="1"/>
  <c r="W674" i="1" s="1"/>
  <c r="X674" i="1" s="1"/>
  <c r="Q674" i="1"/>
  <c r="W1554" i="1" a="1"/>
  <c r="W1554" i="1" s="1"/>
  <c r="X1554" i="1" s="1"/>
  <c r="Q1554" i="1"/>
  <c r="W514" i="1" a="1"/>
  <c r="W514" i="1" s="1"/>
  <c r="X514" i="1" s="1"/>
  <c r="Q514" i="1"/>
  <c r="W1404" i="1" a="1"/>
  <c r="W1404" i="1" s="1"/>
  <c r="X1404" i="1" s="1"/>
  <c r="Q1404" i="1"/>
  <c r="W1368" i="1" a="1"/>
  <c r="W1368" i="1" s="1"/>
  <c r="X1368" i="1" s="1"/>
  <c r="Q1368" i="1"/>
  <c r="W288" i="1" a="1"/>
  <c r="W288" i="1" s="1"/>
  <c r="X288" i="1" s="1"/>
  <c r="Q288" i="1"/>
  <c r="W70" i="1" a="1"/>
  <c r="W70" i="1" s="1"/>
  <c r="X70" i="1" s="1"/>
  <c r="Q70" i="1"/>
  <c r="W800" i="1" a="1"/>
  <c r="W800" i="1" s="1"/>
  <c r="X800" i="1" s="1"/>
  <c r="Q800" i="1"/>
  <c r="W690" i="1" a="1"/>
  <c r="W690" i="1" s="1"/>
  <c r="X690" i="1" s="1"/>
  <c r="Q690" i="1"/>
  <c r="W142" i="1" a="1"/>
  <c r="W142" i="1" s="1"/>
  <c r="X142" i="1" s="1"/>
  <c r="Q142" i="1"/>
  <c r="W270" i="1" a="1"/>
  <c r="W270" i="1" s="1"/>
  <c r="X270" i="1" s="1"/>
  <c r="Q270" i="1"/>
  <c r="W1354" i="1" a="1"/>
  <c r="W1354" i="1" s="1"/>
  <c r="X1354" i="1" s="1"/>
  <c r="Q1354" i="1"/>
  <c r="W1004" i="1" a="1"/>
  <c r="W1004" i="1" s="1"/>
  <c r="X1004" i="1" s="1"/>
  <c r="Q1004" i="1"/>
  <c r="W1769" i="1" a="1"/>
  <c r="W1769" i="1" s="1"/>
  <c r="X1769" i="1" s="1"/>
  <c r="Q1769" i="1"/>
  <c r="W54" i="1" a="1"/>
  <c r="W54" i="1" s="1"/>
  <c r="X54" i="1" s="1"/>
  <c r="Q54" i="1"/>
  <c r="Q1407" i="1"/>
  <c r="W1407" i="1" a="1"/>
  <c r="W1407" i="1" s="1"/>
  <c r="X1407" i="1" s="1"/>
  <c r="W244" i="1" a="1"/>
  <c r="W244" i="1" s="1"/>
  <c r="X244" i="1" s="1"/>
  <c r="Q244" i="1"/>
  <c r="W424" i="1" a="1"/>
  <c r="W424" i="1" s="1"/>
  <c r="X424" i="1" s="1"/>
  <c r="Q424" i="1"/>
  <c r="W136" i="1" a="1"/>
  <c r="W136" i="1" s="1"/>
  <c r="X136" i="1" s="1"/>
  <c r="Q136" i="1"/>
  <c r="W164" i="1" a="1"/>
  <c r="W164" i="1" s="1"/>
  <c r="X164" i="1" s="1"/>
  <c r="Q164" i="1"/>
  <c r="W884" i="1" a="1"/>
  <c r="W884" i="1" s="1"/>
  <c r="X884" i="1" s="1"/>
  <c r="Q884" i="1"/>
  <c r="W264" i="1" a="1"/>
  <c r="W264" i="1" s="1"/>
  <c r="X264" i="1" s="1"/>
  <c r="Q264" i="1"/>
  <c r="W1700" i="1" a="1"/>
  <c r="W1700" i="1" s="1"/>
  <c r="X1700" i="1" s="1"/>
  <c r="Q1700" i="1"/>
  <c r="W702" i="1" a="1"/>
  <c r="W702" i="1" s="1"/>
  <c r="X702" i="1" s="1"/>
  <c r="Q702" i="1"/>
  <c r="W890" i="1" a="1"/>
  <c r="W890" i="1" s="1"/>
  <c r="X890" i="1" s="1"/>
  <c r="Q890" i="1"/>
  <c r="Q717" i="1"/>
  <c r="W717" i="1" a="1"/>
  <c r="W717" i="1" s="1"/>
  <c r="X717" i="1" s="1"/>
  <c r="W154" i="1" a="1"/>
  <c r="W154" i="1" s="1"/>
  <c r="X154" i="1" s="1"/>
  <c r="Q154" i="1"/>
  <c r="W122" i="1" a="1"/>
  <c r="W122" i="1" s="1"/>
  <c r="X122" i="1" s="1"/>
  <c r="Q122" i="1"/>
  <c r="W663" i="1" a="1"/>
  <c r="W663" i="1" s="1"/>
  <c r="X663" i="1" s="1"/>
  <c r="Q663" i="1"/>
  <c r="Q1472" i="1"/>
  <c r="W1472" i="1" a="1"/>
  <c r="W1472" i="1" s="1"/>
  <c r="X1472" i="1" s="1"/>
  <c r="W1765" i="1" a="1"/>
  <c r="W1765" i="1" s="1"/>
  <c r="X1765" i="1" s="1"/>
  <c r="Q1765" i="1"/>
  <c r="W710" i="1" a="1"/>
  <c r="W710" i="1" s="1"/>
  <c r="X710" i="1" s="1"/>
  <c r="Q710" i="1"/>
  <c r="W423" i="1" a="1"/>
  <c r="W423" i="1" s="1"/>
  <c r="X423" i="1" s="1"/>
  <c r="Q423" i="1"/>
  <c r="W168" i="1" a="1"/>
  <c r="W168" i="1" s="1"/>
  <c r="X168" i="1" s="1"/>
  <c r="Q168" i="1"/>
  <c r="W1328" i="1" a="1"/>
  <c r="W1328" i="1" s="1"/>
  <c r="X1328" i="1" s="1"/>
  <c r="Q1328" i="1"/>
  <c r="W1748" i="1" a="1"/>
  <c r="W1748" i="1" s="1"/>
  <c r="X1748" i="1" s="1"/>
  <c r="Q1748" i="1"/>
  <c r="W473" i="1" a="1"/>
  <c r="W473" i="1" s="1"/>
  <c r="X473" i="1" s="1"/>
  <c r="Q473" i="1"/>
  <c r="W231" i="1" a="1"/>
  <c r="W231" i="1" s="1"/>
  <c r="X231" i="1" s="1"/>
  <c r="Q231" i="1"/>
  <c r="Q1243" i="1"/>
  <c r="W1243" i="1" a="1"/>
  <c r="W1243" i="1" s="1"/>
  <c r="X1243" i="1" s="1"/>
  <c r="W1611" i="1" a="1"/>
  <c r="W1611" i="1" s="1"/>
  <c r="X1611" i="1" s="1"/>
  <c r="Q1611" i="1"/>
  <c r="W491" i="1" a="1"/>
  <c r="W491" i="1" s="1"/>
  <c r="X491" i="1" s="1"/>
  <c r="Q491" i="1"/>
  <c r="W290" i="1" a="1"/>
  <c r="W290" i="1" s="1"/>
  <c r="X290" i="1" s="1"/>
  <c r="Q290" i="1"/>
  <c r="W1733" i="1" a="1"/>
  <c r="W1733" i="1" s="1"/>
  <c r="X1733" i="1" s="1"/>
  <c r="Q1733" i="1"/>
  <c r="W1705" i="1" a="1"/>
  <c r="W1705" i="1" s="1"/>
  <c r="X1705" i="1" s="1"/>
  <c r="Q1705" i="1"/>
  <c r="W133" i="1" a="1"/>
  <c r="W133" i="1" s="1"/>
  <c r="X133" i="1" s="1"/>
  <c r="Q133" i="1"/>
  <c r="W1336" i="1" a="1"/>
  <c r="W1336" i="1" s="1"/>
  <c r="X1336" i="1" s="1"/>
  <c r="Q1336" i="1"/>
  <c r="W60" i="1" a="1"/>
  <c r="W60" i="1" s="1"/>
  <c r="X60" i="1" s="1"/>
  <c r="Q60" i="1"/>
  <c r="W1436" i="1" a="1"/>
  <c r="W1436" i="1" s="1"/>
  <c r="X1436" i="1" s="1"/>
  <c r="Q1436" i="1"/>
  <c r="W1383" i="1" a="1"/>
  <c r="W1383" i="1" s="1"/>
  <c r="X1383" i="1" s="1"/>
  <c r="Q1383" i="1"/>
  <c r="W1013" i="1" a="1"/>
  <c r="W1013" i="1" s="1"/>
  <c r="X1013" i="1" s="1"/>
  <c r="Q1013" i="1"/>
  <c r="W510" i="1" a="1"/>
  <c r="W510" i="1" s="1"/>
  <c r="X510" i="1" s="1"/>
  <c r="Q510" i="1"/>
  <c r="W79" i="1" a="1"/>
  <c r="W79" i="1" s="1"/>
  <c r="X79" i="1" s="1"/>
  <c r="Q79" i="1"/>
  <c r="Q976" i="1"/>
  <c r="W976" i="1" a="1"/>
  <c r="W976" i="1" s="1"/>
  <c r="X976" i="1" s="1"/>
  <c r="W1622" i="1" a="1"/>
  <c r="W1622" i="1" s="1"/>
  <c r="X1622" i="1" s="1"/>
  <c r="Q1622" i="1"/>
  <c r="W1283" i="1" a="1"/>
  <c r="W1283" i="1" s="1"/>
  <c r="X1283" i="1" s="1"/>
  <c r="Q1283" i="1"/>
  <c r="W723" i="1" a="1"/>
  <c r="W723" i="1" s="1"/>
  <c r="X723" i="1" s="1"/>
  <c r="Q723" i="1"/>
  <c r="W933" i="1" a="1"/>
  <c r="W933" i="1" s="1"/>
  <c r="X933" i="1" s="1"/>
  <c r="Q933" i="1"/>
  <c r="W209" i="1" a="1"/>
  <c r="W209" i="1" s="1"/>
  <c r="X209" i="1" s="1"/>
  <c r="Q209" i="1"/>
  <c r="W1023" i="1" a="1"/>
  <c r="W1023" i="1" s="1"/>
  <c r="X1023" i="1" s="1"/>
  <c r="Q1023" i="1"/>
  <c r="W430" i="1" a="1"/>
  <c r="W430" i="1" s="1"/>
  <c r="X430" i="1" s="1"/>
  <c r="Q430" i="1"/>
  <c r="W1559" i="1" a="1"/>
  <c r="W1559" i="1" s="1"/>
  <c r="X1559" i="1" s="1"/>
  <c r="Q1559" i="1"/>
  <c r="Q1603" i="1"/>
  <c r="W1603" i="1" a="1"/>
  <c r="W1603" i="1" s="1"/>
  <c r="X1603" i="1" s="1"/>
  <c r="W573" i="1" a="1"/>
  <c r="W573" i="1" s="1"/>
  <c r="X573" i="1" s="1"/>
  <c r="Q573" i="1"/>
  <c r="W1639" i="1" a="1"/>
  <c r="W1639" i="1" s="1"/>
  <c r="X1639" i="1" s="1"/>
  <c r="Q1639" i="1"/>
  <c r="W703" i="1" a="1"/>
  <c r="W703" i="1" s="1"/>
  <c r="X703" i="1" s="1"/>
  <c r="Q703" i="1"/>
  <c r="W269" i="1" a="1"/>
  <c r="W269" i="1" s="1"/>
  <c r="X269" i="1" s="1"/>
  <c r="Q269" i="1"/>
  <c r="W731" i="1" a="1"/>
  <c r="W731" i="1" s="1"/>
  <c r="X731" i="1" s="1"/>
  <c r="Q731" i="1"/>
  <c r="W1589" i="1" a="1"/>
  <c r="W1589" i="1" s="1"/>
  <c r="X1589" i="1" s="1"/>
  <c r="Q1589" i="1"/>
  <c r="W1714" i="1" a="1"/>
  <c r="W1714" i="1" s="1"/>
  <c r="X1714" i="1" s="1"/>
  <c r="Q1714" i="1"/>
  <c r="W705" i="1" a="1"/>
  <c r="W705" i="1" s="1"/>
  <c r="X705" i="1" s="1"/>
  <c r="Q705" i="1"/>
  <c r="W1358" i="1" a="1"/>
  <c r="W1358" i="1" s="1"/>
  <c r="X1358" i="1" s="1"/>
  <c r="Q1358" i="1"/>
  <c r="W179" i="1" a="1"/>
  <c r="W179" i="1" s="1"/>
  <c r="X179" i="1" s="1"/>
  <c r="Q179" i="1"/>
  <c r="W52" i="1" a="1"/>
  <c r="W52" i="1" s="1"/>
  <c r="X52" i="1" s="1"/>
  <c r="Q52" i="1"/>
  <c r="W78" i="1" a="1"/>
  <c r="W78" i="1" s="1"/>
  <c r="X78" i="1" s="1"/>
  <c r="Q78" i="1"/>
  <c r="W578" i="1" a="1"/>
  <c r="W578" i="1" s="1"/>
  <c r="X578" i="1" s="1"/>
  <c r="Q578" i="1"/>
  <c r="W1314" i="1" a="1"/>
  <c r="W1314" i="1" s="1"/>
  <c r="X1314" i="1" s="1"/>
  <c r="Q1314" i="1"/>
  <c r="W1104" i="1" a="1"/>
  <c r="W1104" i="1" s="1"/>
  <c r="X1104" i="1" s="1"/>
  <c r="Q1104" i="1"/>
  <c r="W584" i="1" a="1"/>
  <c r="W584" i="1" s="1"/>
  <c r="X584" i="1" s="1"/>
  <c r="Q584" i="1"/>
  <c r="W69" i="1" a="1"/>
  <c r="W69" i="1" s="1"/>
  <c r="X69" i="1" s="1"/>
  <c r="Q69" i="1"/>
  <c r="W1504" i="1" a="1"/>
  <c r="W1504" i="1" s="1"/>
  <c r="X1504" i="1" s="1"/>
  <c r="Q1504" i="1"/>
  <c r="Q267" i="1"/>
  <c r="W267" i="1" a="1"/>
  <c r="W267" i="1" s="1"/>
  <c r="X267" i="1" s="1"/>
  <c r="W84" i="1" a="1"/>
  <c r="W84" i="1" s="1"/>
  <c r="X84" i="1" s="1"/>
  <c r="Q84" i="1"/>
  <c r="W1454" i="1" a="1"/>
  <c r="W1454" i="1" s="1"/>
  <c r="X1454" i="1" s="1"/>
  <c r="Q1454" i="1"/>
  <c r="W1090" i="1" a="1"/>
  <c r="W1090" i="1" s="1"/>
  <c r="X1090" i="1" s="1"/>
  <c r="Q1090" i="1"/>
  <c r="W1034" i="1" a="1"/>
  <c r="W1034" i="1" s="1"/>
  <c r="X1034" i="1" s="1"/>
  <c r="Q1034" i="1"/>
  <c r="Q1708" i="1"/>
  <c r="W1708" i="1" a="1"/>
  <c r="W1708" i="1" s="1"/>
  <c r="X1708" i="1" s="1"/>
  <c r="W124" i="1" a="1"/>
  <c r="W124" i="1" s="1"/>
  <c r="X124" i="1" s="1"/>
  <c r="Q124" i="1"/>
  <c r="W1665" i="1" a="1"/>
  <c r="W1665" i="1" s="1"/>
  <c r="X1665" i="1" s="1"/>
  <c r="Q1665" i="1"/>
  <c r="W730" i="1" a="1"/>
  <c r="W730" i="1" s="1"/>
  <c r="X730" i="1" s="1"/>
  <c r="Q730" i="1"/>
  <c r="W1022" i="1" a="1"/>
  <c r="W1022" i="1" s="1"/>
  <c r="X1022" i="1" s="1"/>
  <c r="Q1022" i="1"/>
  <c r="W984" i="1" a="1"/>
  <c r="W984" i="1" s="1"/>
  <c r="X984" i="1" s="1"/>
  <c r="Q984" i="1"/>
  <c r="W1634" i="1" a="1"/>
  <c r="W1634" i="1" s="1"/>
  <c r="X1634" i="1" s="1"/>
  <c r="Q1634" i="1"/>
  <c r="W89" i="1" a="1"/>
  <c r="W89" i="1" s="1"/>
  <c r="X89" i="1" s="1"/>
  <c r="Q89" i="1"/>
  <c r="Q1348" i="1"/>
  <c r="W1348" i="1" a="1"/>
  <c r="W1348" i="1" s="1"/>
  <c r="X1348" i="1" s="1"/>
  <c r="W1703" i="1" a="1"/>
  <c r="W1703" i="1" s="1"/>
  <c r="X1703" i="1" s="1"/>
  <c r="Q1703" i="1"/>
  <c r="Q1431" i="1"/>
  <c r="W1431" i="1" a="1"/>
  <c r="W1431" i="1" s="1"/>
  <c r="X1431" i="1" s="1"/>
  <c r="W1720" i="1" a="1"/>
  <c r="W1720" i="1" s="1"/>
  <c r="X1720" i="1" s="1"/>
  <c r="Q1720" i="1"/>
  <c r="W63" i="1" a="1"/>
  <c r="W63" i="1" s="1"/>
  <c r="X63" i="1" s="1"/>
  <c r="Q63" i="1"/>
  <c r="Q77" i="1"/>
  <c r="W77" i="1" a="1"/>
  <c r="W77" i="1" s="1"/>
  <c r="X77" i="1" s="1"/>
  <c r="W673" i="1" a="1"/>
  <c r="W673" i="1" s="1"/>
  <c r="X673" i="1" s="1"/>
  <c r="Q673" i="1"/>
  <c r="W261" i="1" a="1"/>
  <c r="W261" i="1" s="1"/>
  <c r="X261" i="1" s="1"/>
  <c r="Q261" i="1"/>
  <c r="W1360" i="1" a="1"/>
  <c r="W1360" i="1" s="1"/>
  <c r="X1360" i="1" s="1"/>
  <c r="Q1360" i="1"/>
  <c r="Q763" i="1"/>
  <c r="W763" i="1" a="1"/>
  <c r="W763" i="1" s="1"/>
  <c r="X763" i="1" s="1"/>
  <c r="W1430" i="1" a="1"/>
  <c r="W1430" i="1" s="1"/>
  <c r="X1430" i="1" s="1"/>
  <c r="Q1430" i="1"/>
  <c r="W1392" i="1" a="1"/>
  <c r="W1392" i="1" s="1"/>
  <c r="X1392" i="1" s="1"/>
  <c r="Q1392" i="1"/>
  <c r="W353" i="1" a="1"/>
  <c r="W353" i="1" s="1"/>
  <c r="X353" i="1" s="1"/>
  <c r="Q353" i="1"/>
  <c r="W1502" i="1" a="1"/>
  <c r="W1502" i="1" s="1"/>
  <c r="X1502" i="1" s="1"/>
  <c r="Q1502" i="1"/>
  <c r="W1339" i="1" a="1"/>
  <c r="W1339" i="1" s="1"/>
  <c r="X1339" i="1" s="1"/>
  <c r="Q1339" i="1"/>
  <c r="W622" i="1" a="1"/>
  <c r="W622" i="1" s="1"/>
  <c r="X622" i="1" s="1"/>
  <c r="Q622" i="1"/>
  <c r="W1690" i="1" a="1"/>
  <c r="W1690" i="1" s="1"/>
  <c r="X1690" i="1" s="1"/>
  <c r="Q1690" i="1"/>
  <c r="W1592" i="1" a="1"/>
  <c r="W1592" i="1" s="1"/>
  <c r="X1592" i="1" s="1"/>
  <c r="Q1592" i="1"/>
  <c r="W233" i="1" a="1"/>
  <c r="W233" i="1" s="1"/>
  <c r="X233" i="1" s="1"/>
  <c r="Q233" i="1"/>
  <c r="W88" i="1" a="1"/>
  <c r="W88" i="1" s="1"/>
  <c r="X88" i="1" s="1"/>
  <c r="Q88" i="1"/>
  <c r="W583" i="1" a="1"/>
  <c r="W583" i="1" s="1"/>
  <c r="X583" i="1" s="1"/>
  <c r="Q583" i="1"/>
  <c r="W1725" i="1" a="1"/>
  <c r="W1725" i="1" s="1"/>
  <c r="X1725" i="1" s="1"/>
  <c r="Q1725" i="1"/>
  <c r="W1422" i="1" a="1"/>
  <c r="W1422" i="1" s="1"/>
  <c r="X1422" i="1" s="1"/>
  <c r="Q1422" i="1"/>
  <c r="Q1822" i="1"/>
  <c r="W1822" i="1" a="1"/>
  <c r="W1822" i="1" s="1"/>
  <c r="X1822" i="1" s="1"/>
  <c r="W103" i="1" a="1"/>
  <c r="W103" i="1" s="1"/>
  <c r="X103" i="1" s="1"/>
  <c r="Q103" i="1"/>
  <c r="W112" i="1" a="1"/>
  <c r="W112" i="1" s="1"/>
  <c r="X112" i="1" s="1"/>
  <c r="Q112" i="1"/>
  <c r="W390" i="1" a="1"/>
  <c r="W390" i="1" s="1"/>
  <c r="X390" i="1" s="1"/>
  <c r="Q390" i="1"/>
  <c r="W941" i="1" a="1"/>
  <c r="W941" i="1" s="1"/>
  <c r="X941" i="1" s="1"/>
  <c r="Q941" i="1"/>
  <c r="W1333" i="1" a="1"/>
  <c r="W1333" i="1" s="1"/>
  <c r="X1333" i="1" s="1"/>
  <c r="Q1333" i="1"/>
  <c r="Q1683" i="1"/>
  <c r="W1683" i="1" a="1"/>
  <c r="W1683" i="1" s="1"/>
  <c r="X1683" i="1" s="1"/>
  <c r="W1630" i="1" a="1"/>
  <c r="W1630" i="1" s="1"/>
  <c r="X1630" i="1" s="1"/>
  <c r="Q1630" i="1"/>
  <c r="W1691" i="1" a="1"/>
  <c r="W1691" i="1" s="1"/>
  <c r="X1691" i="1" s="1"/>
  <c r="Q1691" i="1"/>
  <c r="W1410" i="1" a="1"/>
  <c r="W1410" i="1" s="1"/>
  <c r="X1410" i="1" s="1"/>
  <c r="Q1410" i="1"/>
  <c r="W1413" i="1" a="1"/>
  <c r="W1413" i="1" s="1"/>
  <c r="X1413" i="1" s="1"/>
  <c r="Q1413" i="1"/>
  <c r="W152" i="1" a="1"/>
  <c r="W152" i="1" s="1"/>
  <c r="X152" i="1" s="1"/>
  <c r="Q152" i="1"/>
  <c r="W130" i="1" a="1"/>
  <c r="W130" i="1" s="1"/>
  <c r="X130" i="1" s="1"/>
  <c r="Q130" i="1"/>
  <c r="Q1751" i="1"/>
  <c r="W1751" i="1" a="1"/>
  <c r="W1751" i="1" s="1"/>
  <c r="X1751" i="1" s="1"/>
  <c r="W123" i="1" a="1"/>
  <c r="W123" i="1" s="1"/>
  <c r="X123" i="1" s="1"/>
  <c r="Q123" i="1"/>
  <c r="W263" i="1" a="1"/>
  <c r="W263" i="1" s="1"/>
  <c r="X263" i="1" s="1"/>
  <c r="Q263" i="1"/>
  <c r="W1403" i="1" a="1"/>
  <c r="W1403" i="1" s="1"/>
  <c r="X1403" i="1" s="1"/>
  <c r="Q1403" i="1"/>
  <c r="Q1701" i="1"/>
  <c r="W1701" i="1" a="1"/>
  <c r="W1701" i="1" s="1"/>
  <c r="X1701" i="1" s="1"/>
  <c r="W1462" i="1" a="1"/>
  <c r="W1462" i="1" s="1"/>
  <c r="X1462" i="1" s="1"/>
  <c r="Q1462" i="1"/>
  <c r="W1402" i="1" a="1"/>
  <c r="W1402" i="1" s="1"/>
  <c r="X1402" i="1" s="1"/>
  <c r="Q1402" i="1"/>
  <c r="W664" i="1" a="1"/>
  <c r="W664" i="1" s="1"/>
  <c r="X664" i="1" s="1"/>
  <c r="Q664" i="1"/>
  <c r="W804" i="1" a="1"/>
  <c r="W804" i="1" s="1"/>
  <c r="X804" i="1" s="1"/>
  <c r="Q804" i="1"/>
  <c r="W111" i="1" a="1"/>
  <c r="W111" i="1" s="1"/>
  <c r="X111" i="1" s="1"/>
  <c r="Q111" i="1"/>
  <c r="Q1417" i="1"/>
  <c r="W1417" i="1" a="1"/>
  <c r="W1417" i="1" s="1"/>
  <c r="X1417" i="1" s="1"/>
  <c r="Q1479" i="1"/>
  <c r="W1479" i="1" a="1"/>
  <c r="W1479" i="1" s="1"/>
  <c r="X1479" i="1" s="1"/>
  <c r="W454" i="1" a="1"/>
  <c r="W454" i="1" s="1"/>
  <c r="X454" i="1" s="1"/>
  <c r="Q454" i="1"/>
  <c r="Q1632" i="1"/>
  <c r="W1632" i="1" a="1"/>
  <c r="W1632" i="1" s="1"/>
  <c r="X1632" i="1" s="1"/>
  <c r="W1144" i="1" a="1"/>
  <c r="W1144" i="1" s="1"/>
  <c r="X1144" i="1" s="1"/>
  <c r="Q1144" i="1"/>
  <c r="W1014" i="1" a="1"/>
  <c r="W1014" i="1" s="1"/>
  <c r="X1014" i="1" s="1"/>
  <c r="Q1014" i="1"/>
  <c r="W1064" i="1" a="1"/>
  <c r="W1064" i="1" s="1"/>
  <c r="X1064" i="1" s="1"/>
  <c r="Q1064" i="1"/>
  <c r="W1614" i="1" a="1"/>
  <c r="W1614" i="1" s="1"/>
  <c r="X1614" i="1" s="1"/>
  <c r="Q1614" i="1"/>
  <c r="W1124" i="1" a="1"/>
  <c r="W1124" i="1" s="1"/>
  <c r="X1124" i="1" s="1"/>
  <c r="Q1124" i="1"/>
  <c r="W1384" i="1" a="1"/>
  <c r="W1384" i="1" s="1"/>
  <c r="X1384" i="1" s="1"/>
  <c r="Q1384" i="1"/>
  <c r="W220" i="1" a="1"/>
  <c r="W220" i="1" s="1"/>
  <c r="X220" i="1" s="1"/>
  <c r="Q220" i="1"/>
  <c r="W1364" i="1" a="1"/>
  <c r="W1364" i="1" s="1"/>
  <c r="X1364" i="1" s="1"/>
  <c r="Q1364" i="1"/>
  <c r="W134" i="1" a="1"/>
  <c r="W134" i="1" s="1"/>
  <c r="X134" i="1" s="1"/>
  <c r="Q134" i="1"/>
  <c r="W1344" i="1" a="1"/>
  <c r="W1344" i="1" s="1"/>
  <c r="X1344" i="1" s="1"/>
  <c r="Q1344" i="1"/>
  <c r="W268" i="1" a="1"/>
  <c r="W268" i="1" s="1"/>
  <c r="X268" i="1" s="1"/>
  <c r="Q268" i="1"/>
  <c r="W350" i="1" a="1"/>
  <c r="W350" i="1" s="1"/>
  <c r="X350" i="1" s="1"/>
  <c r="Q350" i="1"/>
  <c r="W1029" i="1" a="1"/>
  <c r="W1029" i="1" s="1"/>
  <c r="X1029" i="1" s="1"/>
  <c r="Q1029" i="1"/>
  <c r="W42" i="1" a="1"/>
  <c r="W42" i="1" s="1"/>
  <c r="X42" i="1" s="1"/>
  <c r="Q42" i="1"/>
  <c r="W714" i="1" a="1"/>
  <c r="W714" i="1" s="1"/>
  <c r="X714" i="1" s="1"/>
  <c r="Q714" i="1"/>
  <c r="W236" i="1" a="1"/>
  <c r="W236" i="1" s="1"/>
  <c r="X236" i="1" s="1"/>
  <c r="Q236" i="1"/>
  <c r="Q843" i="1"/>
  <c r="W843" i="1" a="1"/>
  <c r="W843" i="1" s="1"/>
  <c r="X843" i="1" s="1"/>
  <c r="Q107" i="1"/>
  <c r="W107" i="1" a="1"/>
  <c r="W107" i="1" s="1"/>
  <c r="X107" i="1" s="1"/>
  <c r="W234" i="1" a="1"/>
  <c r="W234" i="1" s="1"/>
  <c r="X234" i="1" s="1"/>
  <c r="Q234" i="1"/>
  <c r="Q1408" i="1"/>
  <c r="W1408" i="1" a="1"/>
  <c r="W1408" i="1" s="1"/>
  <c r="X1408" i="1" s="1"/>
  <c r="Q1362" i="1"/>
  <c r="W1362" i="1" a="1"/>
  <c r="W1362" i="1" s="1"/>
  <c r="X1362" i="1" s="1"/>
  <c r="W709" i="1" a="1"/>
  <c r="W709" i="1" s="1"/>
  <c r="X709" i="1" s="1"/>
  <c r="Q709" i="1"/>
  <c r="Q1688" i="1"/>
  <c r="W1688" i="1" a="1"/>
  <c r="W1688" i="1" s="1"/>
  <c r="X1688" i="1" s="1"/>
  <c r="W1580" i="1" a="1"/>
  <c r="W1580" i="1" s="1"/>
  <c r="X1580" i="1" s="1"/>
  <c r="Q1580" i="1"/>
  <c r="W44" i="1" a="1"/>
  <c r="W44" i="1" s="1"/>
  <c r="X44" i="1" s="1"/>
  <c r="Q44" i="1"/>
  <c r="W704" i="1" a="1"/>
  <c r="W704" i="1" s="1"/>
  <c r="X704" i="1" s="1"/>
  <c r="Q704" i="1"/>
  <c r="W230" i="1" a="1"/>
  <c r="W230" i="1" s="1"/>
  <c r="X230" i="1" s="1"/>
  <c r="Q230" i="1"/>
  <c r="W414" i="1" a="1"/>
  <c r="W414" i="1" s="1"/>
  <c r="X414" i="1" s="1"/>
  <c r="Q414" i="1"/>
  <c r="W1716" i="1" a="1"/>
  <c r="W1716" i="1" s="1"/>
  <c r="X1716" i="1" s="1"/>
  <c r="Q1716" i="1"/>
  <c r="W994" i="1" a="1"/>
  <c r="W994" i="1" s="1"/>
  <c r="X994" i="1" s="1"/>
  <c r="Q994" i="1"/>
  <c r="W92" i="1" a="1"/>
  <c r="W92" i="1" s="1"/>
  <c r="X92" i="1" s="1"/>
  <c r="Q92" i="1"/>
  <c r="W672" i="1" a="1"/>
  <c r="W672" i="1" s="1"/>
  <c r="X672" i="1" s="1"/>
  <c r="Q672" i="1"/>
  <c r="W81" i="1" a="1"/>
  <c r="W81" i="1" s="1"/>
  <c r="X81" i="1" s="1"/>
  <c r="Q81" i="1"/>
  <c r="Q1825" i="1"/>
  <c r="W1825" i="1" a="1"/>
  <c r="W1825" i="1" s="1"/>
  <c r="X1825" i="1" s="1"/>
  <c r="W1673" i="1" a="1"/>
  <c r="W1673" i="1" s="1"/>
  <c r="X1673" i="1" s="1"/>
  <c r="Q1673" i="1"/>
  <c r="W1739" i="1" a="1"/>
  <c r="W1739" i="1" s="1"/>
  <c r="X1739" i="1" s="1"/>
  <c r="Q1739" i="1"/>
  <c r="W1001" i="1" a="1"/>
  <c r="W1001" i="1" s="1"/>
  <c r="X1001" i="1" s="1"/>
  <c r="Q1001" i="1"/>
  <c r="W1003" i="1" a="1"/>
  <c r="W1003" i="1" s="1"/>
  <c r="X1003" i="1" s="1"/>
  <c r="Q1003" i="1"/>
  <c r="W3" i="1" a="1"/>
  <c r="W3" i="1" s="1"/>
  <c r="X3" i="1" s="1"/>
  <c r="Q3" i="1"/>
  <c r="W1833" i="1" a="1"/>
  <c r="W1833" i="1" s="1"/>
  <c r="X1833" i="1" s="1"/>
  <c r="Q1833" i="1"/>
  <c r="W1560" i="1" a="1"/>
  <c r="W1560" i="1" s="1"/>
  <c r="X1560" i="1" s="1"/>
  <c r="Q1560" i="1"/>
  <c r="W1624" i="1" a="1"/>
  <c r="W1624" i="1" s="1"/>
  <c r="X1624" i="1" s="1"/>
  <c r="Q1624" i="1"/>
  <c r="W1744" i="1" a="1"/>
  <c r="W1744" i="1" s="1"/>
  <c r="X1744" i="1" s="1"/>
  <c r="Q1744" i="1"/>
  <c r="W822" i="1" a="1"/>
  <c r="W822" i="1" s="1"/>
  <c r="X822" i="1" s="1"/>
  <c r="Q822" i="1"/>
  <c r="W128" i="1" a="1"/>
  <c r="W128" i="1" s="1"/>
  <c r="X128" i="1" s="1"/>
  <c r="Q128" i="1"/>
  <c r="Q719" i="1"/>
  <c r="W719" i="1" a="1"/>
  <c r="W719" i="1" s="1"/>
  <c r="X719" i="1" s="1"/>
  <c r="Q1002" i="1"/>
  <c r="W1002" i="1" a="1"/>
  <c r="W1002" i="1" s="1"/>
  <c r="X1002" i="1" s="1"/>
  <c r="W873" i="1" a="1"/>
  <c r="W873" i="1" s="1"/>
  <c r="X873" i="1" s="1"/>
  <c r="Q873" i="1"/>
  <c r="W48" i="1" a="1"/>
  <c r="W48" i="1" s="1"/>
  <c r="X48" i="1" s="1"/>
  <c r="Q48" i="1"/>
  <c r="W722" i="1" a="1"/>
  <c r="W722" i="1" s="1"/>
  <c r="X722" i="1" s="1"/>
  <c r="Q722" i="1"/>
  <c r="W163" i="1" a="1"/>
  <c r="W163" i="1" s="1"/>
  <c r="X163" i="1" s="1"/>
  <c r="Q163" i="1"/>
  <c r="Q1427" i="1"/>
  <c r="W1427" i="1" a="1"/>
  <c r="W1427" i="1" s="1"/>
  <c r="X1427" i="1" s="1"/>
  <c r="W533" i="1" a="1"/>
  <c r="W533" i="1" s="1"/>
  <c r="X533" i="1" s="1"/>
  <c r="Q533" i="1"/>
  <c r="W668" i="1" a="1"/>
  <c r="W668" i="1" s="1"/>
  <c r="X668" i="1" s="1"/>
  <c r="Q668" i="1"/>
  <c r="W993" i="1" a="1"/>
  <c r="W993" i="1" s="1"/>
  <c r="X993" i="1" s="1"/>
  <c r="Q993" i="1"/>
  <c r="W1724" i="1" a="1"/>
  <c r="W1724" i="1" s="1"/>
  <c r="X1724" i="1" s="1"/>
  <c r="Q1724" i="1"/>
  <c r="Q697" i="1"/>
  <c r="W697" i="1" a="1"/>
  <c r="W697" i="1" s="1"/>
  <c r="X697" i="1" s="1"/>
  <c r="W761" i="1" a="1"/>
  <c r="W761" i="1" s="1"/>
  <c r="X761" i="1" s="1"/>
  <c r="Q761" i="1"/>
  <c r="Q1709" i="1"/>
  <c r="W1709" i="1" a="1"/>
  <c r="W1709" i="1" s="1"/>
  <c r="X1709" i="1" s="1"/>
  <c r="W713" i="1" a="1"/>
  <c r="W713" i="1" s="1"/>
  <c r="X713" i="1" s="1"/>
  <c r="Q713" i="1"/>
  <c r="W1373" i="1" a="1"/>
  <c r="W1373" i="1" s="1"/>
  <c r="X1373" i="1" s="1"/>
  <c r="Q1373" i="1"/>
  <c r="W678" i="1" a="1"/>
  <c r="W678" i="1" s="1"/>
  <c r="X678" i="1" s="1"/>
  <c r="Q678" i="1"/>
  <c r="W452" i="1" a="1"/>
  <c r="W452" i="1" s="1"/>
  <c r="X452" i="1" s="1"/>
  <c r="Q452" i="1"/>
  <c r="W972" i="1" a="1"/>
  <c r="W972" i="1" s="1"/>
  <c r="X972" i="1" s="1"/>
  <c r="Q972" i="1"/>
  <c r="W1684" i="1" a="1"/>
  <c r="W1684" i="1" s="1"/>
  <c r="X1684" i="1" s="1"/>
  <c r="Q1684" i="1"/>
  <c r="W23" i="1" a="1"/>
  <c r="W23" i="1" s="1"/>
  <c r="X23" i="1" s="1"/>
  <c r="Q23" i="1"/>
  <c r="Q1363" i="1"/>
  <c r="W1363" i="1" a="1"/>
  <c r="W1363" i="1" s="1"/>
  <c r="X1363" i="1" s="1"/>
  <c r="Q1681" i="1"/>
  <c r="W1681" i="1" a="1"/>
  <c r="W1681" i="1" s="1"/>
  <c r="X1681" i="1" s="1"/>
  <c r="Q699" i="1"/>
  <c r="W699" i="1" a="1"/>
  <c r="W699" i="1" s="1"/>
  <c r="X699" i="1" s="1"/>
  <c r="Q1723" i="1"/>
  <c r="W1723" i="1" a="1"/>
  <c r="W1723" i="1" s="1"/>
  <c r="X1723" i="1" s="1"/>
  <c r="W433" i="1" a="1"/>
  <c r="W433" i="1" s="1"/>
  <c r="X433" i="1" s="1"/>
  <c r="Q433" i="1"/>
  <c r="W493" i="1" a="1"/>
  <c r="W493" i="1" s="1"/>
  <c r="X493" i="1" s="1"/>
  <c r="Q493" i="1"/>
  <c r="W391" i="1" a="1"/>
  <c r="W391" i="1" s="1"/>
  <c r="X391" i="1" s="1"/>
  <c r="Q391" i="1"/>
  <c r="W1835" i="1" a="1"/>
  <c r="W1835" i="1" s="1"/>
  <c r="X1835" i="1" s="1"/>
  <c r="Q1835" i="1"/>
  <c r="Q1563" i="1"/>
  <c r="W1563" i="1" a="1"/>
  <c r="W1563" i="1" s="1"/>
  <c r="X1563" i="1" s="1"/>
  <c r="W1695" i="1" a="1"/>
  <c r="W1695" i="1" s="1"/>
  <c r="X1695" i="1" s="1"/>
  <c r="Q1695" i="1"/>
  <c r="W1406" i="1" a="1"/>
  <c r="W1406" i="1" s="1"/>
  <c r="X1406" i="1" s="1"/>
  <c r="Q1406" i="1"/>
  <c r="Q721" i="1"/>
  <c r="W721" i="1" a="1"/>
  <c r="W721" i="1" s="1"/>
  <c r="X721" i="1" s="1"/>
  <c r="Q1572" i="1"/>
  <c r="W1572" i="1" a="1"/>
  <c r="W1572" i="1" s="1"/>
  <c r="X1572" i="1" s="1"/>
  <c r="W813" i="1" a="1"/>
  <c r="W813" i="1" s="1"/>
  <c r="X813" i="1" s="1"/>
  <c r="Q813" i="1"/>
  <c r="W1754" i="1" a="1"/>
  <c r="W1754" i="1" s="1"/>
  <c r="X1754" i="1" s="1"/>
  <c r="Q1754" i="1"/>
  <c r="W162" i="1" a="1"/>
  <c r="W162" i="1" s="1"/>
  <c r="X162" i="1" s="1"/>
  <c r="Q162" i="1"/>
  <c r="W942" i="1" a="1"/>
  <c r="W942" i="1" s="1"/>
  <c r="X942" i="1" s="1"/>
  <c r="Q942" i="1"/>
  <c r="W1584" i="1" a="1"/>
  <c r="W1584" i="1" s="1"/>
  <c r="X1584" i="1" s="1"/>
  <c r="Q1584" i="1"/>
  <c r="W844" i="1" a="1"/>
  <c r="W844" i="1" s="1"/>
  <c r="X844" i="1" s="1"/>
  <c r="Q844" i="1"/>
  <c r="W1715" i="1" a="1"/>
  <c r="W1715" i="1" s="1"/>
  <c r="X1715" i="1" s="1"/>
  <c r="Q1715" i="1"/>
  <c r="W1420" i="1" a="1"/>
  <c r="W1420" i="1" s="1"/>
  <c r="X1420" i="1" s="1"/>
  <c r="Q1420" i="1"/>
  <c r="W1311" i="1" a="1"/>
  <c r="W1311" i="1" s="1"/>
  <c r="X1311" i="1" s="1"/>
  <c r="Q1311" i="1"/>
  <c r="W143" i="1" a="1"/>
  <c r="W143" i="1" s="1"/>
  <c r="X143" i="1" s="1"/>
  <c r="Q143" i="1"/>
  <c r="W1389" i="1" a="1"/>
  <c r="W1389" i="1" s="1"/>
  <c r="X1389" i="1" s="1"/>
  <c r="Q1389" i="1"/>
  <c r="W834" i="1" a="1"/>
  <c r="W834" i="1" s="1"/>
  <c r="X834" i="1" s="1"/>
  <c r="Q834" i="1"/>
  <c r="W132" i="1" a="1"/>
  <c r="W132" i="1" s="1"/>
  <c r="X132" i="1" s="1"/>
  <c r="Q132" i="1"/>
  <c r="W1610" i="1" a="1"/>
  <c r="W1610" i="1" s="1"/>
  <c r="X1610" i="1" s="1"/>
  <c r="Q1610" i="1"/>
  <c r="W969" i="1" a="1"/>
  <c r="W969" i="1" s="1"/>
  <c r="X969" i="1" s="1"/>
  <c r="Q969" i="1"/>
  <c r="W733" i="1" a="1"/>
  <c r="W733" i="1" s="1"/>
  <c r="X733" i="1" s="1"/>
  <c r="Q733" i="1"/>
  <c r="W1706" i="1" a="1"/>
  <c r="W1706" i="1" s="1"/>
  <c r="X1706" i="1" s="1"/>
  <c r="Q1706" i="1"/>
  <c r="Q1325" i="1"/>
  <c r="W1325" i="1" a="1"/>
  <c r="W1325" i="1" s="1"/>
  <c r="X1325" i="1" s="1"/>
  <c r="Q1548" i="1"/>
  <c r="W1548" i="1" a="1"/>
  <c r="W1548" i="1" s="1"/>
  <c r="X1548" i="1" s="1"/>
  <c r="W684" i="1" a="1"/>
  <c r="W684" i="1" s="1"/>
  <c r="X684" i="1" s="1"/>
  <c r="Q684" i="1"/>
  <c r="Q732" i="1"/>
  <c r="W732" i="1" a="1"/>
  <c r="W732" i="1" s="1"/>
  <c r="X732" i="1" s="1"/>
  <c r="W604" i="1" a="1"/>
  <c r="W604" i="1" s="1"/>
  <c r="X604" i="1" s="1"/>
  <c r="Q604" i="1"/>
  <c r="W108" i="1" a="1"/>
  <c r="W108" i="1" s="1"/>
  <c r="X108" i="1" s="1"/>
  <c r="Q108" i="1"/>
  <c r="W920" i="1" a="1"/>
  <c r="W920" i="1" s="1"/>
  <c r="X920" i="1" s="1"/>
  <c r="Q920" i="1"/>
  <c r="W394" i="1" a="1"/>
  <c r="W394" i="1" s="1"/>
  <c r="X394" i="1" s="1"/>
  <c r="Q394" i="1"/>
  <c r="W1204" i="1" a="1"/>
  <c r="W1204" i="1" s="1"/>
  <c r="X1204" i="1" s="1"/>
  <c r="Q1204" i="1"/>
  <c r="W283" i="1" a="1"/>
  <c r="W283" i="1" s="1"/>
  <c r="X283" i="1" s="1"/>
  <c r="Q283" i="1"/>
  <c r="W711" i="1" a="1"/>
  <c r="W711" i="1" s="1"/>
  <c r="X711" i="1" s="1"/>
  <c r="Q711" i="1"/>
  <c r="Q1433" i="1"/>
  <c r="W1433" i="1" a="1"/>
  <c r="W1433" i="1" s="1"/>
  <c r="X1433" i="1" s="1"/>
  <c r="W120" i="1" a="1"/>
  <c r="W120" i="1" s="1"/>
  <c r="X120" i="1" s="1"/>
  <c r="Q120" i="1"/>
  <c r="W64" i="1" a="1"/>
  <c r="W64" i="1" s="1"/>
  <c r="X64" i="1" s="1"/>
  <c r="Q64" i="1"/>
  <c r="W190" i="1" a="1"/>
  <c r="W190" i="1" s="1"/>
  <c r="X190" i="1" s="1"/>
  <c r="Q190" i="1"/>
  <c r="W940" i="1" a="1"/>
  <c r="W940" i="1" s="1"/>
  <c r="X940" i="1" s="1"/>
  <c r="Q940" i="1"/>
  <c r="W74" i="1" a="1"/>
  <c r="W74" i="1" s="1"/>
  <c r="X74" i="1" s="1"/>
  <c r="Q74" i="1"/>
  <c r="W944" i="1" a="1"/>
  <c r="W944" i="1" s="1"/>
  <c r="X944" i="1" s="1"/>
  <c r="Q944" i="1"/>
  <c r="W232" i="1" a="1"/>
  <c r="W232" i="1" s="1"/>
  <c r="X232" i="1" s="1"/>
  <c r="Q232" i="1"/>
  <c r="W924" i="1" a="1"/>
  <c r="W924" i="1" s="1"/>
  <c r="X924" i="1" s="1"/>
  <c r="Q924" i="1"/>
  <c r="W1729" i="1" a="1"/>
  <c r="W1729" i="1" s="1"/>
  <c r="X1729" i="1" s="1"/>
  <c r="Q1729" i="1"/>
  <c r="W979" i="1" a="1"/>
  <c r="W979" i="1" s="1"/>
  <c r="X979" i="1" s="1"/>
  <c r="Q979" i="1"/>
  <c r="W974" i="1" a="1"/>
  <c r="W974" i="1" s="1"/>
  <c r="X974" i="1" s="1"/>
  <c r="Q974" i="1"/>
  <c r="Q1819" i="1"/>
  <c r="W1819" i="1" a="1"/>
  <c r="W1819" i="1" s="1"/>
  <c r="X1819" i="1" s="1"/>
  <c r="W1074" i="1" a="1"/>
  <c r="W1074" i="1" s="1"/>
  <c r="X1074" i="1" s="1"/>
  <c r="Q1074" i="1"/>
  <c r="W1334" i="1" a="1"/>
  <c r="W1334" i="1" s="1"/>
  <c r="X1334" i="1" s="1"/>
  <c r="Q1334" i="1"/>
  <c r="W574" i="1" a="1"/>
  <c r="W574" i="1" s="1"/>
  <c r="X574" i="1" s="1"/>
  <c r="Q574" i="1"/>
  <c r="W988" i="1" a="1"/>
  <c r="W988" i="1" s="1"/>
  <c r="X988" i="1" s="1"/>
  <c r="Q988" i="1"/>
  <c r="W1434" i="1" a="1"/>
  <c r="W1434" i="1" s="1"/>
  <c r="X1434" i="1" s="1"/>
  <c r="Q1434" i="1"/>
  <c r="W564" i="1" a="1"/>
  <c r="W564" i="1" s="1"/>
  <c r="X564" i="1" s="1"/>
  <c r="Q564" i="1"/>
  <c r="W1400" i="1" a="1"/>
  <c r="W1400" i="1" s="1"/>
  <c r="X1400" i="1" s="1"/>
  <c r="Q1400" i="1"/>
  <c r="W1304" i="1" a="1"/>
  <c r="W1304" i="1" s="1"/>
  <c r="X1304" i="1" s="1"/>
  <c r="Q1304" i="1"/>
  <c r="Q707" i="1"/>
  <c r="W707" i="1" a="1"/>
  <c r="W707" i="1" s="1"/>
  <c r="X707" i="1" s="1"/>
  <c r="W1244" i="1" a="1"/>
  <c r="W1244" i="1" s="1"/>
  <c r="X1244" i="1" s="1"/>
  <c r="Q1244" i="1"/>
  <c r="W644" i="1" a="1"/>
  <c r="W644" i="1" s="1"/>
  <c r="X644" i="1" s="1"/>
  <c r="Q644" i="1"/>
  <c r="W724" i="1" a="1"/>
  <c r="W724" i="1" s="1"/>
  <c r="X724" i="1" s="1"/>
  <c r="Q724" i="1"/>
  <c r="W1692" i="1" a="1"/>
  <c r="W1692" i="1" s="1"/>
  <c r="X1692" i="1" s="1"/>
  <c r="Q1692" i="1"/>
  <c r="W694" i="1" a="1"/>
  <c r="W694" i="1" s="1"/>
  <c r="X694" i="1" s="1"/>
  <c r="Q694" i="1"/>
  <c r="Q1418" i="1"/>
  <c r="W1418" i="1" a="1"/>
  <c r="W1418" i="1" s="1"/>
  <c r="X1418" i="1" s="1"/>
  <c r="W1432" i="1" a="1"/>
  <c r="W1432" i="1" s="1"/>
  <c r="X1432" i="1" s="1"/>
  <c r="Q1432" i="1"/>
  <c r="W1345" i="1" a="1"/>
  <c r="W1345" i="1" s="1"/>
  <c r="X1345" i="1" s="1"/>
  <c r="Q1345" i="1"/>
  <c r="W706" i="1" a="1"/>
  <c r="W706" i="1" s="1"/>
  <c r="X706" i="1" s="1"/>
  <c r="Q706" i="1"/>
  <c r="Q1711" i="1"/>
  <c r="W1711" i="1" a="1"/>
  <c r="W1711" i="1" s="1"/>
  <c r="X1711" i="1" s="1"/>
  <c r="W104" i="1" a="1"/>
  <c r="W104" i="1" s="1"/>
  <c r="X104" i="1" s="1"/>
  <c r="Q104" i="1"/>
  <c r="W1394" i="1" a="1"/>
  <c r="W1394" i="1" s="1"/>
  <c r="X1394" i="1" s="1"/>
  <c r="Q1394" i="1"/>
  <c r="W1060" i="1" a="1"/>
  <c r="W1060" i="1" s="1"/>
  <c r="X1060" i="1" s="1"/>
  <c r="Q1060" i="1"/>
  <c r="W718" i="1" a="1"/>
  <c r="W718" i="1" s="1"/>
  <c r="X718" i="1" s="1"/>
  <c r="Q718" i="1"/>
  <c r="Q67" i="1"/>
  <c r="W67" i="1" a="1"/>
  <c r="W67" i="1" s="1"/>
  <c r="X67" i="1" s="1"/>
  <c r="W1811" i="1" a="1"/>
  <c r="W1811" i="1" s="1"/>
  <c r="X1811" i="1" s="1"/>
  <c r="Q1811" i="1"/>
  <c r="W1011" i="1" a="1"/>
  <c r="W1011" i="1" s="1"/>
  <c r="X1011" i="1" s="1"/>
  <c r="Q1011" i="1"/>
  <c r="W291" i="1" a="1"/>
  <c r="W291" i="1" s="1"/>
  <c r="X291" i="1" s="1"/>
  <c r="Q291" i="1"/>
  <c r="W453" i="1" a="1"/>
  <c r="W453" i="1" s="1"/>
  <c r="X453" i="1" s="1"/>
  <c r="Q453" i="1"/>
  <c r="Q1426" i="1"/>
  <c r="W1426" i="1" a="1"/>
  <c r="W1426" i="1" s="1"/>
  <c r="X1426" i="1" s="1"/>
  <c r="W1401" i="1" a="1"/>
  <c r="W1401" i="1" s="1"/>
  <c r="X1401" i="1" s="1"/>
  <c r="Q1401" i="1"/>
  <c r="Q1163" i="1"/>
  <c r="W1163" i="1" a="1"/>
  <c r="W1163" i="1" s="1"/>
  <c r="X1163" i="1" s="1"/>
  <c r="W1428" i="1" a="1"/>
  <c r="W1428" i="1" s="1"/>
  <c r="X1428" i="1" s="1"/>
  <c r="Q1428" i="1"/>
  <c r="W659" i="1" a="1"/>
  <c r="W659" i="1" s="1"/>
  <c r="X659" i="1" s="1"/>
  <c r="Q659" i="1"/>
  <c r="Q1707" i="1"/>
  <c r="W1707" i="1" a="1"/>
  <c r="W1707" i="1" s="1"/>
  <c r="X1707" i="1" s="1"/>
  <c r="W239" i="1" a="1"/>
  <c r="W239" i="1" s="1"/>
  <c r="X239" i="1" s="1"/>
  <c r="Q239" i="1"/>
  <c r="Q1732" i="1"/>
  <c r="W1732" i="1" a="1"/>
  <c r="W1732" i="1" s="1"/>
  <c r="X1732" i="1" s="1"/>
  <c r="Q1719" i="1"/>
  <c r="W1719" i="1" a="1"/>
  <c r="W1719" i="1" s="1"/>
  <c r="X1719" i="1" s="1"/>
  <c r="W118" i="1" a="1"/>
  <c r="W118" i="1" s="1"/>
  <c r="X118" i="1" s="1"/>
  <c r="Q118" i="1"/>
  <c r="W1704" i="1" a="1"/>
  <c r="W1704" i="1" s="1"/>
  <c r="X1704" i="1" s="1"/>
  <c r="Q1704" i="1"/>
  <c r="W1710" i="1" a="1"/>
  <c r="W1710" i="1" s="1"/>
  <c r="X1710" i="1" s="1"/>
  <c r="Q1710" i="1"/>
  <c r="W1734" i="1" a="1"/>
  <c r="W1734" i="1" s="1"/>
  <c r="X1734" i="1" s="1"/>
  <c r="Q1734" i="1"/>
  <c r="W551" i="1" a="1"/>
  <c r="W551" i="1" s="1"/>
  <c r="X551" i="1" s="1"/>
  <c r="Q551" i="1"/>
  <c r="W679" i="1" a="1"/>
  <c r="W679" i="1" s="1"/>
  <c r="X679" i="1" s="1"/>
  <c r="Q679" i="1"/>
  <c r="W1813" i="1" a="1"/>
  <c r="W1813" i="1" s="1"/>
  <c r="X1813" i="1" s="1"/>
  <c r="Q1813" i="1"/>
  <c r="W1834" i="1" a="1"/>
  <c r="W1834" i="1" s="1"/>
  <c r="X1834" i="1" s="1"/>
  <c r="Q1834" i="1"/>
  <c r="W1415" i="1" a="1"/>
  <c r="W1415" i="1" s="1"/>
  <c r="X1415" i="1" s="1"/>
  <c r="Q1415" i="1"/>
  <c r="W1604" i="1" a="1"/>
  <c r="W1604" i="1" s="1"/>
  <c r="X1604" i="1" s="1"/>
  <c r="Q1604" i="1"/>
  <c r="W250" i="1" a="1"/>
  <c r="W250" i="1" s="1"/>
  <c r="X250" i="1" s="1"/>
  <c r="Q250" i="1"/>
  <c r="Q1437" i="1"/>
  <c r="W1437" i="1" a="1"/>
  <c r="W1437" i="1" s="1"/>
  <c r="X1437" i="1" s="1"/>
  <c r="Q1599" i="1"/>
  <c r="W1599" i="1" a="1"/>
  <c r="W1599" i="1" s="1"/>
  <c r="X1599" i="1" s="1"/>
  <c r="W553" i="1" a="1"/>
  <c r="W553" i="1" s="1"/>
  <c r="X553" i="1" s="1"/>
  <c r="Q553" i="1"/>
  <c r="W1439" i="1" a="1"/>
  <c r="W1439" i="1" s="1"/>
  <c r="X1439" i="1" s="1"/>
  <c r="Q1439" i="1"/>
  <c r="W410" i="1" a="1"/>
  <c r="W410" i="1" s="1"/>
  <c r="X410" i="1" s="1"/>
  <c r="Q410" i="1"/>
  <c r="Q1763" i="1"/>
  <c r="W1763" i="1" a="1"/>
  <c r="W1763" i="1" s="1"/>
  <c r="X1763" i="1" s="1"/>
  <c r="W383" i="1" a="1"/>
  <c r="W383" i="1" s="1"/>
  <c r="X383" i="1" s="1"/>
  <c r="Q383" i="1"/>
  <c r="W1353" i="1" a="1"/>
  <c r="W1353" i="1" s="1"/>
  <c r="X1353" i="1" s="1"/>
  <c r="Q1353" i="1"/>
  <c r="W110" i="1" a="1"/>
  <c r="W110" i="1" s="1"/>
  <c r="X110" i="1" s="1"/>
  <c r="Q110" i="1"/>
  <c r="W71" i="1" a="1"/>
  <c r="W71" i="1" s="1"/>
  <c r="X71" i="1" s="1"/>
  <c r="Q71" i="1"/>
  <c r="W1041" i="1" a="1"/>
  <c r="W1041" i="1" s="1"/>
  <c r="X1041" i="1" s="1"/>
  <c r="Q1041" i="1"/>
  <c r="W689" i="1" a="1"/>
  <c r="W689" i="1" s="1"/>
  <c r="X689" i="1" s="1"/>
  <c r="Q689" i="1"/>
  <c r="Q1721" i="1"/>
  <c r="W1721" i="1" a="1"/>
  <c r="W1721" i="1" s="1"/>
  <c r="X1721" i="1" s="1"/>
  <c r="W262" i="1" a="1"/>
  <c r="W262" i="1" s="1"/>
  <c r="X262" i="1" s="1"/>
  <c r="Q262" i="1"/>
  <c r="Q1375" i="1"/>
  <c r="W1375" i="1" a="1"/>
  <c r="W1375" i="1" s="1"/>
  <c r="X1375" i="1" s="1"/>
  <c r="W280" i="1" a="1"/>
  <c r="W280" i="1" s="1"/>
  <c r="X280" i="1" s="1"/>
  <c r="Q280" i="1"/>
  <c r="W1628" i="1" a="1"/>
  <c r="W1628" i="1" s="1"/>
  <c r="X1628" i="1" s="1"/>
  <c r="Q1628" i="1"/>
  <c r="Q1341" i="1"/>
  <c r="W1341" i="1" a="1"/>
  <c r="W1341" i="1" s="1"/>
  <c r="X1341" i="1" s="1"/>
  <c r="W1564" i="1" a="1"/>
  <c r="W1564" i="1" s="1"/>
  <c r="X1564" i="1" s="1"/>
  <c r="Q1564" i="1"/>
  <c r="W562" i="1" a="1"/>
  <c r="W562" i="1" s="1"/>
  <c r="X562" i="1" s="1"/>
  <c r="Q562" i="1"/>
  <c r="W693" i="1" a="1"/>
  <c r="W693" i="1" s="1"/>
  <c r="X693" i="1" s="1"/>
  <c r="Q693" i="1"/>
  <c r="W1694" i="1" a="1"/>
  <c r="W1694" i="1" s="1"/>
  <c r="X1694" i="1" s="1"/>
  <c r="Q1694" i="1"/>
  <c r="W1409" i="1" a="1"/>
  <c r="W1409" i="1" s="1"/>
  <c r="X1409" i="1" s="1"/>
  <c r="Q1409" i="1"/>
  <c r="W870" i="1" a="1"/>
  <c r="W870" i="1" s="1"/>
  <c r="X870" i="1" s="1"/>
  <c r="Q870" i="1"/>
  <c r="Q683" i="1"/>
  <c r="W683" i="1" a="1"/>
  <c r="W683" i="1" s="1"/>
  <c r="X683" i="1" s="1"/>
  <c r="W701" i="1" a="1"/>
  <c r="W701" i="1" s="1"/>
  <c r="X701" i="1" s="1"/>
  <c r="Q701" i="1"/>
  <c r="W253" i="1" a="1"/>
  <c r="W253" i="1" s="1"/>
  <c r="X253" i="1" s="1"/>
  <c r="Q253" i="1"/>
  <c r="W83" i="1" a="1"/>
  <c r="W83" i="1" s="1"/>
  <c r="X83" i="1" s="1"/>
  <c r="Q83" i="1"/>
  <c r="W1359" i="1" a="1"/>
  <c r="W1359" i="1" s="1"/>
  <c r="X1359" i="1" s="1"/>
  <c r="Q1359" i="1"/>
  <c r="W649" i="1" a="1"/>
  <c r="W649" i="1" s="1"/>
  <c r="X649" i="1" s="1"/>
  <c r="Q649" i="1"/>
  <c r="Q973" i="1"/>
  <c r="W973" i="1" a="1"/>
  <c r="W973" i="1" s="1"/>
  <c r="X973" i="1" s="1"/>
  <c r="Q1421" i="1"/>
  <c r="W1421" i="1" a="1"/>
  <c r="W1421" i="1" s="1"/>
  <c r="X1421" i="1" s="1"/>
  <c r="W352" i="1" a="1"/>
  <c r="W352" i="1" s="1"/>
  <c r="X352" i="1" s="1"/>
  <c r="Q352" i="1"/>
  <c r="W138" i="1" a="1"/>
  <c r="W138" i="1" s="1"/>
  <c r="X138" i="1" s="1"/>
  <c r="Q138" i="1"/>
  <c r="W1393" i="1" a="1"/>
  <c r="W1393" i="1" s="1"/>
  <c r="X1393" i="1" s="1"/>
  <c r="Q1393" i="1"/>
  <c r="W1416" i="1" a="1"/>
  <c r="W1416" i="1" s="1"/>
  <c r="X1416" i="1" s="1"/>
  <c r="Q1416" i="1"/>
  <c r="W272" i="1" a="1"/>
  <c r="W272" i="1" s="1"/>
  <c r="X272" i="1" s="1"/>
  <c r="Q272" i="1"/>
  <c r="W1718" i="1" a="1"/>
  <c r="W1718" i="1" s="1"/>
  <c r="X1718" i="1" s="1"/>
  <c r="Q1718" i="1"/>
  <c r="W273" i="1" a="1"/>
  <c r="W273" i="1" s="1"/>
  <c r="X273" i="1" s="1"/>
  <c r="Q273" i="1"/>
  <c r="W43" i="1" a="1"/>
  <c r="W43" i="1" s="1"/>
  <c r="X43" i="1" s="1"/>
  <c r="Q43" i="1"/>
  <c r="W1775" i="1" a="1"/>
  <c r="W1775" i="1" s="1"/>
  <c r="X1775" i="1" s="1"/>
  <c r="Q1775" i="1"/>
  <c r="Q1583" i="1"/>
  <c r="W1583" i="1" a="1"/>
  <c r="W1583" i="1" s="1"/>
  <c r="X1583" i="1" s="1"/>
  <c r="Q1182" i="1"/>
  <c r="W1182" i="1" a="1"/>
  <c r="W1182" i="1" s="1"/>
  <c r="X1182" i="1" s="1"/>
  <c r="W1812" i="1" a="1"/>
  <c r="W1812" i="1" s="1"/>
  <c r="X1812" i="1" s="1"/>
  <c r="Q1812" i="1"/>
  <c r="Q1352" i="1"/>
  <c r="W1352" i="1" a="1"/>
  <c r="W1352" i="1" s="1"/>
  <c r="X1352" i="1" s="1"/>
  <c r="W1323" i="1" a="1"/>
  <c r="W1323" i="1" s="1"/>
  <c r="X1323" i="1" s="1"/>
  <c r="Q1323" i="1"/>
  <c r="W570" i="1" l="1" a="1"/>
  <c r="W570" i="1" s="1"/>
  <c r="X570" i="1" s="1"/>
  <c r="Q570" i="1"/>
  <c r="Q307" i="1"/>
  <c r="W307" i="1" a="1"/>
  <c r="W307" i="1" s="1"/>
  <c r="X307" i="1" s="1"/>
  <c r="W1346" i="1" a="1"/>
  <c r="W1346" i="1" s="1"/>
  <c r="X1346" i="1" s="1"/>
  <c r="Q1346" i="1"/>
  <c r="Q929" i="1"/>
  <c r="W929" i="1" a="1"/>
  <c r="W929" i="1" s="1"/>
  <c r="X929" i="1" s="1"/>
  <c r="Q566" i="1"/>
  <c r="W566" i="1" a="1"/>
  <c r="W566" i="1" s="1"/>
  <c r="X566" i="1" s="1"/>
  <c r="W1609" i="1" a="1"/>
  <c r="W1609" i="1" s="1"/>
  <c r="X1609" i="1" s="1"/>
  <c r="Q1609" i="1"/>
  <c r="W1753" i="1" a="1"/>
  <c r="W1753" i="1" s="1"/>
  <c r="X1753" i="1" s="1"/>
  <c r="Q1753" i="1"/>
  <c r="Q225" i="1"/>
  <c r="W225" i="1" a="1"/>
  <c r="W225" i="1" s="1"/>
  <c r="X225" i="1" s="1"/>
  <c r="Q477" i="1"/>
  <c r="W477" i="1" a="1"/>
  <c r="W477" i="1" s="1"/>
  <c r="X477" i="1" s="1"/>
  <c r="Q298" i="1"/>
  <c r="W298" i="1" a="1"/>
  <c r="W298" i="1" s="1"/>
  <c r="X298" i="1" s="1"/>
  <c r="W671" i="1" a="1"/>
  <c r="W671" i="1" s="1"/>
  <c r="X671" i="1" s="1"/>
  <c r="Q671" i="1"/>
  <c r="Q1458" i="1"/>
  <c r="W1458" i="1" a="1"/>
  <c r="W1458" i="1" s="1"/>
  <c r="X1458" i="1" s="1"/>
  <c r="Q922" i="1"/>
  <c r="W922" i="1" a="1"/>
  <c r="W922" i="1" s="1"/>
  <c r="X922" i="1" s="1"/>
  <c r="W592" i="1" a="1"/>
  <c r="W592" i="1" s="1"/>
  <c r="X592" i="1" s="1"/>
  <c r="Q592" i="1"/>
  <c r="W1810" i="1" a="1"/>
  <c r="W1810" i="1" s="1"/>
  <c r="X1810" i="1" s="1"/>
  <c r="Q1810" i="1"/>
  <c r="Q1898" i="1"/>
  <c r="W1898" i="1" a="1"/>
  <c r="W1898" i="1" s="1"/>
  <c r="X1898" i="1" s="1"/>
  <c r="W1738" i="1" a="1"/>
  <c r="W1738" i="1" s="1"/>
  <c r="X1738" i="1" s="1"/>
  <c r="Q1738" i="1"/>
  <c r="W2032" i="1" a="1"/>
  <c r="W2032" i="1" s="1"/>
  <c r="X2032" i="1" s="1"/>
  <c r="Q2032" i="1"/>
  <c r="W1146" i="1" a="1"/>
  <c r="W1146" i="1" s="1"/>
  <c r="X1146" i="1" s="1"/>
  <c r="Q1146" i="1"/>
  <c r="W1115" i="1" a="1"/>
  <c r="W1115" i="1" s="1"/>
  <c r="X1115" i="1" s="1"/>
  <c r="Q1115" i="1"/>
  <c r="W1045" i="1" a="1"/>
  <c r="W1045" i="1" s="1"/>
  <c r="X1045" i="1" s="1"/>
  <c r="Q1045" i="1"/>
  <c r="Q568" i="1"/>
  <c r="W568" i="1" a="1"/>
  <c r="W568" i="1" s="1"/>
  <c r="X568" i="1" s="1"/>
  <c r="Q319" i="1"/>
  <c r="W319" i="1" a="1"/>
  <c r="W319" i="1" s="1"/>
  <c r="X319" i="1" s="1"/>
  <c r="Q965" i="1"/>
  <c r="W965" i="1" a="1"/>
  <c r="W965" i="1" s="1"/>
  <c r="X965" i="1" s="1"/>
  <c r="Q199" i="1"/>
  <c r="W199" i="1" a="1"/>
  <c r="W199" i="1" s="1"/>
  <c r="X199" i="1" s="1"/>
  <c r="W1142" i="1" a="1"/>
  <c r="W1142" i="1" s="1"/>
  <c r="X1142" i="1" s="1"/>
  <c r="Q1142" i="1"/>
  <c r="W1226" i="1" a="1"/>
  <c r="W1226" i="1" s="1"/>
  <c r="X1226" i="1" s="1"/>
  <c r="Q1226" i="1"/>
  <c r="W945" i="1" a="1"/>
  <c r="W945" i="1" s="1"/>
  <c r="X945" i="1" s="1"/>
  <c r="Q945" i="1"/>
  <c r="Q1909" i="1"/>
  <c r="W1909" i="1" a="1"/>
  <c r="W1909" i="1" s="1"/>
  <c r="X1909" i="1" s="1"/>
  <c r="W670" i="1" a="1"/>
  <c r="W670" i="1" s="1"/>
  <c r="X670" i="1" s="1"/>
  <c r="Q670" i="1"/>
  <c r="W1440" i="1" a="1"/>
  <c r="W1440" i="1" s="1"/>
  <c r="X1440" i="1" s="1"/>
  <c r="Q1440" i="1"/>
  <c r="W1053" i="1" a="1"/>
  <c r="W1053" i="1" s="1"/>
  <c r="X1053" i="1" s="1"/>
  <c r="Q1053" i="1"/>
  <c r="Q384" i="1"/>
  <c r="W384" i="1" a="1"/>
  <c r="W384" i="1" s="1"/>
  <c r="X384" i="1" s="1"/>
  <c r="Q1253" i="1"/>
  <c r="W1253" i="1" a="1"/>
  <c r="W1253" i="1" s="1"/>
  <c r="X1253" i="1" s="1"/>
  <c r="Q215" i="1"/>
  <c r="W215" i="1" a="1"/>
  <c r="W215" i="1" s="1"/>
  <c r="X215" i="1" s="1"/>
  <c r="W1448" i="1" a="1"/>
  <c r="W1448" i="1" s="1"/>
  <c r="X1448" i="1" s="1"/>
  <c r="Q1448" i="1"/>
  <c r="W1255" i="1" a="1"/>
  <c r="W1255" i="1" s="1"/>
  <c r="X1255" i="1" s="1"/>
  <c r="Q1255" i="1"/>
  <c r="W327" i="1" a="1"/>
  <c r="W327" i="1" s="1"/>
  <c r="X327" i="1" s="1"/>
  <c r="Q327" i="1"/>
  <c r="W310" i="1" a="1"/>
  <c r="W310" i="1" s="1"/>
  <c r="X310" i="1" s="1"/>
  <c r="Q310" i="1"/>
  <c r="Q1305" i="1"/>
  <c r="W1305" i="1" a="1"/>
  <c r="W1305" i="1" s="1"/>
  <c r="X1305" i="1" s="1"/>
  <c r="W1037" i="1" a="1"/>
  <c r="W1037" i="1" s="1"/>
  <c r="X1037" i="1" s="1"/>
  <c r="Q1037" i="1"/>
  <c r="W301" i="1" a="1"/>
  <c r="W301" i="1" s="1"/>
  <c r="X301" i="1" s="1"/>
  <c r="Q301" i="1"/>
  <c r="Q189" i="1"/>
  <c r="W189" i="1" a="1"/>
  <c r="W189" i="1" s="1"/>
  <c r="X189" i="1" s="1"/>
  <c r="W563" i="1" a="1"/>
  <c r="W563" i="1" s="1"/>
  <c r="X563" i="1" s="1"/>
  <c r="Q563" i="1"/>
  <c r="W652" i="1" a="1"/>
  <c r="W652" i="1" s="1"/>
  <c r="X652" i="1" s="1"/>
  <c r="Q652" i="1"/>
  <c r="Q877" i="1"/>
  <c r="W877" i="1" a="1"/>
  <c r="W877" i="1" s="1"/>
  <c r="X877" i="1" s="1"/>
  <c r="Q676" i="1"/>
  <c r="W676" i="1" a="1"/>
  <c r="W676" i="1" s="1"/>
  <c r="X676" i="1" s="1"/>
  <c r="W926" i="1" a="1"/>
  <c r="W926" i="1" s="1"/>
  <c r="X926" i="1" s="1"/>
  <c r="Q926" i="1"/>
  <c r="W1319" i="1" a="1"/>
  <c r="W1319" i="1" s="1"/>
  <c r="X1319" i="1" s="1"/>
  <c r="Q1319" i="1"/>
  <c r="W856" i="1" a="1"/>
  <c r="W856" i="1" s="1"/>
  <c r="X856" i="1" s="1"/>
  <c r="Q856" i="1"/>
  <c r="Q932" i="1"/>
  <c r="W932" i="1" a="1"/>
  <c r="W932" i="1" s="1"/>
  <c r="X932" i="1" s="1"/>
  <c r="Q571" i="1"/>
  <c r="W571" i="1" a="1"/>
  <c r="W571" i="1" s="1"/>
  <c r="X571" i="1" s="1"/>
  <c r="W474" i="1" a="1"/>
  <c r="W474" i="1" s="1"/>
  <c r="X474" i="1" s="1"/>
  <c r="Q474" i="1"/>
  <c r="W1755" i="1" a="1"/>
  <c r="W1755" i="1" s="1"/>
  <c r="X1755" i="1" s="1"/>
  <c r="Q1755" i="1"/>
  <c r="W1335" i="1" a="1"/>
  <c r="W1335" i="1" s="1"/>
  <c r="X1335" i="1" s="1"/>
  <c r="Q1335" i="1"/>
  <c r="Q1521" i="1"/>
  <c r="W1521" i="1" a="1"/>
  <c r="W1521" i="1" s="1"/>
  <c r="X1521" i="1" s="1"/>
  <c r="Q1537" i="1"/>
  <c r="W1537" i="1" a="1"/>
  <c r="W1537" i="1" s="1"/>
  <c r="X1537" i="1" s="1"/>
  <c r="W695" i="1" a="1"/>
  <c r="W695" i="1" s="1"/>
  <c r="X695" i="1" s="1"/>
  <c r="Q695" i="1"/>
  <c r="Q467" i="1"/>
  <c r="W467" i="1" a="1"/>
  <c r="W467" i="1" s="1"/>
  <c r="X467" i="1" s="1"/>
  <c r="Q1542" i="1"/>
  <c r="W1542" i="1" a="1"/>
  <c r="W1542" i="1" s="1"/>
  <c r="X1542" i="1" s="1"/>
  <c r="W1162" i="1" a="1"/>
  <c r="W1162" i="1" s="1"/>
  <c r="X1162" i="1" s="1"/>
  <c r="Q1162" i="1"/>
  <c r="Q585" i="1"/>
  <c r="W585" i="1" a="1"/>
  <c r="W585" i="1" s="1"/>
  <c r="X585" i="1" s="1"/>
  <c r="W594" i="1" a="1"/>
  <c r="W594" i="1" s="1"/>
  <c r="X594" i="1" s="1"/>
  <c r="Q594" i="1"/>
  <c r="Q1463" i="1"/>
  <c r="W1463" i="1" a="1"/>
  <c r="W1463" i="1" s="1"/>
  <c r="X1463" i="1" s="1"/>
  <c r="Q917" i="1"/>
  <c r="W917" i="1" a="1"/>
  <c r="W917" i="1" s="1"/>
  <c r="X917" i="1" s="1"/>
  <c r="Q1049" i="1"/>
  <c r="W1049" i="1" a="1"/>
  <c r="W1049" i="1" s="1"/>
  <c r="X1049" i="1" s="1"/>
  <c r="Q1268" i="1"/>
  <c r="W1268" i="1" a="1"/>
  <c r="W1268" i="1" s="1"/>
  <c r="X1268" i="1" s="1"/>
  <c r="Q422" i="1"/>
  <c r="W422" i="1" a="1"/>
  <c r="W422" i="1" s="1"/>
  <c r="X422" i="1" s="1"/>
  <c r="Q1261" i="1"/>
  <c r="W1261" i="1" a="1"/>
  <c r="W1261" i="1" s="1"/>
  <c r="X1261" i="1" s="1"/>
  <c r="Q1031" i="1"/>
  <c r="W1031" i="1" a="1"/>
  <c r="W1031" i="1" s="1"/>
  <c r="X1031" i="1" s="1"/>
  <c r="Q1293" i="1"/>
  <c r="W1293" i="1" a="1"/>
  <c r="W1293" i="1" s="1"/>
  <c r="X1293" i="1" s="1"/>
  <c r="W842" i="1" a="1"/>
  <c r="W842" i="1" s="1"/>
  <c r="X842" i="1" s="1"/>
  <c r="Q842" i="1"/>
  <c r="W1321" i="1" a="1"/>
  <c r="W1321" i="1" s="1"/>
  <c r="X1321" i="1" s="1"/>
  <c r="Q1321" i="1"/>
  <c r="Q565" i="1"/>
  <c r="W565" i="1" a="1"/>
  <c r="W565" i="1" s="1"/>
  <c r="X565" i="1" s="1"/>
  <c r="W588" i="1" a="1"/>
  <c r="W588" i="1" s="1"/>
  <c r="X588" i="1" s="1"/>
  <c r="Q588" i="1"/>
  <c r="W1355" i="1" a="1"/>
  <c r="W1355" i="1" s="1"/>
  <c r="X1355" i="1" s="1"/>
  <c r="Q1355" i="1"/>
  <c r="Q1907" i="1"/>
  <c r="W1907" i="1" a="1"/>
  <c r="W1907" i="1" s="1"/>
  <c r="X1907" i="1" s="1"/>
  <c r="Q587" i="1"/>
  <c r="W587" i="1" a="1"/>
  <c r="W587" i="1" s="1"/>
  <c r="X587" i="1" s="1"/>
  <c r="Q299" i="1"/>
  <c r="W299" i="1" a="1"/>
  <c r="W299" i="1" s="1"/>
  <c r="X299" i="1" s="1"/>
  <c r="Q2041" i="1"/>
  <c r="W2041" i="1" a="1"/>
  <c r="W2041" i="1" s="1"/>
  <c r="X2041" i="1" s="1"/>
  <c r="W646" i="1" a="1"/>
  <c r="W646" i="1" s="1"/>
  <c r="X646" i="1" s="1"/>
  <c r="Q646" i="1"/>
  <c r="W305" i="1" a="1"/>
  <c r="W305" i="1" s="1"/>
  <c r="X305" i="1" s="1"/>
  <c r="Q305" i="1"/>
  <c r="Q1571" i="1"/>
  <c r="W1571" i="1" a="1"/>
  <c r="W1571" i="1" s="1"/>
  <c r="X1571" i="1" s="1"/>
  <c r="W954" i="1" a="1"/>
  <c r="W954" i="1" s="1"/>
  <c r="X954" i="1" s="1"/>
  <c r="Q954" i="1"/>
  <c r="W698" i="1" a="1"/>
  <c r="W698" i="1" s="1"/>
  <c r="X698" i="1" s="1"/>
  <c r="Q698" i="1"/>
  <c r="W828" i="1" a="1"/>
  <c r="W828" i="1" s="1"/>
  <c r="X828" i="1" s="1"/>
  <c r="Q828" i="1"/>
  <c r="Q1508" i="1"/>
  <c r="W1508" i="1" a="1"/>
  <c r="W1508" i="1" s="1"/>
  <c r="X1508" i="1" s="1"/>
  <c r="Q1545" i="1"/>
  <c r="W1545" i="1" a="1"/>
  <c r="W1545" i="1" s="1"/>
  <c r="X1545" i="1" s="1"/>
  <c r="W591" i="1" a="1"/>
  <c r="W591" i="1" s="1"/>
  <c r="X591" i="1" s="1"/>
  <c r="Q591" i="1"/>
  <c r="W504" i="1" a="1"/>
  <c r="W504" i="1" s="1"/>
  <c r="X504" i="1" s="1"/>
  <c r="Q504" i="1"/>
  <c r="W1543" i="1" a="1"/>
  <c r="W1543" i="1" s="1"/>
  <c r="X1543" i="1" s="1"/>
  <c r="Q1543" i="1"/>
  <c r="W586" i="1" a="1"/>
  <c r="W586" i="1" s="1"/>
  <c r="X586" i="1" s="1"/>
  <c r="Q586" i="1"/>
  <c r="W839" i="1" a="1"/>
  <c r="W839" i="1" s="1"/>
  <c r="X839" i="1" s="1"/>
  <c r="Q839" i="1"/>
  <c r="Q1530" i="1"/>
  <c r="W1530" i="1" a="1"/>
  <c r="W1530" i="1" s="1"/>
  <c r="X1530" i="1" s="1"/>
  <c r="Q1260" i="1"/>
  <c r="W1260" i="1" a="1"/>
  <c r="W1260" i="1" s="1"/>
  <c r="X1260" i="1" s="1"/>
  <c r="Q647" i="1"/>
  <c r="W647" i="1" a="1"/>
  <c r="W647" i="1" s="1"/>
  <c r="X647" i="1" s="1"/>
  <c r="W1127" i="1" a="1"/>
  <c r="W1127" i="1" s="1"/>
  <c r="X1127" i="1" s="1"/>
  <c r="Q1127" i="1"/>
  <c r="W245" i="1" a="1"/>
  <c r="W245" i="1" s="1"/>
  <c r="X245" i="1" s="1"/>
  <c r="Q245" i="1"/>
  <c r="Q1746" i="1"/>
  <c r="W1746" i="1" a="1"/>
  <c r="W1746" i="1" s="1"/>
  <c r="X1746" i="1" s="1"/>
  <c r="W1456" i="1" a="1"/>
  <c r="W1456" i="1" s="1"/>
  <c r="X1456" i="1" s="1"/>
  <c r="Q1456" i="1"/>
  <c r="Q1320" i="1"/>
  <c r="W1320" i="1" a="1"/>
  <c r="W1320" i="1" s="1"/>
  <c r="X1320" i="1" s="1"/>
  <c r="W1263" i="1" a="1"/>
  <c r="W1263" i="1" s="1"/>
  <c r="X1263" i="1" s="1"/>
  <c r="Q1263" i="1"/>
  <c r="Q868" i="1"/>
  <c r="W868" i="1" a="1"/>
  <c r="W868" i="1" s="1"/>
  <c r="X868" i="1" s="1"/>
  <c r="Q1446" i="1"/>
  <c r="W1446" i="1" a="1"/>
  <c r="W1446" i="1" s="1"/>
  <c r="X1446" i="1" s="1"/>
  <c r="Q1281" i="1"/>
  <c r="W1281" i="1" a="1"/>
  <c r="W1281" i="1" s="1"/>
  <c r="X1281" i="1" s="1"/>
  <c r="Q1273" i="1"/>
  <c r="W1273" i="1" a="1"/>
  <c r="W1273" i="1" s="1"/>
  <c r="X1273" i="1" s="1"/>
  <c r="W641" i="1" a="1"/>
  <c r="W641" i="1" s="1"/>
  <c r="X641" i="1" s="1"/>
  <c r="Q641" i="1"/>
  <c r="W950" i="1" a="1"/>
  <c r="W950" i="1" s="1"/>
  <c r="X950" i="1" s="1"/>
  <c r="Q950" i="1"/>
  <c r="W489" i="1" a="1"/>
  <c r="W489" i="1" s="1"/>
  <c r="X489" i="1" s="1"/>
  <c r="Q489" i="1"/>
  <c r="Q382" i="1"/>
  <c r="W382" i="1" a="1"/>
  <c r="W382" i="1" s="1"/>
  <c r="X382" i="1" s="1"/>
  <c r="Q1254" i="1"/>
  <c r="W1254" i="1" a="1"/>
  <c r="W1254" i="1" s="1"/>
  <c r="X1254" i="1" s="1"/>
  <c r="W661" i="1" a="1"/>
  <c r="W661" i="1" s="1"/>
  <c r="X661" i="1" s="1"/>
  <c r="Q661" i="1"/>
  <c r="W176" i="1" a="1"/>
  <c r="W176" i="1" s="1"/>
  <c r="X176" i="1" s="1"/>
  <c r="Q176" i="1"/>
  <c r="W304" i="1" a="1"/>
  <c r="W304" i="1" s="1"/>
  <c r="X304" i="1" s="1"/>
  <c r="Q304" i="1"/>
  <c r="W569" i="1" a="1"/>
  <c r="W569" i="1" s="1"/>
  <c r="X569" i="1" s="1"/>
  <c r="Q569" i="1"/>
  <c r="W338" i="1" a="1"/>
  <c r="W338" i="1" s="1"/>
  <c r="X338" i="1" s="1"/>
  <c r="Q338" i="1"/>
  <c r="W1271" i="1" a="1"/>
  <c r="W1271" i="1" s="1"/>
  <c r="X1271" i="1" s="1"/>
  <c r="Q1271" i="1"/>
  <c r="W1455" i="1" a="1"/>
  <c r="W1455" i="1" s="1"/>
  <c r="X1455" i="1" s="1"/>
  <c r="Q1455" i="1"/>
  <c r="Q1608" i="1"/>
  <c r="W1608" i="1" a="1"/>
  <c r="W1608" i="1" s="1"/>
  <c r="X1608" i="1" s="1"/>
  <c r="W329" i="1" a="1"/>
  <c r="W329" i="1" s="1"/>
  <c r="X329" i="1" s="1"/>
  <c r="Q329" i="1"/>
  <c r="W919" i="1" a="1"/>
  <c r="W919" i="1" s="1"/>
  <c r="X919" i="1" s="1"/>
  <c r="Q919" i="1"/>
  <c r="W484" i="1" a="1"/>
  <c r="W484" i="1" s="1"/>
  <c r="X484" i="1" s="1"/>
  <c r="Q484" i="1"/>
  <c r="Q581" i="1"/>
  <c r="W581" i="1" a="1"/>
  <c r="W581" i="1" s="1"/>
  <c r="X581" i="1" s="1"/>
  <c r="W488" i="1" a="1"/>
  <c r="W488" i="1" s="1"/>
  <c r="X488" i="1" s="1"/>
  <c r="Q488" i="1"/>
  <c r="W1313" i="1" a="1"/>
  <c r="W1313" i="1" s="1"/>
  <c r="X1313" i="1" s="1"/>
  <c r="Q1313" i="1"/>
  <c r="Q1266" i="1"/>
  <c r="W1266" i="1" a="1"/>
  <c r="W1266" i="1" s="1"/>
  <c r="X1266" i="1" s="1"/>
  <c r="Q560" i="1"/>
  <c r="W560" i="1" a="1"/>
  <c r="W560" i="1" s="1"/>
  <c r="X560" i="1" s="1"/>
  <c r="Q1978" i="1"/>
  <c r="W1978" i="1" a="1"/>
  <c r="W1978" i="1" s="1"/>
  <c r="X1978" i="1" s="1"/>
  <c r="Q1737" i="1"/>
  <c r="W1737" i="1" a="1"/>
  <c r="W1737" i="1" s="1"/>
  <c r="X1737" i="1" s="1"/>
  <c r="W946" i="1" a="1"/>
  <c r="W946" i="1" s="1"/>
  <c r="X946" i="1" s="1"/>
  <c r="Q946" i="1"/>
  <c r="W648" i="1" a="1"/>
  <c r="W648" i="1" s="1"/>
  <c r="X648" i="1" s="1"/>
  <c r="Q648" i="1"/>
  <c r="Q292" i="1"/>
  <c r="W292" i="1" a="1"/>
  <c r="W292" i="1" s="1"/>
  <c r="X292" i="1" s="1"/>
  <c r="Q314" i="1"/>
  <c r="W314" i="1" a="1"/>
  <c r="W314" i="1" s="1"/>
  <c r="X314" i="1" s="1"/>
  <c r="Q841" i="1"/>
  <c r="W841" i="1" a="1"/>
  <c r="W841" i="1" s="1"/>
  <c r="X841" i="1" s="1"/>
  <c r="W677" i="1" a="1"/>
  <c r="W677" i="1" s="1"/>
  <c r="X677" i="1" s="1"/>
  <c r="Q677" i="1"/>
  <c r="Q1447" i="1"/>
  <c r="W1447" i="1" a="1"/>
  <c r="W1447" i="1" s="1"/>
  <c r="X1447" i="1" s="1"/>
  <c r="W326" i="1" a="1"/>
  <c r="W326" i="1" s="1"/>
  <c r="X326" i="1" s="1"/>
  <c r="Q326" i="1"/>
  <c r="W1252" i="1" a="1"/>
  <c r="W1252" i="1" s="1"/>
  <c r="X1252" i="1" s="1"/>
  <c r="Q1252" i="1"/>
  <c r="W1450" i="1" a="1"/>
  <c r="W1450" i="1" s="1"/>
  <c r="X1450" i="1" s="1"/>
  <c r="Q1450" i="1"/>
  <c r="W855" i="1" a="1"/>
  <c r="W855" i="1" s="1"/>
  <c r="X855" i="1" s="1"/>
  <c r="Q855" i="1"/>
  <c r="W579" i="1" a="1"/>
  <c r="W579" i="1" s="1"/>
  <c r="X579" i="1" s="1"/>
  <c r="Q579" i="1"/>
  <c r="W303" i="1" a="1"/>
  <c r="W303" i="1" s="1"/>
  <c r="X303" i="1" s="1"/>
  <c r="Q303" i="1"/>
  <c r="Q925" i="1"/>
  <c r="W925" i="1" a="1"/>
  <c r="W925" i="1" s="1"/>
  <c r="X925" i="1" s="1"/>
  <c r="Q959" i="1"/>
  <c r="W959" i="1" a="1"/>
  <c r="W959" i="1" s="1"/>
  <c r="X959" i="1" s="1"/>
  <c r="Q561" i="1"/>
  <c r="W561" i="1" a="1"/>
  <c r="W561" i="1" s="1"/>
  <c r="X561" i="1" s="1"/>
  <c r="Q1529" i="1"/>
  <c r="W1529" i="1" a="1"/>
  <c r="W1529" i="1" s="1"/>
  <c r="X1529" i="1" s="1"/>
  <c r="W691" i="1" a="1"/>
  <c r="W691" i="1" s="1"/>
  <c r="X691" i="1" s="1"/>
  <c r="Q691" i="1"/>
  <c r="Q575" i="1"/>
  <c r="W575" i="1" a="1"/>
  <c r="W575" i="1" s="1"/>
  <c r="X575" i="1" s="1"/>
  <c r="Q968" i="1"/>
  <c r="W968" i="1" a="1"/>
  <c r="W968" i="1" s="1"/>
  <c r="X968" i="1" s="1"/>
  <c r="W953" i="1" a="1"/>
  <c r="W953" i="1" s="1"/>
  <c r="X953" i="1" s="1"/>
  <c r="Q953" i="1"/>
  <c r="Q201" i="1"/>
  <c r="W201" i="1" a="1"/>
  <c r="W201" i="1" s="1"/>
  <c r="X201" i="1" s="1"/>
  <c r="W1743" i="1" a="1"/>
  <c r="W1743" i="1" s="1"/>
  <c r="X1743" i="1" s="1"/>
  <c r="Q1743" i="1"/>
  <c r="W955" i="1" a="1"/>
  <c r="W955" i="1" s="1"/>
  <c r="X955" i="1" s="1"/>
  <c r="Q955" i="1"/>
  <c r="W2009" i="1" a="1"/>
  <c r="W2009" i="1" s="1"/>
  <c r="X2009" i="1" s="1"/>
  <c r="Q2009" i="1"/>
  <c r="W572" i="1" a="1"/>
  <c r="W572" i="1" s="1"/>
  <c r="X572" i="1" s="1"/>
  <c r="Q572" i="1"/>
  <c r="W1411" i="1" a="1"/>
  <c r="W1411" i="1" s="1"/>
  <c r="X1411" i="1" s="1"/>
  <c r="Q1411" i="1"/>
  <c r="W1459" i="1" a="1"/>
  <c r="W1459" i="1" s="1"/>
  <c r="X1459" i="1" s="1"/>
  <c r="Q1459" i="1"/>
  <c r="Q1228" i="1"/>
  <c r="W1228" i="1" a="1"/>
  <c r="W1228" i="1" s="1"/>
  <c r="X1228" i="1" s="1"/>
  <c r="W1823" i="1" a="1"/>
  <c r="W1823" i="1" s="1"/>
  <c r="X1823" i="1" s="1"/>
  <c r="Q1823" i="1"/>
  <c r="W2029" i="1" a="1"/>
  <c r="W2029" i="1" s="1"/>
  <c r="X2029" i="1" s="1"/>
  <c r="Q2029" i="1"/>
  <c r="W675" i="1" a="1"/>
  <c r="W675" i="1" s="1"/>
  <c r="X675" i="1" s="1"/>
  <c r="Q675" i="1"/>
  <c r="W1809" i="1" a="1"/>
  <c r="W1809" i="1" s="1"/>
  <c r="X1809" i="1" s="1"/>
  <c r="Q1809" i="1"/>
  <c r="T29" i="7"/>
  <c r="W580" i="1" a="1"/>
  <c r="W580" i="1" s="1"/>
  <c r="X580" i="1" s="1"/>
  <c r="Q580" i="1"/>
  <c r="W638" i="1" a="1"/>
  <c r="W638" i="1" s="1"/>
  <c r="X638" i="1" s="1"/>
  <c r="Q638" i="1"/>
  <c r="Q373" i="1"/>
  <c r="W373" i="1" a="1"/>
  <c r="W373" i="1" s="1"/>
  <c r="X373" i="1" s="1"/>
  <c r="W1461" i="1" a="1"/>
  <c r="W1461" i="1" s="1"/>
  <c r="X1461" i="1" s="1"/>
  <c r="Q1461" i="1"/>
  <c r="W1309" i="1" a="1"/>
  <c r="W1309" i="1" s="1"/>
  <c r="X1309" i="1" s="1"/>
  <c r="Q1309" i="1"/>
  <c r="W2021" i="1" a="1"/>
  <c r="W2021" i="1" s="1"/>
  <c r="X2021" i="1" s="1"/>
  <c r="Q2021" i="1"/>
  <c r="W725" i="1" a="1"/>
  <c r="W725" i="1" s="1"/>
  <c r="X725" i="1" s="1"/>
  <c r="Q725" i="1"/>
  <c r="Q928" i="1"/>
  <c r="W928" i="1" a="1"/>
  <c r="W928" i="1" s="1"/>
  <c r="X928" i="1" s="1"/>
  <c r="W879" i="1" a="1"/>
  <c r="W879" i="1" s="1"/>
  <c r="X879" i="1" s="1"/>
  <c r="Q879" i="1"/>
  <c r="W1958" i="1" a="1"/>
  <c r="W1958" i="1" s="1"/>
  <c r="X1958" i="1" s="1"/>
  <c r="Q1958" i="1"/>
  <c r="W685" i="1" a="1"/>
  <c r="W685" i="1" s="1"/>
  <c r="X685" i="1" s="1"/>
  <c r="Q685" i="1"/>
  <c r="W576" i="1" a="1"/>
  <c r="W576" i="1" s="1"/>
  <c r="X576" i="1" s="1"/>
  <c r="Q576" i="1"/>
  <c r="W1048" i="1" a="1"/>
  <c r="W1048" i="1" s="1"/>
  <c r="X1048" i="1" s="1"/>
  <c r="Q1048" i="1"/>
  <c r="Q762" i="1"/>
  <c r="W762" i="1" a="1"/>
  <c r="W762" i="1" s="1"/>
  <c r="X762" i="1" s="1"/>
  <c r="Q835" i="1"/>
  <c r="W835" i="1" a="1"/>
  <c r="W835" i="1" s="1"/>
  <c r="X835" i="1" s="1"/>
  <c r="Q1460" i="1"/>
  <c r="W1460" i="1" a="1"/>
  <c r="W1460" i="1" s="1"/>
  <c r="X1460" i="1" s="1"/>
  <c r="Q478" i="1"/>
  <c r="W478" i="1" a="1"/>
  <c r="W478" i="1" s="1"/>
  <c r="X478" i="1" s="1"/>
  <c r="W222" i="1" a="1"/>
  <c r="W222" i="1" s="1"/>
  <c r="X222" i="1" s="1"/>
  <c r="Q222" i="1"/>
  <c r="W1035" i="1" a="1"/>
  <c r="W1035" i="1" s="1"/>
  <c r="X1035" i="1" s="1"/>
  <c r="Q1035" i="1"/>
  <c r="W1233" i="1" a="1"/>
  <c r="W1233" i="1" s="1"/>
  <c r="X1233" i="1" s="1"/>
  <c r="Q1233" i="1"/>
  <c r="Q2019" i="1"/>
  <c r="W2019" i="1" a="1"/>
  <c r="W2019" i="1" s="1"/>
  <c r="X2019" i="1" s="1"/>
  <c r="W639" i="1" a="1"/>
  <c r="W639" i="1" s="1"/>
  <c r="X639" i="1" s="1"/>
  <c r="Q639" i="1"/>
  <c r="W1351" i="1" a="1"/>
  <c r="W1351" i="1" s="1"/>
  <c r="X1351" i="1" s="1"/>
  <c r="Q1351" i="1"/>
  <c r="W336" i="1" a="1"/>
  <c r="W336" i="1" s="1"/>
  <c r="X336" i="1" s="1"/>
  <c r="Q336" i="1"/>
  <c r="W1451" i="1" a="1"/>
  <c r="W1451" i="1" s="1"/>
  <c r="X1451" i="1" s="1"/>
  <c r="Q1451" i="1"/>
  <c r="W302" i="1" a="1"/>
  <c r="W302" i="1" s="1"/>
  <c r="X302" i="1" s="1"/>
  <c r="Q302" i="1"/>
  <c r="W595" i="1" a="1"/>
  <c r="W595" i="1" s="1"/>
  <c r="X595" i="1" s="1"/>
  <c r="Q595" i="1"/>
  <c r="W1593" i="1" a="1"/>
  <c r="W1593" i="1" s="1"/>
  <c r="X1593" i="1" s="1"/>
  <c r="Q1593" i="1"/>
  <c r="W590" i="1" a="1"/>
  <c r="W590" i="1" s="1"/>
  <c r="X590" i="1" s="1"/>
  <c r="Q590" i="1"/>
  <c r="Q853" i="1"/>
  <c r="W853" i="1" a="1"/>
  <c r="W853" i="1" s="1"/>
  <c r="X853" i="1" s="1"/>
  <c r="W470" i="1" a="1"/>
  <c r="W470" i="1" s="1"/>
  <c r="X470" i="1" s="1"/>
  <c r="Q470" i="1"/>
  <c r="W1531" i="1" a="1"/>
  <c r="W1531" i="1" s="1"/>
  <c r="X1531" i="1" s="1"/>
  <c r="Q1531" i="1"/>
  <c r="W832" i="1" a="1"/>
  <c r="W832" i="1" s="1"/>
  <c r="X832" i="1" s="1"/>
  <c r="Q832" i="1"/>
  <c r="W419" i="1" a="1"/>
  <c r="W419" i="1" s="1"/>
  <c r="X419" i="1" s="1"/>
  <c r="Q419" i="1"/>
  <c r="W464" i="1" a="1"/>
  <c r="W464" i="1" s="1"/>
  <c r="X464" i="1" s="1"/>
  <c r="Q464" i="1"/>
  <c r="W465" i="1" a="1"/>
  <c r="W465" i="1" s="1"/>
  <c r="X465" i="1" s="1"/>
  <c r="Q465" i="1"/>
  <c r="W2039" i="1" a="1"/>
  <c r="W2039" i="1" s="1"/>
  <c r="X2039" i="1" s="1"/>
  <c r="Q2039" i="1"/>
  <c r="W1033" i="1" a="1"/>
  <c r="W1033" i="1" s="1"/>
  <c r="X1033" i="1" s="1"/>
  <c r="Q1033" i="1"/>
  <c r="W221" i="1" a="1"/>
  <c r="W221" i="1" s="1"/>
  <c r="X221" i="1" s="1"/>
  <c r="Q221" i="1"/>
  <c r="Q1356" i="1"/>
  <c r="W1356" i="1" a="1"/>
  <c r="W1356" i="1" s="1"/>
  <c r="X1356" i="1" s="1"/>
  <c r="W1492" i="1" a="1"/>
  <c r="W1492" i="1" s="1"/>
  <c r="X1492" i="1" s="1"/>
  <c r="Q1492" i="1"/>
  <c r="W1759" i="1" a="1"/>
  <c r="W1759" i="1" s="1"/>
  <c r="X1759" i="1" s="1"/>
  <c r="Q1759" i="1"/>
  <c r="W640" i="1" a="1"/>
  <c r="W640" i="1" s="1"/>
  <c r="X640" i="1" s="1"/>
  <c r="Q640" i="1"/>
  <c r="Q1347" i="1"/>
  <c r="W1347" i="1" a="1"/>
  <c r="W1347" i="1" s="1"/>
  <c r="X1347" i="1" s="1"/>
  <c r="W151" i="1" a="1"/>
  <c r="W151" i="1" s="1"/>
  <c r="X151" i="1" s="1"/>
  <c r="Q151" i="1"/>
  <c r="W1762" i="1" a="1"/>
  <c r="W1762" i="1" s="1"/>
  <c r="X1762" i="1" s="1"/>
  <c r="Q1762" i="1"/>
  <c r="Q1145" i="1"/>
  <c r="W1145" i="1" a="1"/>
  <c r="W1145" i="1" s="1"/>
  <c r="X1145" i="1" s="1"/>
  <c r="Q606" i="1"/>
  <c r="W606" i="1" a="1"/>
  <c r="W606" i="1" s="1"/>
  <c r="X606" i="1" s="1"/>
  <c r="Q1038" i="1"/>
  <c r="W1038" i="1" a="1"/>
  <c r="W1038" i="1" s="1"/>
  <c r="X1038" i="1" s="1"/>
  <c r="Q848" i="1"/>
  <c r="W848" i="1" a="1"/>
  <c r="W848" i="1" s="1"/>
  <c r="X848" i="1" s="1"/>
  <c r="Q1390" i="1"/>
  <c r="W1390" i="1" a="1"/>
  <c r="W1390" i="1" s="1"/>
  <c r="X1390" i="1" s="1"/>
  <c r="Q1133" i="1"/>
  <c r="W1133" i="1" a="1"/>
  <c r="W1133" i="1" s="1"/>
  <c r="X1133" i="1" s="1"/>
  <c r="W1278" i="1" a="1"/>
  <c r="W1278" i="1" s="1"/>
  <c r="X1278" i="1" s="1"/>
  <c r="Q1278" i="1"/>
  <c r="W1750" i="1" a="1"/>
  <c r="W1750" i="1" s="1"/>
  <c r="X1750" i="1" s="1"/>
  <c r="Q1750" i="1"/>
  <c r="Q1766" i="1"/>
  <c r="W1766" i="1" a="1"/>
  <c r="W1766" i="1" s="1"/>
  <c r="X1766" i="1" s="1"/>
  <c r="Q1452" i="1"/>
  <c r="W1452" i="1" a="1"/>
  <c r="W1452" i="1" s="1"/>
  <c r="X1452" i="1" s="1"/>
  <c r="W686" i="1" a="1"/>
  <c r="W686" i="1" s="1"/>
  <c r="X686" i="1" s="1"/>
  <c r="Q686" i="1"/>
  <c r="Q918" i="1"/>
  <c r="W918" i="1" a="1"/>
  <c r="W918" i="1" s="1"/>
  <c r="X918" i="1" s="1"/>
  <c r="W589" i="1" a="1"/>
  <c r="W589" i="1" s="1"/>
  <c r="X589" i="1" s="1"/>
  <c r="Q589" i="1"/>
  <c r="W862" i="1" a="1"/>
  <c r="W862" i="1" s="1"/>
  <c r="X862" i="1" s="1"/>
  <c r="Q862" i="1"/>
  <c r="Q681" i="1"/>
  <c r="W681" i="1" a="1"/>
  <c r="W681" i="1" s="1"/>
  <c r="X681" i="1" s="1"/>
  <c r="W1512" i="1" a="1"/>
  <c r="W1512" i="1" s="1"/>
  <c r="X1512" i="1" s="1"/>
  <c r="Q1512" i="1"/>
  <c r="Q645" i="1"/>
  <c r="W645" i="1" a="1"/>
  <c r="W645" i="1" s="1"/>
  <c r="X645" i="1" s="1"/>
  <c r="W258" i="1" a="1"/>
  <c r="W258" i="1" s="1"/>
  <c r="X258" i="1" s="1"/>
  <c r="Q258" i="1"/>
  <c r="Q1292" i="1"/>
  <c r="W1292" i="1" a="1"/>
  <c r="W1292" i="1" s="1"/>
  <c r="X1292" i="1" s="1"/>
  <c r="Q667" i="1"/>
  <c r="W667" i="1" a="1"/>
  <c r="W667" i="1" s="1"/>
  <c r="X667" i="1" s="1"/>
  <c r="W395" i="1" a="1"/>
  <c r="W395" i="1" s="1"/>
  <c r="X395" i="1" s="1"/>
  <c r="Q395" i="1"/>
  <c r="T59" i="7"/>
  <c r="W1175" i="1" a="1"/>
  <c r="W1175" i="1" s="1"/>
  <c r="X1175" i="1" s="1"/>
  <c r="Q1175" i="1"/>
  <c r="W616" i="1" a="1"/>
  <c r="W616" i="1" s="1"/>
  <c r="X616" i="1" s="1"/>
  <c r="Q616" i="1"/>
  <c r="Q753" i="1"/>
  <c r="W753" i="1" a="1"/>
  <c r="W753" i="1" s="1"/>
  <c r="X753" i="1" s="1"/>
  <c r="Q1986" i="1"/>
  <c r="W1986" i="1" a="1"/>
  <c r="W1986" i="1" s="1"/>
  <c r="X1986" i="1" s="1"/>
  <c r="W398" i="1" a="1"/>
  <c r="W398" i="1" s="1"/>
  <c r="X398" i="1" s="1"/>
  <c r="Q398" i="1"/>
  <c r="W1196" i="1" a="1"/>
  <c r="W1196" i="1" s="1"/>
  <c r="X1196" i="1" s="1"/>
  <c r="Q1196" i="1"/>
  <c r="W1191" i="1" a="1"/>
  <c r="W1191" i="1" s="1"/>
  <c r="X1191" i="1" s="1"/>
  <c r="Q1191" i="1"/>
  <c r="W1081" i="1" a="1"/>
  <c r="W1081" i="1" s="1"/>
  <c r="X1081" i="1" s="1"/>
  <c r="Q1081" i="1"/>
  <c r="W605" i="1" a="1"/>
  <c r="W605" i="1" s="1"/>
  <c r="X605" i="1" s="1"/>
  <c r="Q605" i="1"/>
  <c r="Q1741" i="1"/>
  <c r="W1741" i="1" a="1"/>
  <c r="W1741" i="1" s="1"/>
  <c r="X1741" i="1" s="1"/>
  <c r="W1372" i="1" a="1"/>
  <c r="W1372" i="1" s="1"/>
  <c r="X1372" i="1" s="1"/>
  <c r="Q1372" i="1"/>
  <c r="W1974" i="1" a="1"/>
  <c r="W1974" i="1" s="1"/>
  <c r="X1974" i="1" s="1"/>
  <c r="Q1974" i="1"/>
  <c r="W200" i="1" a="1"/>
  <c r="W200" i="1" s="1"/>
  <c r="X200" i="1" s="1"/>
  <c r="Q200" i="1"/>
  <c r="W463" i="1" a="1"/>
  <c r="W463" i="1" s="1"/>
  <c r="X463" i="1" s="1"/>
  <c r="Q463" i="1"/>
  <c r="W1524" i="1" a="1"/>
  <c r="W1524" i="1" s="1"/>
  <c r="X1524" i="1" s="1"/>
  <c r="Q1524" i="1"/>
  <c r="Q1843" i="1"/>
  <c r="W1843" i="1" a="1"/>
  <c r="W1843" i="1" s="1"/>
  <c r="X1843" i="1" s="1"/>
  <c r="W1940" i="1" a="1"/>
  <c r="W1940" i="1" s="1"/>
  <c r="X1940" i="1" s="1"/>
  <c r="Q1940" i="1"/>
  <c r="W271" i="1" a="1"/>
  <c r="W271" i="1" s="1"/>
  <c r="X271" i="1" s="1"/>
  <c r="Q271" i="1"/>
  <c r="W752" i="1" a="1"/>
  <c r="W752" i="1" s="1"/>
  <c r="X752" i="1" s="1"/>
  <c r="Q752" i="1"/>
  <c r="W1379" i="1" a="1"/>
  <c r="W1379" i="1" s="1"/>
  <c r="X1379" i="1" s="1"/>
  <c r="Q1379" i="1"/>
  <c r="W1574" i="1" a="1"/>
  <c r="W1574" i="1" s="1"/>
  <c r="X1574" i="1" s="1"/>
  <c r="Q1574" i="1"/>
  <c r="Q447" i="1"/>
  <c r="W447" i="1" a="1"/>
  <c r="W447" i="1" s="1"/>
  <c r="X447" i="1" s="1"/>
  <c r="W1964" i="1" a="1"/>
  <c r="W1964" i="1" s="1"/>
  <c r="X1964" i="1" s="1"/>
  <c r="Q1964" i="1"/>
  <c r="W886" i="1" a="1"/>
  <c r="W886" i="1" s="1"/>
  <c r="X886" i="1" s="1"/>
  <c r="Q886" i="1"/>
  <c r="W333" i="1" a="1"/>
  <c r="W333" i="1" s="1"/>
  <c r="X333" i="1" s="1"/>
  <c r="Q333" i="1"/>
  <c r="W1849" i="1" a="1"/>
  <c r="W1849" i="1" s="1"/>
  <c r="X1849" i="1" s="1"/>
  <c r="Q1849" i="1"/>
  <c r="Q1198" i="1"/>
  <c r="W1198" i="1" a="1"/>
  <c r="W1198" i="1" s="1"/>
  <c r="X1198" i="1" s="1"/>
  <c r="W600" i="1" a="1"/>
  <c r="W600" i="1" s="1"/>
  <c r="X600" i="1" s="1"/>
  <c r="Q600" i="1"/>
  <c r="W1262" i="1" a="1"/>
  <c r="W1262" i="1" s="1"/>
  <c r="X1262" i="1" s="1"/>
  <c r="Q1262" i="1"/>
  <c r="W1030" i="1" a="1"/>
  <c r="W1030" i="1" s="1"/>
  <c r="X1030" i="1" s="1"/>
  <c r="Q1030" i="1"/>
  <c r="W1080" i="1" a="1"/>
  <c r="W1080" i="1" s="1"/>
  <c r="X1080" i="1" s="1"/>
  <c r="Q1080" i="1"/>
  <c r="W328" i="1" a="1"/>
  <c r="W328" i="1" s="1"/>
  <c r="X328" i="1" s="1"/>
  <c r="Q328" i="1"/>
  <c r="W214" i="1" a="1"/>
  <c r="W214" i="1" s="1"/>
  <c r="X214" i="1" s="1"/>
  <c r="Q214" i="1"/>
  <c r="W226" i="1" a="1"/>
  <c r="W226" i="1" s="1"/>
  <c r="X226" i="1" s="1"/>
  <c r="Q226" i="1"/>
  <c r="W524" i="1" a="1"/>
  <c r="W524" i="1" s="1"/>
  <c r="X524" i="1" s="1"/>
  <c r="Q524" i="1"/>
  <c r="W1085" i="1" a="1"/>
  <c r="W1085" i="1" s="1"/>
  <c r="X1085" i="1" s="1"/>
  <c r="Q1085" i="1"/>
  <c r="Q157" i="1"/>
  <c r="W157" i="1" a="1"/>
  <c r="W157" i="1" s="1"/>
  <c r="X157" i="1" s="1"/>
  <c r="Q1989" i="1"/>
  <c r="W1989" i="1" a="1"/>
  <c r="W1989" i="1" s="1"/>
  <c r="X1989" i="1" s="1"/>
  <c r="W166" i="1" a="1"/>
  <c r="W166" i="1" s="1"/>
  <c r="X166" i="1" s="1"/>
  <c r="Q166" i="1"/>
  <c r="Q197" i="1"/>
  <c r="W197" i="1" a="1"/>
  <c r="W197" i="1" s="1"/>
  <c r="X197" i="1" s="1"/>
  <c r="Q1668" i="1"/>
  <c r="W1668" i="1" a="1"/>
  <c r="W1668" i="1" s="1"/>
  <c r="X1668" i="1" s="1"/>
  <c r="W1924" i="1" a="1"/>
  <c r="W1924" i="1" s="1"/>
  <c r="X1924" i="1" s="1"/>
  <c r="Q1924" i="1"/>
  <c r="W39" i="1" a="1"/>
  <c r="W39" i="1" s="1"/>
  <c r="X39" i="1" s="1"/>
  <c r="Q39" i="1"/>
  <c r="W1908" i="1" a="1"/>
  <c r="W1908" i="1" s="1"/>
  <c r="X1908" i="1" s="1"/>
  <c r="Q1908" i="1"/>
  <c r="W1138" i="1" a="1"/>
  <c r="W1138" i="1" s="1"/>
  <c r="X1138" i="1" s="1"/>
  <c r="Q1138" i="1"/>
  <c r="W1366" i="1" a="1"/>
  <c r="W1366" i="1" s="1"/>
  <c r="X1366" i="1" s="1"/>
  <c r="Q1366" i="1"/>
  <c r="W145" i="1" a="1"/>
  <c r="W145" i="1" s="1"/>
  <c r="X145" i="1" s="1"/>
  <c r="Q145" i="1"/>
  <c r="W1017" i="1" a="1"/>
  <c r="W1017" i="1" s="1"/>
  <c r="X1017" i="1" s="1"/>
  <c r="Q1017" i="1"/>
  <c r="Q468" i="1"/>
  <c r="W468" i="1" a="1"/>
  <c r="W468" i="1" s="1"/>
  <c r="X468" i="1" s="1"/>
  <c r="W191" i="1" a="1"/>
  <c r="W191" i="1" s="1"/>
  <c r="X191" i="1" s="1"/>
  <c r="Q191" i="1"/>
  <c r="Q547" i="1"/>
  <c r="W547" i="1" a="1"/>
  <c r="W547" i="1" s="1"/>
  <c r="X547" i="1" s="1"/>
  <c r="W1092" i="1" a="1"/>
  <c r="W1092" i="1" s="1"/>
  <c r="X1092" i="1" s="1"/>
  <c r="Q1092" i="1"/>
  <c r="Q1902" i="1"/>
  <c r="W1902" i="1" a="1"/>
  <c r="W1902" i="1" s="1"/>
  <c r="X1902" i="1" s="1"/>
  <c r="W1234" i="1" a="1"/>
  <c r="W1234" i="1" s="1"/>
  <c r="X1234" i="1" s="1"/>
  <c r="Q1234" i="1"/>
  <c r="Q1977" i="1"/>
  <c r="W1977" i="1" a="1"/>
  <c r="W1977" i="1" s="1"/>
  <c r="X1977" i="1" s="1"/>
  <c r="W1889" i="1" a="1"/>
  <c r="W1889" i="1" s="1"/>
  <c r="X1889" i="1" s="1"/>
  <c r="Q1889" i="1"/>
  <c r="W986" i="1" a="1"/>
  <c r="W986" i="1" s="1"/>
  <c r="X986" i="1" s="1"/>
  <c r="Q986" i="1"/>
  <c r="W1199" i="1" a="1"/>
  <c r="W1199" i="1" s="1"/>
  <c r="X1199" i="1" s="1"/>
  <c r="Q1199" i="1"/>
  <c r="W1161" i="1" a="1"/>
  <c r="W1161" i="1" s="1"/>
  <c r="X1161" i="1" s="1"/>
  <c r="Q1161" i="1"/>
  <c r="Q1097" i="1"/>
  <c r="W1097" i="1" a="1"/>
  <c r="W1097" i="1" s="1"/>
  <c r="X1097" i="1" s="1"/>
  <c r="Q1032" i="1"/>
  <c r="W1032" i="1" a="1"/>
  <c r="W1032" i="1" s="1"/>
  <c r="X1032" i="1" s="1"/>
  <c r="W1370" i="1" a="1"/>
  <c r="W1370" i="1" s="1"/>
  <c r="X1370" i="1" s="1"/>
  <c r="Q1370" i="1"/>
  <c r="W443" i="1" a="1"/>
  <c r="W443" i="1" s="1"/>
  <c r="X443" i="1" s="1"/>
  <c r="Q443" i="1"/>
  <c r="Q417" i="1"/>
  <c r="W417" i="1" a="1"/>
  <c r="W417" i="1" s="1"/>
  <c r="X417" i="1" s="1"/>
  <c r="W482" i="1" a="1"/>
  <c r="W482" i="1" s="1"/>
  <c r="X482" i="1" s="1"/>
  <c r="Q482" i="1"/>
  <c r="Q1193" i="1"/>
  <c r="W1193" i="1" a="1"/>
  <c r="W1193" i="1" s="1"/>
  <c r="X1193" i="1" s="1"/>
  <c r="W1740" i="1" a="1"/>
  <c r="W1740" i="1" s="1"/>
  <c r="X1740" i="1" s="1"/>
  <c r="Q1740" i="1"/>
  <c r="Q1884" i="1"/>
  <c r="W1884" i="1" a="1"/>
  <c r="W1884" i="1" s="1"/>
  <c r="X1884" i="1" s="1"/>
  <c r="W734" i="1" a="1"/>
  <c r="W734" i="1" s="1"/>
  <c r="X734" i="1" s="1"/>
  <c r="Q734" i="1"/>
  <c r="Q738" i="1"/>
  <c r="W738" i="1" a="1"/>
  <c r="W738" i="1" s="1"/>
  <c r="X738" i="1" s="1"/>
  <c r="W880" i="1" a="1"/>
  <c r="W880" i="1" s="1"/>
  <c r="X880" i="1" s="1"/>
  <c r="Q880" i="1"/>
  <c r="W340" i="1" a="1"/>
  <c r="W340" i="1" s="1"/>
  <c r="X340" i="1" s="1"/>
  <c r="Q340" i="1"/>
  <c r="W1296" i="1" a="1"/>
  <c r="W1296" i="1" s="1"/>
  <c r="X1296" i="1" s="1"/>
  <c r="Q1296" i="1"/>
  <c r="W1200" i="1" a="1"/>
  <c r="W1200" i="1" s="1"/>
  <c r="X1200" i="1" s="1"/>
  <c r="Q1200" i="1"/>
  <c r="W1901" i="1" a="1"/>
  <c r="W1901" i="1" s="1"/>
  <c r="X1901" i="1" s="1"/>
  <c r="Q1901" i="1"/>
  <c r="W609" i="1" a="1"/>
  <c r="W609" i="1" s="1"/>
  <c r="X609" i="1" s="1"/>
  <c r="Q609" i="1"/>
  <c r="W1287" i="1" a="1"/>
  <c r="W1287" i="1" s="1"/>
  <c r="X1287" i="1" s="1"/>
  <c r="Q1287" i="1"/>
  <c r="W1158" i="1" a="1"/>
  <c r="W1158" i="1" s="1"/>
  <c r="X1158" i="1" s="1"/>
  <c r="Q1158" i="1"/>
  <c r="Q1086" i="1"/>
  <c r="W1086" i="1" a="1"/>
  <c r="W1086" i="1" s="1"/>
  <c r="X1086" i="1" s="1"/>
  <c r="W1109" i="1" a="1"/>
  <c r="W1109" i="1" s="1"/>
  <c r="X1109" i="1" s="1"/>
  <c r="Q1109" i="1"/>
  <c r="W1742" i="1" a="1"/>
  <c r="W1742" i="1" s="1"/>
  <c r="X1742" i="1" s="1"/>
  <c r="Q1742" i="1"/>
  <c r="W175" i="1" a="1"/>
  <c r="W175" i="1" s="1"/>
  <c r="X175" i="1" s="1"/>
  <c r="Q175" i="1"/>
  <c r="Q1272" i="1"/>
  <c r="W1272" i="1" a="1"/>
  <c r="W1272" i="1" s="1"/>
  <c r="X1272" i="1" s="1"/>
  <c r="W1616" i="1" a="1"/>
  <c r="W1616" i="1" s="1"/>
  <c r="X1616" i="1" s="1"/>
  <c r="Q1616" i="1"/>
  <c r="W650" i="1" a="1"/>
  <c r="W650" i="1" s="1"/>
  <c r="X650" i="1" s="1"/>
  <c r="Q650" i="1"/>
  <c r="Q1927" i="1"/>
  <c r="W1927" i="1" a="1"/>
  <c r="W1927" i="1" s="1"/>
  <c r="X1927" i="1" s="1"/>
  <c r="W1881" i="1" a="1"/>
  <c r="W1881" i="1" s="1"/>
  <c r="X1881" i="1" s="1"/>
  <c r="Q1881" i="1"/>
  <c r="Q599" i="1"/>
  <c r="W599" i="1" a="1"/>
  <c r="W599" i="1" s="1"/>
  <c r="X599" i="1" s="1"/>
  <c r="Q757" i="1"/>
  <c r="W757" i="1" a="1"/>
  <c r="W757" i="1" s="1"/>
  <c r="X757" i="1" s="1"/>
  <c r="Q1577" i="1"/>
  <c r="W1577" i="1" a="1"/>
  <c r="W1577" i="1" s="1"/>
  <c r="X1577" i="1" s="1"/>
  <c r="W1838" i="1" a="1"/>
  <c r="W1838" i="1" s="1"/>
  <c r="X1838" i="1" s="1"/>
  <c r="Q1838" i="1"/>
  <c r="Q1931" i="1"/>
  <c r="W1931" i="1" a="1"/>
  <c r="W1931" i="1" s="1"/>
  <c r="X1931" i="1" s="1"/>
  <c r="Q687" i="1"/>
  <c r="W687" i="1" a="1"/>
  <c r="W687" i="1" s="1"/>
  <c r="X687" i="1" s="1"/>
  <c r="W8" i="1" a="1"/>
  <c r="W8" i="1" s="1"/>
  <c r="X8" i="1" s="1"/>
  <c r="Q8" i="1"/>
  <c r="Q1890" i="1"/>
  <c r="W1890" i="1" a="1"/>
  <c r="W1890" i="1" s="1"/>
  <c r="X1890" i="1" s="1"/>
  <c r="W1979" i="1" a="1"/>
  <c r="W1979" i="1" s="1"/>
  <c r="X1979" i="1" s="1"/>
  <c r="Q1979" i="1"/>
  <c r="W369" i="1" a="1"/>
  <c r="W369" i="1" s="1"/>
  <c r="X369" i="1" s="1"/>
  <c r="Q369" i="1"/>
  <c r="W654" i="1" a="1"/>
  <c r="W654" i="1" s="1"/>
  <c r="X654" i="1" s="1"/>
  <c r="Q654" i="1"/>
  <c r="Q1933" i="1"/>
  <c r="W1933" i="1" a="1"/>
  <c r="W1933" i="1" s="1"/>
  <c r="X1933" i="1" s="1"/>
  <c r="W525" i="1" a="1"/>
  <c r="W525" i="1" s="1"/>
  <c r="X525" i="1" s="1"/>
  <c r="Q525" i="1"/>
  <c r="W1105" i="1" a="1"/>
  <c r="W1105" i="1" s="1"/>
  <c r="X1105" i="1" s="1"/>
  <c r="Q1105" i="1"/>
  <c r="W279" i="1" a="1"/>
  <c r="W279" i="1" s="1"/>
  <c r="X279" i="1" s="1"/>
  <c r="Q279" i="1"/>
  <c r="W748" i="1" a="1"/>
  <c r="W748" i="1" s="1"/>
  <c r="X748" i="1" s="1"/>
  <c r="Q748" i="1"/>
  <c r="W156" i="1" a="1"/>
  <c r="W156" i="1" s="1"/>
  <c r="X156" i="1" s="1"/>
  <c r="Q156" i="1"/>
  <c r="Q1987" i="1"/>
  <c r="W1987" i="1" a="1"/>
  <c r="W1987" i="1" s="1"/>
  <c r="X1987" i="1" s="1"/>
  <c r="W210" i="1" a="1"/>
  <c r="W210" i="1" s="1"/>
  <c r="X210" i="1" s="1"/>
  <c r="Q210" i="1"/>
  <c r="Q1846" i="1"/>
  <c r="W1846" i="1" a="1"/>
  <c r="W1846" i="1" s="1"/>
  <c r="X1846" i="1" s="1"/>
  <c r="Q2031" i="1"/>
  <c r="W2031" i="1" a="1"/>
  <c r="W2031" i="1" s="1"/>
  <c r="X2031" i="1" s="1"/>
  <c r="W1934" i="1" a="1"/>
  <c r="W1934" i="1" s="1"/>
  <c r="X1934" i="1" s="1"/>
  <c r="Q1934" i="1"/>
  <c r="W1096" i="1" a="1"/>
  <c r="W1096" i="1" s="1"/>
  <c r="X1096" i="1" s="1"/>
  <c r="Q1096" i="1"/>
  <c r="Q1117" i="1"/>
  <c r="W1117" i="1" a="1"/>
  <c r="W1117" i="1" s="1"/>
  <c r="X1117" i="1" s="1"/>
  <c r="W1155" i="1" a="1"/>
  <c r="W1155" i="1" s="1"/>
  <c r="X1155" i="1" s="1"/>
  <c r="Q1155" i="1"/>
  <c r="W1258" i="1" a="1"/>
  <c r="W1258" i="1" s="1"/>
  <c r="X1258" i="1" s="1"/>
  <c r="Q1258" i="1"/>
  <c r="Q437" i="1"/>
  <c r="W437" i="1" a="1"/>
  <c r="W437" i="1" s="1"/>
  <c r="X437" i="1" s="1"/>
  <c r="Q1617" i="1"/>
  <c r="W1617" i="1" a="1"/>
  <c r="W1617" i="1" s="1"/>
  <c r="X1617" i="1" s="1"/>
  <c r="W259" i="1" a="1"/>
  <c r="W259" i="1" s="1"/>
  <c r="X259" i="1" s="1"/>
  <c r="Q259" i="1"/>
  <c r="Q386" i="1"/>
  <c r="W386" i="1" a="1"/>
  <c r="W386" i="1" s="1"/>
  <c r="X386" i="1" s="1"/>
  <c r="Q1953" i="1"/>
  <c r="W1953" i="1" a="1"/>
  <c r="W1953" i="1" s="1"/>
  <c r="X1953" i="1" s="1"/>
  <c r="W558" i="1" a="1"/>
  <c r="W558" i="1" s="1"/>
  <c r="X558" i="1" s="1"/>
  <c r="Q558" i="1"/>
  <c r="W1076" i="1" a="1"/>
  <c r="W1076" i="1" s="1"/>
  <c r="X1076" i="1" s="1"/>
  <c r="Q1076" i="1"/>
  <c r="Q1637" i="1"/>
  <c r="W1637" i="1" a="1"/>
  <c r="W1637" i="1" s="1"/>
  <c r="X1637" i="1" s="1"/>
  <c r="Q1310" i="1"/>
  <c r="W1310" i="1" a="1"/>
  <c r="W1310" i="1" s="1"/>
  <c r="X1310" i="1" s="1"/>
  <c r="W1285" i="1" a="1"/>
  <c r="W1285" i="1" s="1"/>
  <c r="X1285" i="1" s="1"/>
  <c r="Q1285" i="1"/>
  <c r="W1170" i="1" a="1"/>
  <c r="W1170" i="1" s="1"/>
  <c r="X1170" i="1" s="1"/>
  <c r="Q1170" i="1"/>
  <c r="W1749" i="1" a="1"/>
  <c r="W1749" i="1" s="1"/>
  <c r="X1749" i="1" s="1"/>
  <c r="Q1749" i="1"/>
  <c r="W1270" i="1" a="1"/>
  <c r="W1270" i="1" s="1"/>
  <c r="X1270" i="1" s="1"/>
  <c r="Q1270" i="1"/>
  <c r="W438" i="1" a="1"/>
  <c r="W438" i="1" s="1"/>
  <c r="X438" i="1" s="1"/>
  <c r="Q438" i="1"/>
  <c r="Q1976" i="1"/>
  <c r="W1976" i="1" a="1"/>
  <c r="W1976" i="1" s="1"/>
  <c r="X1976" i="1" s="1"/>
  <c r="W1024" i="1" a="1"/>
  <c r="W1024" i="1" s="1"/>
  <c r="X1024" i="1" s="1"/>
  <c r="Q1024" i="1"/>
  <c r="W996" i="1" a="1"/>
  <c r="W996" i="1" s="1"/>
  <c r="X996" i="1" s="1"/>
  <c r="Q996" i="1"/>
  <c r="Q1288" i="1"/>
  <c r="W1288" i="1" a="1"/>
  <c r="W1288" i="1" s="1"/>
  <c r="X1288" i="1" s="1"/>
  <c r="W1932" i="1" a="1"/>
  <c r="W1932" i="1" s="1"/>
  <c r="X1932" i="1" s="1"/>
  <c r="Q1932" i="1"/>
  <c r="Q1756" i="1"/>
  <c r="W1756" i="1" a="1"/>
  <c r="W1756" i="1" s="1"/>
  <c r="X1756" i="1" s="1"/>
  <c r="Q1904" i="1"/>
  <c r="W1904" i="1" a="1"/>
  <c r="W1904" i="1" s="1"/>
  <c r="X1904" i="1" s="1"/>
  <c r="W766" i="1" a="1"/>
  <c r="W766" i="1" s="1"/>
  <c r="X766" i="1" s="1"/>
  <c r="Q766" i="1"/>
  <c r="W174" i="1" a="1"/>
  <c r="W174" i="1" s="1"/>
  <c r="X174" i="1" s="1"/>
  <c r="Q174" i="1"/>
  <c r="W1106" i="1" a="1"/>
  <c r="W1106" i="1" s="1"/>
  <c r="X1106" i="1" s="1"/>
  <c r="Q1106" i="1"/>
  <c r="W1116" i="1" a="1"/>
  <c r="W1116" i="1" s="1"/>
  <c r="X1116" i="1" s="1"/>
  <c r="Q1116" i="1"/>
  <c r="W980" i="1" a="1"/>
  <c r="W980" i="1" s="1"/>
  <c r="X980" i="1" s="1"/>
  <c r="Q980" i="1"/>
  <c r="Q665" i="1"/>
  <c r="W665" i="1" a="1"/>
  <c r="W665" i="1" s="1"/>
  <c r="X665" i="1" s="1"/>
  <c r="Q1923" i="1"/>
  <c r="W1923" i="1" a="1"/>
  <c r="W1923" i="1" s="1"/>
  <c r="X1923" i="1" s="1"/>
  <c r="W633" i="1" a="1"/>
  <c r="W633" i="1" s="1"/>
  <c r="X633" i="1" s="1"/>
  <c r="Q633" i="1"/>
  <c r="W1398" i="1" a="1"/>
  <c r="W1398" i="1" s="1"/>
  <c r="X1398" i="1" s="1"/>
  <c r="Q1398" i="1"/>
  <c r="Q1232" i="1"/>
  <c r="W1232" i="1" a="1"/>
  <c r="W1232" i="1" s="1"/>
  <c r="X1232" i="1" s="1"/>
  <c r="Q1972" i="1"/>
  <c r="W1972" i="1" a="1"/>
  <c r="W1972" i="1" s="1"/>
  <c r="X1972" i="1" s="1"/>
  <c r="W1128" i="1" a="1"/>
  <c r="W1128" i="1" s="1"/>
  <c r="X1128" i="1" s="1"/>
  <c r="Q1128" i="1"/>
  <c r="Q1337" i="1"/>
  <c r="W1337" i="1" a="1"/>
  <c r="W1337" i="1" s="1"/>
  <c r="X1337" i="1" s="1"/>
  <c r="W1939" i="1" a="1"/>
  <c r="W1939" i="1" s="1"/>
  <c r="X1939" i="1" s="1"/>
  <c r="Q1939" i="1"/>
  <c r="W528" i="1" a="1"/>
  <c r="W528" i="1" s="1"/>
  <c r="X528" i="1" s="1"/>
  <c r="Q528" i="1"/>
  <c r="W1770" i="1" a="1"/>
  <c r="W1770" i="1" s="1"/>
  <c r="X1770" i="1" s="1"/>
  <c r="Q1770" i="1"/>
  <c r="W631" i="1" a="1"/>
  <c r="W631" i="1" s="1"/>
  <c r="X631" i="1" s="1"/>
  <c r="Q631" i="1"/>
  <c r="W155" i="1" a="1"/>
  <c r="W155" i="1" s="1"/>
  <c r="X155" i="1" s="1"/>
  <c r="Q155" i="1"/>
  <c r="Q1265" i="1"/>
  <c r="W1265" i="1" a="1"/>
  <c r="W1265" i="1" s="1"/>
  <c r="X1265" i="1" s="1"/>
  <c r="W1975" i="1" a="1"/>
  <c r="W1975" i="1" s="1"/>
  <c r="X1975" i="1" s="1"/>
  <c r="Q1975" i="1"/>
  <c r="Q1058" i="1"/>
  <c r="W1058" i="1" a="1"/>
  <c r="W1058" i="1" s="1"/>
  <c r="X1058" i="1" s="1"/>
  <c r="Q1667" i="1"/>
  <c r="W1667" i="1" a="1"/>
  <c r="W1667" i="1" s="1"/>
  <c r="X1667" i="1" s="1"/>
  <c r="W803" i="1" a="1"/>
  <c r="W803" i="1" s="1"/>
  <c r="X803" i="1" s="1"/>
  <c r="Q803" i="1"/>
  <c r="W850" i="1" a="1"/>
  <c r="W850" i="1" s="1"/>
  <c r="X850" i="1" s="1"/>
  <c r="Q850" i="1"/>
  <c r="P58" i="7"/>
  <c r="Q1873" i="1"/>
  <c r="W1873" i="1" a="1"/>
  <c r="W1873" i="1" s="1"/>
  <c r="X1873" i="1" s="1"/>
  <c r="Q1921" i="1"/>
  <c r="W1921" i="1" a="1"/>
  <c r="W1921" i="1" s="1"/>
  <c r="X1921" i="1" s="1"/>
  <c r="W540" i="1" a="1"/>
  <c r="W540" i="1" s="1"/>
  <c r="X540" i="1" s="1"/>
  <c r="Q540" i="1"/>
  <c r="Q1891" i="1"/>
  <c r="W1891" i="1" a="1"/>
  <c r="W1891" i="1" s="1"/>
  <c r="X1891" i="1" s="1"/>
  <c r="W439" i="1" a="1"/>
  <c r="W439" i="1" s="1"/>
  <c r="X439" i="1" s="1"/>
  <c r="Q439" i="1"/>
  <c r="W1983" i="1" a="1"/>
  <c r="W1983" i="1" s="1"/>
  <c r="X1983" i="1" s="1"/>
  <c r="Q1983" i="1"/>
  <c r="W415" i="1" a="1"/>
  <c r="W415" i="1" s="1"/>
  <c r="X415" i="1" s="1"/>
  <c r="Q415" i="1"/>
  <c r="W212" i="1" a="1"/>
  <c r="W212" i="1" s="1"/>
  <c r="X212" i="1" s="1"/>
  <c r="Q212" i="1"/>
  <c r="Q1840" i="1"/>
  <c r="W1840" i="1" a="1"/>
  <c r="W1840" i="1" s="1"/>
  <c r="X1840" i="1" s="1"/>
  <c r="W1209" i="1" a="1"/>
  <c r="W1209" i="1" s="1"/>
  <c r="X1209" i="1" s="1"/>
  <c r="Q1209" i="1"/>
  <c r="W552" i="1" a="1"/>
  <c r="W552" i="1" s="1"/>
  <c r="X552" i="1" s="1"/>
  <c r="Q552" i="1"/>
  <c r="Q1071" i="1"/>
  <c r="W1071" i="1" a="1"/>
  <c r="W1071" i="1" s="1"/>
  <c r="X1071" i="1" s="1"/>
  <c r="Q1121" i="1"/>
  <c r="W1121" i="1" a="1"/>
  <c r="W1121" i="1" s="1"/>
  <c r="X1121" i="1" s="1"/>
  <c r="W459" i="1" a="1"/>
  <c r="W459" i="1" s="1"/>
  <c r="X459" i="1" s="1"/>
  <c r="Q459" i="1"/>
  <c r="Q1965" i="1"/>
  <c r="W1965" i="1" a="1"/>
  <c r="W1965" i="1" s="1"/>
  <c r="X1965" i="1" s="1"/>
  <c r="Q1618" i="1"/>
  <c r="W1618" i="1" a="1"/>
  <c r="W1618" i="1" s="1"/>
  <c r="X1618" i="1" s="1"/>
  <c r="Q407" i="1"/>
  <c r="W407" i="1" a="1"/>
  <c r="W407" i="1" s="1"/>
  <c r="X407" i="1" s="1"/>
  <c r="W1441" i="1" a="1"/>
  <c r="W1441" i="1" s="1"/>
  <c r="X1441" i="1" s="1"/>
  <c r="Q1441" i="1"/>
  <c r="Q799" i="1"/>
  <c r="W799" i="1" a="1"/>
  <c r="W799" i="1" s="1"/>
  <c r="X799" i="1" s="1"/>
  <c r="W658" i="1" a="1"/>
  <c r="W658" i="1" s="1"/>
  <c r="X658" i="1" s="1"/>
  <c r="Q658" i="1"/>
  <c r="W1496" i="1" a="1"/>
  <c r="W1496" i="1" s="1"/>
  <c r="X1496" i="1" s="1"/>
  <c r="Q1496" i="1"/>
  <c r="Q607" i="1"/>
  <c r="W607" i="1" a="1"/>
  <c r="W607" i="1" s="1"/>
  <c r="X607" i="1" s="1"/>
  <c r="W173" i="1" a="1"/>
  <c r="W173" i="1" s="1"/>
  <c r="X173" i="1" s="1"/>
  <c r="Q173" i="1"/>
  <c r="Q1900" i="1"/>
  <c r="W1900" i="1" a="1"/>
  <c r="W1900" i="1" s="1"/>
  <c r="X1900" i="1" s="1"/>
  <c r="W1056" i="1" a="1"/>
  <c r="W1056" i="1" s="1"/>
  <c r="X1056" i="1" s="1"/>
  <c r="Q1056" i="1"/>
  <c r="W293" i="1" a="1"/>
  <c r="W293" i="1" s="1"/>
  <c r="X293" i="1" s="1"/>
  <c r="Q293" i="1"/>
  <c r="W316" i="1" a="1"/>
  <c r="W316" i="1" s="1"/>
  <c r="X316" i="1" s="1"/>
  <c r="Q316" i="1"/>
  <c r="Q1853" i="1"/>
  <c r="W1853" i="1" a="1"/>
  <c r="W1853" i="1" s="1"/>
  <c r="X1853" i="1" s="1"/>
  <c r="W1214" i="1" a="1"/>
  <c r="W1214" i="1" s="1"/>
  <c r="X1214" i="1" s="1"/>
  <c r="Q1214" i="1"/>
  <c r="W1094" i="1" a="1"/>
  <c r="W1094" i="1" s="1"/>
  <c r="X1094" i="1" s="1"/>
  <c r="Q1094" i="1"/>
  <c r="Q19" i="1"/>
  <c r="W19" i="1" a="1"/>
  <c r="W19" i="1" s="1"/>
  <c r="X19" i="1" s="1"/>
  <c r="Q206" i="1"/>
  <c r="W206" i="1" a="1"/>
  <c r="W206" i="1" s="1"/>
  <c r="X206" i="1" s="1"/>
  <c r="W1514" i="1" a="1"/>
  <c r="W1514" i="1" s="1"/>
  <c r="X1514" i="1" s="1"/>
  <c r="Q1514" i="1"/>
  <c r="Q387" i="1"/>
  <c r="W387" i="1" a="1"/>
  <c r="W387" i="1" s="1"/>
  <c r="X387" i="1" s="1"/>
  <c r="Q1872" i="1"/>
  <c r="W1872" i="1" a="1"/>
  <c r="W1872" i="1" s="1"/>
  <c r="X1872" i="1" s="1"/>
  <c r="W532" i="1" a="1"/>
  <c r="W532" i="1" s="1"/>
  <c r="X532" i="1" s="1"/>
  <c r="Q532" i="1"/>
  <c r="W1792" i="1" a="1"/>
  <c r="W1792" i="1" s="1"/>
  <c r="X1792" i="1" s="1"/>
  <c r="Q1792" i="1"/>
  <c r="Q1397" i="1"/>
  <c r="W1397" i="1" a="1"/>
  <c r="W1397" i="1" s="1"/>
  <c r="X1397" i="1" s="1"/>
  <c r="W28" i="1" a="1"/>
  <c r="W28" i="1" s="1"/>
  <c r="X28" i="1" s="1"/>
  <c r="Q28" i="1"/>
  <c r="Q1457" i="1"/>
  <c r="W1457" i="1" a="1"/>
  <c r="W1457" i="1" s="1"/>
  <c r="X1457" i="1" s="1"/>
  <c r="W876" i="1" a="1"/>
  <c r="W876" i="1" s="1"/>
  <c r="X876" i="1" s="1"/>
  <c r="Q876" i="1"/>
  <c r="W300" i="1" a="1"/>
  <c r="W300" i="1" s="1"/>
  <c r="X300" i="1" s="1"/>
  <c r="Q300" i="1"/>
  <c r="Q217" i="1"/>
  <c r="W217" i="1" a="1"/>
  <c r="W217" i="1" s="1"/>
  <c r="X217" i="1" s="1"/>
  <c r="Q1842" i="1"/>
  <c r="W1842" i="1" a="1"/>
  <c r="W1842" i="1" s="1"/>
  <c r="X1842" i="1" s="1"/>
  <c r="Q1169" i="1"/>
  <c r="W1169" i="1" a="1"/>
  <c r="W1169" i="1" s="1"/>
  <c r="X1169" i="1" s="1"/>
  <c r="W1148" i="1" a="1"/>
  <c r="W1148" i="1" s="1"/>
  <c r="X1148" i="1" s="1"/>
  <c r="Q1148" i="1"/>
  <c r="W1149" i="1" a="1"/>
  <c r="W1149" i="1" s="1"/>
  <c r="X1149" i="1" s="1"/>
  <c r="Q1149" i="1"/>
  <c r="Q1399" i="1"/>
  <c r="W1399" i="1" a="1"/>
  <c r="W1399" i="1" s="1"/>
  <c r="X1399" i="1" s="1"/>
  <c r="Q1696" i="1"/>
  <c r="W1696" i="1" a="1"/>
  <c r="W1696" i="1" s="1"/>
  <c r="X1696" i="1" s="1"/>
  <c r="W436" i="1" a="1"/>
  <c r="W436" i="1" s="1"/>
  <c r="X436" i="1" s="1"/>
  <c r="Q436" i="1"/>
  <c r="W1981" i="1" a="1"/>
  <c r="W1981" i="1" s="1"/>
  <c r="X1981" i="1" s="1"/>
  <c r="Q1981" i="1"/>
  <c r="W418" i="1" a="1"/>
  <c r="W418" i="1" s="1"/>
  <c r="X418" i="1" s="1"/>
  <c r="Q418" i="1"/>
  <c r="W653" i="1" a="1"/>
  <c r="W653" i="1" s="1"/>
  <c r="X653" i="1" s="1"/>
  <c r="Q653" i="1"/>
  <c r="Q967" i="1"/>
  <c r="W967" i="1" a="1"/>
  <c r="W967" i="1" s="1"/>
  <c r="X967" i="1" s="1"/>
  <c r="Q1885" i="1"/>
  <c r="W1885" i="1" a="1"/>
  <c r="W1885" i="1" s="1"/>
  <c r="X1885" i="1" s="1"/>
  <c r="W1192" i="1" a="1"/>
  <c r="W1192" i="1" s="1"/>
  <c r="X1192" i="1" s="1"/>
  <c r="Q1192" i="1"/>
  <c r="Q1083" i="1"/>
  <c r="W1083" i="1" a="1"/>
  <c r="W1083" i="1" s="1"/>
  <c r="X1083" i="1" s="1"/>
  <c r="W751" i="1" a="1"/>
  <c r="W751" i="1" s="1"/>
  <c r="X751" i="1" s="1"/>
  <c r="Q751" i="1"/>
  <c r="W735" i="1" a="1"/>
  <c r="W735" i="1" s="1"/>
  <c r="X735" i="1" s="1"/>
  <c r="Q735" i="1"/>
  <c r="Q167" i="1"/>
  <c r="W167" i="1" a="1"/>
  <c r="W167" i="1" s="1"/>
  <c r="X167" i="1" s="1"/>
  <c r="W805" i="1" a="1"/>
  <c r="W805" i="1" s="1"/>
  <c r="X805" i="1" s="1"/>
  <c r="Q805" i="1"/>
  <c r="W559" i="1" a="1"/>
  <c r="W559" i="1" s="1"/>
  <c r="X559" i="1" s="1"/>
  <c r="Q559" i="1"/>
  <c r="Q597" i="1"/>
  <c r="W597" i="1" a="1"/>
  <c r="W597" i="1" s="1"/>
  <c r="X597" i="1" s="1"/>
  <c r="W1998" i="1" a="1"/>
  <c r="W1998" i="1" s="1"/>
  <c r="X1998" i="1" s="1"/>
  <c r="Q1998" i="1"/>
  <c r="W657" i="1" a="1"/>
  <c r="W657" i="1" s="1"/>
  <c r="X657" i="1" s="1"/>
  <c r="Q657" i="1"/>
  <c r="W255" i="1" a="1"/>
  <c r="W255" i="1" s="1"/>
  <c r="X255" i="1" s="1"/>
  <c r="Q255" i="1"/>
  <c r="W1854" i="1" a="1"/>
  <c r="W1854" i="1" s="1"/>
  <c r="X1854" i="1" s="1"/>
  <c r="Q1854" i="1"/>
  <c r="Q1937" i="1"/>
  <c r="W1937" i="1" a="1"/>
  <c r="W1937" i="1" s="1"/>
  <c r="X1937" i="1" s="1"/>
  <c r="Q1201" i="1"/>
  <c r="W1201" i="1" a="1"/>
  <c r="W1201" i="1" s="1"/>
  <c r="X1201" i="1" s="1"/>
  <c r="W614" i="1" a="1"/>
  <c r="W614" i="1" s="1"/>
  <c r="X614" i="1" s="1"/>
  <c r="Q614" i="1"/>
  <c r="W1150" i="1" a="1"/>
  <c r="W1150" i="1" s="1"/>
  <c r="X1150" i="1" s="1"/>
  <c r="Q1150" i="1"/>
  <c r="W625" i="1" a="1"/>
  <c r="W625" i="1" s="1"/>
  <c r="X625" i="1" s="1"/>
  <c r="Q625" i="1"/>
  <c r="W169" i="1" a="1"/>
  <c r="W169" i="1" s="1"/>
  <c r="X169" i="1" s="1"/>
  <c r="Q169" i="1"/>
  <c r="W1229" i="1" a="1"/>
  <c r="W1229" i="1" s="1"/>
  <c r="X1229" i="1" s="1"/>
  <c r="Q1229" i="1"/>
  <c r="W1959" i="1" a="1"/>
  <c r="W1959" i="1" s="1"/>
  <c r="X1959" i="1" s="1"/>
  <c r="Q1959" i="1"/>
  <c r="W421" i="1" a="1"/>
  <c r="W421" i="1" s="1"/>
  <c r="X421" i="1" s="1"/>
  <c r="Q421" i="1"/>
  <c r="W808" i="1" a="1"/>
  <c r="W808" i="1" s="1"/>
  <c r="X808" i="1" s="1"/>
  <c r="Q808" i="1"/>
  <c r="W1156" i="1" a="1"/>
  <c r="W1156" i="1" s="1"/>
  <c r="X1156" i="1" s="1"/>
  <c r="Q1156" i="1"/>
  <c r="W602" i="1" a="1"/>
  <c r="W602" i="1" s="1"/>
  <c r="X602" i="1" s="1"/>
  <c r="Q602" i="1"/>
  <c r="Q747" i="1"/>
  <c r="W747" i="1" a="1"/>
  <c r="W747" i="1" s="1"/>
  <c r="X747" i="1" s="1"/>
  <c r="Q1597" i="1"/>
  <c r="W1597" i="1" a="1"/>
  <c r="W1597" i="1" s="1"/>
  <c r="X1597" i="1" s="1"/>
  <c r="W655" i="1" a="1"/>
  <c r="W655" i="1" s="1"/>
  <c r="X655" i="1" s="1"/>
  <c r="Q655" i="1"/>
  <c r="W1869" i="1" a="1"/>
  <c r="W1869" i="1" s="1"/>
  <c r="X1869" i="1" s="1"/>
  <c r="Q1869" i="1"/>
  <c r="W1093" i="1" a="1"/>
  <c r="W1093" i="1" s="1"/>
  <c r="X1093" i="1" s="1"/>
  <c r="Q1093" i="1"/>
  <c r="W1600" i="1" a="1"/>
  <c r="W1600" i="1" s="1"/>
  <c r="X1600" i="1" s="1"/>
  <c r="Q1600" i="1"/>
  <c r="Q737" i="1"/>
  <c r="W737" i="1" a="1"/>
  <c r="W737" i="1" s="1"/>
  <c r="X737" i="1" s="1"/>
  <c r="Q957" i="1"/>
  <c r="W957" i="1" a="1"/>
  <c r="W957" i="1" s="1"/>
  <c r="X957" i="1" s="1"/>
  <c r="W860" i="1" a="1"/>
  <c r="W860" i="1" s="1"/>
  <c r="X860" i="1" s="1"/>
  <c r="Q860" i="1"/>
  <c r="Q1942" i="1"/>
  <c r="W1942" i="1" a="1"/>
  <c r="W1942" i="1" s="1"/>
  <c r="X1942" i="1" s="1"/>
  <c r="Q1219" i="1"/>
  <c r="W1219" i="1" a="1"/>
  <c r="W1219" i="1" s="1"/>
  <c r="X1219" i="1" s="1"/>
  <c r="Q1098" i="1"/>
  <c r="W1098" i="1" a="1"/>
  <c r="W1098" i="1" s="1"/>
  <c r="X1098" i="1" s="1"/>
  <c r="W1629" i="1" a="1"/>
  <c r="W1629" i="1" s="1"/>
  <c r="X1629" i="1" s="1"/>
  <c r="Q1629" i="1"/>
  <c r="W708" i="1" a="1"/>
  <c r="W708" i="1" s="1"/>
  <c r="X708" i="1" s="1"/>
  <c r="Q708" i="1"/>
  <c r="W874" i="1" a="1"/>
  <c r="W874" i="1" s="1"/>
  <c r="X874" i="1" s="1"/>
  <c r="Q874" i="1"/>
  <c r="W1658" i="1" a="1"/>
  <c r="W1658" i="1" s="1"/>
  <c r="X1658" i="1" s="1"/>
  <c r="Q1658" i="1"/>
  <c r="W1184" i="1" a="1"/>
  <c r="W1184" i="1" s="1"/>
  <c r="X1184" i="1" s="1"/>
  <c r="Q1184" i="1"/>
  <c r="Q1132" i="1"/>
  <c r="W1132" i="1" a="1"/>
  <c r="W1132" i="1" s="1"/>
  <c r="X1132" i="1" s="1"/>
  <c r="W150" i="1" a="1"/>
  <c r="W150" i="1" s="1"/>
  <c r="X150" i="1" s="1"/>
  <c r="Q150" i="1"/>
  <c r="W289" i="1" a="1"/>
  <c r="W289" i="1" s="1"/>
  <c r="X289" i="1" s="1"/>
  <c r="Q289" i="1"/>
  <c r="W480" i="1" a="1"/>
  <c r="W480" i="1" s="1"/>
  <c r="X480" i="1" s="1"/>
  <c r="Q480" i="1"/>
  <c r="Q817" i="1"/>
  <c r="W817" i="1" a="1"/>
  <c r="W817" i="1" s="1"/>
  <c r="X817" i="1" s="1"/>
  <c r="W1164" i="1" a="1"/>
  <c r="W1164" i="1" s="1"/>
  <c r="X1164" i="1" s="1"/>
  <c r="Q1164" i="1"/>
  <c r="Q1747" i="1"/>
  <c r="W1747" i="1" a="1"/>
  <c r="W1747" i="1" s="1"/>
  <c r="X1747" i="1" s="1"/>
  <c r="W1135" i="1" a="1"/>
  <c r="W1135" i="1" s="1"/>
  <c r="X1135" i="1" s="1"/>
  <c r="Q1135" i="1"/>
  <c r="W1689" i="1" a="1"/>
  <c r="W1689" i="1" s="1"/>
  <c r="X1689" i="1" s="1"/>
  <c r="Q1689" i="1"/>
  <c r="K49" i="7" s="1"/>
  <c r="W2002" i="1" a="1"/>
  <c r="W2002" i="1" s="1"/>
  <c r="X2002" i="1" s="1"/>
  <c r="Q2002" i="1"/>
  <c r="Q1043" i="1"/>
  <c r="W1043" i="1" a="1"/>
  <c r="W1043" i="1" s="1"/>
  <c r="X1043" i="1" s="1"/>
  <c r="Q397" i="1"/>
  <c r="W397" i="1" a="1"/>
  <c r="W397" i="1" s="1"/>
  <c r="X397" i="1" s="1"/>
  <c r="W811" i="1" a="1"/>
  <c r="W811" i="1" s="1"/>
  <c r="X811" i="1" s="1"/>
  <c r="Q811" i="1"/>
  <c r="W14" i="1" a="1"/>
  <c r="W14" i="1" s="1"/>
  <c r="X14" i="1" s="1"/>
  <c r="Q14" i="1"/>
  <c r="W1072" i="1" a="1"/>
  <c r="W1072" i="1" s="1"/>
  <c r="X1072" i="1" s="1"/>
  <c r="Q1072" i="1"/>
  <c r="W286" i="1" a="1"/>
  <c r="W286" i="1" s="1"/>
  <c r="X286" i="1" s="1"/>
  <c r="Q286" i="1"/>
  <c r="Q147" i="1"/>
  <c r="W147" i="1" a="1"/>
  <c r="W147" i="1" s="1"/>
  <c r="X147" i="1" s="1"/>
  <c r="W2000" i="1" a="1"/>
  <c r="W2000" i="1" s="1"/>
  <c r="X2000" i="1" s="1"/>
  <c r="Q2000" i="1"/>
  <c r="Q1625" i="1"/>
  <c r="W1625" i="1" a="1"/>
  <c r="W1625" i="1" s="1"/>
  <c r="X1625" i="1" s="1"/>
  <c r="W1000" i="1" a="1"/>
  <c r="W1000" i="1" s="1"/>
  <c r="X1000" i="1" s="1"/>
  <c r="Q1000" i="1"/>
  <c r="Q1396" i="1"/>
  <c r="W1396" i="1" a="1"/>
  <c r="W1396" i="1" s="1"/>
  <c r="X1396" i="1" s="1"/>
  <c r="W1963" i="1" a="1"/>
  <c r="W1963" i="1" s="1"/>
  <c r="X1963" i="1" s="1"/>
  <c r="Q1963" i="1"/>
  <c r="W11" i="1" a="1"/>
  <c r="W11" i="1" s="1"/>
  <c r="X11" i="1" s="1"/>
  <c r="Q11" i="1"/>
  <c r="W1635" i="1" a="1"/>
  <c r="W1635" i="1" s="1"/>
  <c r="X1635" i="1" s="1"/>
  <c r="Q1635" i="1"/>
  <c r="W29" i="1" a="1"/>
  <c r="W29" i="1" s="1"/>
  <c r="X29" i="1" s="1"/>
  <c r="Q29" i="1"/>
  <c r="W1089" i="1" a="1"/>
  <c r="W1089" i="1" s="1"/>
  <c r="X1089" i="1" s="1"/>
  <c r="Q1089" i="1"/>
  <c r="W756" i="1" a="1"/>
  <c r="W756" i="1" s="1"/>
  <c r="X756" i="1" s="1"/>
  <c r="Q756" i="1"/>
  <c r="Q1376" i="1"/>
  <c r="W1376" i="1" a="1"/>
  <c r="W1376" i="1" s="1"/>
  <c r="X1376" i="1" s="1"/>
  <c r="W1895" i="1" a="1"/>
  <c r="W1895" i="1" s="1"/>
  <c r="X1895" i="1" s="1"/>
  <c r="Q1895" i="1"/>
  <c r="W1679" i="1" a="1"/>
  <c r="W1679" i="1" s="1"/>
  <c r="X1679" i="1" s="1"/>
  <c r="Q1679" i="1"/>
  <c r="W408" i="1" a="1"/>
  <c r="W408" i="1" s="1"/>
  <c r="X408" i="1" s="1"/>
  <c r="Q408" i="1"/>
  <c r="Q1223" i="1"/>
  <c r="W1223" i="1" a="1"/>
  <c r="W1223" i="1" s="1"/>
  <c r="X1223" i="1" s="1"/>
  <c r="W610" i="1" a="1"/>
  <c r="W610" i="1" s="1"/>
  <c r="X610" i="1" s="1"/>
  <c r="Q610" i="1"/>
  <c r="Q1057" i="1"/>
  <c r="W1057" i="1" a="1"/>
  <c r="W1057" i="1" s="1"/>
  <c r="X1057" i="1" s="1"/>
  <c r="W1651" i="1" a="1"/>
  <c r="W1651" i="1" s="1"/>
  <c r="X1651" i="1" s="1"/>
  <c r="Q1651" i="1"/>
  <c r="W1166" i="1" a="1"/>
  <c r="W1166" i="1" s="1"/>
  <c r="X1166" i="1" s="1"/>
  <c r="Q1166" i="1"/>
  <c r="W34" i="1" a="1"/>
  <c r="W34" i="1" s="1"/>
  <c r="X34" i="1" s="1"/>
  <c r="Q34" i="1"/>
  <c r="Q1257" i="1"/>
  <c r="W1257" i="1" a="1"/>
  <c r="W1257" i="1" s="1"/>
  <c r="X1257" i="1" s="1"/>
  <c r="W1044" i="1" a="1"/>
  <c r="W1044" i="1" s="1"/>
  <c r="X1044" i="1" s="1"/>
  <c r="Q1044" i="1"/>
  <c r="W198" i="1" a="1"/>
  <c r="W198" i="1" s="1"/>
  <c r="X198" i="1" s="1"/>
  <c r="Q198" i="1"/>
  <c r="W1874" i="1" a="1"/>
  <c r="W1874" i="1" s="1"/>
  <c r="X1874" i="1" s="1"/>
  <c r="Q1874" i="1"/>
  <c r="W1944" i="1" a="1"/>
  <c r="W1944" i="1" s="1"/>
  <c r="X1944" i="1" s="1"/>
  <c r="Q1944" i="1"/>
  <c r="W1225" i="1" a="1"/>
  <c r="W1225" i="1" s="1"/>
  <c r="X1225" i="1" s="1"/>
  <c r="Q1225" i="1"/>
  <c r="W24" i="1" a="1"/>
  <c r="W24" i="1" s="1"/>
  <c r="X24" i="1" s="1"/>
  <c r="Q24" i="1"/>
  <c r="W183" i="1" a="1"/>
  <c r="W183" i="1" s="1"/>
  <c r="X183" i="1" s="1"/>
  <c r="Q183" i="1"/>
  <c r="Q457" i="1"/>
  <c r="W457" i="1" a="1"/>
  <c r="W457" i="1" s="1"/>
  <c r="X457" i="1" s="1"/>
  <c r="W1971" i="1" a="1"/>
  <c r="W1971" i="1" s="1"/>
  <c r="X1971" i="1" s="1"/>
  <c r="Q1971" i="1"/>
  <c r="W611" i="1" a="1"/>
  <c r="W611" i="1" s="1"/>
  <c r="X611" i="1" s="1"/>
  <c r="Q611" i="1"/>
  <c r="Q1307" i="1"/>
  <c r="W1307" i="1" a="1"/>
  <c r="W1307" i="1" s="1"/>
  <c r="X1307" i="1" s="1"/>
  <c r="W802" i="1" a="1"/>
  <c r="W802" i="1" s="1"/>
  <c r="X802" i="1" s="1"/>
  <c r="Q802" i="1"/>
  <c r="W1212" i="1" a="1"/>
  <c r="W1212" i="1" s="1"/>
  <c r="X1212" i="1" s="1"/>
  <c r="Q1212" i="1"/>
  <c r="W541" i="1" a="1"/>
  <c r="W541" i="1" s="1"/>
  <c r="X541" i="1" s="1"/>
  <c r="Q541" i="1"/>
  <c r="Q1221" i="1"/>
  <c r="W1221" i="1" a="1"/>
  <c r="W1221" i="1" s="1"/>
  <c r="X1221" i="1" s="1"/>
  <c r="W1073" i="1" a="1"/>
  <c r="W1073" i="1" s="1"/>
  <c r="X1073" i="1" s="1"/>
  <c r="Q1073" i="1"/>
  <c r="W1549" i="1" a="1"/>
  <c r="W1549" i="1" s="1"/>
  <c r="X1549" i="1" s="1"/>
  <c r="Q1549" i="1"/>
  <c r="W266" i="1" a="1"/>
  <c r="W266" i="1" s="1"/>
  <c r="X266" i="1" s="1"/>
  <c r="Q266" i="1"/>
  <c r="W1391" i="1" a="1"/>
  <c r="W1391" i="1" s="1"/>
  <c r="X1391" i="1" s="1"/>
  <c r="Q1391" i="1"/>
  <c r="W171" i="1" a="1"/>
  <c r="W171" i="1" s="1"/>
  <c r="X171" i="1" s="1"/>
  <c r="Q171" i="1"/>
  <c r="W1590" i="1" a="1"/>
  <c r="W1590" i="1" s="1"/>
  <c r="X1590" i="1" s="1"/>
  <c r="Q1590" i="1"/>
  <c r="W1395" i="1" a="1"/>
  <c r="W1395" i="1" s="1"/>
  <c r="X1395" i="1" s="1"/>
  <c r="Q1395" i="1"/>
  <c r="W801" i="1" a="1"/>
  <c r="W801" i="1" s="1"/>
  <c r="X801" i="1" s="1"/>
  <c r="Q801" i="1"/>
  <c r="W1864" i="1" a="1"/>
  <c r="W1864" i="1" s="1"/>
  <c r="X1864" i="1" s="1"/>
  <c r="Q1864" i="1"/>
  <c r="W1186" i="1" a="1"/>
  <c r="W1186" i="1" s="1"/>
  <c r="X1186" i="1" s="1"/>
  <c r="Q1186" i="1"/>
  <c r="W1405" i="1" a="1"/>
  <c r="W1405" i="1" s="1"/>
  <c r="X1405" i="1" s="1"/>
  <c r="Q1405" i="1"/>
  <c r="K42" i="7" s="1"/>
  <c r="Q1137" i="1"/>
  <c r="W1137" i="1" a="1"/>
  <c r="W1137" i="1" s="1"/>
  <c r="X1137" i="1" s="1"/>
  <c r="W736" i="1" a="1"/>
  <c r="W736" i="1" s="1"/>
  <c r="X736" i="1" s="1"/>
  <c r="Q736" i="1"/>
  <c r="Q1967" i="1"/>
  <c r="W1967" i="1" a="1"/>
  <c r="W1967" i="1" s="1"/>
  <c r="X1967" i="1" s="1"/>
  <c r="Q1573" i="1"/>
  <c r="W1573" i="1" a="1"/>
  <c r="W1573" i="1" s="1"/>
  <c r="X1573" i="1" s="1"/>
  <c r="W399" i="1" a="1"/>
  <c r="W399" i="1" s="1"/>
  <c r="X399" i="1" s="1"/>
  <c r="Q399" i="1"/>
  <c r="W368" i="1" a="1"/>
  <c r="W368" i="1" s="1"/>
  <c r="X368" i="1" s="1"/>
  <c r="Q368" i="1"/>
  <c r="W1867" i="1" a="1"/>
  <c r="W1867" i="1" s="1"/>
  <c r="X1867" i="1" s="1"/>
  <c r="Q1867" i="1"/>
  <c r="W1205" i="1" a="1"/>
  <c r="W1205" i="1" s="1"/>
  <c r="X1205" i="1" s="1"/>
  <c r="Q1205" i="1"/>
  <c r="W1078" i="1" a="1"/>
  <c r="W1078" i="1" s="1"/>
  <c r="X1078" i="1" s="1"/>
  <c r="Q1078" i="1"/>
  <c r="W629" i="1" a="1"/>
  <c r="W629" i="1" s="1"/>
  <c r="X629" i="1" s="1"/>
  <c r="Q629" i="1"/>
  <c r="W15" i="1" a="1"/>
  <c r="W15" i="1" s="1"/>
  <c r="X15" i="1" s="1"/>
  <c r="Q15" i="1"/>
  <c r="W1275" i="1" a="1"/>
  <c r="W1275" i="1" s="1"/>
  <c r="X1275" i="1" s="1"/>
  <c r="Q1275" i="1"/>
  <c r="Q1993" i="1"/>
  <c r="W1993" i="1" a="1"/>
  <c r="W1993" i="1" s="1"/>
  <c r="X1993" i="1" s="1"/>
  <c r="W1028" i="1" a="1"/>
  <c r="W1028" i="1" s="1"/>
  <c r="X1028" i="1" s="1"/>
  <c r="Q1028" i="1"/>
  <c r="W475" i="1" a="1"/>
  <c r="W475" i="1" s="1"/>
  <c r="X475" i="1" s="1"/>
  <c r="Q475" i="1"/>
  <c r="W140" i="1" a="1"/>
  <c r="W140" i="1" s="1"/>
  <c r="X140" i="1" s="1"/>
  <c r="Q140" i="1"/>
  <c r="Q1913" i="1"/>
  <c r="W1913" i="1" a="1"/>
  <c r="W1913" i="1" s="1"/>
  <c r="X1913" i="1" s="1"/>
  <c r="Q1177" i="1"/>
  <c r="W1177" i="1" a="1"/>
  <c r="W1177" i="1" s="1"/>
  <c r="X1177" i="1" s="1"/>
  <c r="W1760" i="1" a="1"/>
  <c r="W1760" i="1" s="1"/>
  <c r="X1760" i="1" s="1"/>
  <c r="Q1760" i="1"/>
  <c r="W389" i="1" a="1"/>
  <c r="W389" i="1" s="1"/>
  <c r="X389" i="1" s="1"/>
  <c r="Q389" i="1"/>
  <c r="W320" i="1" a="1"/>
  <c r="W320" i="1" s="1"/>
  <c r="X320" i="1" s="1"/>
  <c r="Q320" i="1"/>
  <c r="W1190" i="1" a="1"/>
  <c r="W1190" i="1" s="1"/>
  <c r="X1190" i="1" s="1"/>
  <c r="Q1190" i="1"/>
  <c r="Q1176" i="1"/>
  <c r="W1176" i="1" a="1"/>
  <c r="W1176" i="1" s="1"/>
  <c r="X1176" i="1" s="1"/>
  <c r="W31" i="1" a="1"/>
  <c r="W31" i="1" s="1"/>
  <c r="X31" i="1" s="1"/>
  <c r="Q31" i="1"/>
  <c r="Q1887" i="1"/>
  <c r="W1887" i="1" a="1"/>
  <c r="W1887" i="1" s="1"/>
  <c r="X1887" i="1" s="1"/>
  <c r="W6" i="1" a="1"/>
  <c r="W6" i="1" s="1"/>
  <c r="X6" i="1" s="1"/>
  <c r="Q6" i="1"/>
  <c r="Q1361" i="1"/>
  <c r="W1361" i="1" a="1"/>
  <c r="W1361" i="1" s="1"/>
  <c r="X1361" i="1" s="1"/>
  <c r="W1996" i="1" a="1"/>
  <c r="W1996" i="1" s="1"/>
  <c r="X1996" i="1" s="1"/>
  <c r="Q1996" i="1"/>
  <c r="W1419" i="1" a="1"/>
  <c r="W1419" i="1" s="1"/>
  <c r="X1419" i="1" s="1"/>
  <c r="Q1419" i="1"/>
  <c r="W990" i="1" a="1"/>
  <c r="W990" i="1" s="1"/>
  <c r="X990" i="1" s="1"/>
  <c r="Q990" i="1"/>
  <c r="M31" i="7" s="1"/>
  <c r="Q117" i="1"/>
  <c r="W117" i="1" a="1"/>
  <c r="W117" i="1" s="1"/>
  <c r="X117" i="1" s="1"/>
  <c r="Q1947" i="1"/>
  <c r="W1947" i="1" a="1"/>
  <c r="W1947" i="1" s="1"/>
  <c r="X1947" i="1" s="1"/>
  <c r="Q537" i="1"/>
  <c r="W537" i="1" a="1"/>
  <c r="W537" i="1" s="1"/>
  <c r="X537" i="1" s="1"/>
  <c r="W1206" i="1" a="1"/>
  <c r="W1206" i="1" s="1"/>
  <c r="X1206" i="1" s="1"/>
  <c r="Q1206" i="1"/>
  <c r="Q1077" i="1"/>
  <c r="W1077" i="1" a="1"/>
  <c r="W1077" i="1" s="1"/>
  <c r="X1077" i="1" s="1"/>
  <c r="Q1556" i="1"/>
  <c r="W1556" i="1" a="1"/>
  <c r="W1556" i="1" s="1"/>
  <c r="X1556" i="1" s="1"/>
  <c r="W25" i="1" a="1"/>
  <c r="W25" i="1" s="1"/>
  <c r="X25" i="1" s="1"/>
  <c r="Q25" i="1"/>
  <c r="W1615" i="1" a="1"/>
  <c r="W1615" i="1" s="1"/>
  <c r="X1615" i="1" s="1"/>
  <c r="Q1615" i="1"/>
  <c r="W1674" i="1" a="1"/>
  <c r="W1674" i="1" s="1"/>
  <c r="X1674" i="1" s="1"/>
  <c r="Q1674" i="1"/>
  <c r="W202" i="1" a="1"/>
  <c r="W202" i="1" s="1"/>
  <c r="X202" i="1" s="1"/>
  <c r="Q202" i="1"/>
  <c r="W1671" i="1" a="1"/>
  <c r="W1671" i="1" s="1"/>
  <c r="X1671" i="1" s="1"/>
  <c r="Q1671" i="1"/>
  <c r="W1880" i="1" a="1"/>
  <c r="W1880" i="1" s="1"/>
  <c r="X1880" i="1" s="1"/>
  <c r="Q1880" i="1"/>
  <c r="Q1928" i="1"/>
  <c r="W1928" i="1" a="1"/>
  <c r="W1928" i="1" s="1"/>
  <c r="X1928" i="1" s="1"/>
  <c r="Q1935" i="1"/>
  <c r="W1935" i="1" a="1"/>
  <c r="W1935" i="1" s="1"/>
  <c r="X1935" i="1" s="1"/>
  <c r="Q1165" i="1"/>
  <c r="W1165" i="1" a="1"/>
  <c r="W1165" i="1" s="1"/>
  <c r="X1165" i="1" s="1"/>
  <c r="Q1894" i="1"/>
  <c r="W1894" i="1" a="1"/>
  <c r="W1894" i="1" s="1"/>
  <c r="X1894" i="1" s="1"/>
  <c r="W458" i="1" a="1"/>
  <c r="W458" i="1" s="1"/>
  <c r="X458" i="1" s="1"/>
  <c r="Q458" i="1"/>
  <c r="Q1985" i="1"/>
  <c r="W1985" i="1" a="1"/>
  <c r="W1985" i="1" s="1"/>
  <c r="X1985" i="1" s="1"/>
  <c r="Q1317" i="1"/>
  <c r="W1317" i="1" a="1"/>
  <c r="W1317" i="1" s="1"/>
  <c r="X1317" i="1" s="1"/>
  <c r="W1316" i="1" a="1"/>
  <c r="W1316" i="1" s="1"/>
  <c r="X1316" i="1" s="1"/>
  <c r="Q1316" i="1"/>
  <c r="W1466" i="1" a="1"/>
  <c r="W1466" i="1" s="1"/>
  <c r="X1466" i="1" s="1"/>
  <c r="Q1466" i="1"/>
  <c r="Q1297" i="1"/>
  <c r="W1297" i="1" a="1"/>
  <c r="W1297" i="1" s="1"/>
  <c r="X1297" i="1" s="1"/>
  <c r="W1918" i="1" a="1"/>
  <c r="W1918" i="1" s="1"/>
  <c r="X1918" i="1" s="1"/>
  <c r="Q1918" i="1"/>
  <c r="W33" i="1" a="1"/>
  <c r="W33" i="1" s="1"/>
  <c r="X33" i="1" s="1"/>
  <c r="Q33" i="1"/>
  <c r="W755" i="1" a="1"/>
  <c r="W755" i="1" s="1"/>
  <c r="X755" i="1" s="1"/>
  <c r="Q755" i="1"/>
  <c r="W1595" i="1" a="1"/>
  <c r="W1595" i="1" s="1"/>
  <c r="X1595" i="1" s="1"/>
  <c r="Q1595" i="1"/>
  <c r="Q1237" i="1"/>
  <c r="W1237" i="1" a="1"/>
  <c r="W1237" i="1" s="1"/>
  <c r="X1237" i="1" s="1"/>
  <c r="W2001" i="1" a="1"/>
  <c r="W2001" i="1" s="1"/>
  <c r="X2001" i="1" s="1"/>
  <c r="Q2001" i="1"/>
  <c r="W1425" i="1" a="1"/>
  <c r="W1425" i="1" s="1"/>
  <c r="X1425" i="1" s="1"/>
  <c r="Q1425" i="1"/>
  <c r="W485" i="1" a="1"/>
  <c r="W485" i="1" s="1"/>
  <c r="X485" i="1" s="1"/>
  <c r="Q485" i="1"/>
  <c r="W529" i="1" a="1"/>
  <c r="W529" i="1" s="1"/>
  <c r="X529" i="1" s="1"/>
  <c r="Q529" i="1"/>
  <c r="W1069" i="1" a="1"/>
  <c r="W1069" i="1" s="1"/>
  <c r="X1069" i="1" s="1"/>
  <c r="Q1069" i="1"/>
  <c r="W620" i="1" a="1"/>
  <c r="W620" i="1" s="1"/>
  <c r="X620" i="1" s="1"/>
  <c r="Q620" i="1"/>
  <c r="W376" i="1" a="1"/>
  <c r="W376" i="1" s="1"/>
  <c r="X376" i="1" s="1"/>
  <c r="Q376" i="1"/>
  <c r="W854" i="1" a="1"/>
  <c r="W854" i="1" s="1"/>
  <c r="X854" i="1" s="1"/>
  <c r="Q854" i="1"/>
  <c r="N27" i="7" s="1"/>
  <c r="U27" i="7" s="1"/>
  <c r="W1866" i="1" a="1"/>
  <c r="W1866" i="1" s="1"/>
  <c r="X1866" i="1" s="1"/>
  <c r="Q1866" i="1"/>
  <c r="Q1941" i="1"/>
  <c r="W1941" i="1" a="1"/>
  <c r="W1941" i="1" s="1"/>
  <c r="X1941" i="1" s="1"/>
  <c r="Q1217" i="1"/>
  <c r="W1217" i="1" a="1"/>
  <c r="W1217" i="1" s="1"/>
  <c r="X1217" i="1" s="1"/>
  <c r="W35" i="1" a="1"/>
  <c r="W35" i="1" s="1"/>
  <c r="X35" i="1" s="1"/>
  <c r="Q35" i="1"/>
  <c r="Q617" i="1"/>
  <c r="W617" i="1" a="1"/>
  <c r="W617" i="1" s="1"/>
  <c r="X617" i="1" s="1"/>
  <c r="Q1147" i="1"/>
  <c r="W1147" i="1" a="1"/>
  <c r="W1147" i="1" s="1"/>
  <c r="X1147" i="1" s="1"/>
  <c r="W749" i="1" a="1"/>
  <c r="W749" i="1" s="1"/>
  <c r="X749" i="1" s="1"/>
  <c r="Q749" i="1"/>
  <c r="Q1586" i="1"/>
  <c r="W1586" i="1" a="1"/>
  <c r="W1586" i="1" s="1"/>
  <c r="X1586" i="1" s="1"/>
  <c r="Q1387" i="1"/>
  <c r="W1387" i="1" a="1"/>
  <c r="W1387" i="1" s="1"/>
  <c r="X1387" i="1" s="1"/>
  <c r="W1513" i="1" a="1"/>
  <c r="W1513" i="1" s="1"/>
  <c r="X1513" i="1" s="1"/>
  <c r="Q1513" i="1"/>
  <c r="L45" i="7" s="1"/>
  <c r="Q1672" i="1"/>
  <c r="W1672" i="1" a="1"/>
  <c r="W1672" i="1" s="1"/>
  <c r="X1672" i="1" s="1"/>
  <c r="W375" i="1" a="1"/>
  <c r="W375" i="1" s="1"/>
  <c r="X375" i="1" s="1"/>
  <c r="Q375" i="1"/>
  <c r="W1945" i="1" a="1"/>
  <c r="W1945" i="1" s="1"/>
  <c r="X1945" i="1" s="1"/>
  <c r="Q1945" i="1"/>
  <c r="Q1576" i="1"/>
  <c r="W1576" i="1" a="1"/>
  <c r="W1576" i="1" s="1"/>
  <c r="X1576" i="1" s="1"/>
  <c r="W1308" i="1" a="1"/>
  <c r="W1308" i="1" s="1"/>
  <c r="X1308" i="1" s="1"/>
  <c r="Q1308" i="1"/>
  <c r="Q1852" i="1"/>
  <c r="W1852" i="1" a="1"/>
  <c r="W1852" i="1" s="1"/>
  <c r="X1852" i="1" s="1"/>
  <c r="W530" i="1" a="1"/>
  <c r="W530" i="1" s="1"/>
  <c r="X530" i="1" s="1"/>
  <c r="Q530" i="1"/>
  <c r="Q1767" i="1"/>
  <c r="W1767" i="1" a="1"/>
  <c r="W1767" i="1" s="1"/>
  <c r="X1767" i="1" s="1"/>
  <c r="Q1087" i="1"/>
  <c r="W1087" i="1" a="1"/>
  <c r="W1087" i="1" s="1"/>
  <c r="X1087" i="1" s="1"/>
  <c r="Q277" i="1"/>
  <c r="W277" i="1" a="1"/>
  <c r="W277" i="1" s="1"/>
  <c r="X277" i="1" s="1"/>
  <c r="W7" i="1" a="1"/>
  <c r="W7" i="1" s="1"/>
  <c r="X7" i="1" s="1"/>
  <c r="Q7" i="1"/>
  <c r="W1646" i="1" a="1"/>
  <c r="W1646" i="1" s="1"/>
  <c r="X1646" i="1" s="1"/>
  <c r="Q1646" i="1"/>
  <c r="Q317" i="1"/>
  <c r="W317" i="1" a="1"/>
  <c r="W317" i="1" s="1"/>
  <c r="X317" i="1" s="1"/>
  <c r="W1220" i="1" a="1"/>
  <c r="W1220" i="1" s="1"/>
  <c r="X1220" i="1" s="1"/>
  <c r="Q1220" i="1"/>
  <c r="Q1168" i="1"/>
  <c r="W1168" i="1" a="1"/>
  <c r="W1168" i="1" s="1"/>
  <c r="X1168" i="1" s="1"/>
  <c r="W1068" i="1" a="1"/>
  <c r="W1068" i="1" s="1"/>
  <c r="X1068" i="1" s="1"/>
  <c r="Q1068" i="1"/>
  <c r="W1386" i="1" a="1"/>
  <c r="W1386" i="1" s="1"/>
  <c r="X1386" i="1" s="1"/>
  <c r="Q1386" i="1"/>
  <c r="Q177" i="1"/>
  <c r="W177" i="1" a="1"/>
  <c r="W177" i="1" s="1"/>
  <c r="X177" i="1" s="1"/>
  <c r="W1992" i="1" a="1"/>
  <c r="W1992" i="1" s="1"/>
  <c r="X1992" i="1" s="1"/>
  <c r="Q1992" i="1"/>
  <c r="Q1246" i="1"/>
  <c r="W1246" i="1" a="1"/>
  <c r="W1246" i="1" s="1"/>
  <c r="X1246" i="1" s="1"/>
  <c r="W224" i="1" a="1"/>
  <c r="W224" i="1" s="1"/>
  <c r="X224" i="1" s="1"/>
  <c r="Q224" i="1"/>
  <c r="W1208" i="1" a="1"/>
  <c r="W1208" i="1" s="1"/>
  <c r="X1208" i="1" s="1"/>
  <c r="Q1208" i="1"/>
  <c r="W1091" i="1" a="1"/>
  <c r="W1091" i="1" s="1"/>
  <c r="X1091" i="1" s="1"/>
  <c r="Q1091" i="1"/>
  <c r="Q37" i="1"/>
  <c r="W37" i="1" a="1"/>
  <c r="W37" i="1" s="1"/>
  <c r="X37" i="1" s="1"/>
  <c r="W1153" i="1" a="1"/>
  <c r="W1153" i="1" s="1"/>
  <c r="X1153" i="1" s="1"/>
  <c r="Q1153" i="1"/>
  <c r="W1382" i="1" a="1"/>
  <c r="W1382" i="1" s="1"/>
  <c r="X1382" i="1" s="1"/>
  <c r="Q1382" i="1"/>
  <c r="Q1567" i="1"/>
  <c r="W1567" i="1" a="1"/>
  <c r="W1567" i="1" s="1"/>
  <c r="X1567" i="1" s="1"/>
  <c r="W1230" i="1" a="1"/>
  <c r="W1230" i="1" s="1"/>
  <c r="X1230" i="1" s="1"/>
  <c r="Q1230" i="1"/>
  <c r="Q2003" i="1"/>
  <c r="W2003" i="1" a="1"/>
  <c r="W2003" i="1" s="1"/>
  <c r="X2003" i="1" s="1"/>
  <c r="Q1626" i="1"/>
  <c r="W1626" i="1" a="1"/>
  <c r="W1626" i="1" s="1"/>
  <c r="X1626" i="1" s="1"/>
  <c r="Q796" i="1"/>
  <c r="W796" i="1" a="1"/>
  <c r="W796" i="1" s="1"/>
  <c r="X796" i="1" s="1"/>
  <c r="W1912" i="1" a="1"/>
  <c r="W1912" i="1" s="1"/>
  <c r="X1912" i="1" s="1"/>
  <c r="Q1912" i="1"/>
  <c r="W613" i="1" a="1"/>
  <c r="W613" i="1" s="1"/>
  <c r="X613" i="1" s="1"/>
  <c r="Q613" i="1"/>
  <c r="W1250" i="1" a="1"/>
  <c r="W1250" i="1" s="1"/>
  <c r="X1250" i="1" s="1"/>
  <c r="Q1250" i="1"/>
  <c r="W1036" i="1" a="1"/>
  <c r="W1036" i="1" s="1"/>
  <c r="X1036" i="1" s="1"/>
  <c r="Q1036" i="1"/>
  <c r="Q1467" i="1"/>
  <c r="W1467" i="1" a="1"/>
  <c r="W1467" i="1" s="1"/>
  <c r="X1467" i="1" s="1"/>
  <c r="W869" i="1" a="1"/>
  <c r="W869" i="1" s="1"/>
  <c r="X869" i="1" s="1"/>
  <c r="Q869" i="1"/>
  <c r="W213" i="1" a="1"/>
  <c r="W213" i="1" s="1"/>
  <c r="X213" i="1" s="1"/>
  <c r="Q213" i="1"/>
  <c r="Q612" i="1"/>
  <c r="W612" i="1" a="1"/>
  <c r="W612" i="1" s="1"/>
  <c r="X612" i="1" s="1"/>
  <c r="W1552" i="1" a="1"/>
  <c r="W1552" i="1" s="1"/>
  <c r="X1552" i="1" s="1"/>
  <c r="Q1552" i="1"/>
  <c r="W1882" i="1" a="1"/>
  <c r="W1882" i="1" s="1"/>
  <c r="X1882" i="1" s="1"/>
  <c r="Q1882" i="1"/>
  <c r="W556" i="1" a="1"/>
  <c r="W556" i="1" s="1"/>
  <c r="X556" i="1" s="1"/>
  <c r="Q556" i="1"/>
  <c r="Q637" i="1"/>
  <c r="W637" i="1" a="1"/>
  <c r="W637" i="1" s="1"/>
  <c r="X637" i="1" s="1"/>
  <c r="W1136" i="1" a="1"/>
  <c r="W1136" i="1" s="1"/>
  <c r="X1136" i="1" s="1"/>
  <c r="Q1136" i="1"/>
  <c r="W22" i="1" a="1"/>
  <c r="W22" i="1" s="1"/>
  <c r="X22" i="1" s="1"/>
  <c r="Q22" i="1"/>
  <c r="W1850" i="1" a="1"/>
  <c r="W1850" i="1" s="1"/>
  <c r="X1850" i="1" s="1"/>
  <c r="Q1850" i="1"/>
  <c r="W1948" i="1" a="1"/>
  <c r="W1948" i="1" s="1"/>
  <c r="X1948" i="1" s="1"/>
  <c r="Q1948" i="1"/>
  <c r="W1213" i="1" a="1"/>
  <c r="W1213" i="1" s="1"/>
  <c r="X1213" i="1" s="1"/>
  <c r="Q1213" i="1"/>
  <c r="W1251" i="1" a="1"/>
  <c r="W1251" i="1" s="1"/>
  <c r="X1251" i="1" s="1"/>
  <c r="Q1251" i="1"/>
  <c r="W1990" i="1" a="1"/>
  <c r="W1990" i="1" s="1"/>
  <c r="X1990" i="1" s="1"/>
  <c r="Q1990" i="1"/>
  <c r="Q1277" i="1"/>
  <c r="W1277" i="1" a="1"/>
  <c r="W1277" i="1" s="1"/>
  <c r="X1277" i="1" s="1"/>
  <c r="Q1847" i="1"/>
  <c r="W1847" i="1" a="1"/>
  <c r="W1847" i="1" s="1"/>
  <c r="X1847" i="1" s="1"/>
  <c r="Q1936" i="1"/>
  <c r="W1936" i="1" a="1"/>
  <c r="W1936" i="1" s="1"/>
  <c r="X1936" i="1" s="1"/>
  <c r="W1861" i="1" a="1"/>
  <c r="W1861" i="1" s="1"/>
  <c r="X1861" i="1" s="1"/>
  <c r="Q1861" i="1"/>
  <c r="W1141" i="1" a="1"/>
  <c r="W1141" i="1" s="1"/>
  <c r="X1141" i="1" s="1"/>
  <c r="Q1141" i="1"/>
  <c r="W153" i="1" a="1"/>
  <c r="W153" i="1" s="1"/>
  <c r="X153" i="1" s="1"/>
  <c r="Q153" i="1"/>
  <c r="W1594" i="1" a="1"/>
  <c r="W1594" i="1" s="1"/>
  <c r="X1594" i="1" s="1"/>
  <c r="Q1594" i="1"/>
  <c r="Q435" i="1"/>
  <c r="W435" i="1" a="1"/>
  <c r="W435" i="1" s="1"/>
  <c r="X435" i="1" s="1"/>
  <c r="W1961" i="1" a="1"/>
  <c r="W1961" i="1" s="1"/>
  <c r="X1961" i="1" s="1"/>
  <c r="Q1961" i="1"/>
  <c r="Q1627" i="1"/>
  <c r="W1627" i="1" a="1"/>
  <c r="W1627" i="1" s="1"/>
  <c r="X1627" i="1" s="1"/>
  <c r="W413" i="1" a="1"/>
  <c r="W413" i="1" s="1"/>
  <c r="X413" i="1" s="1"/>
  <c r="Q413" i="1"/>
  <c r="W1303" i="1" a="1"/>
  <c r="W1303" i="1" s="1"/>
  <c r="X1303" i="1" s="1"/>
  <c r="Q1303" i="1"/>
  <c r="W1185" i="1" a="1"/>
  <c r="W1185" i="1" s="1"/>
  <c r="X1185" i="1" s="1"/>
  <c r="Q1185" i="1"/>
  <c r="W1676" i="1" a="1"/>
  <c r="W1676" i="1" s="1"/>
  <c r="X1676" i="1" s="1"/>
  <c r="Q1676" i="1"/>
  <c r="W1566" i="1" a="1"/>
  <c r="W1566" i="1" s="1"/>
  <c r="X1566" i="1" s="1"/>
  <c r="Q1566" i="1"/>
  <c r="W1302" i="1" a="1"/>
  <c r="W1302" i="1" s="1"/>
  <c r="X1302" i="1" s="1"/>
  <c r="Q1302" i="1"/>
  <c r="W330" i="1" a="1"/>
  <c r="W330" i="1" s="1"/>
  <c r="X330" i="1" s="1"/>
  <c r="Q330" i="1"/>
  <c r="W1194" i="1" a="1"/>
  <c r="W1194" i="1" s="1"/>
  <c r="X1194" i="1" s="1"/>
  <c r="Q1194" i="1"/>
  <c r="W555" i="1" a="1"/>
  <c r="W555" i="1" s="1"/>
  <c r="X555" i="1" s="1"/>
  <c r="Q555" i="1"/>
  <c r="W623" i="1" a="1"/>
  <c r="W623" i="1" s="1"/>
  <c r="X623" i="1" s="1"/>
  <c r="Q623" i="1"/>
  <c r="Q1899" i="1"/>
  <c r="W1899" i="1" a="1"/>
  <c r="W1899" i="1" s="1"/>
  <c r="X1899" i="1" s="1"/>
  <c r="W281" i="1" a="1"/>
  <c r="W281" i="1" s="1"/>
  <c r="X281" i="1" s="1"/>
  <c r="Q281" i="1"/>
  <c r="Q1388" i="1"/>
  <c r="W1388" i="1" a="1"/>
  <c r="W1388" i="1" s="1"/>
  <c r="X1388" i="1" s="1"/>
  <c r="W739" i="1" a="1"/>
  <c r="W739" i="1" s="1"/>
  <c r="X739" i="1" s="1"/>
  <c r="Q739" i="1"/>
  <c r="Q1982" i="1"/>
  <c r="W1982" i="1" a="1"/>
  <c r="W1982" i="1" s="1"/>
  <c r="X1982" i="1" s="1"/>
  <c r="W1059" i="1" a="1"/>
  <c r="W1059" i="1" s="1"/>
  <c r="X1059" i="1" s="1"/>
  <c r="Q1059" i="1"/>
  <c r="W1484" i="1" a="1"/>
  <c r="W1484" i="1" s="1"/>
  <c r="X1484" i="1" s="1"/>
  <c r="Q1484" i="1"/>
  <c r="Q1920" i="1"/>
  <c r="W1920" i="1" a="1"/>
  <c r="W1920" i="1" s="1"/>
  <c r="X1920" i="1" s="1"/>
  <c r="W1171" i="1" a="1"/>
  <c r="W1171" i="1" s="1"/>
  <c r="X1171" i="1" s="1"/>
  <c r="Q1171" i="1"/>
  <c r="W1269" i="1" a="1"/>
  <c r="W1269" i="1" s="1"/>
  <c r="X1269" i="1" s="1"/>
  <c r="Q1269" i="1"/>
  <c r="W1040" i="1" a="1"/>
  <c r="W1040" i="1" s="1"/>
  <c r="X1040" i="1" s="1"/>
  <c r="Q1040" i="1"/>
  <c r="W1638" i="1" a="1"/>
  <c r="W1638" i="1" s="1"/>
  <c r="X1638" i="1" s="1"/>
  <c r="Q1638" i="1"/>
  <c r="W1025" i="1" a="1"/>
  <c r="W1025" i="1" s="1"/>
  <c r="X1025" i="1" s="1"/>
  <c r="Q1025" i="1"/>
  <c r="Q1930" i="1"/>
  <c r="W1930" i="1" a="1"/>
  <c r="W1930" i="1" s="1"/>
  <c r="X1930" i="1" s="1"/>
  <c r="W628" i="1" a="1"/>
  <c r="W628" i="1" s="1"/>
  <c r="X628" i="1" s="1"/>
  <c r="Q628" i="1"/>
  <c r="W1113" i="1" a="1"/>
  <c r="W1113" i="1" s="1"/>
  <c r="X1113" i="1" s="1"/>
  <c r="Q1113" i="1"/>
  <c r="W1240" i="1" a="1"/>
  <c r="W1240" i="1" s="1"/>
  <c r="X1240" i="1" s="1"/>
  <c r="Q1240" i="1"/>
  <c r="W1605" i="1" a="1"/>
  <c r="W1605" i="1" s="1"/>
  <c r="X1605" i="1" s="1"/>
  <c r="Q1605" i="1"/>
  <c r="W642" i="1" a="1"/>
  <c r="W642" i="1" s="1"/>
  <c r="X642" i="1" s="1"/>
  <c r="Q642" i="1"/>
  <c r="W256" i="1" a="1"/>
  <c r="W256" i="1" s="1"/>
  <c r="X256" i="1" s="1"/>
  <c r="Q256" i="1"/>
  <c r="W1172" i="1" a="1"/>
  <c r="W1172" i="1" s="1"/>
  <c r="X1172" i="1" s="1"/>
  <c r="Q1172" i="1"/>
  <c r="W16" i="1" a="1"/>
  <c r="W16" i="1" s="1"/>
  <c r="X16" i="1" s="1"/>
  <c r="Q16" i="1"/>
  <c r="W615" i="1" a="1"/>
  <c r="W615" i="1" s="1"/>
  <c r="X615" i="1" s="1"/>
  <c r="Q615" i="1"/>
  <c r="Q1565" i="1"/>
  <c r="W1565" i="1" a="1"/>
  <c r="W1565" i="1" s="1"/>
  <c r="X1565" i="1" s="1"/>
  <c r="W416" i="1" a="1"/>
  <c r="W416" i="1" s="1"/>
  <c r="X416" i="1" s="1"/>
  <c r="Q416" i="1"/>
  <c r="W116" i="1" a="1"/>
  <c r="W116" i="1" s="1"/>
  <c r="X116" i="1" s="1"/>
  <c r="Q116" i="1"/>
  <c r="Q1837" i="1"/>
  <c r="W1837" i="1" a="1"/>
  <c r="W1837" i="1" s="1"/>
  <c r="X1837" i="1" s="1"/>
  <c r="W1095" i="1" a="1"/>
  <c r="W1095" i="1" s="1"/>
  <c r="X1095" i="1" s="1"/>
  <c r="Q1095" i="1"/>
  <c r="W1315" i="1" a="1"/>
  <c r="W1315" i="1" s="1"/>
  <c r="X1315" i="1" s="1"/>
  <c r="Q1315" i="1"/>
  <c r="W656" i="1" a="1"/>
  <c r="W656" i="1" s="1"/>
  <c r="X656" i="1" s="1"/>
  <c r="Q656" i="1"/>
  <c r="W1856" i="1" a="1"/>
  <c r="W1856" i="1" s="1"/>
  <c r="X1856" i="1" s="1"/>
  <c r="Q1856" i="1"/>
  <c r="W1860" i="1" a="1"/>
  <c r="W1860" i="1" s="1"/>
  <c r="X1860" i="1" s="1"/>
  <c r="Q1860" i="1"/>
  <c r="W1863" i="1" a="1"/>
  <c r="W1863" i="1" s="1"/>
  <c r="X1863" i="1" s="1"/>
  <c r="Q1863" i="1"/>
  <c r="W1114" i="1" a="1"/>
  <c r="W1114" i="1" s="1"/>
  <c r="X1114" i="1" s="1"/>
  <c r="Q1114" i="1"/>
  <c r="Q741" i="1"/>
  <c r="W741" i="1" a="1"/>
  <c r="W741" i="1" s="1"/>
  <c r="X741" i="1" s="1"/>
  <c r="W158" i="1" a="1"/>
  <c r="W158" i="1" s="1"/>
  <c r="X158" i="1" s="1"/>
  <c r="Q158" i="1"/>
  <c r="Q1247" i="1"/>
  <c r="W1247" i="1" a="1"/>
  <c r="W1247" i="1" s="1"/>
  <c r="X1247" i="1" s="1"/>
  <c r="W1994" i="1" a="1"/>
  <c r="W1994" i="1" s="1"/>
  <c r="X1994" i="1" s="1"/>
  <c r="Q1994" i="1"/>
  <c r="W1051" i="1" a="1"/>
  <c r="W1051" i="1" s="1"/>
  <c r="X1051" i="1" s="1"/>
  <c r="Q1051" i="1"/>
  <c r="Q1007" i="1"/>
  <c r="W1007" i="1" a="1"/>
  <c r="W1007" i="1" s="1"/>
  <c r="X1007" i="1" s="1"/>
  <c r="W1295" i="1" a="1"/>
  <c r="W1295" i="1" s="1"/>
  <c r="X1295" i="1" s="1"/>
  <c r="Q1295" i="1"/>
  <c r="Q1655" i="1"/>
  <c r="W1655" i="1" a="1"/>
  <c r="W1655" i="1" s="1"/>
  <c r="X1655" i="1" s="1"/>
  <c r="W1645" i="1" a="1"/>
  <c r="W1645" i="1" s="1"/>
  <c r="X1645" i="1" s="1"/>
  <c r="Q1645" i="1"/>
  <c r="W1879" i="1" a="1"/>
  <c r="W1879" i="1" s="1"/>
  <c r="X1879" i="1" s="1"/>
  <c r="Q1879" i="1"/>
  <c r="W1922" i="1" a="1"/>
  <c r="W1922" i="1" s="1"/>
  <c r="X1922" i="1" s="1"/>
  <c r="Q1922" i="1"/>
  <c r="W1189" i="1" a="1"/>
  <c r="W1189" i="1" s="1"/>
  <c r="X1189" i="1" s="1"/>
  <c r="Q1189" i="1"/>
  <c r="W5" i="1" a="1"/>
  <c r="W5" i="1" s="1"/>
  <c r="X5" i="1" s="1"/>
  <c r="Q5" i="1"/>
  <c r="W759" i="1" a="1"/>
  <c r="W759" i="1" s="1"/>
  <c r="X759" i="1" s="1"/>
  <c r="Q759" i="1"/>
  <c r="Q1596" i="1"/>
  <c r="W1596" i="1" a="1"/>
  <c r="W1596" i="1" s="1"/>
  <c r="X1596" i="1" s="1"/>
  <c r="W1991" i="1" a="1"/>
  <c r="W1991" i="1" s="1"/>
  <c r="X1991" i="1" s="1"/>
  <c r="Q1991" i="1"/>
  <c r="W30" i="1" a="1"/>
  <c r="W30" i="1" s="1"/>
  <c r="X30" i="1" s="1"/>
  <c r="Q30" i="1"/>
  <c r="W426" i="1" a="1"/>
  <c r="W426" i="1" s="1"/>
  <c r="X426" i="1" s="1"/>
  <c r="Q426" i="1"/>
  <c r="W472" i="1" a="1"/>
  <c r="W472" i="1" s="1"/>
  <c r="X472" i="1" s="1"/>
  <c r="Q472" i="1"/>
  <c r="W374" i="1" a="1"/>
  <c r="W374" i="1" s="1"/>
  <c r="X374" i="1" s="1"/>
  <c r="Q374" i="1"/>
  <c r="W243" i="1" a="1"/>
  <c r="W243" i="1" s="1"/>
  <c r="X243" i="1" s="1"/>
  <c r="Q243" i="1"/>
  <c r="N9" i="7" s="1"/>
  <c r="U9" i="7" s="1"/>
  <c r="W1331" i="1" a="1"/>
  <c r="W1331" i="1" s="1"/>
  <c r="X1331" i="1" s="1"/>
  <c r="Q1331" i="1"/>
  <c r="N40" i="7" s="1"/>
  <c r="U40" i="7" s="1"/>
  <c r="W1215" i="1" a="1"/>
  <c r="W1215" i="1" s="1"/>
  <c r="X1215" i="1" s="1"/>
  <c r="Q1215" i="1"/>
  <c r="W1062" i="1" a="1"/>
  <c r="W1062" i="1" s="1"/>
  <c r="X1062" i="1" s="1"/>
  <c r="Q1062" i="1"/>
  <c r="W632" i="1" a="1"/>
  <c r="W632" i="1" s="1"/>
  <c r="X632" i="1" s="1"/>
  <c r="Q632" i="1"/>
  <c r="W1125" i="1" a="1"/>
  <c r="W1125" i="1" s="1"/>
  <c r="X1125" i="1" s="1"/>
  <c r="Q1125" i="1"/>
  <c r="W744" i="1" a="1"/>
  <c r="W744" i="1" s="1"/>
  <c r="X744" i="1" s="1"/>
  <c r="Q744" i="1"/>
  <c r="W1134" i="1" a="1"/>
  <c r="W1134" i="1" s="1"/>
  <c r="X1134" i="1" s="1"/>
  <c r="Q1134" i="1"/>
  <c r="W1042" i="1" a="1"/>
  <c r="W1042" i="1" s="1"/>
  <c r="X1042" i="1" s="1"/>
  <c r="Q1042" i="1"/>
  <c r="W1126" i="1" a="1"/>
  <c r="W1126" i="1" s="1"/>
  <c r="X1126" i="1" s="1"/>
  <c r="Q1126" i="1"/>
  <c r="W1818" i="1" a="1"/>
  <c r="W1818" i="1" s="1"/>
  <c r="X1818" i="1" s="1"/>
  <c r="Q1818" i="1"/>
  <c r="N53" i="7" s="1"/>
  <c r="U53" i="7" s="1"/>
  <c r="Q1659" i="1"/>
  <c r="W1659" i="1" a="1"/>
  <c r="W1659" i="1" s="1"/>
  <c r="X1659" i="1" s="1"/>
  <c r="W818" i="1" a="1"/>
  <c r="W818" i="1" s="1"/>
  <c r="X818" i="1" s="1"/>
  <c r="Q818" i="1"/>
  <c r="W1844" i="1" a="1"/>
  <c r="W1844" i="1" s="1"/>
  <c r="X1844" i="1" s="1"/>
  <c r="Q1844" i="1"/>
  <c r="W1949" i="1" a="1"/>
  <c r="W1949" i="1" s="1"/>
  <c r="X1949" i="1" s="1"/>
  <c r="Q1949" i="1"/>
  <c r="Q543" i="1"/>
  <c r="W543" i="1" a="1"/>
  <c r="W543" i="1" s="1"/>
  <c r="X543" i="1" s="1"/>
  <c r="W1578" i="1" a="1"/>
  <c r="W1578" i="1" s="1"/>
  <c r="X1578" i="1" s="1"/>
  <c r="Q1578" i="1"/>
  <c r="W1152" i="1" a="1"/>
  <c r="W1152" i="1" s="1"/>
  <c r="X1152" i="1" s="1"/>
  <c r="Q1152" i="1"/>
  <c r="Q1367" i="1"/>
  <c r="W1367" i="1" a="1"/>
  <c r="W1367" i="1" s="1"/>
  <c r="X1367" i="1" s="1"/>
  <c r="W170" i="1" a="1"/>
  <c r="W170" i="1" s="1"/>
  <c r="X170" i="1" s="1"/>
  <c r="Q170" i="1"/>
  <c r="Q1686" i="1"/>
  <c r="W1686" i="1" a="1"/>
  <c r="W1686" i="1" s="1"/>
  <c r="X1686" i="1" s="1"/>
  <c r="W456" i="1" a="1"/>
  <c r="W456" i="1" s="1"/>
  <c r="X456" i="1" s="1"/>
  <c r="Q456" i="1"/>
  <c r="W36" i="1" a="1"/>
  <c r="W36" i="1" s="1"/>
  <c r="X36" i="1" s="1"/>
  <c r="Q36" i="1"/>
  <c r="Q797" i="1"/>
  <c r="W797" i="1" a="1"/>
  <c r="W797" i="1" s="1"/>
  <c r="X797" i="1" s="1"/>
  <c r="Q1065" i="1"/>
  <c r="W1065" i="1" a="1"/>
  <c r="W1065" i="1" s="1"/>
  <c r="X1065" i="1" s="1"/>
  <c r="W1082" i="1" a="1"/>
  <c r="W1082" i="1" s="1"/>
  <c r="X1082" i="1" s="1"/>
  <c r="Q1082" i="1"/>
  <c r="W758" i="1" a="1"/>
  <c r="W758" i="1" s="1"/>
  <c r="X758" i="1" s="1"/>
  <c r="Q758" i="1"/>
  <c r="W1445" i="1" a="1"/>
  <c r="W1445" i="1" s="1"/>
  <c r="X1445" i="1" s="1"/>
  <c r="Q1445" i="1"/>
  <c r="W549" i="1" a="1"/>
  <c r="W549" i="1" s="1"/>
  <c r="X549" i="1" s="1"/>
  <c r="Q549" i="1"/>
  <c r="Q1968" i="1"/>
  <c r="W1968" i="1" a="1"/>
  <c r="W1968" i="1" s="1"/>
  <c r="X1968" i="1" s="1"/>
  <c r="W1054" i="1" a="1"/>
  <c r="W1054" i="1" s="1"/>
  <c r="X1054" i="1" s="1"/>
  <c r="Q1054" i="1"/>
  <c r="W1569" i="1" a="1"/>
  <c r="W1569" i="1" s="1"/>
  <c r="X1569" i="1" s="1"/>
  <c r="Q1569" i="1"/>
  <c r="W669" i="1" a="1"/>
  <c r="W669" i="1" s="1"/>
  <c r="X669" i="1" s="1"/>
  <c r="Q669" i="1"/>
  <c r="W324" i="1" a="1"/>
  <c r="W324" i="1" s="1"/>
  <c r="X324" i="1" s="1"/>
  <c r="Q324" i="1"/>
  <c r="W1284" i="1" a="1"/>
  <c r="W1284" i="1" s="1"/>
  <c r="X1284" i="1" s="1"/>
  <c r="Q1284" i="1"/>
  <c r="Q1870" i="1"/>
  <c r="W1870" i="1" a="1"/>
  <c r="W1870" i="1" s="1"/>
  <c r="X1870" i="1" s="1"/>
  <c r="Q527" i="1"/>
  <c r="W527" i="1" a="1"/>
  <c r="W527" i="1" s="1"/>
  <c r="X527" i="1" s="1"/>
  <c r="Q1378" i="1"/>
  <c r="W1378" i="1" a="1"/>
  <c r="W1378" i="1" s="1"/>
  <c r="X1378" i="1" s="1"/>
  <c r="W1103" i="1" a="1"/>
  <c r="W1103" i="1" s="1"/>
  <c r="X1103" i="1" s="1"/>
  <c r="Q1103" i="1"/>
  <c r="W1280" i="1" a="1"/>
  <c r="W1280" i="1" s="1"/>
  <c r="X1280" i="1" s="1"/>
  <c r="Q1280" i="1"/>
  <c r="W308" i="1" a="1"/>
  <c r="W308" i="1" s="1"/>
  <c r="X308" i="1" s="1"/>
  <c r="Q308" i="1"/>
  <c r="W1868" i="1" a="1"/>
  <c r="W1868" i="1" s="1"/>
  <c r="X1868" i="1" s="1"/>
  <c r="Q1868" i="1"/>
  <c r="W1950" i="1" a="1"/>
  <c r="W1950" i="1" s="1"/>
  <c r="X1950" i="1" s="1"/>
  <c r="Q1950" i="1"/>
  <c r="W1079" i="1" a="1"/>
  <c r="W1079" i="1" s="1"/>
  <c r="X1079" i="1" s="1"/>
  <c r="Q1079" i="1"/>
  <c r="Q287" i="1"/>
  <c r="W287" i="1" a="1"/>
  <c r="W287" i="1" s="1"/>
  <c r="X287" i="1" s="1"/>
  <c r="W516" i="1" a="1"/>
  <c r="W516" i="1" s="1"/>
  <c r="X516" i="1" s="1"/>
  <c r="Q516" i="1"/>
  <c r="K17" i="7" s="1"/>
  <c r="Q1612" i="1"/>
  <c r="W1612" i="1" a="1"/>
  <c r="W1612" i="1" s="1"/>
  <c r="X1612" i="1" s="1"/>
  <c r="W295" i="1" a="1"/>
  <c r="W295" i="1" s="1"/>
  <c r="X295" i="1" s="1"/>
  <c r="Q295" i="1"/>
  <c r="W816" i="1" a="1"/>
  <c r="W816" i="1" s="1"/>
  <c r="X816" i="1" s="1"/>
  <c r="Q816" i="1"/>
  <c r="W381" i="1" a="1"/>
  <c r="W381" i="1" s="1"/>
  <c r="X381" i="1" s="1"/>
  <c r="Q381" i="1"/>
  <c r="W1859" i="1" a="1"/>
  <c r="W1859" i="1" s="1"/>
  <c r="X1859" i="1" s="1"/>
  <c r="Q1859" i="1"/>
  <c r="W1929" i="1" a="1"/>
  <c r="W1929" i="1" s="1"/>
  <c r="X1929" i="1" s="1"/>
  <c r="Q1929" i="1"/>
  <c r="Q1197" i="1"/>
  <c r="W1197" i="1" a="1"/>
  <c r="W1197" i="1" s="1"/>
  <c r="X1197" i="1" s="1"/>
  <c r="W621" i="1" a="1"/>
  <c r="W621" i="1" s="1"/>
  <c r="X621" i="1" s="1"/>
  <c r="Q621" i="1"/>
  <c r="W1780" i="1" a="1"/>
  <c r="W1780" i="1" s="1"/>
  <c r="X1780" i="1" s="1"/>
  <c r="Q1780" i="1"/>
  <c r="W1231" i="1" a="1"/>
  <c r="W1231" i="1" s="1"/>
  <c r="X1231" i="1" s="1"/>
  <c r="Q1231" i="1"/>
  <c r="W1969" i="1" a="1"/>
  <c r="W1969" i="1" s="1"/>
  <c r="X1969" i="1" s="1"/>
  <c r="Q1969" i="1"/>
  <c r="W1641" i="1" a="1"/>
  <c r="W1641" i="1" s="1"/>
  <c r="X1641" i="1" s="1"/>
  <c r="Q1641" i="1"/>
  <c r="W1649" i="1" a="1"/>
  <c r="W1649" i="1" s="1"/>
  <c r="X1649" i="1" s="1"/>
  <c r="Q1649" i="1"/>
  <c r="W294" i="1" a="1"/>
  <c r="W294" i="1" s="1"/>
  <c r="X294" i="1" s="1"/>
  <c r="Q294" i="1"/>
  <c r="W1938" i="1" a="1"/>
  <c r="W1938" i="1" s="1"/>
  <c r="X1938" i="1" s="1"/>
  <c r="Q1938" i="1"/>
  <c r="W1216" i="1" a="1"/>
  <c r="W1216" i="1" s="1"/>
  <c r="X1216" i="1" s="1"/>
  <c r="Q1216" i="1"/>
  <c r="W1179" i="1" a="1"/>
  <c r="W1179" i="1" s="1"/>
  <c r="X1179" i="1" s="1"/>
  <c r="Q1179" i="1"/>
  <c r="W760" i="1" a="1"/>
  <c r="W760" i="1" s="1"/>
  <c r="X760" i="1" s="1"/>
  <c r="Q760" i="1"/>
  <c r="W1385" i="1" a="1"/>
  <c r="W1385" i="1" s="1"/>
  <c r="X1385" i="1" s="1"/>
  <c r="Q1385" i="1"/>
  <c r="Q1601" i="1"/>
  <c r="W1601" i="1" a="1"/>
  <c r="W1601" i="1" s="1"/>
  <c r="X1601" i="1" s="1"/>
  <c r="W1239" i="1" a="1"/>
  <c r="W1239" i="1" s="1"/>
  <c r="X1239" i="1" s="1"/>
  <c r="Q1239" i="1"/>
  <c r="Q1052" i="1"/>
  <c r="W1052" i="1" a="1"/>
  <c r="W1052" i="1" s="1"/>
  <c r="X1052" i="1" s="1"/>
  <c r="W38" i="1" a="1"/>
  <c r="W38" i="1" s="1"/>
  <c r="X38" i="1" s="1"/>
  <c r="Q38" i="1"/>
  <c r="W313" i="1" a="1"/>
  <c r="W313" i="1" s="1"/>
  <c r="X313" i="1" s="1"/>
  <c r="Q313" i="1"/>
  <c r="Q806" i="1"/>
  <c r="W806" i="1" a="1"/>
  <c r="W806" i="1" s="1"/>
  <c r="X806" i="1" s="1"/>
  <c r="Q1647" i="1"/>
  <c r="W1647" i="1" a="1"/>
  <c r="W1647" i="1" s="1"/>
  <c r="X1647" i="1" s="1"/>
  <c r="W601" i="1" a="1"/>
  <c r="W601" i="1" s="1"/>
  <c r="X601" i="1" s="1"/>
  <c r="Q601" i="1"/>
  <c r="W18" i="1" a="1"/>
  <c r="W18" i="1" s="1"/>
  <c r="X18" i="1" s="1"/>
  <c r="Q18" i="1"/>
  <c r="Q1241" i="1"/>
  <c r="W1241" i="1" a="1"/>
  <c r="W1241" i="1" s="1"/>
  <c r="X1241" i="1" s="1"/>
  <c r="Q1768" i="1"/>
  <c r="W1768" i="1" a="1"/>
  <c r="W1768" i="1" s="1"/>
  <c r="X1768" i="1" s="1"/>
  <c r="W372" i="1" a="1"/>
  <c r="W372" i="1" s="1"/>
  <c r="X372" i="1" s="1"/>
  <c r="Q372" i="1"/>
  <c r="Q807" i="1"/>
  <c r="W807" i="1" a="1"/>
  <c r="W807" i="1" s="1"/>
  <c r="X807" i="1" s="1"/>
  <c r="W1878" i="1" a="1"/>
  <c r="W1878" i="1" s="1"/>
  <c r="X1878" i="1" s="1"/>
  <c r="Q1878" i="1"/>
  <c r="W539" i="1" a="1"/>
  <c r="W539" i="1" s="1"/>
  <c r="X539" i="1" s="1"/>
  <c r="Q539" i="1"/>
  <c r="W635" i="1" a="1"/>
  <c r="W635" i="1" s="1"/>
  <c r="X635" i="1" s="1"/>
  <c r="Q635" i="1"/>
  <c r="Q12" i="1"/>
  <c r="W12" i="1" a="1"/>
  <c r="W12" i="1" s="1"/>
  <c r="X12" i="1" s="1"/>
  <c r="W204" i="1" a="1"/>
  <c r="W204" i="1" s="1"/>
  <c r="X204" i="1" s="1"/>
  <c r="Q204" i="1"/>
  <c r="W1660" i="1" a="1"/>
  <c r="W1660" i="1" s="1"/>
  <c r="X1660" i="1" s="1"/>
  <c r="Q1660" i="1"/>
  <c r="W1855" i="1" a="1"/>
  <c r="W1855" i="1" s="1"/>
  <c r="X1855" i="1" s="1"/>
  <c r="Q1855" i="1"/>
  <c r="W536" i="1" a="1"/>
  <c r="W536" i="1" s="1"/>
  <c r="X536" i="1" s="1"/>
  <c r="Q536" i="1"/>
  <c r="Q1167" i="1"/>
  <c r="W1167" i="1" a="1"/>
  <c r="W1167" i="1" s="1"/>
  <c r="X1167" i="1" s="1"/>
  <c r="W1438" i="1" a="1"/>
  <c r="W1438" i="1" s="1"/>
  <c r="X1438" i="1" s="1"/>
  <c r="Q1438" i="1"/>
  <c r="W1371" i="1" a="1"/>
  <c r="W1371" i="1" s="1"/>
  <c r="X1371" i="1" s="1"/>
  <c r="Q1371" i="1"/>
  <c r="Q1279" i="1"/>
  <c r="W1279" i="1" a="1"/>
  <c r="W1279" i="1" s="1"/>
  <c r="X1279" i="1" s="1"/>
  <c r="W1318" i="1" a="1"/>
  <c r="W1318" i="1" s="1"/>
  <c r="X1318" i="1" s="1"/>
  <c r="Q1318" i="1"/>
  <c r="W1282" i="1" a="1"/>
  <c r="W1282" i="1" s="1"/>
  <c r="X1282" i="1" s="1"/>
  <c r="Q1282" i="1"/>
  <c r="Q377" i="1"/>
  <c r="W377" i="1" a="1"/>
  <c r="W377" i="1" s="1"/>
  <c r="X377" i="1" s="1"/>
  <c r="W1066" i="1" a="1"/>
  <c r="W1066" i="1" s="1"/>
  <c r="X1066" i="1" s="1"/>
  <c r="Q1066" i="1"/>
  <c r="W1606" i="1" a="1"/>
  <c r="W1606" i="1" s="1"/>
  <c r="X1606" i="1" s="1"/>
  <c r="Q1606" i="1"/>
  <c r="W692" i="1" a="1"/>
  <c r="W692" i="1" s="1"/>
  <c r="X692" i="1" s="1"/>
  <c r="Q692" i="1"/>
  <c r="W1298" i="1" a="1"/>
  <c r="W1298" i="1" s="1"/>
  <c r="X1298" i="1" s="1"/>
  <c r="Q1298" i="1"/>
  <c r="W388" i="1" a="1"/>
  <c r="W388" i="1" s="1"/>
  <c r="X388" i="1" s="1"/>
  <c r="Q388" i="1"/>
  <c r="W1871" i="1" a="1"/>
  <c r="W1871" i="1" s="1"/>
  <c r="X1871" i="1" s="1"/>
  <c r="Q1871" i="1"/>
  <c r="Q1952" i="1"/>
  <c r="W1952" i="1" a="1"/>
  <c r="W1952" i="1" s="1"/>
  <c r="X1952" i="1" s="1"/>
  <c r="Q557" i="1"/>
  <c r="W557" i="1" a="1"/>
  <c r="W557" i="1" s="1"/>
  <c r="X557" i="1" s="1"/>
  <c r="Q538" i="1"/>
  <c r="W538" i="1" a="1"/>
  <c r="W538" i="1" s="1"/>
  <c r="X538" i="1" s="1"/>
  <c r="W1131" i="1" a="1"/>
  <c r="W1131" i="1" s="1"/>
  <c r="X1131" i="1" s="1"/>
  <c r="Q1131" i="1"/>
  <c r="W764" i="1" a="1"/>
  <c r="W764" i="1" s="1"/>
  <c r="X764" i="1" s="1"/>
  <c r="Q764" i="1"/>
  <c r="W429" i="1" a="1"/>
  <c r="W429" i="1" s="1"/>
  <c r="X429" i="1" s="1"/>
  <c r="Q429" i="1"/>
  <c r="W1955" i="1" a="1"/>
  <c r="W1955" i="1" s="1"/>
  <c r="X1955" i="1" s="1"/>
  <c r="Q1955" i="1"/>
  <c r="W428" i="1" a="1"/>
  <c r="W428" i="1" s="1"/>
  <c r="X428" i="1" s="1"/>
  <c r="Q428" i="1"/>
  <c r="W680" i="1" a="1"/>
  <c r="W680" i="1" s="1"/>
  <c r="X680" i="1" s="1"/>
  <c r="Q680" i="1"/>
  <c r="W2028" i="1" a="1"/>
  <c r="W2028" i="1" s="1"/>
  <c r="X2028" i="1" s="1"/>
  <c r="Q2028" i="1"/>
  <c r="Q1845" i="1"/>
  <c r="W1845" i="1" a="1"/>
  <c r="W1845" i="1" s="1"/>
  <c r="X1845" i="1" s="1"/>
  <c r="W1943" i="1" a="1"/>
  <c r="W1943" i="1" s="1"/>
  <c r="X1943" i="1" s="1"/>
  <c r="Q1943" i="1"/>
  <c r="W1107" i="1" a="1"/>
  <c r="W1107" i="1" s="1"/>
  <c r="X1107" i="1" s="1"/>
  <c r="Q1107" i="1"/>
  <c r="Q2" i="1"/>
  <c r="Q627" i="1"/>
  <c r="W627" i="1" a="1"/>
  <c r="W627" i="1" s="1"/>
  <c r="X627" i="1" s="1"/>
  <c r="W1122" i="1" a="1"/>
  <c r="W1122" i="1" s="1"/>
  <c r="X1122" i="1" s="1"/>
  <c r="Q1122" i="1"/>
  <c r="Q743" i="1"/>
  <c r="W743" i="1" a="1"/>
  <c r="W743" i="1" s="1"/>
  <c r="X743" i="1" s="1"/>
  <c r="W161" i="1" a="1"/>
  <c r="W161" i="1" s="1"/>
  <c r="X161" i="1" s="1"/>
  <c r="Q161" i="1"/>
  <c r="Q1598" i="1"/>
  <c r="W1598" i="1" a="1"/>
  <c r="W1598" i="1" s="1"/>
  <c r="X1598" i="1" s="1"/>
  <c r="W1235" i="1" a="1"/>
  <c r="W1235" i="1" s="1"/>
  <c r="X1235" i="1" s="1"/>
  <c r="Q1235" i="1"/>
  <c r="W970" i="1" a="1"/>
  <c r="W970" i="1" s="1"/>
  <c r="X970" i="1" s="1"/>
  <c r="Q970" i="1"/>
  <c r="W1108" i="1" a="1"/>
  <c r="W1108" i="1" s="1"/>
  <c r="X1108" i="1" s="1"/>
  <c r="Q1108" i="1"/>
  <c r="Q32" i="1"/>
  <c r="W32" i="1" a="1"/>
  <c r="W32" i="1" s="1"/>
  <c r="X32" i="1" s="1"/>
  <c r="W618" i="1" a="1"/>
  <c r="W618" i="1" s="1"/>
  <c r="X618" i="1" s="1"/>
  <c r="Q618" i="1"/>
  <c r="W1886" i="1" a="1"/>
  <c r="W1886" i="1" s="1"/>
  <c r="X1886" i="1" s="1"/>
  <c r="Q1886" i="1"/>
  <c r="W285" i="1" a="1"/>
  <c r="W285" i="1" s="1"/>
  <c r="X285" i="1" s="1"/>
  <c r="Q285" i="1"/>
  <c r="W1018" i="1" a="1"/>
  <c r="W1018" i="1" s="1"/>
  <c r="X1018" i="1" s="1"/>
  <c r="Q1018" i="1"/>
  <c r="Q1999" i="1"/>
  <c r="W1999" i="1" a="1"/>
  <c r="W1999" i="1" s="1"/>
  <c r="X1999" i="1" s="1"/>
  <c r="W1019" i="1" a="1"/>
  <c r="W1019" i="1" s="1"/>
  <c r="X1019" i="1" s="1"/>
  <c r="Q1019" i="1"/>
  <c r="W1312" i="1" a="1"/>
  <c r="W1312" i="1" s="1"/>
  <c r="X1312" i="1" s="1"/>
  <c r="Q1312" i="1"/>
  <c r="Q847" i="1"/>
  <c r="W847" i="1" a="1"/>
  <c r="W847" i="1" s="1"/>
  <c r="X847" i="1" s="1"/>
  <c r="W554" i="1" a="1"/>
  <c r="W554" i="1" s="1"/>
  <c r="X554" i="1" s="1"/>
  <c r="Q554" i="1"/>
  <c r="Q1181" i="1"/>
  <c r="W1181" i="1" a="1"/>
  <c r="W1181" i="1" s="1"/>
  <c r="X1181" i="1" s="1"/>
  <c r="W1365" i="1" a="1"/>
  <c r="W1365" i="1" s="1"/>
  <c r="X1365" i="1" s="1"/>
  <c r="Q1365" i="1"/>
  <c r="W181" i="1" a="1"/>
  <c r="W181" i="1" s="1"/>
  <c r="X181" i="1" s="1"/>
  <c r="Q181" i="1"/>
  <c r="W1988" i="1" a="1"/>
  <c r="W1988" i="1" s="1"/>
  <c r="X1988" i="1" s="1"/>
  <c r="Q1988" i="1"/>
  <c r="W1644" i="1" a="1"/>
  <c r="W1644" i="1" s="1"/>
  <c r="X1644" i="1" s="1"/>
  <c r="Q1644" i="1"/>
  <c r="Q1917" i="1"/>
  <c r="W1917" i="1" a="1"/>
  <c r="W1917" i="1" s="1"/>
  <c r="X1917" i="1" s="1"/>
  <c r="W535" i="1" a="1"/>
  <c r="W535" i="1" s="1"/>
  <c r="X535" i="1" s="1"/>
  <c r="Q535" i="1"/>
  <c r="W1100" i="1" a="1"/>
  <c r="W1100" i="1" s="1"/>
  <c r="X1100" i="1" s="1"/>
  <c r="Q1100" i="1"/>
  <c r="W619" i="1" a="1"/>
  <c r="W619" i="1" s="1"/>
  <c r="X619" i="1" s="1"/>
  <c r="Q619" i="1"/>
  <c r="Q185" i="1"/>
  <c r="W185" i="1" a="1"/>
  <c r="W185" i="1" s="1"/>
  <c r="X185" i="1" s="1"/>
  <c r="W1960" i="1" a="1"/>
  <c r="W1960" i="1" s="1"/>
  <c r="X1960" i="1" s="1"/>
  <c r="Q1960" i="1"/>
  <c r="W1653" i="1" a="1"/>
  <c r="W1653" i="1" s="1"/>
  <c r="X1653" i="1" s="1"/>
  <c r="Q1653" i="1"/>
  <c r="W1839" i="1" a="1"/>
  <c r="W1839" i="1" s="1"/>
  <c r="X1839" i="1" s="1"/>
  <c r="Q1839" i="1"/>
  <c r="W1203" i="1" a="1"/>
  <c r="W1203" i="1" s="1"/>
  <c r="X1203" i="1" s="1"/>
  <c r="Q1203" i="1"/>
  <c r="W1274" i="1" a="1"/>
  <c r="W1274" i="1" s="1"/>
  <c r="X1274" i="1" s="1"/>
  <c r="Q1274" i="1"/>
  <c r="W402" i="1" a="1"/>
  <c r="W402" i="1" s="1"/>
  <c r="X402" i="1" s="1"/>
  <c r="Q402" i="1"/>
  <c r="W469" i="1" a="1"/>
  <c r="W469" i="1" s="1"/>
  <c r="X469" i="1" s="1"/>
  <c r="Q469" i="1"/>
  <c r="W476" i="1" a="1"/>
  <c r="W476" i="1" s="1"/>
  <c r="X476" i="1" s="1"/>
  <c r="Q476" i="1"/>
  <c r="W1925" i="1" a="1"/>
  <c r="W1925" i="1" s="1"/>
  <c r="X1925" i="1" s="1"/>
  <c r="Q1925" i="1"/>
  <c r="W1202" i="1" a="1"/>
  <c r="W1202" i="1" s="1"/>
  <c r="X1202" i="1" s="1"/>
  <c r="Q1202" i="1"/>
  <c r="W1180" i="1" a="1"/>
  <c r="W1180" i="1" s="1"/>
  <c r="X1180" i="1" s="1"/>
  <c r="Q1180" i="1"/>
  <c r="W4" i="1" a="1"/>
  <c r="W4" i="1" s="1"/>
  <c r="X4" i="1" s="1"/>
  <c r="Q4" i="1"/>
  <c r="Q1119" i="1"/>
  <c r="W1119" i="1" a="1"/>
  <c r="W1119" i="1" s="1"/>
  <c r="X1119" i="1" s="1"/>
  <c r="W1139" i="1" a="1"/>
  <c r="W1139" i="1" s="1"/>
  <c r="X1139" i="1" s="1"/>
  <c r="Q1139" i="1"/>
  <c r="W172" i="1" a="1"/>
  <c r="W172" i="1" s="1"/>
  <c r="X172" i="1" s="1"/>
  <c r="Q172" i="1"/>
  <c r="Q1984" i="1"/>
  <c r="W1984" i="1" a="1"/>
  <c r="W1984" i="1" s="1"/>
  <c r="X1984" i="1" s="1"/>
  <c r="W1026" i="1" a="1"/>
  <c r="W1026" i="1" s="1"/>
  <c r="X1026" i="1" s="1"/>
  <c r="Q1026" i="1"/>
  <c r="W311" i="1" a="1"/>
  <c r="W311" i="1" s="1"/>
  <c r="X311" i="1" s="1"/>
  <c r="Q311" i="1"/>
  <c r="W1666" i="1" a="1"/>
  <c r="W1666" i="1" s="1"/>
  <c r="X1666" i="1" s="1"/>
  <c r="Q1666" i="1"/>
  <c r="W1915" i="1" a="1"/>
  <c r="W1915" i="1" s="1"/>
  <c r="X1915" i="1" s="1"/>
  <c r="Q1915" i="1"/>
  <c r="Q1841" i="1"/>
  <c r="W1841" i="1" a="1"/>
  <c r="W1841" i="1" s="1"/>
  <c r="X1841" i="1" s="1"/>
  <c r="W1102" i="1" a="1"/>
  <c r="W1102" i="1" s="1"/>
  <c r="X1102" i="1" s="1"/>
  <c r="Q1102" i="1"/>
  <c r="W1154" i="1" a="1"/>
  <c r="W1154" i="1" s="1"/>
  <c r="X1154" i="1" s="1"/>
  <c r="Q1154" i="1"/>
  <c r="W745" i="1" a="1"/>
  <c r="W745" i="1" s="1"/>
  <c r="X745" i="1" s="1"/>
  <c r="Q745" i="1"/>
  <c r="Q187" i="1"/>
  <c r="W187" i="1" a="1"/>
  <c r="W187" i="1" s="1"/>
  <c r="X187" i="1" s="1"/>
  <c r="W1248" i="1" a="1"/>
  <c r="W1248" i="1" s="1"/>
  <c r="X1248" i="1" s="1"/>
  <c r="Q1248" i="1"/>
  <c r="W1962" i="1" a="1"/>
  <c r="W1962" i="1" s="1"/>
  <c r="X1962" i="1" s="1"/>
  <c r="Q1962" i="1"/>
  <c r="W434" i="1" a="1"/>
  <c r="W434" i="1" s="1"/>
  <c r="X434" i="1" s="1"/>
  <c r="Q434" i="1"/>
  <c r="W651" i="1" a="1"/>
  <c r="W651" i="1" s="1"/>
  <c r="X651" i="1" s="1"/>
  <c r="Q651" i="1"/>
  <c r="W1662" i="1" a="1"/>
  <c r="W1662" i="1" s="1"/>
  <c r="X1662" i="1" s="1"/>
  <c r="Q1662" i="1"/>
  <c r="Q1926" i="1"/>
  <c r="W1926" i="1" a="1"/>
  <c r="W1926" i="1" s="1"/>
  <c r="X1926" i="1" s="1"/>
  <c r="W1061" i="1" a="1"/>
  <c r="W1061" i="1" s="1"/>
  <c r="X1061" i="1" s="1"/>
  <c r="Q1061" i="1"/>
  <c r="W1112" i="1" a="1"/>
  <c r="W1112" i="1" s="1"/>
  <c r="X1112" i="1" s="1"/>
  <c r="Q1112" i="1"/>
  <c r="W449" i="1" a="1"/>
  <c r="W449" i="1" s="1"/>
  <c r="X449" i="1" s="1"/>
  <c r="Q449" i="1"/>
  <c r="Q2004" i="1"/>
  <c r="W2004" i="1" a="1"/>
  <c r="W2004" i="1" s="1"/>
  <c r="X2004" i="1" s="1"/>
  <c r="W1631" i="1" a="1"/>
  <c r="W1631" i="1" s="1"/>
  <c r="X1631" i="1" s="1"/>
  <c r="Q1631" i="1"/>
  <c r="W431" i="1" a="1"/>
  <c r="W431" i="1" s="1"/>
  <c r="X431" i="1" s="1"/>
  <c r="Q431" i="1"/>
  <c r="W1848" i="1" a="1"/>
  <c r="W1848" i="1" s="1"/>
  <c r="X1848" i="1" s="1"/>
  <c r="Q1848" i="1"/>
  <c r="W1075" i="1" a="1"/>
  <c r="W1075" i="1" s="1"/>
  <c r="X1075" i="1" s="1"/>
  <c r="Q1075" i="1"/>
  <c r="Q626" i="1"/>
  <c r="W626" i="1" a="1"/>
  <c r="W626" i="1" s="1"/>
  <c r="X626" i="1" s="1"/>
  <c r="W282" i="1" a="1"/>
  <c r="W282" i="1" s="1"/>
  <c r="X282" i="1" s="1"/>
  <c r="Q282" i="1"/>
  <c r="W1129" i="1" a="1"/>
  <c r="W1129" i="1" s="1"/>
  <c r="X1129" i="1" s="1"/>
  <c r="Q1129" i="1"/>
  <c r="W1118" i="1" a="1"/>
  <c r="W1118" i="1" s="1"/>
  <c r="X1118" i="1" s="1"/>
  <c r="Q1118" i="1"/>
  <c r="W1558" i="1" a="1"/>
  <c r="W1558" i="1" s="1"/>
  <c r="X1558" i="1" s="1"/>
  <c r="Q1558" i="1"/>
  <c r="W1656" i="1" a="1"/>
  <c r="W1656" i="1" s="1"/>
  <c r="X1656" i="1" s="1"/>
  <c r="Q1656" i="1"/>
  <c r="W1876" i="1" a="1"/>
  <c r="W1876" i="1" s="1"/>
  <c r="X1876" i="1" s="1"/>
  <c r="Q1876" i="1"/>
  <c r="W634" i="1" a="1"/>
  <c r="W634" i="1" s="1"/>
  <c r="X634" i="1" s="1"/>
  <c r="Q634" i="1"/>
  <c r="W1110" i="1" a="1"/>
  <c r="W1110" i="1" s="1"/>
  <c r="X1110" i="1" s="1"/>
  <c r="Q1110" i="1"/>
  <c r="W1099" i="1" a="1"/>
  <c r="W1099" i="1" s="1"/>
  <c r="X1099" i="1" s="1"/>
  <c r="Q1099" i="1"/>
  <c r="W1245" i="1" a="1"/>
  <c r="W1245" i="1" s="1"/>
  <c r="X1245" i="1" s="1"/>
  <c r="Q1245" i="1"/>
  <c r="Q1047" i="1"/>
  <c r="W1047" i="1" a="1"/>
  <c r="W1047" i="1" s="1"/>
  <c r="X1047" i="1" s="1"/>
  <c r="W406" i="1" a="1"/>
  <c r="W406" i="1" s="1"/>
  <c r="X406" i="1" s="1"/>
  <c r="Q406" i="1"/>
  <c r="W930" i="1" a="1"/>
  <c r="W930" i="1" s="1"/>
  <c r="X930" i="1" s="1"/>
  <c r="Q930" i="1"/>
  <c r="W660" i="1" a="1"/>
  <c r="W660" i="1" s="1"/>
  <c r="X660" i="1" s="1"/>
  <c r="Q660" i="1"/>
  <c r="N23" i="7"/>
  <c r="U23" i="7" s="1"/>
  <c r="Q1877" i="1"/>
  <c r="W1877" i="1" a="1"/>
  <c r="W1877" i="1" s="1"/>
  <c r="X1877" i="1" s="1"/>
  <c r="W1951" i="1" a="1"/>
  <c r="W1951" i="1" s="1"/>
  <c r="X1951" i="1" s="1"/>
  <c r="Q1951" i="1"/>
  <c r="Q1195" i="1"/>
  <c r="W1195" i="1" a="1"/>
  <c r="W1195" i="1" s="1"/>
  <c r="X1195" i="1" s="1"/>
  <c r="W17" i="1" a="1"/>
  <c r="W17" i="1" s="1"/>
  <c r="X17" i="1" s="1"/>
  <c r="Q17" i="1"/>
  <c r="W1120" i="1" a="1"/>
  <c r="W1120" i="1" s="1"/>
  <c r="X1120" i="1" s="1"/>
  <c r="Q1120" i="1"/>
  <c r="W146" i="1" a="1"/>
  <c r="W146" i="1" s="1"/>
  <c r="X146" i="1" s="1"/>
  <c r="Q146" i="1"/>
  <c r="W440" i="1" a="1"/>
  <c r="W440" i="1" s="1"/>
  <c r="X440" i="1" s="1"/>
  <c r="Q440" i="1"/>
  <c r="W1636" i="1" a="1"/>
  <c r="W1636" i="1" s="1"/>
  <c r="X1636" i="1" s="1"/>
  <c r="Q1636" i="1"/>
  <c r="Q1652" i="1"/>
  <c r="W1652" i="1" a="1"/>
  <c r="W1652" i="1" s="1"/>
  <c r="X1652" i="1" s="1"/>
  <c r="W100" i="1" a="1"/>
  <c r="W100" i="1" s="1"/>
  <c r="X100" i="1" s="1"/>
  <c r="Q100" i="1"/>
  <c r="W1654" i="1" a="1"/>
  <c r="W1654" i="1" s="1"/>
  <c r="X1654" i="1" s="1"/>
  <c r="Q1654" i="1"/>
  <c r="W275" i="1" a="1"/>
  <c r="W275" i="1" s="1"/>
  <c r="X275" i="1" s="1"/>
  <c r="Q275" i="1"/>
  <c r="W1249" i="1" a="1"/>
  <c r="W1249" i="1" s="1"/>
  <c r="X1249" i="1" s="1"/>
  <c r="Q1249" i="1"/>
  <c r="W1055" i="1" a="1"/>
  <c r="W1055" i="1" s="1"/>
  <c r="X1055" i="1" s="1"/>
  <c r="Q1055" i="1"/>
  <c r="W404" i="1" a="1"/>
  <c r="W404" i="1" s="1"/>
  <c r="X404" i="1" s="1"/>
  <c r="Q404" i="1"/>
  <c r="W135" i="1" a="1"/>
  <c r="W135" i="1" s="1"/>
  <c r="X135" i="1" s="1"/>
  <c r="Q135" i="1"/>
  <c r="W546" i="1" a="1"/>
  <c r="W546" i="1" s="1"/>
  <c r="X546" i="1" s="1"/>
  <c r="Q546" i="1"/>
  <c r="W1187" i="1" a="1"/>
  <c r="W1187" i="1" s="1"/>
  <c r="X1187" i="1" s="1"/>
  <c r="Q1187" i="1"/>
  <c r="Q1088" i="1"/>
  <c r="W1088" i="1" a="1"/>
  <c r="W1088" i="1" s="1"/>
  <c r="X1088" i="1" s="1"/>
  <c r="Q1757" i="1"/>
  <c r="W1757" i="1" a="1"/>
  <c r="W1757" i="1" s="1"/>
  <c r="X1757" i="1" s="1"/>
  <c r="W218" i="1" a="1"/>
  <c r="W218" i="1" s="1"/>
  <c r="X218" i="1" s="1"/>
  <c r="Q218" i="1"/>
  <c r="Q1858" i="1"/>
  <c r="W1858" i="1" a="1"/>
  <c r="W1858" i="1" s="1"/>
  <c r="X1858" i="1" s="1"/>
  <c r="Q1888" i="1"/>
  <c r="W1888" i="1" a="1"/>
  <c r="W1888" i="1" s="1"/>
  <c r="X1888" i="1" s="1"/>
  <c r="W10" i="1" a="1"/>
  <c r="W10" i="1" s="1"/>
  <c r="X10" i="1" s="1"/>
  <c r="Q10" i="1"/>
  <c r="W278" i="1" a="1"/>
  <c r="W278" i="1" s="1"/>
  <c r="X278" i="1" s="1"/>
  <c r="Q278" i="1"/>
  <c r="W460" i="1" a="1"/>
  <c r="W460" i="1" s="1"/>
  <c r="X460" i="1" s="1"/>
  <c r="Q460" i="1"/>
  <c r="Q688" i="1"/>
  <c r="W688" i="1" a="1"/>
  <c r="W688" i="1" s="1"/>
  <c r="X688" i="1" s="1"/>
  <c r="Q1865" i="1"/>
  <c r="W1865" i="1" a="1"/>
  <c r="W1865" i="1" s="1"/>
  <c r="X1865" i="1" s="1"/>
  <c r="W1178" i="1" a="1"/>
  <c r="W1178" i="1" s="1"/>
  <c r="X1178" i="1" s="1"/>
  <c r="Q1178" i="1"/>
  <c r="W1435" i="1" a="1"/>
  <c r="W1435" i="1" s="1"/>
  <c r="X1435" i="1" s="1"/>
  <c r="Q1435" i="1"/>
  <c r="W1111" i="1" a="1"/>
  <c r="W1111" i="1" s="1"/>
  <c r="X1111" i="1" s="1"/>
  <c r="Q1111" i="1"/>
  <c r="W182" i="1" a="1"/>
  <c r="W182" i="1" s="1"/>
  <c r="X182" i="1" s="1"/>
  <c r="Q182" i="1"/>
  <c r="W448" i="1" a="1"/>
  <c r="W448" i="1" s="1"/>
  <c r="X448" i="1" s="1"/>
  <c r="Q448" i="1"/>
  <c r="W1020" i="1" a="1"/>
  <c r="W1020" i="1" s="1"/>
  <c r="X1020" i="1" s="1"/>
  <c r="Q1020" i="1"/>
  <c r="W228" i="1" a="1"/>
  <c r="W228" i="1" s="1"/>
  <c r="X228" i="1" s="1"/>
  <c r="Q228" i="1"/>
  <c r="W1851" i="1" a="1"/>
  <c r="W1851" i="1" s="1"/>
  <c r="X1851" i="1" s="1"/>
  <c r="Q1851" i="1"/>
  <c r="W550" i="1" a="1"/>
  <c r="W550" i="1" s="1"/>
  <c r="X550" i="1" s="1"/>
  <c r="Q550" i="1"/>
  <c r="W1264" i="1" a="1"/>
  <c r="W1264" i="1" s="1"/>
  <c r="X1264" i="1" s="1"/>
  <c r="Q1264" i="1"/>
  <c r="W442" i="1" a="1"/>
  <c r="W442" i="1" s="1"/>
  <c r="X442" i="1" s="1"/>
  <c r="Q442" i="1"/>
  <c r="Q1956" i="1"/>
  <c r="W1956" i="1" a="1"/>
  <c r="W1956" i="1" s="1"/>
  <c r="X1956" i="1" s="1"/>
  <c r="Q21" i="1"/>
  <c r="W21" i="1" a="1"/>
  <c r="W21" i="1" s="1"/>
  <c r="X21" i="1" s="1"/>
  <c r="Q887" i="1"/>
  <c r="L28" i="7" s="1"/>
  <c r="W887" i="1" a="1"/>
  <c r="W887" i="1" s="1"/>
  <c r="X887" i="1" s="1"/>
  <c r="W1914" i="1" a="1"/>
  <c r="W1914" i="1" s="1"/>
  <c r="X1914" i="1" s="1"/>
  <c r="Q1914" i="1"/>
  <c r="Q1207" i="1"/>
  <c r="W1207" i="1" a="1"/>
  <c r="W1207" i="1" s="1"/>
  <c r="X1207" i="1" s="1"/>
  <c r="Q1919" i="1"/>
  <c r="L56" i="7" s="1"/>
  <c r="W1919" i="1" a="1"/>
  <c r="W1919" i="1" s="1"/>
  <c r="X1919" i="1" s="1"/>
  <c r="W1761" i="1" a="1"/>
  <c r="W1761" i="1" s="1"/>
  <c r="X1761" i="1" s="1"/>
  <c r="Q1761" i="1"/>
  <c r="W1046" i="1" a="1"/>
  <c r="W1046" i="1" s="1"/>
  <c r="X1046" i="1" s="1"/>
  <c r="Q1046" i="1"/>
  <c r="W178" i="1" a="1"/>
  <c r="W178" i="1" s="1"/>
  <c r="X178" i="1" s="1"/>
  <c r="Q178" i="1"/>
  <c r="W598" i="1" a="1"/>
  <c r="W598" i="1" s="1"/>
  <c r="X598" i="1" s="1"/>
  <c r="Q598" i="1"/>
  <c r="Q1501" i="1"/>
  <c r="N44" i="7" s="1"/>
  <c r="U44" i="7" s="1"/>
  <c r="W1501" i="1" a="1"/>
  <c r="W1501" i="1" s="1"/>
  <c r="X1501" i="1" s="1"/>
  <c r="W1670" i="1" a="1"/>
  <c r="W1670" i="1" s="1"/>
  <c r="X1670" i="1" s="1"/>
  <c r="Q1670" i="1"/>
  <c r="W1862" i="1" a="1"/>
  <c r="W1862" i="1" s="1"/>
  <c r="X1862" i="1" s="1"/>
  <c r="Q1862" i="1"/>
  <c r="W682" i="1" a="1"/>
  <c r="W682" i="1" s="1"/>
  <c r="X682" i="1" s="1"/>
  <c r="Q682" i="1"/>
  <c r="W1954" i="1" a="1"/>
  <c r="W1954" i="1" s="1"/>
  <c r="X1954" i="1" s="1"/>
  <c r="Q1954" i="1"/>
  <c r="Q1607" i="1"/>
  <c r="W1607" i="1" a="1"/>
  <c r="W1607" i="1" s="1"/>
  <c r="X1607" i="1" s="1"/>
  <c r="W371" i="1" a="1"/>
  <c r="W371" i="1" s="1"/>
  <c r="X371" i="1" s="1"/>
  <c r="Q371" i="1"/>
  <c r="Q1443" i="1"/>
  <c r="W1443" i="1" a="1"/>
  <c r="W1443" i="1" s="1"/>
  <c r="X1443" i="1" s="1"/>
  <c r="Q1276" i="1"/>
  <c r="W1276" i="1" a="1"/>
  <c r="W1276" i="1" s="1"/>
  <c r="X1276" i="1" s="1"/>
  <c r="W1210" i="1" a="1"/>
  <c r="W1210" i="1" s="1"/>
  <c r="X1210" i="1" s="1"/>
  <c r="Q1210" i="1"/>
  <c r="W1160" i="1" a="1"/>
  <c r="W1160" i="1" s="1"/>
  <c r="X1160" i="1" s="1"/>
  <c r="Q1160" i="1"/>
  <c r="W1369" i="1" a="1"/>
  <c r="W1369" i="1" s="1"/>
  <c r="X1369" i="1" s="1"/>
  <c r="Q1369" i="1"/>
  <c r="Q1585" i="1"/>
  <c r="W1585" i="1" a="1"/>
  <c r="W1585" i="1" s="1"/>
  <c r="X1585" i="1" s="1"/>
  <c r="Q1973" i="1"/>
  <c r="W1973" i="1" a="1"/>
  <c r="W1973" i="1" s="1"/>
  <c r="X1973" i="1" s="1"/>
  <c r="W1498" i="1" a="1"/>
  <c r="W1498" i="1" s="1"/>
  <c r="X1498" i="1" s="1"/>
  <c r="Q1498" i="1"/>
  <c r="W378" i="1" a="1"/>
  <c r="W378" i="1" s="1"/>
  <c r="X378" i="1" s="1"/>
  <c r="Q378" i="1"/>
  <c r="W1218" i="1" a="1"/>
  <c r="W1218" i="1" s="1"/>
  <c r="X1218" i="1" s="1"/>
  <c r="Q1218" i="1"/>
  <c r="Q1857" i="1"/>
  <c r="W1857" i="1" a="1"/>
  <c r="W1857" i="1" s="1"/>
  <c r="X1857" i="1" s="1"/>
  <c r="W1101" i="1" a="1"/>
  <c r="W1101" i="1" s="1"/>
  <c r="X1101" i="1" s="1"/>
  <c r="Q1101" i="1"/>
  <c r="W1553" i="1" a="1"/>
  <c r="W1553" i="1" s="1"/>
  <c r="X1553" i="1" s="1"/>
  <c r="Q1553" i="1"/>
  <c r="W1995" i="1" a="1"/>
  <c r="W1995" i="1" s="1"/>
  <c r="X1995" i="1" s="1"/>
  <c r="Q1995" i="1"/>
  <c r="Q227" i="1"/>
  <c r="W227" i="1" a="1"/>
  <c r="W227" i="1" s="1"/>
  <c r="X227" i="1" s="1"/>
  <c r="T60" i="7"/>
  <c r="N19" i="7"/>
  <c r="U19" i="7" s="1"/>
  <c r="Q1785" i="1"/>
  <c r="W1785" i="1" a="1"/>
  <c r="W1785" i="1" s="1"/>
  <c r="X1785" i="1" s="1"/>
  <c r="W1784" i="1" a="1"/>
  <c r="W1784" i="1" s="1"/>
  <c r="X1784" i="1" s="1"/>
  <c r="Q1784" i="1"/>
  <c r="Q1789" i="1"/>
  <c r="W1789" i="1" a="1"/>
  <c r="W1789" i="1" s="1"/>
  <c r="X1789" i="1" s="1"/>
  <c r="W1783" i="1" a="1"/>
  <c r="W1783" i="1" s="1"/>
  <c r="X1783" i="1" s="1"/>
  <c r="Q1783" i="1"/>
  <c r="W1772" i="1" a="1"/>
  <c r="W1772" i="1" s="1"/>
  <c r="X1772" i="1" s="1"/>
  <c r="Q1772" i="1"/>
  <c r="W1781" i="1" a="1"/>
  <c r="W1781" i="1" s="1"/>
  <c r="X1781" i="1" s="1"/>
  <c r="Q1781" i="1"/>
  <c r="W1778" i="1" a="1"/>
  <c r="W1778" i="1" s="1"/>
  <c r="X1778" i="1" s="1"/>
  <c r="Q1778" i="1"/>
  <c r="W1794" i="1" a="1"/>
  <c r="W1794" i="1" s="1"/>
  <c r="X1794" i="1" s="1"/>
  <c r="Q1794" i="1"/>
  <c r="W1802" i="1" a="1"/>
  <c r="W1802" i="1" s="1"/>
  <c r="X1802" i="1" s="1"/>
  <c r="Q1802" i="1"/>
  <c r="W1800" i="1" a="1"/>
  <c r="W1800" i="1" s="1"/>
  <c r="X1800" i="1" s="1"/>
  <c r="Q1800" i="1"/>
  <c r="W1771" i="1" a="1"/>
  <c r="W1771" i="1" s="1"/>
  <c r="X1771" i="1" s="1"/>
  <c r="Q1771" i="1"/>
  <c r="Q1799" i="1"/>
  <c r="W1799" i="1" a="1"/>
  <c r="W1799" i="1" s="1"/>
  <c r="X1799" i="1" s="1"/>
  <c r="Q1777" i="1"/>
  <c r="W1777" i="1" a="1"/>
  <c r="W1777" i="1" s="1"/>
  <c r="X1777" i="1" s="1"/>
  <c r="Q1788" i="1"/>
  <c r="W1788" i="1" a="1"/>
  <c r="W1788" i="1" s="1"/>
  <c r="X1788" i="1" s="1"/>
  <c r="W1786" i="1" a="1"/>
  <c r="W1786" i="1" s="1"/>
  <c r="X1786" i="1" s="1"/>
  <c r="Q1786" i="1"/>
  <c r="Q1806" i="1"/>
  <c r="W1806" i="1" a="1"/>
  <c r="W1806" i="1" s="1"/>
  <c r="X1806" i="1" s="1"/>
  <c r="W1801" i="1" a="1"/>
  <c r="W1801" i="1" s="1"/>
  <c r="X1801" i="1" s="1"/>
  <c r="Q1801" i="1"/>
  <c r="W1774" i="1" a="1"/>
  <c r="W1774" i="1" s="1"/>
  <c r="X1774" i="1" s="1"/>
  <c r="Q1774" i="1"/>
  <c r="Q1808" i="1"/>
  <c r="W1808" i="1" a="1"/>
  <c r="W1808" i="1" s="1"/>
  <c r="X1808" i="1" s="1"/>
  <c r="W1798" i="1" a="1"/>
  <c r="W1798" i="1" s="1"/>
  <c r="X1798" i="1" s="1"/>
  <c r="Q1798" i="1"/>
  <c r="W1779" i="1" a="1"/>
  <c r="W1779" i="1" s="1"/>
  <c r="X1779" i="1" s="1"/>
  <c r="Q1779" i="1"/>
  <c r="W1782" i="1" a="1"/>
  <c r="W1782" i="1" s="1"/>
  <c r="X1782" i="1" s="1"/>
  <c r="Q1782" i="1"/>
  <c r="Q1793" i="1"/>
  <c r="W1793" i="1" a="1"/>
  <c r="W1793" i="1" s="1"/>
  <c r="X1793" i="1" s="1"/>
  <c r="Q1807" i="1"/>
  <c r="W1807" i="1" a="1"/>
  <c r="W1807" i="1" s="1"/>
  <c r="X1807" i="1" s="1"/>
  <c r="Q1797" i="1"/>
  <c r="W1797" i="1" a="1"/>
  <c r="W1797" i="1" s="1"/>
  <c r="X1797" i="1" s="1"/>
  <c r="Q1796" i="1"/>
  <c r="W1796" i="1" a="1"/>
  <c r="W1796" i="1" s="1"/>
  <c r="X1796" i="1" s="1"/>
  <c r="Q1787" i="1"/>
  <c r="W1787" i="1" a="1"/>
  <c r="W1787" i="1" s="1"/>
  <c r="X1787" i="1" s="1"/>
  <c r="R45" i="7"/>
  <c r="W1791" i="1" a="1"/>
  <c r="W1791" i="1" s="1"/>
  <c r="X1791" i="1" s="1"/>
  <c r="Q1791" i="1"/>
  <c r="W1804" i="1" a="1"/>
  <c r="W1804" i="1" s="1"/>
  <c r="X1804" i="1" s="1"/>
  <c r="Q1804" i="1"/>
  <c r="Q1795" i="1"/>
  <c r="W1795" i="1" a="1"/>
  <c r="W1795" i="1" s="1"/>
  <c r="X1795" i="1" s="1"/>
  <c r="W1790" i="1" a="1"/>
  <c r="W1790" i="1" s="1"/>
  <c r="X1790" i="1" s="1"/>
  <c r="Q1790" i="1"/>
  <c r="W1773" i="1" a="1"/>
  <c r="W1773" i="1" s="1"/>
  <c r="X1773" i="1" s="1"/>
  <c r="Q1773" i="1"/>
  <c r="Q1805" i="1"/>
  <c r="W1805" i="1" a="1"/>
  <c r="W1805" i="1" s="1"/>
  <c r="X1805" i="1" s="1"/>
  <c r="N50" i="7"/>
  <c r="U50" i="7" s="1"/>
  <c r="M50" i="7"/>
  <c r="K19" i="7"/>
  <c r="M23" i="7"/>
  <c r="P19" i="7"/>
  <c r="M19" i="7"/>
  <c r="L23" i="7"/>
  <c r="L19" i="7"/>
  <c r="K23" i="7"/>
  <c r="L5" i="7"/>
  <c r="M5" i="7"/>
  <c r="N5" i="7"/>
  <c r="U5" i="7" s="1"/>
  <c r="K5" i="7"/>
  <c r="P23" i="7"/>
  <c r="Q19" i="7"/>
  <c r="O23" i="7"/>
  <c r="L50" i="7"/>
  <c r="S5" i="7"/>
  <c r="O5" i="7"/>
  <c r="P5" i="7"/>
  <c r="Q5" i="7"/>
  <c r="R5" i="7"/>
  <c r="R40" i="7"/>
  <c r="M12" i="7"/>
  <c r="N12" i="7"/>
  <c r="U12" i="7" s="1"/>
  <c r="K12" i="7"/>
  <c r="L12" i="7"/>
  <c r="K50" i="7"/>
  <c r="T25" i="7"/>
  <c r="N30" i="7"/>
  <c r="U30" i="7" s="1"/>
  <c r="S12" i="7"/>
  <c r="P12" i="7"/>
  <c r="Q12" i="7"/>
  <c r="R12" i="7"/>
  <c r="O12" i="7"/>
  <c r="R23" i="7"/>
  <c r="Q23" i="7"/>
  <c r="S23" i="7"/>
  <c r="S19" i="7"/>
  <c r="P27" i="7"/>
  <c r="O19" i="7"/>
  <c r="R30" i="7"/>
  <c r="R19" i="7"/>
  <c r="Q30" i="7"/>
  <c r="Q50" i="7"/>
  <c r="R50" i="7"/>
  <c r="O50" i="7"/>
  <c r="S50" i="7"/>
  <c r="P50" i="7"/>
  <c r="H12" i="9" l="1"/>
  <c r="M17" i="7"/>
  <c r="L30" i="7"/>
  <c r="M28" i="7"/>
  <c r="M43" i="7"/>
  <c r="L10" i="7"/>
  <c r="K30" i="7"/>
  <c r="L40" i="7"/>
  <c r="K10" i="7"/>
  <c r="M46" i="7"/>
  <c r="N6" i="7"/>
  <c r="U6" i="7" s="1"/>
  <c r="L53" i="7"/>
  <c r="M22" i="7"/>
  <c r="M6" i="7"/>
  <c r="K6" i="7"/>
  <c r="O27" i="7"/>
  <c r="M30" i="7"/>
  <c r="K18" i="7"/>
  <c r="Q40" i="7"/>
  <c r="M15" i="7"/>
  <c r="K43" i="7"/>
  <c r="L43" i="7"/>
  <c r="Q31" i="7"/>
  <c r="O40" i="7"/>
  <c r="O4" i="7"/>
  <c r="R53" i="7"/>
  <c r="O45" i="7"/>
  <c r="O9" i="7"/>
  <c r="O30" i="7"/>
  <c r="R9" i="7"/>
  <c r="S9" i="7"/>
  <c r="P30" i="7"/>
  <c r="Q9" i="7"/>
  <c r="S17" i="7"/>
  <c r="B11" i="15" a="1"/>
  <c r="B11" i="15" s="1"/>
  <c r="D10" i="14" s="1"/>
  <c r="B32" i="13" a="1"/>
  <c r="B32" i="13" s="1"/>
  <c r="C7" i="13"/>
  <c r="C22" i="15"/>
  <c r="C21" i="15"/>
  <c r="B19" i="15" s="1"/>
  <c r="C25" i="15"/>
  <c r="C24" i="15"/>
  <c r="C23" i="15"/>
  <c r="B12" i="15"/>
  <c r="B11" i="14" s="1"/>
  <c r="W2" i="1" a="1"/>
  <c r="W2" i="1" s="1"/>
  <c r="X2" i="1" s="1"/>
  <c r="M18" i="7"/>
  <c r="K7" i="7"/>
  <c r="N43" i="7"/>
  <c r="U43" i="7" s="1"/>
  <c r="M9" i="7"/>
  <c r="N17" i="7"/>
  <c r="U17" i="7" s="1"/>
  <c r="K37" i="7"/>
  <c r="M8" i="7"/>
  <c r="M40" i="7"/>
  <c r="L17" i="7"/>
  <c r="L6" i="7"/>
  <c r="N10" i="7"/>
  <c r="U10" i="7" s="1"/>
  <c r="L7" i="7"/>
  <c r="N26" i="7"/>
  <c r="U26" i="7" s="1"/>
  <c r="M49" i="7"/>
  <c r="K51" i="7"/>
  <c r="L21" i="7"/>
  <c r="L36" i="7"/>
  <c r="M10" i="7"/>
  <c r="K34" i="7"/>
  <c r="M36" i="7"/>
  <c r="K47" i="7"/>
  <c r="T47" i="7" s="1"/>
  <c r="K40" i="7"/>
  <c r="K35" i="7"/>
  <c r="K33" i="7"/>
  <c r="L37" i="7"/>
  <c r="L32" i="7"/>
  <c r="P46" i="7"/>
  <c r="K48" i="7"/>
  <c r="R15" i="7"/>
  <c r="L39" i="7"/>
  <c r="K28" i="7"/>
  <c r="T28" i="7" s="1"/>
  <c r="B14" i="15"/>
  <c r="B15" i="15"/>
  <c r="B16" i="15"/>
  <c r="F11" i="14" s="1"/>
  <c r="C32" i="15" a="1"/>
  <c r="C32" i="15" s="1"/>
  <c r="R10" i="7"/>
  <c r="P15" i="7"/>
  <c r="S15" i="7"/>
  <c r="Q28" i="7"/>
  <c r="O15" i="7"/>
  <c r="S44" i="7"/>
  <c r="O28" i="7"/>
  <c r="Q15" i="7"/>
  <c r="O51" i="7"/>
  <c r="T19" i="7"/>
  <c r="S28" i="7"/>
  <c r="P28" i="7"/>
  <c r="P40" i="7"/>
  <c r="S30" i="7"/>
  <c r="S27" i="7"/>
  <c r="Q32" i="7"/>
  <c r="S40" i="7"/>
  <c r="R35" i="7"/>
  <c r="M39" i="7"/>
  <c r="L16" i="7"/>
  <c r="K26" i="7"/>
  <c r="N33" i="7"/>
  <c r="U33" i="7" s="1"/>
  <c r="Q8" i="7"/>
  <c r="O31" i="7"/>
  <c r="L8" i="7"/>
  <c r="O17" i="7"/>
  <c r="T17" i="7" s="1"/>
  <c r="R27" i="7"/>
  <c r="N32" i="7"/>
  <c r="U32" i="7" s="1"/>
  <c r="R33" i="7"/>
  <c r="N46" i="7"/>
  <c r="U46" i="7" s="1"/>
  <c r="M26" i="7"/>
  <c r="R31" i="7"/>
  <c r="P37" i="7"/>
  <c r="R17" i="7"/>
  <c r="S22" i="7"/>
  <c r="M35" i="7"/>
  <c r="M45" i="7"/>
  <c r="N7" i="7"/>
  <c r="U7" i="7" s="1"/>
  <c r="M32" i="7"/>
  <c r="O22" i="7"/>
  <c r="N24" i="7"/>
  <c r="U24" i="7" s="1"/>
  <c r="L24" i="7"/>
  <c r="L14" i="7"/>
  <c r="Q22" i="7"/>
  <c r="R24" i="7"/>
  <c r="K39" i="7"/>
  <c r="L20" i="7"/>
  <c r="N18" i="7"/>
  <c r="U18" i="7" s="1"/>
  <c r="Q33" i="7"/>
  <c r="Q39" i="7"/>
  <c r="S53" i="7"/>
  <c r="O10" i="7"/>
  <c r="K9" i="7"/>
  <c r="S8" i="7"/>
  <c r="P33" i="7"/>
  <c r="P24" i="7"/>
  <c r="K53" i="7"/>
  <c r="N49" i="7"/>
  <c r="U49" i="7" s="1"/>
  <c r="M37" i="7"/>
  <c r="N28" i="7"/>
  <c r="U28" i="7" s="1"/>
  <c r="R49" i="7"/>
  <c r="S52" i="7"/>
  <c r="S41" i="7"/>
  <c r="L52" i="7"/>
  <c r="N37" i="7"/>
  <c r="U37" i="7" s="1"/>
  <c r="M41" i="7"/>
  <c r="M48" i="7"/>
  <c r="L33" i="7"/>
  <c r="K46" i="7"/>
  <c r="Q49" i="7"/>
  <c r="O6" i="7"/>
  <c r="S49" i="7"/>
  <c r="M53" i="7"/>
  <c r="K16" i="7"/>
  <c r="N36" i="7"/>
  <c r="U36" i="7" s="1"/>
  <c r="M4" i="7"/>
  <c r="F9" i="8" s="1"/>
  <c r="R22" i="7"/>
  <c r="Q27" i="7"/>
  <c r="P47" i="7"/>
  <c r="O53" i="7"/>
  <c r="H11" i="9"/>
  <c r="H10" i="9"/>
  <c r="H9" i="9"/>
  <c r="K22" i="7"/>
  <c r="M34" i="7"/>
  <c r="K13" i="7"/>
  <c r="M20" i="7"/>
  <c r="N35" i="7"/>
  <c r="U35" i="7" s="1"/>
  <c r="L26" i="7"/>
  <c r="K41" i="7"/>
  <c r="L15" i="7"/>
  <c r="L9" i="7"/>
  <c r="K4" i="7"/>
  <c r="O47" i="7"/>
  <c r="P31" i="7"/>
  <c r="N21" i="7"/>
  <c r="U21" i="7" s="1"/>
  <c r="O14" i="7"/>
  <c r="P9" i="7"/>
  <c r="Q52" i="7"/>
  <c r="Q17" i="7"/>
  <c r="P49" i="7"/>
  <c r="P21" i="7"/>
  <c r="M27" i="7"/>
  <c r="M51" i="7"/>
  <c r="K52" i="7"/>
  <c r="N4" i="7"/>
  <c r="U4" i="7" s="1"/>
  <c r="M21" i="7"/>
  <c r="S31" i="7"/>
  <c r="P22" i="7"/>
  <c r="O49" i="7"/>
  <c r="R13" i="7"/>
  <c r="P17" i="7"/>
  <c r="O18" i="7"/>
  <c r="M13" i="7"/>
  <c r="R47" i="7"/>
  <c r="O42" i="7"/>
  <c r="S46" i="7"/>
  <c r="R34" i="7"/>
  <c r="Q36" i="7"/>
  <c r="L46" i="7"/>
  <c r="N42" i="7"/>
  <c r="U42" i="7" s="1"/>
  <c r="N13" i="7"/>
  <c r="U13" i="7" s="1"/>
  <c r="Q46" i="7"/>
  <c r="L49" i="7"/>
  <c r="P8" i="7"/>
  <c r="N52" i="7"/>
  <c r="U52" i="7" s="1"/>
  <c r="Q47" i="7"/>
  <c r="R14" i="7"/>
  <c r="M42" i="7"/>
  <c r="M14" i="7"/>
  <c r="P4" i="7"/>
  <c r="P53" i="7"/>
  <c r="R26" i="7"/>
  <c r="N48" i="7"/>
  <c r="U48" i="7" s="1"/>
  <c r="Q35" i="7"/>
  <c r="R32" i="7"/>
  <c r="O41" i="7"/>
  <c r="K20" i="7"/>
  <c r="Q41" i="7"/>
  <c r="K32" i="7"/>
  <c r="Q6" i="7"/>
  <c r="O24" i="7"/>
  <c r="O20" i="7"/>
  <c r="R6" i="7"/>
  <c r="P35" i="7"/>
  <c r="K27" i="7"/>
  <c r="T27" i="7" s="1"/>
  <c r="N20" i="7"/>
  <c r="U20" i="7" s="1"/>
  <c r="L41" i="7"/>
  <c r="R55" i="7"/>
  <c r="P55" i="7"/>
  <c r="S55" i="7"/>
  <c r="Q55" i="7"/>
  <c r="O55" i="7"/>
  <c r="M58" i="7"/>
  <c r="K58" i="7"/>
  <c r="L58" i="7"/>
  <c r="N58" i="7"/>
  <c r="U58" i="7" s="1"/>
  <c r="K11" i="7"/>
  <c r="L11" i="7"/>
  <c r="N11" i="7"/>
  <c r="U11" i="7" s="1"/>
  <c r="M11" i="7"/>
  <c r="N39" i="7"/>
  <c r="U39" i="7" s="1"/>
  <c r="M33" i="7"/>
  <c r="S16" i="7"/>
  <c r="Q7" i="7"/>
  <c r="Q14" i="7"/>
  <c r="S47" i="7"/>
  <c r="O37" i="7"/>
  <c r="L51" i="7"/>
  <c r="R37" i="7"/>
  <c r="S4" i="7"/>
  <c r="O39" i="7"/>
  <c r="S13" i="7"/>
  <c r="P39" i="7"/>
  <c r="R4" i="7"/>
  <c r="R52" i="7"/>
  <c r="Q37" i="7"/>
  <c r="T37" i="7" s="1"/>
  <c r="O7" i="7"/>
  <c r="N41" i="7"/>
  <c r="U41" i="7" s="1"/>
  <c r="S21" i="7"/>
  <c r="Q24" i="7"/>
  <c r="R36" i="7"/>
  <c r="P44" i="7"/>
  <c r="R28" i="7"/>
  <c r="M7" i="7"/>
  <c r="N8" i="7"/>
  <c r="U8" i="7" s="1"/>
  <c r="R58" i="7"/>
  <c r="Q58" i="7"/>
  <c r="O58" i="7"/>
  <c r="S58" i="7"/>
  <c r="Q11" i="7"/>
  <c r="P11" i="7"/>
  <c r="S11" i="7"/>
  <c r="O11" i="7"/>
  <c r="R11" i="7"/>
  <c r="S42" i="7"/>
  <c r="O33" i="7"/>
  <c r="T33" i="7" s="1"/>
  <c r="N47" i="7"/>
  <c r="U47" i="7" s="1"/>
  <c r="K21" i="7"/>
  <c r="P13" i="7"/>
  <c r="N34" i="7"/>
  <c r="U34" i="7" s="1"/>
  <c r="P52" i="7"/>
  <c r="K8" i="7"/>
  <c r="N15" i="7"/>
  <c r="U15" i="7" s="1"/>
  <c r="L13" i="7"/>
  <c r="S33" i="7"/>
  <c r="P14" i="7"/>
  <c r="Q26" i="7"/>
  <c r="O43" i="7"/>
  <c r="N16" i="7"/>
  <c r="U16" i="7" s="1"/>
  <c r="Q18" i="7"/>
  <c r="S24" i="7"/>
  <c r="R7" i="7"/>
  <c r="L34" i="7"/>
  <c r="R16" i="7"/>
  <c r="N45" i="7"/>
  <c r="U45" i="7" s="1"/>
  <c r="N57" i="7"/>
  <c r="U57" i="7" s="1"/>
  <c r="K57" i="7"/>
  <c r="M57" i="7"/>
  <c r="L57" i="7"/>
  <c r="N14" i="7"/>
  <c r="U14" i="7" s="1"/>
  <c r="Q45" i="7"/>
  <c r="S45" i="7"/>
  <c r="O26" i="7"/>
  <c r="O13" i="7"/>
  <c r="O52" i="7"/>
  <c r="O21" i="7"/>
  <c r="S32" i="7"/>
  <c r="K36" i="7"/>
  <c r="R18" i="7"/>
  <c r="R20" i="7"/>
  <c r="L35" i="7"/>
  <c r="P57" i="7"/>
  <c r="S57" i="7"/>
  <c r="Q57" i="7"/>
  <c r="O57" i="7"/>
  <c r="R57" i="7"/>
  <c r="M16" i="7"/>
  <c r="P38" i="7"/>
  <c r="S38" i="7"/>
  <c r="R38" i="7"/>
  <c r="O38" i="7"/>
  <c r="Q38" i="7"/>
  <c r="M47" i="7"/>
  <c r="K44" i="7"/>
  <c r="R51" i="7"/>
  <c r="R42" i="7"/>
  <c r="Q10" i="7"/>
  <c r="L47" i="7"/>
  <c r="M44" i="7"/>
  <c r="S39" i="7"/>
  <c r="P10" i="7"/>
  <c r="P48" i="7"/>
  <c r="K15" i="7"/>
  <c r="L4" i="7"/>
  <c r="E9" i="8" s="1"/>
  <c r="K24" i="7"/>
  <c r="T24" i="7" s="1"/>
  <c r="P41" i="7"/>
  <c r="T41" i="7" s="1"/>
  <c r="L31" i="7"/>
  <c r="Q34" i="7"/>
  <c r="S14" i="7"/>
  <c r="P7" i="7"/>
  <c r="L18" i="7"/>
  <c r="P36" i="7"/>
  <c r="O16" i="7"/>
  <c r="S54" i="7"/>
  <c r="P54" i="7"/>
  <c r="Q54" i="7"/>
  <c r="R54" i="7"/>
  <c r="O54" i="7"/>
  <c r="N38" i="7"/>
  <c r="U38" i="7" s="1"/>
  <c r="K38" i="7"/>
  <c r="L38" i="7"/>
  <c r="M38" i="7"/>
  <c r="S10" i="7"/>
  <c r="R46" i="7"/>
  <c r="Q4" i="7"/>
  <c r="T4" i="7" s="1"/>
  <c r="H9" i="8" s="1"/>
  <c r="Q48" i="7"/>
  <c r="S37" i="7"/>
  <c r="L27" i="7"/>
  <c r="S7" i="7"/>
  <c r="O34" i="7"/>
  <c r="Q42" i="7"/>
  <c r="O46" i="7"/>
  <c r="T46" i="7" s="1"/>
  <c r="L42" i="7"/>
  <c r="L44" i="7"/>
  <c r="Q13" i="7"/>
  <c r="S48" i="7"/>
  <c r="S26" i="7"/>
  <c r="S51" i="7"/>
  <c r="P26" i="7"/>
  <c r="R43" i="7"/>
  <c r="K31" i="7"/>
  <c r="P51" i="7"/>
  <c r="S36" i="7"/>
  <c r="P18" i="7"/>
  <c r="T18" i="7" s="1"/>
  <c r="Q53" i="7"/>
  <c r="T53" i="7" s="1"/>
  <c r="S6" i="7"/>
  <c r="K14" i="7"/>
  <c r="R44" i="7"/>
  <c r="K45" i="7"/>
  <c r="P45" i="7"/>
  <c r="Q43" i="7"/>
  <c r="N54" i="7"/>
  <c r="U54" i="7" s="1"/>
  <c r="K54" i="7"/>
  <c r="L54" i="7"/>
  <c r="M54" i="7"/>
  <c r="N56" i="7"/>
  <c r="U56" i="7" s="1"/>
  <c r="K56" i="7"/>
  <c r="M56" i="7"/>
  <c r="Q20" i="7"/>
  <c r="R41" i="7"/>
  <c r="P42" i="7"/>
  <c r="O35" i="7"/>
  <c r="T35" i="7" s="1"/>
  <c r="L22" i="7"/>
  <c r="Q51" i="7"/>
  <c r="L48" i="7"/>
  <c r="P43" i="7"/>
  <c r="O48" i="7"/>
  <c r="T48" i="7" s="1"/>
  <c r="S34" i="7"/>
  <c r="R8" i="7"/>
  <c r="P34" i="7"/>
  <c r="M24" i="7"/>
  <c r="N31" i="7"/>
  <c r="U31" i="7" s="1"/>
  <c r="O8" i="7"/>
  <c r="T8" i="7" s="1"/>
  <c r="O32" i="7"/>
  <c r="N51" i="7"/>
  <c r="U51" i="7" s="1"/>
  <c r="Q21" i="7"/>
  <c r="R21" i="7"/>
  <c r="N22" i="7"/>
  <c r="U22" i="7" s="1"/>
  <c r="O44" i="7"/>
  <c r="Q16" i="7"/>
  <c r="P56" i="7"/>
  <c r="Q56" i="7"/>
  <c r="S56" i="7"/>
  <c r="R56" i="7"/>
  <c r="O56" i="7"/>
  <c r="S43" i="7"/>
  <c r="R39" i="7"/>
  <c r="R48" i="7"/>
  <c r="O36" i="7"/>
  <c r="P20" i="7"/>
  <c r="S35" i="7"/>
  <c r="P6" i="7"/>
  <c r="T6" i="7" s="1"/>
  <c r="P32" i="7"/>
  <c r="S20" i="7"/>
  <c r="S18" i="7"/>
  <c r="Q44" i="7"/>
  <c r="P16" i="7"/>
  <c r="N55" i="7"/>
  <c r="U55" i="7" s="1"/>
  <c r="M55" i="7"/>
  <c r="K55" i="7"/>
  <c r="L55" i="7"/>
  <c r="M52" i="7"/>
  <c r="T49" i="7"/>
  <c r="T12" i="7"/>
  <c r="T15" i="7"/>
  <c r="T31" i="7"/>
  <c r="T23" i="7"/>
  <c r="T30" i="7"/>
  <c r="T5" i="7"/>
  <c r="T9" i="7"/>
  <c r="T22" i="7"/>
  <c r="T50" i="7"/>
  <c r="T40" i="7"/>
  <c r="C29" i="15" l="1"/>
  <c r="B17" i="15"/>
  <c r="T14" i="7"/>
  <c r="T51" i="7"/>
  <c r="T43" i="7"/>
  <c r="T16" i="7"/>
  <c r="K7" i="14" a="1"/>
  <c r="K7" i="14" s="1"/>
  <c r="T32" i="7"/>
  <c r="T42" i="7"/>
  <c r="T39" i="7"/>
  <c r="T20" i="7"/>
  <c r="T34" i="7"/>
  <c r="I11" i="14"/>
  <c r="I10" i="14"/>
  <c r="T36" i="7"/>
  <c r="G10" i="14"/>
  <c r="F10" i="14"/>
  <c r="B18" i="15"/>
  <c r="T26" i="7"/>
  <c r="C28" i="15"/>
  <c r="E11" i="14"/>
  <c r="J5" i="10"/>
  <c r="I5" i="10"/>
  <c r="H5" i="10"/>
  <c r="G5" i="10"/>
  <c r="K5" i="10"/>
  <c r="M5" i="10" a="1"/>
  <c r="M5" i="10" s="1"/>
  <c r="L5" i="10"/>
  <c r="T55" i="7"/>
  <c r="T54" i="7"/>
  <c r="T7" i="7"/>
  <c r="T58" i="7"/>
  <c r="T10" i="7"/>
  <c r="T13" i="7"/>
  <c r="B10" i="8"/>
  <c r="B14" i="8" a="1"/>
  <c r="B14" i="8" s="1"/>
  <c r="T21" i="7"/>
  <c r="B10" i="10" a="1"/>
  <c r="B10" i="10" s="1"/>
  <c r="B8" i="10" s="1" a="1"/>
  <c r="B8" i="10" s="1"/>
  <c r="H17" i="9" a="1"/>
  <c r="H17" i="9" s="1"/>
  <c r="T44" i="7"/>
  <c r="T57" i="7"/>
  <c r="B9" i="8"/>
  <c r="T52" i="7"/>
  <c r="T56" i="7"/>
  <c r="I9" i="8"/>
  <c r="G9" i="8"/>
  <c r="B21" i="9" a="1"/>
  <c r="B21" i="9" s="1"/>
  <c r="T45" i="7"/>
  <c r="T38" i="7"/>
  <c r="T11" i="7"/>
  <c r="H10" i="14" l="1"/>
  <c r="H11" i="14"/>
  <c r="L14" i="8" a="1"/>
  <c r="L14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<sst xmlns="http://schemas.openxmlformats.org/spreadsheetml/2006/main" count="59871" uniqueCount="9267">
  <si>
    <t>Cédula</t>
  </si>
  <si>
    <t>Nombre</t>
  </si>
  <si>
    <t>Estado</t>
  </si>
  <si>
    <t>Grupo</t>
  </si>
  <si>
    <t>Código</t>
  </si>
  <si>
    <t>Horario</t>
  </si>
  <si>
    <t>Asistencia</t>
  </si>
  <si>
    <t>Clases</t>
  </si>
  <si>
    <t>Programa</t>
  </si>
  <si>
    <t>Docente</t>
  </si>
  <si>
    <t>Observación</t>
  </si>
  <si>
    <t>1013340045</t>
  </si>
  <si>
    <t>ANGIE LORENA HENAO BARRETO</t>
  </si>
  <si>
    <t>activa</t>
  </si>
  <si>
    <t>DAT-01 - Análisis y Visualización de Datos</t>
  </si>
  <si>
    <t>DAT-01</t>
  </si>
  <si>
    <t>Martes 12:00-14:00 | Miércoles 12:00-14:00 | Jueves 12:00-14:00</t>
  </si>
  <si>
    <t>4/45</t>
  </si>
  <si>
    <t>ANÁLISIS Y VISUALIZACIÓN DE DATOS PARA LA TOMA DE DECISIONES</t>
  </si>
  <si>
    <t>Carlos Duran</t>
  </si>
  <si>
    <t>Traslado desde DAT-09</t>
  </si>
  <si>
    <t>1027801054</t>
  </si>
  <si>
    <t>MARIA JOSE LONDOÑO GIL</t>
  </si>
  <si>
    <t>1/45</t>
  </si>
  <si>
    <t/>
  </si>
  <si>
    <t>1128428320</t>
  </si>
  <si>
    <t>ANDREA  GOMEZ MOLINA</t>
  </si>
  <si>
    <t>9/45</t>
  </si>
  <si>
    <t>71748018</t>
  </si>
  <si>
    <t>FERNANDO ALBERTO ZAPATA SOTO</t>
  </si>
  <si>
    <t>1017924717</t>
  </si>
  <si>
    <t>JUAN DANIEL RAMIREZ CASTRILLON</t>
  </si>
  <si>
    <t>1033257457</t>
  </si>
  <si>
    <t>CAMILA  POSADA BERNAL</t>
  </si>
  <si>
    <t>1152684729</t>
  </si>
  <si>
    <t>JOSE ALEXIS ARANGO HERNANDEZ</t>
  </si>
  <si>
    <t>6/45</t>
  </si>
  <si>
    <t>1234990036</t>
  </si>
  <si>
    <t>LAURA JULIANA MARIN SEGURO</t>
  </si>
  <si>
    <t>8/45</t>
  </si>
  <si>
    <t>1099736245</t>
  </si>
  <si>
    <t>ISABELLA  ESTRADA HENAO</t>
  </si>
  <si>
    <t>7/45</t>
  </si>
  <si>
    <t>1128416183</t>
  </si>
  <si>
    <t>KATHERINE  ORDUZ ALVAREZ</t>
  </si>
  <si>
    <t>1144190691</t>
  </si>
  <si>
    <t>SEBASTIAN  LOPEZ CHAUX</t>
  </si>
  <si>
    <t>71315724</t>
  </si>
  <si>
    <t>ANDRÉS CAMILO AGUDELO PATIÑO</t>
  </si>
  <si>
    <t>retirado</t>
  </si>
  <si>
    <t>3/45</t>
  </si>
  <si>
    <t>1128272388</t>
  </si>
  <si>
    <t>JULIAN ESTEBAN LEON OSPINA</t>
  </si>
  <si>
    <t>1000438037</t>
  </si>
  <si>
    <t>JUAN CAMILO MARULANDA ZAPATA</t>
  </si>
  <si>
    <t>5/45</t>
  </si>
  <si>
    <t>1036665993</t>
  </si>
  <si>
    <t>DIEGO ALEJANDRO RODRIGUEZ CARDONA</t>
  </si>
  <si>
    <t>1039452794</t>
  </si>
  <si>
    <t>MARÍA CAMILA RODRÍGUEZ ORTIZ</t>
  </si>
  <si>
    <t>1017178024</t>
  </si>
  <si>
    <t>SANTIAGO  CERRO GÓMEZ</t>
  </si>
  <si>
    <t>1152214539</t>
  </si>
  <si>
    <t>MARIA CAMILA VELASQUEZ</t>
  </si>
  <si>
    <t>1043656089</t>
  </si>
  <si>
    <t>SHARAY SOFIA SIMANCAS GÓMEZ</t>
  </si>
  <si>
    <t>1128442798</t>
  </si>
  <si>
    <t>LUISA FERN LUISA FERN GARCIA BOTERO</t>
  </si>
  <si>
    <t>1021922544</t>
  </si>
  <si>
    <t>SIMON  RUALES YEPES</t>
  </si>
  <si>
    <t>15532928</t>
  </si>
  <si>
    <t>JUAN DIEGO BEDOYA GUTIÉRREZ</t>
  </si>
  <si>
    <t>1017124916</t>
  </si>
  <si>
    <t>WILSON  ALZATE PINEDA</t>
  </si>
  <si>
    <t>1017191861</t>
  </si>
  <si>
    <t>ANDRES FELIPE CORREA MACIAS</t>
  </si>
  <si>
    <t>2/45</t>
  </si>
  <si>
    <t>43630420</t>
  </si>
  <si>
    <t>LINA MARIA HERNANDEZ SERNA</t>
  </si>
  <si>
    <t>1051065648</t>
  </si>
  <si>
    <t>DANNA CONSTANZA LEON GONZALEZ</t>
  </si>
  <si>
    <t>1000101006</t>
  </si>
  <si>
    <t>DAIRON ALEXANDER TAVERA NARANJO</t>
  </si>
  <si>
    <t>1143370269</t>
  </si>
  <si>
    <t>JUAN DAVID SANCHEZ CUELLO</t>
  </si>
  <si>
    <t>1000897243</t>
  </si>
  <si>
    <t>MARIANA  MEDINA MARTINEZ</t>
  </si>
  <si>
    <t>1000084088</t>
  </si>
  <si>
    <t>JUAN ESTEBAN ARDILA ATEHORTUA</t>
  </si>
  <si>
    <t>98568444</t>
  </si>
  <si>
    <t>JORGE LUIS VARGAS TORRES</t>
  </si>
  <si>
    <t>1041151858</t>
  </si>
  <si>
    <t>ANDRES  ARBOLEDA GARCIA</t>
  </si>
  <si>
    <t>1000086737</t>
  </si>
  <si>
    <t>SANTIAGO  BERNAL VELASQUEZ</t>
  </si>
  <si>
    <t>1023622725</t>
  </si>
  <si>
    <t>MARIANA  JARAMILLO LOPEZ</t>
  </si>
  <si>
    <t>1017276325</t>
  </si>
  <si>
    <t>NATALI  MORALES FLÓREZ</t>
  </si>
  <si>
    <t>1000099403</t>
  </si>
  <si>
    <t>MADELEYNE  ARENAS MARIN</t>
  </si>
  <si>
    <t>1000756369</t>
  </si>
  <si>
    <t>LEONARDO  QUINTERO MARQUEZ</t>
  </si>
  <si>
    <t>1152190915</t>
  </si>
  <si>
    <t>JUAN PABLO BETANCUR ESCUDERO</t>
  </si>
  <si>
    <t>1012976187</t>
  </si>
  <si>
    <t>JULIANA  VELANDIA ZAMBRANO</t>
  </si>
  <si>
    <t>1017253319</t>
  </si>
  <si>
    <t>BRAYAN MATEO GONZALEZ MONSALVE</t>
  </si>
  <si>
    <t>DAT-02 - Análisis y Visualización de Datos</t>
  </si>
  <si>
    <t>DAT-02</t>
  </si>
  <si>
    <t>Martes 18:30-21:30 | Jueves 18:30-21:30</t>
  </si>
  <si>
    <t>4/30</t>
  </si>
  <si>
    <t>César Diaz</t>
  </si>
  <si>
    <t>Traslado desde DAT-10</t>
  </si>
  <si>
    <t>1022363737</t>
  </si>
  <si>
    <t>JUAN CAMILO ARIAS CARMONA</t>
  </si>
  <si>
    <t>3/30</t>
  </si>
  <si>
    <t>1007827747</t>
  </si>
  <si>
    <t>SEBASTIÁN  OBREGÓN SILVA</t>
  </si>
  <si>
    <t>Traslado desde DAT-05</t>
  </si>
  <si>
    <t>1039452612</t>
  </si>
  <si>
    <t>JOSE EDUARDO GONZALEZ BERMUDEZ</t>
  </si>
  <si>
    <t>1128468627</t>
  </si>
  <si>
    <t>ANA CRISTINA CORREA QUINTANA</t>
  </si>
  <si>
    <t>Traslado desde DAT-04</t>
  </si>
  <si>
    <t>1146434324</t>
  </si>
  <si>
    <t>YICELY  DIAZ TAPIAS</t>
  </si>
  <si>
    <t>32351188</t>
  </si>
  <si>
    <t>YOHIDE MARYORY PIEDRAHITA</t>
  </si>
  <si>
    <t>1040740766</t>
  </si>
  <si>
    <t>SEBASTIAN  URIBE ARBOLEDA</t>
  </si>
  <si>
    <t>1017242197</t>
  </si>
  <si>
    <t>LAURA  VASCO PEREZ</t>
  </si>
  <si>
    <t>1017145451</t>
  </si>
  <si>
    <t>CAROLINA  MUÑOZ CORREA</t>
  </si>
  <si>
    <t>1152443794</t>
  </si>
  <si>
    <t>JENNY ALEJANDRA QUIJANO</t>
  </si>
  <si>
    <t>1152460011</t>
  </si>
  <si>
    <t>JOHN DANIEL LONDOÑO MARTÍNEZ</t>
  </si>
  <si>
    <t>1129566292</t>
  </si>
  <si>
    <t>JESUS ARMANDO CALVO BARRAZA</t>
  </si>
  <si>
    <t>70116756</t>
  </si>
  <si>
    <t>HUMBERTO DE JESUS PUERTA GAVIRIA</t>
  </si>
  <si>
    <t>71270303</t>
  </si>
  <si>
    <t>ELIBER  GONZALEZ ARCILA</t>
  </si>
  <si>
    <t>1002604580</t>
  </si>
  <si>
    <t>LINDA DIANELLA MAHECHA BUSTOS</t>
  </si>
  <si>
    <t>1152438752</t>
  </si>
  <si>
    <t>LAURA MARIA HOYOS CASTAÑEDA</t>
  </si>
  <si>
    <t>1146435795</t>
  </si>
  <si>
    <t>JOHNATAN STEVEN PEREZ AGUDELO</t>
  </si>
  <si>
    <t>1127954791</t>
  </si>
  <si>
    <t>MARILIN ALEJANDRA ALZATE ZAPATA</t>
  </si>
  <si>
    <t>1000538256</t>
  </si>
  <si>
    <t>DIEGO DIEGO ALVAREZ VELEZ</t>
  </si>
  <si>
    <t>1100392465</t>
  </si>
  <si>
    <t>WILLIAM RAFAEL CASTRO AGUAS</t>
  </si>
  <si>
    <t>1152209669</t>
  </si>
  <si>
    <t>ALEJANDRA  ECHEVERRI GARZÓN</t>
  </si>
  <si>
    <t>1035862476</t>
  </si>
  <si>
    <t>STEPHANIE  CORONADO LUJAN</t>
  </si>
  <si>
    <t>1152703509</t>
  </si>
  <si>
    <t>MARIA CAMILA SANCHEZ CORTES</t>
  </si>
  <si>
    <t>1040509268</t>
  </si>
  <si>
    <t>JULIO CESA JULIO CESA ARAGÓN SANTOS</t>
  </si>
  <si>
    <t>2/30</t>
  </si>
  <si>
    <t>1045018769</t>
  </si>
  <si>
    <t>CRISTIAN DAVID TANGARIFE TORRES</t>
  </si>
  <si>
    <t>1037631436</t>
  </si>
  <si>
    <t>JUAN SEBASTIAN SERNA SALGADO</t>
  </si>
  <si>
    <t>1152448697</t>
  </si>
  <si>
    <t>ANDREA  HOYOS ATEHORTUA</t>
  </si>
  <si>
    <t>1088002078</t>
  </si>
  <si>
    <t>LUZ ADRIANA SANCHEZ VARGAS</t>
  </si>
  <si>
    <t>8060326</t>
  </si>
  <si>
    <t>JAIME ALBERTO GALLO BLANDÓN</t>
  </si>
  <si>
    <t>44001943</t>
  </si>
  <si>
    <t>ALBANY  ROJAS LÓPEZ</t>
  </si>
  <si>
    <t>43908666</t>
  </si>
  <si>
    <t>NATALIA  BOHORQUEZ YEPES</t>
  </si>
  <si>
    <t>1216713555</t>
  </si>
  <si>
    <t>STEPHANY STEPHANY CEBALLOS DIEZ</t>
  </si>
  <si>
    <t>43985280</t>
  </si>
  <si>
    <t>KAREN VIVIANA GOMEZ RODRIGUEZ</t>
  </si>
  <si>
    <t>32207484</t>
  </si>
  <si>
    <t>MARLIN YULIET BELTRAN VALENCIA</t>
  </si>
  <si>
    <t>1036630549</t>
  </si>
  <si>
    <t>JUAN CAMILO RENDON VELEZ</t>
  </si>
  <si>
    <t>1037632496</t>
  </si>
  <si>
    <t>YINA MARCE YINA MARCE ZULUAGA JIMÉNEZ</t>
  </si>
  <si>
    <t>1099542769</t>
  </si>
  <si>
    <t>MARCIAL FERNEY TORRES ORTEGA</t>
  </si>
  <si>
    <t>1128442321</t>
  </si>
  <si>
    <t>JUAN CAMILO BARRIENTOS SANCHEZ</t>
  </si>
  <si>
    <t>1128403760</t>
  </si>
  <si>
    <t>STEVEN  CASAS SERNA</t>
  </si>
  <si>
    <t>32243764</t>
  </si>
  <si>
    <t>KELLY JOHANA SALGADO SALGADO</t>
  </si>
  <si>
    <t>1038100957</t>
  </si>
  <si>
    <t>YENERIS ANDREA DE LA OSSA RAMOS</t>
  </si>
  <si>
    <t>1017217793</t>
  </si>
  <si>
    <t>KAATHERINE  LÓPEZ ARBOLEDA</t>
  </si>
  <si>
    <t>1214742749</t>
  </si>
  <si>
    <t>YESID FARID JIMENEZ RIVERO</t>
  </si>
  <si>
    <t>79797321</t>
  </si>
  <si>
    <t>GERMAN GERMAN MENESES HERNANDEZ</t>
  </si>
  <si>
    <t>1126744781</t>
  </si>
  <si>
    <t>SARA  RAMIREZ HINCAPIE</t>
  </si>
  <si>
    <t>1020116853</t>
  </si>
  <si>
    <t>MARIANA  VILLEGAS BOLIVAR</t>
  </si>
  <si>
    <t>1000290485</t>
  </si>
  <si>
    <t>SIMÓN  PAREDES RIVERA</t>
  </si>
  <si>
    <t>1152213564</t>
  </si>
  <si>
    <t>DEICY ESTEFANIA MONTOYA MEJIA</t>
  </si>
  <si>
    <t>1214723840</t>
  </si>
  <si>
    <t>HUGO ALBERTO PEREZ MUÑOZ</t>
  </si>
  <si>
    <t>71791733</t>
  </si>
  <si>
    <t>WILLIAM AUGUSTO GIL ESPINAL</t>
  </si>
  <si>
    <t>1020431956</t>
  </si>
  <si>
    <t>SAMUEL SAMUEL ORREGO RODRIGUEZ</t>
  </si>
  <si>
    <t>1011514217</t>
  </si>
  <si>
    <t>ANDREA  VÉLEZ QUINTERO</t>
  </si>
  <si>
    <t>DAT-03 - Análisis y Visualización de Datos</t>
  </si>
  <si>
    <t>DAT-03</t>
  </si>
  <si>
    <t>1/30</t>
  </si>
  <si>
    <t>Cristian Jimenez</t>
  </si>
  <si>
    <t>1104702108</t>
  </si>
  <si>
    <t>PAULA CAMILA RUIZ CARDENAS</t>
  </si>
  <si>
    <t>5/30</t>
  </si>
  <si>
    <t>1035443727</t>
  </si>
  <si>
    <t>JULIANA  QUINTERO LEGARDA</t>
  </si>
  <si>
    <t>6/30</t>
  </si>
  <si>
    <t>Traslado desde DAT-06</t>
  </si>
  <si>
    <t>1102829217</t>
  </si>
  <si>
    <t>ANA RIELA SALCEDO MARTINEZ</t>
  </si>
  <si>
    <t>1037608665</t>
  </si>
  <si>
    <t>YESISY YURANY MACIAS ESPINOSA</t>
  </si>
  <si>
    <t>1110286427</t>
  </si>
  <si>
    <t>ALVARO  HENAO GONZALEZ</t>
  </si>
  <si>
    <t>32296887</t>
  </si>
  <si>
    <t>CLAUDIA PATRICIA VELEZ VANEGAS</t>
  </si>
  <si>
    <t>1017193985</t>
  </si>
  <si>
    <t>DANIELA  MARTINEZ MEJIA</t>
  </si>
  <si>
    <t>1216721591</t>
  </si>
  <si>
    <t>SARA MANUELA RUIZ GUERRA</t>
  </si>
  <si>
    <t>1020416560</t>
  </si>
  <si>
    <t>JULIAN ESTEBAN GUTIERREZ MARTINEZ</t>
  </si>
  <si>
    <t>43990541</t>
  </si>
  <si>
    <t>CAROLINA CAROLINA VASCO JIMÉNEZ</t>
  </si>
  <si>
    <t>1017212165</t>
  </si>
  <si>
    <t>JUAN FELIPE OCAMPO LOPEZ</t>
  </si>
  <si>
    <t>1000089592</t>
  </si>
  <si>
    <t>JUAN PABLO ARIAS MESA</t>
  </si>
  <si>
    <t>0/30</t>
  </si>
  <si>
    <t>1152462675</t>
  </si>
  <si>
    <t>YESICA ALEXANDRA SUAREZ RODRIGUEZ</t>
  </si>
  <si>
    <t>1001013965</t>
  </si>
  <si>
    <t>ANGIE NICOLE GOMEZ SALAZAR</t>
  </si>
  <si>
    <t>98602671</t>
  </si>
  <si>
    <t>JUAN CARLOS VALENCIA MURIEL</t>
  </si>
  <si>
    <t>8101137</t>
  </si>
  <si>
    <t>JOVAN DAVID MONSALVE LÓPEZ</t>
  </si>
  <si>
    <t>30406907</t>
  </si>
  <si>
    <t>LUZ AIDA GONZALEZ AGUIRRE</t>
  </si>
  <si>
    <t>1035855301</t>
  </si>
  <si>
    <t>FREDY ANTONIO YEPES SALAZAR</t>
  </si>
  <si>
    <t>1020491035</t>
  </si>
  <si>
    <t>JUAN DAVID MACHADO ARDILA</t>
  </si>
  <si>
    <t>1027800434</t>
  </si>
  <si>
    <t>DANIEL  MORALES VELASQUEZ</t>
  </si>
  <si>
    <t>1036629374</t>
  </si>
  <si>
    <t>JOHN FERLEY LOPEZ OSPINA</t>
  </si>
  <si>
    <t>1128405011</t>
  </si>
  <si>
    <t>MARTHA NELLY DAVID LONDOÑO</t>
  </si>
  <si>
    <t>1002206171</t>
  </si>
  <si>
    <t>SEBASTIAN  LOAIZA MUÑOZ</t>
  </si>
  <si>
    <t>1017144552</t>
  </si>
  <si>
    <t>ROBINSON  MESA TORRES</t>
  </si>
  <si>
    <t>1214713796</t>
  </si>
  <si>
    <t>BRAYAN ALEXIS MALDONADO ARBOLEDA</t>
  </si>
  <si>
    <t>1032368508</t>
  </si>
  <si>
    <t>SANDRA MILENA SALINAS GARZÓN</t>
  </si>
  <si>
    <t>1017122798</t>
  </si>
  <si>
    <t>ZULY CATALINA SALAZAR QUIRAMA</t>
  </si>
  <si>
    <t>1001004156</t>
  </si>
  <si>
    <t>PABLO PABLO ROBLEDO FRANCO</t>
  </si>
  <si>
    <t>1128440449</t>
  </si>
  <si>
    <t>YESICA  DUQUE CIRO</t>
  </si>
  <si>
    <t>1037653619</t>
  </si>
  <si>
    <t>SARA  DIAZ GARCIA</t>
  </si>
  <si>
    <t>1000757632</t>
  </si>
  <si>
    <t>LUISA FERNANDA CORREA HERNANDEZ</t>
  </si>
  <si>
    <t>1000894199</t>
  </si>
  <si>
    <t>SEBASTIAN  ARANGO LOPEZ</t>
  </si>
  <si>
    <t>1017254209</t>
  </si>
  <si>
    <t>MANUELA  SUAREZ MARTINEZ</t>
  </si>
  <si>
    <t>1152461791</t>
  </si>
  <si>
    <t>JASBLEIDY JINETH SALAZAR MIRA</t>
  </si>
  <si>
    <t>1042733992</t>
  </si>
  <si>
    <t>JANIER  MOSQUERA MOSQUERA</t>
  </si>
  <si>
    <t>8356188</t>
  </si>
  <si>
    <t>JUAN CAMILO ORTIZ HENAO</t>
  </si>
  <si>
    <t>1143334679</t>
  </si>
  <si>
    <t>LARRY LARRY TAFUR QUIROZ</t>
  </si>
  <si>
    <t>51992365</t>
  </si>
  <si>
    <t>FANNY VIANETH RUBIANO ORTIZ</t>
  </si>
  <si>
    <t>1042063326</t>
  </si>
  <si>
    <t>YULIANA ANDREA GARCIA HENAO</t>
  </si>
  <si>
    <t>1017270677</t>
  </si>
  <si>
    <t>SHARA MILENA MOSQUERA GOEZ</t>
  </si>
  <si>
    <t>32109210</t>
  </si>
  <si>
    <t>LINA MARCELA PATIÑO RUIZ</t>
  </si>
  <si>
    <t>1035440382</t>
  </si>
  <si>
    <t>DANIEL FELIPE PUERTA HERRERA</t>
  </si>
  <si>
    <t>1233191606</t>
  </si>
  <si>
    <t>JUAN  HIDALGO</t>
  </si>
  <si>
    <t>1017205120</t>
  </si>
  <si>
    <t>JOHANA  JIMENEZ MESA</t>
  </si>
  <si>
    <t>43972536</t>
  </si>
  <si>
    <t>LORENA ANDREA QUICENO</t>
  </si>
  <si>
    <t>1025883137</t>
  </si>
  <si>
    <t>MARIA JOSE QUIROZ BOLIVAR</t>
  </si>
  <si>
    <t>98713267</t>
  </si>
  <si>
    <t>ANDRES DAVID GUTIERREZ VARGAS</t>
  </si>
  <si>
    <t>98697759</t>
  </si>
  <si>
    <t>JOSE ANDRES SUAREZ CEBALLOS</t>
  </si>
  <si>
    <t>98591505</t>
  </si>
  <si>
    <t>ALEXANDER DE JESÚS VELASQUEZ VELASQUEZ</t>
  </si>
  <si>
    <t>1152189460</t>
  </si>
  <si>
    <t>ILIANA MARCELA RODRÍGUEZ HENAO</t>
  </si>
  <si>
    <t>1017258796</t>
  </si>
  <si>
    <t>JUAN PABLO MADROÑERO LOPEZ</t>
  </si>
  <si>
    <t>DAT-04 - Análisis y Visualización de Datos</t>
  </si>
  <si>
    <t>DAT-04</t>
  </si>
  <si>
    <t>Miércoles 18:30-21:30 | Viernes 18:30-21:30</t>
  </si>
  <si>
    <t>3/60</t>
  </si>
  <si>
    <t>Alvaro Viloria</t>
  </si>
  <si>
    <t>1045077078</t>
  </si>
  <si>
    <t>CAMILA  ROJAS SEPULVEDA</t>
  </si>
  <si>
    <t>1000290484</t>
  </si>
  <si>
    <t>ISABEL  PAREDES RIVERA</t>
  </si>
  <si>
    <t>1214748583</t>
  </si>
  <si>
    <t>DIWAR DE JESUS MONTOYA GOMEZ</t>
  </si>
  <si>
    <t>43866863</t>
  </si>
  <si>
    <t>ALEXANDRA MILENA CARDONA ROJAS</t>
  </si>
  <si>
    <t>1152701114</t>
  </si>
  <si>
    <t>LEYDY JHOHANA GRANDA ALVAREZ</t>
  </si>
  <si>
    <t>79524693</t>
  </si>
  <si>
    <t>ROBERT DE JESUS GONZALEZ COPETE</t>
  </si>
  <si>
    <t>1047397413</t>
  </si>
  <si>
    <t>KARLA PAOLA GONZALEZ VILLALBA</t>
  </si>
  <si>
    <t>52179344</t>
  </si>
  <si>
    <t>ANDREA  RUBIO APONTE</t>
  </si>
  <si>
    <t>1017923713</t>
  </si>
  <si>
    <t>LAURA SOFIA AGUDELO MONCADA</t>
  </si>
  <si>
    <t>1036677404</t>
  </si>
  <si>
    <t>GERALDINE  VILLA TABERA</t>
  </si>
  <si>
    <t>1013556190</t>
  </si>
  <si>
    <t>LUNA  CARDONA JIMÉNEZ</t>
  </si>
  <si>
    <t>43990177</t>
  </si>
  <si>
    <t>LEIDY JOHANA ÁLVAREZ ESPINOSA</t>
  </si>
  <si>
    <t>43906654</t>
  </si>
  <si>
    <t>DIANA CATALINA ORTIZ BEDOYA</t>
  </si>
  <si>
    <t>71367545</t>
  </si>
  <si>
    <t>JULIAN ANDRES CORREA MEJIA</t>
  </si>
  <si>
    <t>98570407</t>
  </si>
  <si>
    <t>OSCAR HERNAN MARTINEZ MEJIA</t>
  </si>
  <si>
    <t>70879477</t>
  </si>
  <si>
    <t>OSCAR MAURICIO GIRALDO OBANDO</t>
  </si>
  <si>
    <t>26000425</t>
  </si>
  <si>
    <t>NATALY  RESTREPO ORTEGA</t>
  </si>
  <si>
    <t>1036649392</t>
  </si>
  <si>
    <t>JUAN PABLO MORENO CASTAÑEDA</t>
  </si>
  <si>
    <t>71331888</t>
  </si>
  <si>
    <t>JUAN ERNESTO GIRALDO RAMIREZ</t>
  </si>
  <si>
    <t>1025646327</t>
  </si>
  <si>
    <t>DIANA MARCELA VIVEROS MURILLO</t>
  </si>
  <si>
    <t>1017235096</t>
  </si>
  <si>
    <t>JOHANA ANDREA TORRES LOPEZ</t>
  </si>
  <si>
    <t>6/60</t>
  </si>
  <si>
    <t>1152195658</t>
  </si>
  <si>
    <t>EVELIN MARÍA MONTOYA PIEDRAHITA</t>
  </si>
  <si>
    <t>1036666575</t>
  </si>
  <si>
    <t>STARLEEN  GAVIRIA MEDINA</t>
  </si>
  <si>
    <t>7632739</t>
  </si>
  <si>
    <t>DANY DUMAS REALPE CHAVARRIA</t>
  </si>
  <si>
    <t>1128451186</t>
  </si>
  <si>
    <t>BRAHYAM BRIAN JARAMILLO GALLO</t>
  </si>
  <si>
    <t>1063651129</t>
  </si>
  <si>
    <t>KARELYS ESTHER COBAS MEZA</t>
  </si>
  <si>
    <t>1034659598</t>
  </si>
  <si>
    <t>JUAN MANUEL PAZ ARBOLEDA</t>
  </si>
  <si>
    <t>1001016466</t>
  </si>
  <si>
    <t>CRISTIAN  GUISAO OSPINA</t>
  </si>
  <si>
    <t>71366605</t>
  </si>
  <si>
    <t>JULIAN ESTEBAN MORA OSORIO</t>
  </si>
  <si>
    <t>1003337256</t>
  </si>
  <si>
    <t>JHONY DE JESÚS CAMAÑO FABRA</t>
  </si>
  <si>
    <t>1037667127</t>
  </si>
  <si>
    <t>DANIELA  HERRERA CORREA</t>
  </si>
  <si>
    <t>1017205890</t>
  </si>
  <si>
    <t>RICHARD  CASAFUS MURIEL</t>
  </si>
  <si>
    <t>43259184</t>
  </si>
  <si>
    <t>VICTORIA EUGENIA BOLIVAR OSORIO</t>
  </si>
  <si>
    <t>1193113681</t>
  </si>
  <si>
    <t>LAURA MELISSA BURITICA GONZALEZ</t>
  </si>
  <si>
    <t>43184591</t>
  </si>
  <si>
    <t>NATALIA ANDREA RIOS ROMERO</t>
  </si>
  <si>
    <t>1017188059</t>
  </si>
  <si>
    <t>DIEGO FELIPE CARRILLO BALLESTERO</t>
  </si>
  <si>
    <t>1098638556</t>
  </si>
  <si>
    <t>LEONARDO FRANCISCO SIERRA PRADA</t>
  </si>
  <si>
    <t>1000874425</t>
  </si>
  <si>
    <t>YAMERLY  CHAVERRA IBARGUEN</t>
  </si>
  <si>
    <t>1037614103</t>
  </si>
  <si>
    <t>LUCIA PAOLA CORREA BARRERA</t>
  </si>
  <si>
    <t>1018459984</t>
  </si>
  <si>
    <t>RAMÓN ANTONIO DUARTE SILVA</t>
  </si>
  <si>
    <t>Traslado desde DAT-03</t>
  </si>
  <si>
    <t>1128403869</t>
  </si>
  <si>
    <t>ANDRES FELIPE MOLIONA TORO</t>
  </si>
  <si>
    <t>1037071710</t>
  </si>
  <si>
    <t>AUDALIA CRISTINA CIRO VALENCIA</t>
  </si>
  <si>
    <t>1037662772</t>
  </si>
  <si>
    <t>JUAN DAVID ESCOBAR SALAZAR</t>
  </si>
  <si>
    <t>Traslado desde DAT-02</t>
  </si>
  <si>
    <t>1032436767</t>
  </si>
  <si>
    <t>SERGIO ENRIQUE MORA MOJICA</t>
  </si>
  <si>
    <t>DAT-05 - Análisis y Visualización de Datos</t>
  </si>
  <si>
    <t>DAT-05</t>
  </si>
  <si>
    <t>Johan Muriel</t>
  </si>
  <si>
    <t>Traslado desde DAT-08</t>
  </si>
  <si>
    <t>43253244</t>
  </si>
  <si>
    <t>LUISA FERNANDA ZAPATA DELGADO</t>
  </si>
  <si>
    <t>1000871655</t>
  </si>
  <si>
    <t>JUAN SEBASTIÁN BECERRA BEDOYA</t>
  </si>
  <si>
    <t>1234989023</t>
  </si>
  <si>
    <t>DIEGO MAURICIO BEDOYA VALENCIA</t>
  </si>
  <si>
    <t>1017165207</t>
  </si>
  <si>
    <t>DIANA MARIA HOLGUINQ RAMIREZ</t>
  </si>
  <si>
    <t>1017125204</t>
  </si>
  <si>
    <t>NILTON ALEXANDER JARAMILLO CAÑAVERAL</t>
  </si>
  <si>
    <t>1035228511</t>
  </si>
  <si>
    <t>JOSE DARIO PINEDA GOMEZ</t>
  </si>
  <si>
    <t>98765846</t>
  </si>
  <si>
    <t>MICHAEL GREGORIO ROBLEDO NAVARRO</t>
  </si>
  <si>
    <t>80092291</t>
  </si>
  <si>
    <t>JOSE ANDERSON CASTAÑEDA ZAMORA</t>
  </si>
  <si>
    <t>40334447</t>
  </si>
  <si>
    <t>ANA MARIA GUTIERREZ RODRIGUEZ</t>
  </si>
  <si>
    <t>1000394701</t>
  </si>
  <si>
    <t>LUISA FERNANDA MARQUEZ OSORIO</t>
  </si>
  <si>
    <t>1192801610</t>
  </si>
  <si>
    <t>ANDREA  MATEUS JAIME</t>
  </si>
  <si>
    <t>98542032</t>
  </si>
  <si>
    <t>ADOLFO LEON VAHOS ZULUAGA</t>
  </si>
  <si>
    <t>71366815</t>
  </si>
  <si>
    <t>ANDRES MAU ANDRES MAU SANCHEZ ZULUAGA</t>
  </si>
  <si>
    <t>43979221</t>
  </si>
  <si>
    <t>DIANA CAROLINA MACIAS GALLEGO</t>
  </si>
  <si>
    <t>1216723407</t>
  </si>
  <si>
    <t>NATALIA  HOLGUIN BERMUDEZ</t>
  </si>
  <si>
    <t>71364993</t>
  </si>
  <si>
    <t>SANTIAGO  DUQUE COLORADO</t>
  </si>
  <si>
    <t>1035879647</t>
  </si>
  <si>
    <t>CAMILA  CORTES BUSTAMANTE</t>
  </si>
  <si>
    <t>71794723</t>
  </si>
  <si>
    <t>JUAN GUILLERMO ARANGO RESTREPO</t>
  </si>
  <si>
    <t>1035435764</t>
  </si>
  <si>
    <t>SANDRA MILENA ROBLEDO PALACIOS</t>
  </si>
  <si>
    <t>98765301</t>
  </si>
  <si>
    <t>ANDRES FELIPE RESTREPO URIBE</t>
  </si>
  <si>
    <t>1017258621</t>
  </si>
  <si>
    <t>CAMILO ANDRÉS GUARÍN ATEHORTÚA</t>
  </si>
  <si>
    <t>1000415595</t>
  </si>
  <si>
    <t>CRISTIAN  BETANCUR MARTINEZ</t>
  </si>
  <si>
    <t>21981765</t>
  </si>
  <si>
    <t>YAZMIN INDIRA VERGARA MORENO</t>
  </si>
  <si>
    <t>1035420155</t>
  </si>
  <si>
    <t>ANDRES FELIPE FLOREZ PATERNINA</t>
  </si>
  <si>
    <t>8430415</t>
  </si>
  <si>
    <t>ANDRES FELIPE AGUDELO PEREZ</t>
  </si>
  <si>
    <t>98484666</t>
  </si>
  <si>
    <t>FABIAN ANDRES CARDENAS RAMIREZ</t>
  </si>
  <si>
    <t>1023622029</t>
  </si>
  <si>
    <t>YESENIA  CHAVARIAGA ACEVEDO</t>
  </si>
  <si>
    <t>52656325</t>
  </si>
  <si>
    <t>ANA MARGARITA MALDONADO SEVILLA</t>
  </si>
  <si>
    <t>1093558255</t>
  </si>
  <si>
    <t>KELIN JULIANA LOPEZ SANCHEZ</t>
  </si>
  <si>
    <t>1035433523</t>
  </si>
  <si>
    <t>JUAN CAMILO RIOS MESA</t>
  </si>
  <si>
    <t>1035800080</t>
  </si>
  <si>
    <t>JOSE MIGUEL CANABAL MAZO</t>
  </si>
  <si>
    <t>1152209318</t>
  </si>
  <si>
    <t>NIXON  CARRILLO HERRERA</t>
  </si>
  <si>
    <t>1096222681</t>
  </si>
  <si>
    <t>ADRIAN DANILO GARCÍA TORRES</t>
  </si>
  <si>
    <t>1007460098</t>
  </si>
  <si>
    <t>DANIEL SEBASTIAN RIOS VERA</t>
  </si>
  <si>
    <t>1214732687</t>
  </si>
  <si>
    <t>ESTEBAN  TORO ÁLVAREZ</t>
  </si>
  <si>
    <t>1152217515</t>
  </si>
  <si>
    <t>JUAN PABLO TOBON GOMEZ</t>
  </si>
  <si>
    <t>1017137095</t>
  </si>
  <si>
    <t>KARENT LISSETH JIMÉNEZ CANO</t>
  </si>
  <si>
    <t>1035430903</t>
  </si>
  <si>
    <t>ODERIS ODERI QUICENO VELASQUEZ</t>
  </si>
  <si>
    <t>43278785</t>
  </si>
  <si>
    <t>LILIANA PATRICIA PADILLA CÓRDOBA</t>
  </si>
  <si>
    <t>Traslado desde DAT-01</t>
  </si>
  <si>
    <t>1017255212</t>
  </si>
  <si>
    <t>ELIANA ANDREA BEDOYA HIGUITA</t>
  </si>
  <si>
    <t>DAT-06 - Análisis y Visualización de Datos</t>
  </si>
  <si>
    <t>DAT-06</t>
  </si>
  <si>
    <t>Sábado 09:00-12:00 | Sábado 13:00-16:00</t>
  </si>
  <si>
    <t>1040752325</t>
  </si>
  <si>
    <t>FELIPE  URIBE MEJÍA</t>
  </si>
  <si>
    <t>44006925</t>
  </si>
  <si>
    <t>MARYORIS MARCELA MIRA GARCIA</t>
  </si>
  <si>
    <t>Traslado desde DAT-07</t>
  </si>
  <si>
    <t>1152708901</t>
  </si>
  <si>
    <t>JULIETH  MONSALVE PELEZ</t>
  </si>
  <si>
    <t>1025880186</t>
  </si>
  <si>
    <t>VALENTINA  GÓMEZ JARAMILLO</t>
  </si>
  <si>
    <t>1026163663</t>
  </si>
  <si>
    <t>ANDRES SEBASTIAN PALENCIA LONDOÑO</t>
  </si>
  <si>
    <t>1017247714</t>
  </si>
  <si>
    <t>ANGIE LORENA CALDERON NOREÑA</t>
  </si>
  <si>
    <t>1037642252</t>
  </si>
  <si>
    <t>STEFANY ANDREA RINCON PATIÑO</t>
  </si>
  <si>
    <t>1025884111</t>
  </si>
  <si>
    <t>MARIANA MARIANA GIRALDO RICO</t>
  </si>
  <si>
    <t>71367757</t>
  </si>
  <si>
    <t>JUAN CAMILO RUA CASTAÑEDA</t>
  </si>
  <si>
    <t>1020477869</t>
  </si>
  <si>
    <t>ALEJANDRA  MAZO</t>
  </si>
  <si>
    <t>1044500229</t>
  </si>
  <si>
    <t>LUNA MARIA MUÑOZ URIBE</t>
  </si>
  <si>
    <t>1007110127</t>
  </si>
  <si>
    <t>LAURA LAURA GUTIERREZ CORREA</t>
  </si>
  <si>
    <t>1128392554</t>
  </si>
  <si>
    <t>YUSMAY KATHERINE SALDARRIAG CARDONA</t>
  </si>
  <si>
    <t>1088593581</t>
  </si>
  <si>
    <t>JOHN ALEXANDER PUERRES</t>
  </si>
  <si>
    <t>1006108395</t>
  </si>
  <si>
    <t>JULIAN ANDRES CORTES MESIAS</t>
  </si>
  <si>
    <t>1037572660</t>
  </si>
  <si>
    <t>JUAN CAMILO SOTO PÉREZ</t>
  </si>
  <si>
    <t>1152695881</t>
  </si>
  <si>
    <t>JULIO CESAR REGINO PANIAGUA</t>
  </si>
  <si>
    <t>1000188624</t>
  </si>
  <si>
    <t>DANELLY ANDREA MIRA AGUDELO</t>
  </si>
  <si>
    <t>1152438473</t>
  </si>
  <si>
    <t>JUAN PABLO RIVERA RAIGOSA</t>
  </si>
  <si>
    <t>1017138127</t>
  </si>
  <si>
    <t>SANDRA MILENA RAIGOSA VILLA</t>
  </si>
  <si>
    <t>1152711340</t>
  </si>
  <si>
    <t>JUAN FERNANDO NARANJO MONSALVE</t>
  </si>
  <si>
    <t>1007241505</t>
  </si>
  <si>
    <t>PAULINA  GOMEZ OSPINA</t>
  </si>
  <si>
    <t>1017231830</t>
  </si>
  <si>
    <t>KATHERINE  PEREZ MEJIA</t>
  </si>
  <si>
    <t>1020457483</t>
  </si>
  <si>
    <t>JOHAN ESTEBAN SANCHEZ MELAN</t>
  </si>
  <si>
    <t>1017149817</t>
  </si>
  <si>
    <t>LINA MARCELA CORREA MUÑOZ</t>
  </si>
  <si>
    <t>1017135883</t>
  </si>
  <si>
    <t>LISSETTE ANDREA ECHEVERRY ÁLVAREZ</t>
  </si>
  <si>
    <t>1128476577</t>
  </si>
  <si>
    <t>LAURA MARIA CASTRO RENGIFO</t>
  </si>
  <si>
    <t>1017196547</t>
  </si>
  <si>
    <t>ISABEL CRISTINA ROMAN TRUJILLO</t>
  </si>
  <si>
    <t>1020422560</t>
  </si>
  <si>
    <t>LAURA ELENA ACEVEDO CORREA</t>
  </si>
  <si>
    <t>1036667594</t>
  </si>
  <si>
    <t>LAURA  GUZMÁN GUTIERREZ</t>
  </si>
  <si>
    <t>1/60</t>
  </si>
  <si>
    <t>1216715824</t>
  </si>
  <si>
    <t>SANTIAGO  ECHAVARRIA RENDON</t>
  </si>
  <si>
    <t>DAT-07 - Análisis y Visualización de Datos</t>
  </si>
  <si>
    <t>DAT-07</t>
  </si>
  <si>
    <t>1027882919</t>
  </si>
  <si>
    <t>ANDRÉS FELIPE JARAMILLO CARDONA</t>
  </si>
  <si>
    <t>43112583</t>
  </si>
  <si>
    <t>LEANDRA MAGALLY SANCHEZ HERRERA</t>
  </si>
  <si>
    <t>1037575589</t>
  </si>
  <si>
    <t>ALEXANDER  GOMEZ SIERRA</t>
  </si>
  <si>
    <t>4098925</t>
  </si>
  <si>
    <t>DAIANA CECILIA MONROY MALLORCA</t>
  </si>
  <si>
    <t>1017271564</t>
  </si>
  <si>
    <t>ISABELA  RODRIGUEZ SERNA</t>
  </si>
  <si>
    <t>98715576</t>
  </si>
  <si>
    <t>VICTOR ALFONSO TABORDA MOLINA</t>
  </si>
  <si>
    <t>1214734929</t>
  </si>
  <si>
    <t>DANIELA  URIBE ARIAS</t>
  </si>
  <si>
    <t>1001236260</t>
  </si>
  <si>
    <t>ISABELLA  AGUDELO GIRALDO</t>
  </si>
  <si>
    <t>1037632533</t>
  </si>
  <si>
    <t>KAREN  GOMEZ DAVID</t>
  </si>
  <si>
    <t>1000884472</t>
  </si>
  <si>
    <t>JULIAN ALEXIS BEDOYA SIERRA</t>
  </si>
  <si>
    <t>1032180433</t>
  </si>
  <si>
    <t>JORGE SMITH MOSQUERA OQUENDO</t>
  </si>
  <si>
    <t>98766293</t>
  </si>
  <si>
    <t>JUAN CARLOS CUARTAS BUSTAMANTE</t>
  </si>
  <si>
    <t>43915384</t>
  </si>
  <si>
    <t>MARIA EUGENIA CHAVARRIAG ZAPATA</t>
  </si>
  <si>
    <t>1001818738</t>
  </si>
  <si>
    <t>LUIS EDUARDO OROZCO AVILA</t>
  </si>
  <si>
    <t>1152223159</t>
  </si>
  <si>
    <t>PAULA CATHERINE CUERVO HERNANDEZ</t>
  </si>
  <si>
    <t>71338118</t>
  </si>
  <si>
    <t>WILMAR  CASTAÑEDA</t>
  </si>
  <si>
    <t>1123621823</t>
  </si>
  <si>
    <t>REISHEL ELAIDA ACOSTA RUBIDES</t>
  </si>
  <si>
    <t>1017221343</t>
  </si>
  <si>
    <t>BRAYAN DANIEL MORA SERNA</t>
  </si>
  <si>
    <t>18418750</t>
  </si>
  <si>
    <t>JONNY KENNY LONDOÑO DELGADO</t>
  </si>
  <si>
    <t>1017248998</t>
  </si>
  <si>
    <t>DANIELA  CASTAÑEDA DAZA</t>
  </si>
  <si>
    <t>1001140403</t>
  </si>
  <si>
    <t>ANA  ZAPATA</t>
  </si>
  <si>
    <t>1000330458</t>
  </si>
  <si>
    <t>SARA  SALGADO FRANCO</t>
  </si>
  <si>
    <t>1152200994</t>
  </si>
  <si>
    <t>MARIA CAMILA MORENO CASTRILLON</t>
  </si>
  <si>
    <t>1025646243</t>
  </si>
  <si>
    <t>MIGUEL ÁNGEL MEJÍA FUENTES</t>
  </si>
  <si>
    <t>15445131</t>
  </si>
  <si>
    <t>PABLO ANDRES CELIS BEDOYA</t>
  </si>
  <si>
    <t>1036638301</t>
  </si>
  <si>
    <t>SEBASTIAN SEBASTIAN MENESES OCHOA</t>
  </si>
  <si>
    <t>3802462</t>
  </si>
  <si>
    <t>EDUARDO DE JESÚS MENDOZA JIMÉNEZ</t>
  </si>
  <si>
    <t>1214745832</t>
  </si>
  <si>
    <t>CAMILA  CORONADO LUJÁN</t>
  </si>
  <si>
    <t>1152712180</t>
  </si>
  <si>
    <t>MATEO  ROJAS VALENCIA</t>
  </si>
  <si>
    <t>1128426287</t>
  </si>
  <si>
    <t>MARÍA CRISTINA SUCERQUIA POSSO</t>
  </si>
  <si>
    <t>1070814768</t>
  </si>
  <si>
    <t>MARCIA PATRICIA DIAZ CAMPO</t>
  </si>
  <si>
    <t>1036949650</t>
  </si>
  <si>
    <t>DANIELA  FRANCO GOMEZ</t>
  </si>
  <si>
    <t>DAT-08 - Análisis y Visualización de Datos</t>
  </si>
  <si>
    <t>DAT-08</t>
  </si>
  <si>
    <t>Sábado 09:00-12:00 | Domingo 09:00-12:00</t>
  </si>
  <si>
    <t>1036662062</t>
  </si>
  <si>
    <t>VANESSA  ZAFRA RESTREPO</t>
  </si>
  <si>
    <t>1000407093</t>
  </si>
  <si>
    <t>JHEISON ALBERTO IBARRA CIRO</t>
  </si>
  <si>
    <t>1023528746</t>
  </si>
  <si>
    <t>Juan Manuel Naranjo Gómez</t>
  </si>
  <si>
    <t>1037653193</t>
  </si>
  <si>
    <t>JONATHAN  MARÍN GALLEGO</t>
  </si>
  <si>
    <t>1036660263</t>
  </si>
  <si>
    <t>JULIETA  CHAVARRÍA GONZÁLEZ</t>
  </si>
  <si>
    <t>1067160849</t>
  </si>
  <si>
    <t>JUAN JOSÉ DE LEÓN NAVARRO</t>
  </si>
  <si>
    <t>1003073066</t>
  </si>
  <si>
    <t>INES CAROLINA NAVARRO BALLESTERO</t>
  </si>
  <si>
    <t>1017227632</t>
  </si>
  <si>
    <t>LAURA ESTEFANY ZULUAGA MUÑOZ</t>
  </si>
  <si>
    <t>1192775925</t>
  </si>
  <si>
    <t>ANGELA CRISTINA VEGA MANJARRES</t>
  </si>
  <si>
    <t>1214720647</t>
  </si>
  <si>
    <t>JORGE ANDRES MORENO AGUDELO</t>
  </si>
  <si>
    <t>1152687079</t>
  </si>
  <si>
    <t>JHON RICHARD NUÑEZ VELASQUEZ</t>
  </si>
  <si>
    <t>1128426691</t>
  </si>
  <si>
    <t>DANIEL FERNANDO BLANDÓN ZULUAGA</t>
  </si>
  <si>
    <t>1013456822</t>
  </si>
  <si>
    <t>JUAN JOSÉ OCAMPO GÓMEZ</t>
  </si>
  <si>
    <t>1000886729</t>
  </si>
  <si>
    <t>ALEXÁNDER  CASTRILLÓN CÁRDENAS</t>
  </si>
  <si>
    <t>1152464275</t>
  </si>
  <si>
    <t>SARA  ACOSTA ECHAVARRIA</t>
  </si>
  <si>
    <t>1038360542</t>
  </si>
  <si>
    <t>JUAN PABLO ECHAVARRIA TORRES</t>
  </si>
  <si>
    <t>1083004816</t>
  </si>
  <si>
    <t>RYAN RYAN ARVILLA GONZALEZ</t>
  </si>
  <si>
    <t>1001463085</t>
  </si>
  <si>
    <t>DAYANNA MARÍA BERNAL JARAMILLO</t>
  </si>
  <si>
    <t>1001014297</t>
  </si>
  <si>
    <t>MARIA JOSE RESTREPO MALAGUERA</t>
  </si>
  <si>
    <t>1020483948</t>
  </si>
  <si>
    <t>JULIANA ANDREA CASTAÑO MARIN</t>
  </si>
  <si>
    <t>1035433608</t>
  </si>
  <si>
    <t>LAURA MELISA RAMIREZ BEDOYA</t>
  </si>
  <si>
    <t>1000532270</t>
  </si>
  <si>
    <t>VICTOR DANIEL MONSALVE GUAPACHA</t>
  </si>
  <si>
    <t>1035976443</t>
  </si>
  <si>
    <t>SARA  VILLA GODOY</t>
  </si>
  <si>
    <t>1001943711</t>
  </si>
  <si>
    <t>JUAN ESTEVAN SINITAVE ROJAS</t>
  </si>
  <si>
    <t>13070639</t>
  </si>
  <si>
    <t>OSCAR ALEXANDER BARCO CHAVEZ</t>
  </si>
  <si>
    <t>1033491175</t>
  </si>
  <si>
    <t>MATEO  AGUDELO MAZO</t>
  </si>
  <si>
    <t>70952101</t>
  </si>
  <si>
    <t>HUGO IVAN ALZATE ALZATE</t>
  </si>
  <si>
    <t>1018227484</t>
  </si>
  <si>
    <t>LAURA VALENTINA ARIAS PULGARIN</t>
  </si>
  <si>
    <t>1214743507</t>
  </si>
  <si>
    <t>DAVID ALEXANDER CERON RESTREPO</t>
  </si>
  <si>
    <t>1128281391</t>
  </si>
  <si>
    <t>ALBEIRO  PEREZ GIL</t>
  </si>
  <si>
    <t>1040733513</t>
  </si>
  <si>
    <t>CRISTIAN  PIEDRAHITA ECHAVARRIA</t>
  </si>
  <si>
    <t>1036684660</t>
  </si>
  <si>
    <t>KEVIN ESTIBEN GONZALEZ CANO</t>
  </si>
  <si>
    <t>1128469761</t>
  </si>
  <si>
    <t>ALEXANDRA  HIGUITA USUGA</t>
  </si>
  <si>
    <t>1017163776</t>
  </si>
  <si>
    <t>SARA ESTEFANIA CANO ZAPATA</t>
  </si>
  <si>
    <t>43267671</t>
  </si>
  <si>
    <t>DARSY LILIANA HERNANDEZ PATIÑO</t>
  </si>
  <si>
    <t>75105128</t>
  </si>
  <si>
    <t>ESTEBAN MAURICIO CIFUENTES LARGO</t>
  </si>
  <si>
    <t>1037648299</t>
  </si>
  <si>
    <t>ANGIE CAROLINA GIRALDO PALACIO</t>
  </si>
  <si>
    <t>1022142714</t>
  </si>
  <si>
    <t>JUAN ESTEBAN SEPULVEDA</t>
  </si>
  <si>
    <t>1023594284</t>
  </si>
  <si>
    <t>EMMANUEL  BETANCUR TORO</t>
  </si>
  <si>
    <t>1000761111</t>
  </si>
  <si>
    <t>CAROLINA  SERNA SERNA</t>
  </si>
  <si>
    <t>1038866088</t>
  </si>
  <si>
    <t>LUIS FELIPE VICTORIA FRANCO</t>
  </si>
  <si>
    <t>1017188495</t>
  </si>
  <si>
    <t>ALEJANDRA  VARGAS RUIZ</t>
  </si>
  <si>
    <t>1144099551</t>
  </si>
  <si>
    <t>LAURA NATALIA GONZALEZ AREVALO</t>
  </si>
  <si>
    <t>1045049665</t>
  </si>
  <si>
    <t>OSCAR DANILO GRANADA GIRALDO</t>
  </si>
  <si>
    <t>1151955991</t>
  </si>
  <si>
    <t>LISET  GUETIO PUYO</t>
  </si>
  <si>
    <t>1193227487</t>
  </si>
  <si>
    <t>MATEO  GARCIA HERNANDEZ</t>
  </si>
  <si>
    <t>1017201861</t>
  </si>
  <si>
    <t>LUISA FERNANDA VELASQUEZ ARISTIZABA</t>
  </si>
  <si>
    <t>1152688593</t>
  </si>
  <si>
    <t>DEISI  GARCÍA RAMÍREZ</t>
  </si>
  <si>
    <t>1001013811</t>
  </si>
  <si>
    <t>MARÍA CAMILA GARCIA BECERRA</t>
  </si>
  <si>
    <t>DAT-09 - Análisis y Visualización de Datos</t>
  </si>
  <si>
    <t>DAT-09</t>
  </si>
  <si>
    <t>Domingo 09:00-12:00 | Domingo 13:00-16:00</t>
  </si>
  <si>
    <t>5923858</t>
  </si>
  <si>
    <t>JHONATHAN EDUARDO RODRIGUEZ AMARO</t>
  </si>
  <si>
    <t>1037585660</t>
  </si>
  <si>
    <t>HEIDY JOHANNA FRANCO ARROYAVE</t>
  </si>
  <si>
    <t>1045136793</t>
  </si>
  <si>
    <t>LAURA GISELA BERNAL DE LA CRUZ</t>
  </si>
  <si>
    <t>1017249077</t>
  </si>
  <si>
    <t>YUMER ALEXANDER MUÑOZ GUTIÉRREZ</t>
  </si>
  <si>
    <t>1130704398</t>
  </si>
  <si>
    <t>SAMUEL FELIPE BERNAL DE LA CRUZ</t>
  </si>
  <si>
    <t>1128396408</t>
  </si>
  <si>
    <t>JORGE ALBERTO ACEVEDO COLORADO</t>
  </si>
  <si>
    <t>1044508041</t>
  </si>
  <si>
    <t>JOSE IGNACIO PALACIO MOLINA</t>
  </si>
  <si>
    <t>1023522657</t>
  </si>
  <si>
    <t>VALERIA  CORREA DIEZ</t>
  </si>
  <si>
    <t>8061005</t>
  </si>
  <si>
    <t>JUAN FELIPE OROZCO MORENO</t>
  </si>
  <si>
    <t>1027889225</t>
  </si>
  <si>
    <t>MATEO  VASCO OSPINA</t>
  </si>
  <si>
    <t>1037595643</t>
  </si>
  <si>
    <t>DANIEL FELIPE GUARIN VELEZ</t>
  </si>
  <si>
    <t>1001316020</t>
  </si>
  <si>
    <t>SARA SOFIA BUCHELI CARDOZO</t>
  </si>
  <si>
    <t>1007242444</t>
  </si>
  <si>
    <t>JUAN DAVID RUEDA GUAPACHA</t>
  </si>
  <si>
    <t>752184</t>
  </si>
  <si>
    <t>ROSBELY MARIANGEL MORALES CABRERA</t>
  </si>
  <si>
    <t>1001368340</t>
  </si>
  <si>
    <t>JULIAN  ZAPATA RAMIREZ</t>
  </si>
  <si>
    <t>1152226357</t>
  </si>
  <si>
    <t>JEAN PAUL ZAMORA OSORIO</t>
  </si>
  <si>
    <t>1017266000</t>
  </si>
  <si>
    <t>LAURA JULIANA CORREA SOTO</t>
  </si>
  <si>
    <t>1040180837</t>
  </si>
  <si>
    <t>ELKIN  FLOREZ RAMIREZ</t>
  </si>
  <si>
    <t>1152189874</t>
  </si>
  <si>
    <t>KAREN  ARTEAGA GÓMEZ</t>
  </si>
  <si>
    <t>1035878816</t>
  </si>
  <si>
    <t>MARIA ALEJANDRA SALAZAR ALZATE</t>
  </si>
  <si>
    <t>1017182776</t>
  </si>
  <si>
    <t>YOHAN ALEXIS GIRALDO DUQUE</t>
  </si>
  <si>
    <t>1036665214</t>
  </si>
  <si>
    <t>KAREN VERÒNICA BEDOYA LEGARDA</t>
  </si>
  <si>
    <t>1128423019</t>
  </si>
  <si>
    <t>ELDA MARIA USUGA CARVAJAL</t>
  </si>
  <si>
    <t>1000895347</t>
  </si>
  <si>
    <t>SEBASTIAN  GRANADOS MONTOYA</t>
  </si>
  <si>
    <t>1036338186</t>
  </si>
  <si>
    <t>DANIELA  GUERRA OSPINA</t>
  </si>
  <si>
    <t>43999509</t>
  </si>
  <si>
    <t>KATHERINE KATHERINE PALACIOS DIAZ</t>
  </si>
  <si>
    <t>1040749459</t>
  </si>
  <si>
    <t>ESNEIDER  ALVAREZ RIOS</t>
  </si>
  <si>
    <t>DAT-10 - Análisis y Visualización de Datos</t>
  </si>
  <si>
    <t>DAT-10</t>
  </si>
  <si>
    <t>Miércoles 08:00-11:00 | Viernes 08:00-11:00</t>
  </si>
  <si>
    <t>1152453587</t>
  </si>
  <si>
    <t>JULIAN  MEJIA RESTREPO</t>
  </si>
  <si>
    <t>1000194035</t>
  </si>
  <si>
    <t>MANUELA MANUELA SALAZAR JIMENEZ</t>
  </si>
  <si>
    <t>1152470381</t>
  </si>
  <si>
    <t>ISABEL CRISTINA RIVAS CORONADO</t>
  </si>
  <si>
    <t>1033338578</t>
  </si>
  <si>
    <t>ANDRES  GOMEZ RESTREPO</t>
  </si>
  <si>
    <t>1005676806</t>
  </si>
  <si>
    <t>LAURA MARIA OSORIO BUSTAMANTE</t>
  </si>
  <si>
    <t>71590919</t>
  </si>
  <si>
    <t>JHON JAIRO OROZCO JURADO</t>
  </si>
  <si>
    <t>1020106789</t>
  </si>
  <si>
    <t>SANTIAGO  ESCOBAR OBANDO</t>
  </si>
  <si>
    <t>1039420695</t>
  </si>
  <si>
    <t>CARLOS ARTURO MEJIA CORDOBA</t>
  </si>
  <si>
    <t>1017932753</t>
  </si>
  <si>
    <t>JUAN DAVID RODRÍGUEZ GAVIRIA</t>
  </si>
  <si>
    <t>1035872684</t>
  </si>
  <si>
    <t>DUVAN  LONDOÑO GUERRA</t>
  </si>
  <si>
    <t>1041530836</t>
  </si>
  <si>
    <t>JOHANA JOHANA MACHADO SEPÚLVEDA</t>
  </si>
  <si>
    <t>1036658660</t>
  </si>
  <si>
    <t>MARIA  MARIN</t>
  </si>
  <si>
    <t>1127922850</t>
  </si>
  <si>
    <t>NELSON ALEJANDRO ROJAS MONTOYA</t>
  </si>
  <si>
    <t>1152686764</t>
  </si>
  <si>
    <t>SEBASTIAN  SALAZAR ZAPATA</t>
  </si>
  <si>
    <t>71266165</t>
  </si>
  <si>
    <t>JUAN CAMILO CIFUENTES SALGADO</t>
  </si>
  <si>
    <t>32140422</t>
  </si>
  <si>
    <t>LINA MARIA ALVARADO PEREZ</t>
  </si>
  <si>
    <t>1017268662</t>
  </si>
  <si>
    <t>CRISTIAN ANDRES LONDOÑO LONDOÑO</t>
  </si>
  <si>
    <t>80771968</t>
  </si>
  <si>
    <t>ANDRÉS MAURIZIO ANDRADE</t>
  </si>
  <si>
    <t>1000409522</t>
  </si>
  <si>
    <t>MANUELA MANUELA GALLEGO VILLADA</t>
  </si>
  <si>
    <t>1036670974</t>
  </si>
  <si>
    <t>LAURA VÍCTORIA ATEHORTUA RODRÍGUEZ</t>
  </si>
  <si>
    <t>98764768</t>
  </si>
  <si>
    <t>FRANCISCO JAVIER CALDERON ARBOLEDA</t>
  </si>
  <si>
    <t>RED-01 - Cloud Computing, Redes y Ciberseguridad</t>
  </si>
  <si>
    <t>RED-01</t>
  </si>
  <si>
    <t>6/40</t>
  </si>
  <si>
    <t>CLOUD COMPUTING, REDES Y CIBERSEGURIDAD ESENCIAL</t>
  </si>
  <si>
    <t>Alejandro Barrera Correa</t>
  </si>
  <si>
    <t>Traslado desde RED-02</t>
  </si>
  <si>
    <t>98699317</t>
  </si>
  <si>
    <t>EMERSON EMERSON MAZO CARDONA</t>
  </si>
  <si>
    <t>1128423114</t>
  </si>
  <si>
    <t>VICTOR AUGUSTO MOLINA MEJIA</t>
  </si>
  <si>
    <t>1020492081</t>
  </si>
  <si>
    <t>ALEJANDRO ALEJANDRO AGUIRRE GARCIA</t>
  </si>
  <si>
    <t>5/40</t>
  </si>
  <si>
    <t>1007622387</t>
  </si>
  <si>
    <t>JUAN ANDRES ESCOBAR ESCOBAR</t>
  </si>
  <si>
    <t>1000644865</t>
  </si>
  <si>
    <t>JHON DIEGO GOMEZ CIFUENTES</t>
  </si>
  <si>
    <t>4/40</t>
  </si>
  <si>
    <t>1067940617</t>
  </si>
  <si>
    <t>SAMUEL ARTURO COGOLLO BUELVAS</t>
  </si>
  <si>
    <t>2/40</t>
  </si>
  <si>
    <t>1038811770</t>
  </si>
  <si>
    <t>GUILLERMO ALEXIS HERNANDEZ JARAMILLO</t>
  </si>
  <si>
    <t>1193114213</t>
  </si>
  <si>
    <t>SANTIAGO  ROMAN AGUDELO</t>
  </si>
  <si>
    <t>1017240334</t>
  </si>
  <si>
    <t>KARLA KARINA VARGAS RIOS</t>
  </si>
  <si>
    <t>1095820337</t>
  </si>
  <si>
    <t>JORGE IVAN CIFUENTES CORREA</t>
  </si>
  <si>
    <t>1033258839</t>
  </si>
  <si>
    <t>DOMINIC ALONSO HIGUITA JARAMILLO</t>
  </si>
  <si>
    <t>3/40</t>
  </si>
  <si>
    <t>1017223944</t>
  </si>
  <si>
    <t>SEBASTIAN  OSPINA ARISTIZABA</t>
  </si>
  <si>
    <t>1020445127</t>
  </si>
  <si>
    <t>SERGIO ANDRES QUINTERO PINEDA</t>
  </si>
  <si>
    <t>1010023676</t>
  </si>
  <si>
    <t>LUIS ENRIQUE HERNANDEZ TORRES</t>
  </si>
  <si>
    <t>1017131042</t>
  </si>
  <si>
    <t>ELIANA MARCELA OROZCO ARIAS</t>
  </si>
  <si>
    <t>1152218464</t>
  </si>
  <si>
    <t>JUAN SEBASTIAN ORREGO ZAPATA</t>
  </si>
  <si>
    <t>1017150655</t>
  </si>
  <si>
    <t>MAYRA ALEJANDRA MOSQUERA MOSQUERA</t>
  </si>
  <si>
    <t>1104867424</t>
  </si>
  <si>
    <t>ALVARO  MARTINEZ MARTINEZ</t>
  </si>
  <si>
    <t>1128472725</t>
  </si>
  <si>
    <t>SANTIAGO  CORREA ALVAREZ</t>
  </si>
  <si>
    <t>98773661</t>
  </si>
  <si>
    <t>LUIS FERNANDO CUESTA AGUILAR</t>
  </si>
  <si>
    <t>3482010</t>
  </si>
  <si>
    <t>OSCAR ALBEIRO GARCIA VILLA</t>
  </si>
  <si>
    <t>1036950085</t>
  </si>
  <si>
    <t>BRAYAN  BAENA RAMIREZ</t>
  </si>
  <si>
    <t>1152210410</t>
  </si>
  <si>
    <t>LUISA FERNANDA ALARCON MORALES</t>
  </si>
  <si>
    <t>1052066312</t>
  </si>
  <si>
    <t>ALEJANDRA ALEJANDRA JARABA TORRES</t>
  </si>
  <si>
    <t>1193558823</t>
  </si>
  <si>
    <t>JHONATAN ANDRES BETANCUR GARCIA</t>
  </si>
  <si>
    <t>1039464331</t>
  </si>
  <si>
    <t>ANA MARIA ARBELAEZ LOPEZ</t>
  </si>
  <si>
    <t>1007253706</t>
  </si>
  <si>
    <t>LLORMAN LLORMAN GIL ECHAVARRIA</t>
  </si>
  <si>
    <t>43265547</t>
  </si>
  <si>
    <t>PAULA ANDREA BRAVO VARELA</t>
  </si>
  <si>
    <t>1128443023</t>
  </si>
  <si>
    <t>MAURICIO  CARDONA COLORADO</t>
  </si>
  <si>
    <t>0/40</t>
  </si>
  <si>
    <t>1120216461</t>
  </si>
  <si>
    <t>JUAN PABLO SOLARTE ARBOLEDA</t>
  </si>
  <si>
    <t>1/40</t>
  </si>
  <si>
    <t>1031654832</t>
  </si>
  <si>
    <t>MIKE STEVE PINEDA RODRIGUEZ</t>
  </si>
  <si>
    <t>1002653904</t>
  </si>
  <si>
    <t>MIGUEL ANGEL CARRERA GUTIERREZ</t>
  </si>
  <si>
    <t>1024559568</t>
  </si>
  <si>
    <t>JOSE ALEXANDER MELO CARDOZO</t>
  </si>
  <si>
    <t>1017244212</t>
  </si>
  <si>
    <t>JEFFRY JEFFRY MAZO PARRA</t>
  </si>
  <si>
    <t>43527248</t>
  </si>
  <si>
    <t>ALBA TRINIDAD GARCIA HENAO</t>
  </si>
  <si>
    <t>1152449444</t>
  </si>
  <si>
    <t>JUAN DIEGO GARCIA ARISTIZABA</t>
  </si>
  <si>
    <t>1063275447</t>
  </si>
  <si>
    <t>ARGELIO  RAMOS GRACIA</t>
  </si>
  <si>
    <t>1001234366</t>
  </si>
  <si>
    <t>CRISTIAN ALEJANDRO GALEANO RESTREPO</t>
  </si>
  <si>
    <t>1216720474</t>
  </si>
  <si>
    <t>BRAYAN ESNEIDER CORDOBA GUTIERREZ</t>
  </si>
  <si>
    <t>1054566381</t>
  </si>
  <si>
    <t>SANTIAGO  CARDOZO CELIS</t>
  </si>
  <si>
    <t>1036336532</t>
  </si>
  <si>
    <t>JUAN PABLO MUNOZ MUNOZ</t>
  </si>
  <si>
    <t>1001504422</t>
  </si>
  <si>
    <t>JOSE ENRIQUE FLOREZ PATERNINA</t>
  </si>
  <si>
    <t>1017159715</t>
  </si>
  <si>
    <t>JEISON ANDRES PATIÑO MONTOYA</t>
  </si>
  <si>
    <t>98765459</t>
  </si>
  <si>
    <t>VICTOR ALFONSO MONCADA ALDANA</t>
  </si>
  <si>
    <t>1031940125</t>
  </si>
  <si>
    <t>JUAN CAMILO FERNÁNDEZ LONDOÑO</t>
  </si>
  <si>
    <t>2/70</t>
  </si>
  <si>
    <t>Traslado desde RED-04</t>
  </si>
  <si>
    <t>1078457942</t>
  </si>
  <si>
    <t>SANNY VALERY AGUALIMPIA RENTERÍA</t>
  </si>
  <si>
    <t>RED-02 - Cloud Computing, Redes y Ciberseguridad</t>
  </si>
  <si>
    <t>RED-02</t>
  </si>
  <si>
    <t>1152218267</t>
  </si>
  <si>
    <t>ALEXANDER  VILLADA OSPINA</t>
  </si>
  <si>
    <t>Traslado desde RED-03</t>
  </si>
  <si>
    <t>1037644462</t>
  </si>
  <si>
    <t>JUAN RICARDO MONTOYA TOBON</t>
  </si>
  <si>
    <t>1214747365</t>
  </si>
  <si>
    <t>BRANDON SMITH RIOS ACEVEDO</t>
  </si>
  <si>
    <t>1000763255</t>
  </si>
  <si>
    <t>JUAN JOSE ALVAREZ VASQUEZ</t>
  </si>
  <si>
    <t>98648886</t>
  </si>
  <si>
    <t>ILDEBRANDO HILDEBRAND MONTOYA MONTOYA</t>
  </si>
  <si>
    <t>71711900</t>
  </si>
  <si>
    <t>OSCAR WALTER MACIAS MIRA</t>
  </si>
  <si>
    <t>1017183678</t>
  </si>
  <si>
    <t>OSCAR FERNANDO PLACERES OSPINO</t>
  </si>
  <si>
    <t>71773459</t>
  </si>
  <si>
    <t>EDWIN DE JESUS GUTIERREZ TEJADA</t>
  </si>
  <si>
    <t>1033427456</t>
  </si>
  <si>
    <t>EMMANUEL EMMANUEL PEREZ CASTRILLON</t>
  </si>
  <si>
    <t>1017144025</t>
  </si>
  <si>
    <t>ANA CATALINA ACEVEDO GARCIA</t>
  </si>
  <si>
    <t>1001539585</t>
  </si>
  <si>
    <t>RONAL ALEXIS UPEGUI GALVIS</t>
  </si>
  <si>
    <t>1036663384</t>
  </si>
  <si>
    <t>JUAN JOSE LONDOÑO BERMUDEZ</t>
  </si>
  <si>
    <t>71291051</t>
  </si>
  <si>
    <t>JUAN DAVID TABORDA TABORDA</t>
  </si>
  <si>
    <t>4378365</t>
  </si>
  <si>
    <t>JORGE MARIO MOLINA MARULANDA</t>
  </si>
  <si>
    <t>1017271846</t>
  </si>
  <si>
    <t>LAURA CRISTINA MEJIA CARMONA</t>
  </si>
  <si>
    <t>1000408768</t>
  </si>
  <si>
    <t>PABLO  GRAJALES BEDOYA</t>
  </si>
  <si>
    <t>98763180</t>
  </si>
  <si>
    <t>DANY ALEXANDER ARIAS</t>
  </si>
  <si>
    <t>1017191228</t>
  </si>
  <si>
    <t>YOIMER ESTIBEN BARRERA MAZO</t>
  </si>
  <si>
    <t>4641720</t>
  </si>
  <si>
    <t>FREIDEL JOSUÉ DÍAZ LÓPEZ</t>
  </si>
  <si>
    <t>1017168101</t>
  </si>
  <si>
    <t>EDWIN CAMILO ROMERO LOAIZA</t>
  </si>
  <si>
    <t>1017255020</t>
  </si>
  <si>
    <t>BRAYAN STIVEN ARISTIZABA PUERTA</t>
  </si>
  <si>
    <t>1000537399</t>
  </si>
  <si>
    <t>JUAN CAMILO CORDOBA MORENO</t>
  </si>
  <si>
    <t>43874666</t>
  </si>
  <si>
    <t>BEATRIZ ELENA RIVERA CASTRILLON</t>
  </si>
  <si>
    <t>1037574435</t>
  </si>
  <si>
    <t>Jeison Hernández Ramírez</t>
  </si>
  <si>
    <t>1053796097</t>
  </si>
  <si>
    <t>DIEGO ALEXANDER MORENO SERNA</t>
  </si>
  <si>
    <t>RED-03 - Cloud Computing, Redes y Ciberseguridad</t>
  </si>
  <si>
    <t>RED-03</t>
  </si>
  <si>
    <t>Camilo Andrés Mejía</t>
  </si>
  <si>
    <t>1035224592</t>
  </si>
  <si>
    <t>JUAN DAVID SUAREZ MORALES</t>
  </si>
  <si>
    <t>1038093840</t>
  </si>
  <si>
    <t>CAMILO ANDRES FORONDA ARRIETA</t>
  </si>
  <si>
    <t>1036655606</t>
  </si>
  <si>
    <t>JUAN MARIO VALDERRAMA GONZALEZ</t>
  </si>
  <si>
    <t>1033183034</t>
  </si>
  <si>
    <t>ALEXIS  GOMEZ PAVAS</t>
  </si>
  <si>
    <t>1046982128</t>
  </si>
  <si>
    <t>JUAN JOSE VELEZ TASCON</t>
  </si>
  <si>
    <t>1152460150</t>
  </si>
  <si>
    <t>JOHAN MATEO CASTAÑEDA MEJIA</t>
  </si>
  <si>
    <t>1001561017</t>
  </si>
  <si>
    <t>CRISTIAN ANDRES HERRERA GOMEZ</t>
  </si>
  <si>
    <t>1017238545</t>
  </si>
  <si>
    <t>JUAN DANIEL VANEGAS GALEANO</t>
  </si>
  <si>
    <t>1010244547</t>
  </si>
  <si>
    <t>MIGUEL ANGEL RAMIREZ GAVIRIA</t>
  </si>
  <si>
    <t>1120748419</t>
  </si>
  <si>
    <t>DAVID FERNANDO PITRE GUERRA</t>
  </si>
  <si>
    <t>1015188387</t>
  </si>
  <si>
    <t>EMANUEL  GARCÍA RIOS</t>
  </si>
  <si>
    <t>1025641781</t>
  </si>
  <si>
    <t>THOMAS CAMILO VANEGAS ACEVEDO</t>
  </si>
  <si>
    <t>1000868935</t>
  </si>
  <si>
    <t>JUAN DAVID VANEGAS ACEVEDO</t>
  </si>
  <si>
    <t>43165526</t>
  </si>
  <si>
    <t>KELY JHOJANA HINCAPIÉ ZAPATA</t>
  </si>
  <si>
    <t>1216717847</t>
  </si>
  <si>
    <t>OSCAR DAVID CHAVARRIA MAZO</t>
  </si>
  <si>
    <t>1021923242</t>
  </si>
  <si>
    <t>THOMAS  RESTREPO RAMIREZ</t>
  </si>
  <si>
    <t>1152188742</t>
  </si>
  <si>
    <t>ALEJANDRO  ZAPATA BUILES</t>
  </si>
  <si>
    <t>1017216102</t>
  </si>
  <si>
    <t>ANA BENHURIS FLOREZ</t>
  </si>
  <si>
    <t>1152716656</t>
  </si>
  <si>
    <t>JHOAN SNEIDER YEPES CIFUENTES</t>
  </si>
  <si>
    <t>1025887080</t>
  </si>
  <si>
    <t>MIGUEL ANGEL MEJIA OCAMPO</t>
  </si>
  <si>
    <t>80107142</t>
  </si>
  <si>
    <t>MEYER ARBEY PATIÑO ESPINOSA</t>
  </si>
  <si>
    <t>1082993680</t>
  </si>
  <si>
    <t>IVANA DANILA POLO OCAMPO</t>
  </si>
  <si>
    <t>1033259062</t>
  </si>
  <si>
    <t>MARIA ANGELA ROLDAN PEREZ</t>
  </si>
  <si>
    <t>1007799834</t>
  </si>
  <si>
    <t>UBERNEY  DELGADO DELGADO</t>
  </si>
  <si>
    <t>1017262032</t>
  </si>
  <si>
    <t>MANUELA MANUELA TORO MONTES</t>
  </si>
  <si>
    <t>1128429924</t>
  </si>
  <si>
    <t>LINA  BUILES</t>
  </si>
  <si>
    <t>1034987395</t>
  </si>
  <si>
    <t>JUAN FELIPE ALVAREZ CASTAÑEDA</t>
  </si>
  <si>
    <t>Traslado desde RED-01</t>
  </si>
  <si>
    <t>1078457888</t>
  </si>
  <si>
    <t>ALEJANDRO ALEJANDRO RAMOS ECHEVERRY</t>
  </si>
  <si>
    <t>1017131150</t>
  </si>
  <si>
    <t>JUAN JUAN MIGUE RESTREPO PEREZ</t>
  </si>
  <si>
    <t>71647850</t>
  </si>
  <si>
    <t>CAMILO DE JESUS CAÑOLA</t>
  </si>
  <si>
    <t>1152714420</t>
  </si>
  <si>
    <t>JUAN DIEGO VASQUEZ JARAMILLO</t>
  </si>
  <si>
    <t>RED-04 - Cloud Computing, Redes y Ciberseguridad</t>
  </si>
  <si>
    <t>RED-04</t>
  </si>
  <si>
    <t>Walter Alzate Medina</t>
  </si>
  <si>
    <t>1032180676</t>
  </si>
  <si>
    <t>JUAN ANDRES SANCHEZ LONDOÑO</t>
  </si>
  <si>
    <t>1065829445</t>
  </si>
  <si>
    <t>CARLOS ENRIQUE GÓMEZ CORTÉS</t>
  </si>
  <si>
    <t>1033180381</t>
  </si>
  <si>
    <t>MARIANA  SANCHEZ ARAQUE</t>
  </si>
  <si>
    <t>1000756059</t>
  </si>
  <si>
    <t>JUAN FELIPE ACEVEDO RAMIREZ</t>
  </si>
  <si>
    <t>98764234</t>
  </si>
  <si>
    <t>FABRICIO  PINEDA ORTIZ</t>
  </si>
  <si>
    <t>1007528013</t>
  </si>
  <si>
    <t>KEVIN STIVEN MARULANDA CANO</t>
  </si>
  <si>
    <t>1018236657</t>
  </si>
  <si>
    <t>ANDERSON  MURILLO CASTRILLÓN</t>
  </si>
  <si>
    <t>1018234921</t>
  </si>
  <si>
    <t>MARIANA  MARULANDA AGUILAR</t>
  </si>
  <si>
    <t>1001741659</t>
  </si>
  <si>
    <t>KIVEN DARIO FRANCO ROMERO</t>
  </si>
  <si>
    <t>1001250088</t>
  </si>
  <si>
    <t>ISABEL CRISTINA BOHORQUEZ TOBÓN</t>
  </si>
  <si>
    <t>1017271030</t>
  </si>
  <si>
    <t>LUIS RICARDO ACEVEDO GALLO</t>
  </si>
  <si>
    <t>1033486762</t>
  </si>
  <si>
    <t>JUAN JOSE SUAREZ RODRIGUEZ</t>
  </si>
  <si>
    <t>1152218012</t>
  </si>
  <si>
    <t>CAROLINA  WHITE RESTREPO</t>
  </si>
  <si>
    <t>1152446336</t>
  </si>
  <si>
    <t>SARA  OSPINA GIL</t>
  </si>
  <si>
    <t>43926640</t>
  </si>
  <si>
    <t>YUDY CATALINA GOMEZ CASTRO</t>
  </si>
  <si>
    <t>1017153842</t>
  </si>
  <si>
    <t>CAROLINA  MUÑOZ ARRUBLA</t>
  </si>
  <si>
    <t>1000644945</t>
  </si>
  <si>
    <t>MARIANA  MONTOYA TORO</t>
  </si>
  <si>
    <t>1039690786</t>
  </si>
  <si>
    <t>CARLOS ALEXANDER GUTIERREZ USME</t>
  </si>
  <si>
    <t>98697801</t>
  </si>
  <si>
    <t>DANNY FERNEY DUQUE</t>
  </si>
  <si>
    <t>1090228914</t>
  </si>
  <si>
    <t>LUIS ALEJANDRO OJEDA ROJAS</t>
  </si>
  <si>
    <t>1001236499</t>
  </si>
  <si>
    <t>SEBASTIAN  BARRERA HERRERA</t>
  </si>
  <si>
    <t>1025657722</t>
  </si>
  <si>
    <t>EMANUEL  JARAMILLO RAMIREZ</t>
  </si>
  <si>
    <t>1010207882</t>
  </si>
  <si>
    <t>JORGE IVAN TEQUIA GONZALEZ</t>
  </si>
  <si>
    <t>1000760154</t>
  </si>
  <si>
    <t>PAULINA GOMEZ MOLINA</t>
  </si>
  <si>
    <t>1122134487</t>
  </si>
  <si>
    <t>JAIRO ANDRES GUTIERREZ RODRIGUEZ</t>
  </si>
  <si>
    <t>0/60</t>
  </si>
  <si>
    <t>1033260313</t>
  </si>
  <si>
    <t>MARIA ANTONIA MORENO POSADS</t>
  </si>
  <si>
    <t>1036689408</t>
  </si>
  <si>
    <t>DIEGO ALEJANDRO VELASQUEZ BARRERA</t>
  </si>
  <si>
    <t>1037469078</t>
  </si>
  <si>
    <t>CARLOS MARIO LLANES DIAZ</t>
  </si>
  <si>
    <t>1023636299</t>
  </si>
  <si>
    <t>HITLEY JOHAISA MURILLO PALACIOS</t>
  </si>
  <si>
    <t>1017216313</t>
  </si>
  <si>
    <t>CRISTIAN SANTIAGO SANCHEZ ARROYAVE</t>
  </si>
  <si>
    <t>1152687036</t>
  </si>
  <si>
    <t>DANIEL FELIPE MARIN RESTREPO</t>
  </si>
  <si>
    <t>1128426103</t>
  </si>
  <si>
    <t>NATALIA  SERNA VASQUEZ</t>
  </si>
  <si>
    <t>WEB-01 - Desarrollo Web y Aplicaciones</t>
  </si>
  <si>
    <t>WEB-01</t>
  </si>
  <si>
    <t>DESARROLLO WEB Y APLICACIONES CON JAVASCRIPT FULL STACK</t>
  </si>
  <si>
    <t>Jose Luis Murillo</t>
  </si>
  <si>
    <t>1128270906</t>
  </si>
  <si>
    <t>MANUEL ALEJANDRO GÓMEZ PIEDRAHÍTA</t>
  </si>
  <si>
    <t>0/45</t>
  </si>
  <si>
    <t>1018223501</t>
  </si>
  <si>
    <t>ISAAC ALEJANDRO GARCIA AMAYA</t>
  </si>
  <si>
    <t>1025889715</t>
  </si>
  <si>
    <t>JUAN SEBASTIAN ECHEVERRY URIBE</t>
  </si>
  <si>
    <t>1128266552</t>
  </si>
  <si>
    <t>CARLOS GILBERTO RODRÍGUEZ FERNÁNDEZ</t>
  </si>
  <si>
    <t>1128427083</t>
  </si>
  <si>
    <t>ELIZABETH  BUSTAMANTE VELASQUEZ</t>
  </si>
  <si>
    <t>1152444892</t>
  </si>
  <si>
    <t>ANDRES ANDRES ARCILA CARMONA</t>
  </si>
  <si>
    <t>8359138</t>
  </si>
  <si>
    <t>JUAN FELIPE FLOREZ CARMONA</t>
  </si>
  <si>
    <t>1063367924</t>
  </si>
  <si>
    <t>JHOJAN DANIEL HENAO ALVAREZ</t>
  </si>
  <si>
    <t>1036221492</t>
  </si>
  <si>
    <t>JUAN ESTEBAN TOBON CARDEÑO</t>
  </si>
  <si>
    <t>1126904947</t>
  </si>
  <si>
    <t>JUAN SEBASTIAN PAVAS LOPEZ</t>
  </si>
  <si>
    <t>1017187863</t>
  </si>
  <si>
    <t>LUIS FERNANDO TOVAR QUINCHIA</t>
  </si>
  <si>
    <t>1018228989</t>
  </si>
  <si>
    <t>CRISTIAN CAMILO PADIERNA LOAIZA</t>
  </si>
  <si>
    <t>80121199</t>
  </si>
  <si>
    <t>JHONNY ALEXANDER URIBE CASTILLO</t>
  </si>
  <si>
    <t>1011390152</t>
  </si>
  <si>
    <t>MARIANA  SUAZA SERNA</t>
  </si>
  <si>
    <t>1192464739</t>
  </si>
  <si>
    <t>JERONIMO  CIFUENTES CASTRILLON</t>
  </si>
  <si>
    <t>1036637606</t>
  </si>
  <si>
    <t>DANIEL FELIPE ROMÁN CEBALLOS</t>
  </si>
  <si>
    <t>1000660245</t>
  </si>
  <si>
    <t>ANGEL ALEJANDRO OSPINA BOHORQUEZ</t>
  </si>
  <si>
    <t>1037601923</t>
  </si>
  <si>
    <t>SEBASTIAN  MARTINEZ ALZATE</t>
  </si>
  <si>
    <t>1020104187</t>
  </si>
  <si>
    <t>JUAN JOSE RIOS QUICENO</t>
  </si>
  <si>
    <t>1017173650</t>
  </si>
  <si>
    <t>KATHERINE YULIANY CASTRILLON ZAPATA</t>
  </si>
  <si>
    <t>1085228669</t>
  </si>
  <si>
    <t>CHELSEA  ORDOÑEZ GÓMEZ</t>
  </si>
  <si>
    <t>1013460917</t>
  </si>
  <si>
    <t>MAICOL ANDRES GOMEZ GUERRA</t>
  </si>
  <si>
    <t>1002566242</t>
  </si>
  <si>
    <t>JULIANA  RÍOS CASTAÑO</t>
  </si>
  <si>
    <t>1017259467</t>
  </si>
  <si>
    <t>KAREN TATIANA HOLGUIN MARTINEZ</t>
  </si>
  <si>
    <t>1054282932</t>
  </si>
  <si>
    <t>SAMUEL SANTIAGO ALTUZARRA VALENCIA</t>
  </si>
  <si>
    <t>1017243176</t>
  </si>
  <si>
    <t>JUAN DIEGO OSPINA HERNANDEZ</t>
  </si>
  <si>
    <t>1010133094</t>
  </si>
  <si>
    <t>MARIA FERNANDA TIBOCHA OSPINA</t>
  </si>
  <si>
    <t>1045704755</t>
  </si>
  <si>
    <t>DAYANA  NIEBLES PEDRAZA</t>
  </si>
  <si>
    <t>1011392875</t>
  </si>
  <si>
    <t>JUAN DAVID CARDONA MONTOYA</t>
  </si>
  <si>
    <t>42976242</t>
  </si>
  <si>
    <t>BLANCA ESTELLA CAICEDO CANO</t>
  </si>
  <si>
    <t>1023625696</t>
  </si>
  <si>
    <t>MANUELA  BOLIVAR SANCHEZ</t>
  </si>
  <si>
    <t>1036666568</t>
  </si>
  <si>
    <t>LINA PATRICIA ARBOLEDA GALLO</t>
  </si>
  <si>
    <t>1001418706</t>
  </si>
  <si>
    <t>CAROLINA MARIA PALACIO GUTIERREZ</t>
  </si>
  <si>
    <t>Traslado desde WEB-05</t>
  </si>
  <si>
    <t>1018449537</t>
  </si>
  <si>
    <t>CARLOS ANDRES ZAPATA ARIAS</t>
  </si>
  <si>
    <t>WEB-02 - Desarrollo Web y Aplicaciones</t>
  </si>
  <si>
    <t>WEB-02</t>
  </si>
  <si>
    <t>Brahiam Acosta</t>
  </si>
  <si>
    <t>Traslado desde WEB-03</t>
  </si>
  <si>
    <t>1025657480</t>
  </si>
  <si>
    <t>BENJAMÍN  SUÁREZ BALLESTERO</t>
  </si>
  <si>
    <t>1021805617</t>
  </si>
  <si>
    <t>SEBASTIAN  GONZALEZ</t>
  </si>
  <si>
    <t>1017182178</t>
  </si>
  <si>
    <t>ANDRES FELIPE ACEVEDO VERGARA</t>
  </si>
  <si>
    <t>8464530</t>
  </si>
  <si>
    <t>EDUBEL  AGUDELO LEON</t>
  </si>
  <si>
    <t>1000305751</t>
  </si>
  <si>
    <t>DANIEL EST DANIEL EST SANCHEZ MANCO</t>
  </si>
  <si>
    <t>1033178602</t>
  </si>
  <si>
    <t>JACOB  SUAREZ MUÑOZ</t>
  </si>
  <si>
    <t>98778785</t>
  </si>
  <si>
    <t>YEISON ARLEY OROZCO SEPULVEDA</t>
  </si>
  <si>
    <t>1027804558</t>
  </si>
  <si>
    <t>VALERY VALERY MONSALVE CORREA</t>
  </si>
  <si>
    <t>1128448972</t>
  </si>
  <si>
    <t>JAMER ALEJANDRO MURILLO GAÑAN</t>
  </si>
  <si>
    <t>1007259272</t>
  </si>
  <si>
    <t>DANIEL ENRIQUE GALVIS HEREDIA</t>
  </si>
  <si>
    <t>1017184804</t>
  </si>
  <si>
    <t>JUAN GUILLERMO MOLINA CARO</t>
  </si>
  <si>
    <t>1036657617</t>
  </si>
  <si>
    <t>ALEXANDRA MILENA GONZÁLEZ MARIN</t>
  </si>
  <si>
    <t>1020435447</t>
  </si>
  <si>
    <t>WILMAR ALBEIRO BUILES ARRUBLA</t>
  </si>
  <si>
    <t>1046914824</t>
  </si>
  <si>
    <t>ANDRES FELIPE CORREA POSADA</t>
  </si>
  <si>
    <t>1214747005</t>
  </si>
  <si>
    <t>JOSE DAVID LOAIZA DUARTE</t>
  </si>
  <si>
    <t>71387457</t>
  </si>
  <si>
    <t>CARLOS ESTEBAN GONZÁLEZ FIGUEROA</t>
  </si>
  <si>
    <t>1143340827</t>
  </si>
  <si>
    <t>WILLIAM JOSÉ RAMOS RUIZ</t>
  </si>
  <si>
    <t>1000645892</t>
  </si>
  <si>
    <t>JUAN CAMILO ZULUAGA QUINTERO</t>
  </si>
  <si>
    <t>1152191404</t>
  </si>
  <si>
    <t>NICOLAS ENRIQUE DUQUE AGUIRRE</t>
  </si>
  <si>
    <t>1015278547</t>
  </si>
  <si>
    <t>HECTOR JAIME ARDILA VELEZ</t>
  </si>
  <si>
    <t>43835312</t>
  </si>
  <si>
    <t>ALEJANDRA RUEDA RUEDA BERRT</t>
  </si>
  <si>
    <t>1128400947</t>
  </si>
  <si>
    <t>DERLINSON STIVEN PRIETO CAÑOLA</t>
  </si>
  <si>
    <t>1020495187</t>
  </si>
  <si>
    <t>JERSON ESTEBAN ARDILA MOLINA</t>
  </si>
  <si>
    <t>1017253949</t>
  </si>
  <si>
    <t>JOHAN  LOPEZ OCAMPO</t>
  </si>
  <si>
    <t>1076821837</t>
  </si>
  <si>
    <t>SERGIO ALEJANDRO HURTADO PALACIOS</t>
  </si>
  <si>
    <t>71797243</t>
  </si>
  <si>
    <t>JAIME ANDRÉS FERNÁNDEZ BURGOS</t>
  </si>
  <si>
    <t>1115067461</t>
  </si>
  <si>
    <t>CARLOS ANDRES TORRES TORRES</t>
  </si>
  <si>
    <t>11302292</t>
  </si>
  <si>
    <t>JOSE ARISTOBULO GONZALEZ FLORIAN</t>
  </si>
  <si>
    <t>79940797</t>
  </si>
  <si>
    <t>JIMMY NELINHO PANQUEVA CIFUENTES</t>
  </si>
  <si>
    <t>1017145620</t>
  </si>
  <si>
    <t>JOVANY ALVEIRO USUGA</t>
  </si>
  <si>
    <t>1007452819</t>
  </si>
  <si>
    <t>RAFAEL SANTO ARROYO TREJO</t>
  </si>
  <si>
    <t>71372748</t>
  </si>
  <si>
    <t>ELKIN HORACIO RIAÑO DIAZ</t>
  </si>
  <si>
    <t>4273567</t>
  </si>
  <si>
    <t>JHONNY DAVID URBINA BARRETO</t>
  </si>
  <si>
    <t>1152703330</t>
  </si>
  <si>
    <t>JOHAN ARLEY MARIN CRUZ</t>
  </si>
  <si>
    <t>1000406972</t>
  </si>
  <si>
    <t>DAVID FELIPE SEJIN GUZMAN</t>
  </si>
  <si>
    <t>98696027</t>
  </si>
  <si>
    <t>JEFFERSON JEFFERSON RAMIREZ GARCIA</t>
  </si>
  <si>
    <t>1018245880</t>
  </si>
  <si>
    <t>LUCIANA LUCIANA VILLEGAS GIL</t>
  </si>
  <si>
    <t>WEB-03 - Desarrollo Web y Aplicaciones</t>
  </si>
  <si>
    <t>WEB-03</t>
  </si>
  <si>
    <t>1035866186</t>
  </si>
  <si>
    <t>LUIS MIGUEL ALVAREZ NAVARRO</t>
  </si>
  <si>
    <t>Traslado desde WEB-04</t>
  </si>
  <si>
    <t>1017255853</t>
  </si>
  <si>
    <t>BRAYAN ALEXIS ADRADA ZAPATA</t>
  </si>
  <si>
    <t>1037632938</t>
  </si>
  <si>
    <t>SANTIAGO  VELASQUEZ</t>
  </si>
  <si>
    <t>1037639896</t>
  </si>
  <si>
    <t>ALVARO JAVIER JIMENEZ GOMEZ</t>
  </si>
  <si>
    <t>9855310</t>
  </si>
  <si>
    <t>ALFONSO  SERNA</t>
  </si>
  <si>
    <t>1036934179</t>
  </si>
  <si>
    <t>DIEGO ALEXANDER SAENZ BOTERO</t>
  </si>
  <si>
    <t>1000396193</t>
  </si>
  <si>
    <t>DAHIANA ANDREA BUSTAMANTE JARAMILLO</t>
  </si>
  <si>
    <t>1025885190</t>
  </si>
  <si>
    <t>JOSE MANUEL ALVAREZ HURTADO</t>
  </si>
  <si>
    <t>1007731156</t>
  </si>
  <si>
    <t>LIZETH KARINA OSORIO OVALLE</t>
  </si>
  <si>
    <t>1152453159</t>
  </si>
  <si>
    <t>JOAN MANUEL VELEZ ROJAS</t>
  </si>
  <si>
    <t>1017934160</t>
  </si>
  <si>
    <t>JACOBO  LOPEZ OCAMPO</t>
  </si>
  <si>
    <t>71749282</t>
  </si>
  <si>
    <t>WILLIAM JOSÉ SAAVEDRA RUEDA</t>
  </si>
  <si>
    <t>1214742709</t>
  </si>
  <si>
    <t>LUISA FERNANDA ESCOBAR CORTES</t>
  </si>
  <si>
    <t>98573415</t>
  </si>
  <si>
    <t>OMAR  CARVAJAL LEON</t>
  </si>
  <si>
    <t>1152693525</t>
  </si>
  <si>
    <t>DANIEL  ATEHORTUA</t>
  </si>
  <si>
    <t>1000415295</t>
  </si>
  <si>
    <t>NICOLAS  VARGAS MARQUEZ</t>
  </si>
  <si>
    <t>1001014627</t>
  </si>
  <si>
    <t>MANUEL  ZAPATA GUTIERREZ</t>
  </si>
  <si>
    <t>1017266535</t>
  </si>
  <si>
    <t>SEBASTIAN  ECHAVARRIA JARAMILLO</t>
  </si>
  <si>
    <t>71333285</t>
  </si>
  <si>
    <t>FRANKLIN SESIÓN DE CRUZ QUINTERO</t>
  </si>
  <si>
    <t>1148203620</t>
  </si>
  <si>
    <t>YOHNNIER  ROMAÑA CHAVERRA</t>
  </si>
  <si>
    <t>1018254650</t>
  </si>
  <si>
    <t>SANTIAGO SANTI HOYOS COLORADO</t>
  </si>
  <si>
    <t>1128427764</t>
  </si>
  <si>
    <t>JONATHAN DARIO CANO BEDOYA</t>
  </si>
  <si>
    <t>1040740713</t>
  </si>
  <si>
    <t>MARLON DANIEL JARABA GALEANO</t>
  </si>
  <si>
    <t>1025881595</t>
  </si>
  <si>
    <t>VALERIA VALERIA SANCHEZ VANEGAS</t>
  </si>
  <si>
    <t>1091360601</t>
  </si>
  <si>
    <t>LUIS  CLAVIJO</t>
  </si>
  <si>
    <t>43110121</t>
  </si>
  <si>
    <t>FRANCY LORENA RIVERA</t>
  </si>
  <si>
    <t>1027961533</t>
  </si>
  <si>
    <t>FERNANDO  AGUDELO LEON</t>
  </si>
  <si>
    <t>1037571545</t>
  </si>
  <si>
    <t>FELIPE ANDRES VASCO QUINTERO</t>
  </si>
  <si>
    <t>1152220059</t>
  </si>
  <si>
    <t>JULIAN DAVID JARAMILLO ROMAN</t>
  </si>
  <si>
    <t>1001361255</t>
  </si>
  <si>
    <t>DAVID DAVID SALDARRIAG CUARTAS</t>
  </si>
  <si>
    <t>1095581911</t>
  </si>
  <si>
    <t>JUAN JOSE SALAZAR JARAMILLO</t>
  </si>
  <si>
    <t>1017127492</t>
  </si>
  <si>
    <t>JORGE LUIS BALLESTERO JURADO</t>
  </si>
  <si>
    <t>1095301447</t>
  </si>
  <si>
    <t>MANUEL ENRIQUE MERA MERA</t>
  </si>
  <si>
    <t>1214740044</t>
  </si>
  <si>
    <t>JULIAN  AGUDELO MONTOYA</t>
  </si>
  <si>
    <t>Traslado desde WEB-02</t>
  </si>
  <si>
    <t>71261564</t>
  </si>
  <si>
    <t>HERNAN DARIO RESTREPO GALLEGO</t>
  </si>
  <si>
    <t>1076653883</t>
  </si>
  <si>
    <t>ANDRES ANDRES CARDENAS CARDENAS</t>
  </si>
  <si>
    <t>Traslado desde WEB-01</t>
  </si>
  <si>
    <t>1023627211</t>
  </si>
  <si>
    <t>EMMANUEL EMMANUEL SINITAVE PARRA</t>
  </si>
  <si>
    <t>3/75</t>
  </si>
  <si>
    <t>1038101529</t>
  </si>
  <si>
    <t>LUIS ALFONSO CARCAMO ZABALA</t>
  </si>
  <si>
    <t>43991006</t>
  </si>
  <si>
    <t>YOMARA PATRICIA DUQUE CASTRILLON</t>
  </si>
  <si>
    <t>1037589068</t>
  </si>
  <si>
    <t>DANIELA  POSADA GIL</t>
  </si>
  <si>
    <t>WEB-04 - Desarrollo Web y Aplicaciones</t>
  </si>
  <si>
    <t>WEB-04</t>
  </si>
  <si>
    <t>Sofia Vanegas</t>
  </si>
  <si>
    <t>Traslado desde WEB-06</t>
  </si>
  <si>
    <t>1069986955</t>
  </si>
  <si>
    <t>ANDRES ELIAS ARROYO GONZALEZ</t>
  </si>
  <si>
    <t>1017274297</t>
  </si>
  <si>
    <t>SIMON  PATIÑO VALENCIA</t>
  </si>
  <si>
    <t>1001017831</t>
  </si>
  <si>
    <t>MANUELA  LOPEZ OSORIO</t>
  </si>
  <si>
    <t>1092357701</t>
  </si>
  <si>
    <t>HAROLD YESID GEREDA SANTANDER</t>
  </si>
  <si>
    <t>1072522665</t>
  </si>
  <si>
    <t>ARNEL JOSE ALVAREZ CARDOZO</t>
  </si>
  <si>
    <t>1000759878</t>
  </si>
  <si>
    <t>JUAN JOSE GARCIA SEPULVEDA</t>
  </si>
  <si>
    <t>8324760</t>
  </si>
  <si>
    <t>OSCAR DANIEL HENAO</t>
  </si>
  <si>
    <t>1027800851</t>
  </si>
  <si>
    <t>SIMÓN  GARCÍA BECERRA</t>
  </si>
  <si>
    <t>1025889359</t>
  </si>
  <si>
    <t>MIGUEL ANGEL URIBE RUIZ</t>
  </si>
  <si>
    <t>1017922748</t>
  </si>
  <si>
    <t>NICOLÁS  MAYA OROZCO</t>
  </si>
  <si>
    <t>1192920363</t>
  </si>
  <si>
    <t>FERNANDO JOSÉ SIERRA VANEGAS</t>
  </si>
  <si>
    <t>1026155909</t>
  </si>
  <si>
    <t>JOSE DAVID GIL GIRALDO</t>
  </si>
  <si>
    <t>1033178313</t>
  </si>
  <si>
    <t>JUAN MANUEL SAENZ MURILLO</t>
  </si>
  <si>
    <t>8061897</t>
  </si>
  <si>
    <t>HECTOR YEFREY MARTINEZ VALDERRAMA</t>
  </si>
  <si>
    <t>1234989156</t>
  </si>
  <si>
    <t>BRANDON STIVEN CANO MOLINA</t>
  </si>
  <si>
    <t>1128480095</t>
  </si>
  <si>
    <t>ANDRES  DAVID RUEDA</t>
  </si>
  <si>
    <t>1152194666</t>
  </si>
  <si>
    <t>ALVARO JULIAN RESTREPO GARZON</t>
  </si>
  <si>
    <t>1000445156</t>
  </si>
  <si>
    <t>JANER BLAWER MONCADA ALCARAZ</t>
  </si>
  <si>
    <t>1128387763</t>
  </si>
  <si>
    <t>VIRGILIO  VALENCIA SOSA</t>
  </si>
  <si>
    <t>1000405689</t>
  </si>
  <si>
    <t>ANDRES FELIPE GAVIRIA CARDONA</t>
  </si>
  <si>
    <t>1152434905</t>
  </si>
  <si>
    <t>DIEGO ALBERTO MONTOYA VELASQUEZ</t>
  </si>
  <si>
    <t>1036642655</t>
  </si>
  <si>
    <t>CAMILO ANDRES VELEZ LUNA</t>
  </si>
  <si>
    <t>1059695035</t>
  </si>
  <si>
    <t>ANDERSON RICARDO OROZCO VILLA</t>
  </si>
  <si>
    <t>1036659507</t>
  </si>
  <si>
    <t>SEBASTIAN  PIEDRAHITA ACEVEDO</t>
  </si>
  <si>
    <t>1042092298</t>
  </si>
  <si>
    <t>JOHAN ANTONIO MIRA BERMUDEZ</t>
  </si>
  <si>
    <t>1034920353</t>
  </si>
  <si>
    <t>CAROL ESTEFANI CARDENAS RODRIGUEZ</t>
  </si>
  <si>
    <t>1110471581</t>
  </si>
  <si>
    <t>SARA MARIA BETANCUR ALVAREZ</t>
  </si>
  <si>
    <t>1001468441</t>
  </si>
  <si>
    <t>LIZETH MICHELINE CATAÑO GIRALDO</t>
  </si>
  <si>
    <t>1017189866</t>
  </si>
  <si>
    <t>HENRY CAMILO TABORDA GALEANO</t>
  </si>
  <si>
    <t>1017136762</t>
  </si>
  <si>
    <t>YONATAN ANDRES ZAPATA BENJUMEA</t>
  </si>
  <si>
    <t>1017261545</t>
  </si>
  <si>
    <t>CRISTIAN ALEXANDER GUERRERO DIAZ</t>
  </si>
  <si>
    <t>1017269723</t>
  </si>
  <si>
    <t>MARIA CAMILA CARVAJAL NARANJO</t>
  </si>
  <si>
    <t>1017141949</t>
  </si>
  <si>
    <t>SANDRA LILIANA ZAPATA GALLÓN</t>
  </si>
  <si>
    <t>WEB-05 - Desarrollo Web y Aplicaciones</t>
  </si>
  <si>
    <t>WEB-05</t>
  </si>
  <si>
    <t>Martes 14:00-17:00 | Jueves 14:00-17:00</t>
  </si>
  <si>
    <t>71268332</t>
  </si>
  <si>
    <t>ADIMARO  MONTOYA TORO</t>
  </si>
  <si>
    <t>1000752124</t>
  </si>
  <si>
    <t>LORENA  ARISTIZÁBA AGUIRRE</t>
  </si>
  <si>
    <t>1216726254</t>
  </si>
  <si>
    <t>PAULA ANDREA MONSALVE OSSA</t>
  </si>
  <si>
    <t>1025887113</t>
  </si>
  <si>
    <t>RONALD  MORENO CÓRDOBA</t>
  </si>
  <si>
    <t>1017152767</t>
  </si>
  <si>
    <t>DEISY JOHANA GARCÍA MESA</t>
  </si>
  <si>
    <t>1001132520</t>
  </si>
  <si>
    <t>ANGIE MARISELA GARCÍA RÍOS</t>
  </si>
  <si>
    <t>1027807445</t>
  </si>
  <si>
    <t>JUAN MANUEL RESTREPO VALENCIA</t>
  </si>
  <si>
    <t>1011395575</t>
  </si>
  <si>
    <t>ISABELA ISABELA CARVAJAL CORREA</t>
  </si>
  <si>
    <t>1128401600</t>
  </si>
  <si>
    <t>HILDEBRAND  QUICENO RESTREPO</t>
  </si>
  <si>
    <t>1214715390</t>
  </si>
  <si>
    <t>CANDY MARCELA HENAO SALDARRIAG</t>
  </si>
  <si>
    <t>1013459284</t>
  </si>
  <si>
    <t>SANTIAGO  MORENO MENA</t>
  </si>
  <si>
    <t>6/75</t>
  </si>
  <si>
    <t>1000873754</t>
  </si>
  <si>
    <t>EDISON ANDRES MARTINEZ CORTES</t>
  </si>
  <si>
    <t>1234991826</t>
  </si>
  <si>
    <t>LUISA FERNANDA VELEZ CARDENAS</t>
  </si>
  <si>
    <t>1078577787</t>
  </si>
  <si>
    <t>ANDREA  MIRANDA LOPEZ</t>
  </si>
  <si>
    <t>1019071369</t>
  </si>
  <si>
    <t>ANA MILENA ACOSTA ESCOBAR</t>
  </si>
  <si>
    <t>1031941054</t>
  </si>
  <si>
    <t>ALEJANDRO  MANYOMA CORDOBA</t>
  </si>
  <si>
    <t>1027806635</t>
  </si>
  <si>
    <t>JERÓNIMO  RESTREPO MORALES</t>
  </si>
  <si>
    <t>1034921959</t>
  </si>
  <si>
    <t>MIGUEL ANGEL IGLESIAS MESA</t>
  </si>
  <si>
    <t>14325876</t>
  </si>
  <si>
    <t>JULIO ALBERTO ROJAS ROMERO</t>
  </si>
  <si>
    <t>1007698617</t>
  </si>
  <si>
    <t>LAURA SOFIA RAMIREZ PINEDA</t>
  </si>
  <si>
    <t>94355777</t>
  </si>
  <si>
    <t>CARLOS FERNANDO RESTREPO OSPINA</t>
  </si>
  <si>
    <t>1037647121</t>
  </si>
  <si>
    <t>DANIEL ALEJANDRO MUÑOZ URIBE</t>
  </si>
  <si>
    <t>71787358</t>
  </si>
  <si>
    <t>VICTOR HUGO MONSALVE MELENDEZ</t>
  </si>
  <si>
    <t>1152709753</t>
  </si>
  <si>
    <t>KELLY ESTEFANIA BOLIVAR MARIN</t>
  </si>
  <si>
    <t>1152205239</t>
  </si>
  <si>
    <t>CRISTIAN  ALVAREZ CIRO</t>
  </si>
  <si>
    <t>71377832</t>
  </si>
  <si>
    <t>DIDIER DANILO CASTRILLON ACEVEDO</t>
  </si>
  <si>
    <t>1025764743</t>
  </si>
  <si>
    <t>SANTIAGO SANTIAGO BOTERO GIRALDO</t>
  </si>
  <si>
    <t>WEB-06 - Desarrollo Web y Aplicaciones</t>
  </si>
  <si>
    <t>WEB-06</t>
  </si>
  <si>
    <t>WILLIAM MEJIA</t>
  </si>
  <si>
    <t>1000661093</t>
  </si>
  <si>
    <t>CRISTIAN ANDRES MARTINEZ ESPITIA</t>
  </si>
  <si>
    <t>1025646286</t>
  </si>
  <si>
    <t>LUISA FERNANDA QUINTERO GONZÁLEZ</t>
  </si>
  <si>
    <t>1001227118</t>
  </si>
  <si>
    <t>DANIEL DANIEL YEPES LOPERA</t>
  </si>
  <si>
    <t>1017928299</t>
  </si>
  <si>
    <t>LAURA SOFIA SARMIENTO MARTINEZ</t>
  </si>
  <si>
    <t>1110521748</t>
  </si>
  <si>
    <t>EDISON SMITH ALVAREZ ROA</t>
  </si>
  <si>
    <t>1039887135</t>
  </si>
  <si>
    <t>ALEXANDER DE JESUS MARIN MUÑOZ</t>
  </si>
  <si>
    <t>1214715866</t>
  </si>
  <si>
    <t>YEINI ZULAY LOPERA AGUDELO</t>
  </si>
  <si>
    <t>1017156823</t>
  </si>
  <si>
    <t>JOHN ANDERSON CASTAÑEDA VILLADA</t>
  </si>
  <si>
    <t>1152213782</t>
  </si>
  <si>
    <t>ESTEFANIA ESTEFANÍA GOMEZ ACEVEDO</t>
  </si>
  <si>
    <t>11187243</t>
  </si>
  <si>
    <t>JUAN CARLOS MUÑOZ LINARES</t>
  </si>
  <si>
    <t>1033187715</t>
  </si>
  <si>
    <t>MANUELA  BERRIO ZAPATA</t>
  </si>
  <si>
    <t>98705571</t>
  </si>
  <si>
    <t>JOHNY ARLEY GAVIRIA JIMÉNEZ</t>
  </si>
  <si>
    <t>1020407773</t>
  </si>
  <si>
    <t>CESAR AUGUSTO BEDOYA ESCOBAR</t>
  </si>
  <si>
    <t>1032017226</t>
  </si>
  <si>
    <t>ANA SOFIA CUADROS</t>
  </si>
  <si>
    <t>1053850448</t>
  </si>
  <si>
    <t>DANIEL ALEJANDRO GUTIERREZ LOAIZA</t>
  </si>
  <si>
    <t>1011401507</t>
  </si>
  <si>
    <t>JUAN PABLO ATENCIA CHICA</t>
  </si>
  <si>
    <t>9725307</t>
  </si>
  <si>
    <t>JOHN FRADER ARRUBLA LOPEZ</t>
  </si>
  <si>
    <t>1011514890</t>
  </si>
  <si>
    <t>MARIA GUADALUPE RIOS QUINTERO</t>
  </si>
  <si>
    <t>1025884841</t>
  </si>
  <si>
    <t>DANIEL ALEJANDRO GARCIA GONZALEZ</t>
  </si>
  <si>
    <t>1026302931</t>
  </si>
  <si>
    <t>WILLIAM DAVID GARCIA AHUMADA</t>
  </si>
  <si>
    <t>1000192031</t>
  </si>
  <si>
    <t>ANGIE PAOLA HERNAND SALINAS</t>
  </si>
  <si>
    <t>1021803005</t>
  </si>
  <si>
    <t>ANDREA  MUÑOZ CANO</t>
  </si>
  <si>
    <t>1020464709</t>
  </si>
  <si>
    <t>KATERINE  CÓRDOBA ORTIZ</t>
  </si>
  <si>
    <t>1032098511</t>
  </si>
  <si>
    <t>NICOLAS DAVID RENDON TORRES</t>
  </si>
  <si>
    <t>1007666629</t>
  </si>
  <si>
    <t>MOISES DAVID MERCADO MERCADO</t>
  </si>
  <si>
    <t>1127585252</t>
  </si>
  <si>
    <t>MARIO  CARDENAS QUIROZ</t>
  </si>
  <si>
    <t>71724738</t>
  </si>
  <si>
    <t>DANIEL OSVALDO RIOS OQUENDO</t>
  </si>
  <si>
    <t>1037120622</t>
  </si>
  <si>
    <t>JUAN SEBASTIAN GARCIA ROLDAN</t>
  </si>
  <si>
    <t>71385387</t>
  </si>
  <si>
    <t>JHOANNY ALEXANDER BONILLA OCAMPO</t>
  </si>
  <si>
    <t>8061494</t>
  </si>
  <si>
    <t>JHON JADER PEREZ DIAZ</t>
  </si>
  <si>
    <t>1003931846</t>
  </si>
  <si>
    <t>EMER ALEXANDER PALACIOS PALACIOS</t>
  </si>
  <si>
    <t>1020414305</t>
  </si>
  <si>
    <t>LEIDY JOHANA HINCAPIE MIRANDA</t>
  </si>
  <si>
    <t>24331877</t>
  </si>
  <si>
    <t>MONICA BEATRIZ LOAIZA AGUIRRE</t>
  </si>
  <si>
    <t>IAA-01 - IA Aplicada y Automatización</t>
  </si>
  <si>
    <t>IAA-01</t>
  </si>
  <si>
    <t>IA APLICADA Y AUTOMATIZACIÓN DE PROCESOS CON IA GENERATIVA</t>
  </si>
  <si>
    <t>Julio Pastor</t>
  </si>
  <si>
    <t>Traslado desde IAA-21</t>
  </si>
  <si>
    <t>15512085</t>
  </si>
  <si>
    <t>OCTAVIO ALBERTO HERNANDEZ UPEGUI</t>
  </si>
  <si>
    <t>Traslado desde IAA-04</t>
  </si>
  <si>
    <t>1017262785</t>
  </si>
  <si>
    <t>ANDRES FELIPE CEBALLOS VALLE</t>
  </si>
  <si>
    <t>8128073</t>
  </si>
  <si>
    <t>CARLOS FELIPE HOYOS PINZON</t>
  </si>
  <si>
    <t>Traslado desde IAA-02</t>
  </si>
  <si>
    <t>1216718860</t>
  </si>
  <si>
    <t>PAULINA  CORTES CANO</t>
  </si>
  <si>
    <t>1037645457</t>
  </si>
  <si>
    <t>OSMAR ANDRES VALENCIA VALLEJO</t>
  </si>
  <si>
    <t>1020420791</t>
  </si>
  <si>
    <t>CHRISTIAN DANIEL VELÁSQUEZ CASTAÑO</t>
  </si>
  <si>
    <t>1094925766</t>
  </si>
  <si>
    <t>DAVID ESTEBAN MARTINEZ MORENO</t>
  </si>
  <si>
    <t>71983577</t>
  </si>
  <si>
    <t>ANGEL MANUEL MILLER PEREA</t>
  </si>
  <si>
    <t>43364625</t>
  </si>
  <si>
    <t>ANGELA PATRICIA ARANGO ARANGO</t>
  </si>
  <si>
    <t>43870187</t>
  </si>
  <si>
    <t>MARIA MARIA GALINDO AGUILAR</t>
  </si>
  <si>
    <t>71389219</t>
  </si>
  <si>
    <t>JOHNATAN  GONZALEZ VELEZ</t>
  </si>
  <si>
    <t>71361993</t>
  </si>
  <si>
    <t>JUAN FELIPE OLARTE ZAPATA</t>
  </si>
  <si>
    <t>1214731461</t>
  </si>
  <si>
    <t>YESSICA  GALLEGO FLOREZ</t>
  </si>
  <si>
    <t>43208455</t>
  </si>
  <si>
    <t>MARYORY  RODRIGUEZ MANRIQUE</t>
  </si>
  <si>
    <t>1152201308</t>
  </si>
  <si>
    <t>SANTIAGO  GOMEZ RONDON</t>
  </si>
  <si>
    <t>1152462724</t>
  </si>
  <si>
    <t>LEONARDO  LOPEZ LOZANO</t>
  </si>
  <si>
    <t>1017214449</t>
  </si>
  <si>
    <t>MARÍA ISABEL ARIAS ESCUDERO</t>
  </si>
  <si>
    <t>1017237243</t>
  </si>
  <si>
    <t>ANA MARIA CIFUENTES GALVIS</t>
  </si>
  <si>
    <t>1214720442</t>
  </si>
  <si>
    <t>KATERINE KATERINE CASTRILLON OCHOA</t>
  </si>
  <si>
    <t>1214747612</t>
  </si>
  <si>
    <t>ALEJANDRO  JARAMILLO VELEZ</t>
  </si>
  <si>
    <t>43184711</t>
  </si>
  <si>
    <t>JULIETH  CATAÑEDA GALLEGO</t>
  </si>
  <si>
    <t>43546642</t>
  </si>
  <si>
    <t>MARIA PATRICIA TOBÓN MOLINA</t>
  </si>
  <si>
    <t>24395252</t>
  </si>
  <si>
    <t>ANA MARÍA GIRALDO RESTREPO</t>
  </si>
  <si>
    <t>32227297</t>
  </si>
  <si>
    <t>MARIA YANICED BALBIN TAMAYO</t>
  </si>
  <si>
    <t>1152449294</t>
  </si>
  <si>
    <t>TATIANA  ARANGO</t>
  </si>
  <si>
    <t>71372833</t>
  </si>
  <si>
    <t>ADAN ARTURO MARQUEZ GUTIERREZ</t>
  </si>
  <si>
    <t>43841620</t>
  </si>
  <si>
    <t>DIANA PATRICIA MONTOYA VILLADA</t>
  </si>
  <si>
    <t>1090485771</t>
  </si>
  <si>
    <t>NICOLAS EDUARDO CACERES GRANADOS</t>
  </si>
  <si>
    <t>1063307351</t>
  </si>
  <si>
    <t>ANYI PAOLA GONZALEZ ANDRADE</t>
  </si>
  <si>
    <t>1216725487</t>
  </si>
  <si>
    <t>MARÍA FERNANDA GUTIERREZ GONZALEZ</t>
  </si>
  <si>
    <t>1128393723</t>
  </si>
  <si>
    <t>JHONY ANDRÉS RIVERA BOLÍVAR</t>
  </si>
  <si>
    <t>98561761</t>
  </si>
  <si>
    <t>FRANCISCO JAVIER HERNANDEZ GARZON</t>
  </si>
  <si>
    <t>null/null</t>
  </si>
  <si>
    <t>1152187760</t>
  </si>
  <si>
    <t>JUAN DANIEL CARDONA GIL</t>
  </si>
  <si>
    <t>IAA-02 - IA Aplicada y Automatización</t>
  </si>
  <si>
    <t>IAA-02</t>
  </si>
  <si>
    <t>Hernán Felipe García</t>
  </si>
  <si>
    <t>Traslado desde IAA-03</t>
  </si>
  <si>
    <t>1017164318</t>
  </si>
  <si>
    <t>ESTEFANIA  ZAPATA MORA</t>
  </si>
  <si>
    <t>1033258988</t>
  </si>
  <si>
    <t>JUAN PABLO ALVAREZ VELEZ</t>
  </si>
  <si>
    <t>1017123176</t>
  </si>
  <si>
    <t>JUAN CAMILO ZAPATA RAMIREZ</t>
  </si>
  <si>
    <t>79724557</t>
  </si>
  <si>
    <t>LEONARDO  VARGAS BRAVO</t>
  </si>
  <si>
    <t>71781407</t>
  </si>
  <si>
    <t>RICHARD RICHARD BERMUDEZ YEPES</t>
  </si>
  <si>
    <t>43755572</t>
  </si>
  <si>
    <t>SANDRA PATRICIA RIAZA ECHAVARRIA</t>
  </si>
  <si>
    <t>1015067077</t>
  </si>
  <si>
    <t>PAULINA LEYLA SEPULVEDA URREGO</t>
  </si>
  <si>
    <t>43834206</t>
  </si>
  <si>
    <t>SANDRA PATRICIA RAMIREZ CIROS</t>
  </si>
  <si>
    <t>43622109</t>
  </si>
  <si>
    <t>LUZ ESTELA TABORDA GUTIERREZ</t>
  </si>
  <si>
    <t>43641448</t>
  </si>
  <si>
    <t>LYNDA LUCIA CARTER FERNANDEZ</t>
  </si>
  <si>
    <t>35852104</t>
  </si>
  <si>
    <t>NIDIA CHIRLEY RENTERIA ASPRILLA</t>
  </si>
  <si>
    <t>1021924663</t>
  </si>
  <si>
    <t>SAMUEL  CEBALLOS GONZALEZ</t>
  </si>
  <si>
    <t>22041587</t>
  </si>
  <si>
    <t>MILEIDI EUGENIA CARVAJAL VELILLA</t>
  </si>
  <si>
    <t>1032482321</t>
  </si>
  <si>
    <t>DIEGO FERNANDO ROMERO MORENO</t>
  </si>
  <si>
    <t>1144148850</t>
  </si>
  <si>
    <t>JEFFERSON  CARVAJAL SUAREZ</t>
  </si>
  <si>
    <t>1234992115</t>
  </si>
  <si>
    <t>ELMA YULIANA ZAPATA ZAPATA</t>
  </si>
  <si>
    <t>1000098586</t>
  </si>
  <si>
    <t>OSCAR ANDRES GRISALES VELEZ</t>
  </si>
  <si>
    <t>1036449035</t>
  </si>
  <si>
    <t>MATEO  HURTADO RUEDA</t>
  </si>
  <si>
    <t>1010150490</t>
  </si>
  <si>
    <t>MANUELA MANUELA GOMEZ ZAPATA</t>
  </si>
  <si>
    <t>43252225</t>
  </si>
  <si>
    <t>LUISA FERNANDA ARRUBLA DUQUE</t>
  </si>
  <si>
    <t>1036609132</t>
  </si>
  <si>
    <t>YENNY AMPARO GIRALDO QUINTERO</t>
  </si>
  <si>
    <t>98593274</t>
  </si>
  <si>
    <t>FABER ALEXANDER TORRES MARIN</t>
  </si>
  <si>
    <t>1000869439</t>
  </si>
  <si>
    <t>JULIANA  RODRIGUEZ BOTERO</t>
  </si>
  <si>
    <t>1041460225</t>
  </si>
  <si>
    <t>FELIPE  LOAIZA</t>
  </si>
  <si>
    <t>8358559</t>
  </si>
  <si>
    <t>LUIS FERNANDO RAMIREZ ESCOBAR</t>
  </si>
  <si>
    <t>80006309</t>
  </si>
  <si>
    <t>RAUL ANDRES RIVERA SIERRA</t>
  </si>
  <si>
    <t>43188798</t>
  </si>
  <si>
    <t>JENIFER DEL PILAR TORRES AGUDELO</t>
  </si>
  <si>
    <t>Traslado desde IAA-01</t>
  </si>
  <si>
    <t>71381520</t>
  </si>
  <si>
    <t>WEIMAR ANDRES CASTAÑEDA MOLINA</t>
  </si>
  <si>
    <t>IAA-03 - IA Aplicada y Automatización</t>
  </si>
  <si>
    <t>IAA-03</t>
  </si>
  <si>
    <t>Traslado desde IAA-12</t>
  </si>
  <si>
    <t>1040733492</t>
  </si>
  <si>
    <t>YESICA  NOREÑA LÓPEZ</t>
  </si>
  <si>
    <t>43873991</t>
  </si>
  <si>
    <t>MILDREY MILDREY OBANDO AGUDELO</t>
  </si>
  <si>
    <t>32141373</t>
  </si>
  <si>
    <t>ANA ISABEL GIRALDO DUQUE</t>
  </si>
  <si>
    <t>3640916</t>
  </si>
  <si>
    <t>BLAISMIRO BLAIS RESTREPO CORDOBA</t>
  </si>
  <si>
    <t>1018237604</t>
  </si>
  <si>
    <t>ISABELLA  ARANGO TAMAYO</t>
  </si>
  <si>
    <t>1214722980</t>
  </si>
  <si>
    <t>DENISSE ANDREA VALENCIA YEPES</t>
  </si>
  <si>
    <t>43268445</t>
  </si>
  <si>
    <t>MARÍA ROMELIA GRANDA ROLDAN</t>
  </si>
  <si>
    <t>1017200016</t>
  </si>
  <si>
    <t>CAMILO  LONDOÑO GOMEZ</t>
  </si>
  <si>
    <t>1128480701</t>
  </si>
  <si>
    <t>YESENIA  BARRIENTOS GUTIERREZ</t>
  </si>
  <si>
    <t>3383694</t>
  </si>
  <si>
    <t>MAURICIO  TORRES SEPULVEDA</t>
  </si>
  <si>
    <t>1036660279</t>
  </si>
  <si>
    <t>JUAN MIGUEL CASTRILLON TABARES</t>
  </si>
  <si>
    <t>1152694980</t>
  </si>
  <si>
    <t>CAROLINA  SALAZAR SANCHEZ</t>
  </si>
  <si>
    <t>71795052</t>
  </si>
  <si>
    <t>JORGE IGNACIO GÓMEZ SÁNCHEZ</t>
  </si>
  <si>
    <t>1027800790</t>
  </si>
  <si>
    <t>DAVID  BERRIO CASTILLO</t>
  </si>
  <si>
    <t>1036453032</t>
  </si>
  <si>
    <t>VALENTINA  RIVERA JIMENEZ</t>
  </si>
  <si>
    <t>1090487412</t>
  </si>
  <si>
    <t>ANDRES ISIDRO AREVALO BENITEZ</t>
  </si>
  <si>
    <t>21401234</t>
  </si>
  <si>
    <t>ANGELA MARIA ECHEVERRI ESCOBAR</t>
  </si>
  <si>
    <t>7/75</t>
  </si>
  <si>
    <t>1152709519</t>
  </si>
  <si>
    <t>ANGIE LAURA AYALA ARANGO</t>
  </si>
  <si>
    <t>1036616152</t>
  </si>
  <si>
    <t>ANDRES FELIPE OSPINA COLORADO</t>
  </si>
  <si>
    <t>1020226259</t>
  </si>
  <si>
    <t>ISABELLA KIMA114 SUCERQUIA QUIRAMA</t>
  </si>
  <si>
    <t>1013460434</t>
  </si>
  <si>
    <t>VALERY  CALLEJAS ALVAREZ</t>
  </si>
  <si>
    <t>43617361</t>
  </si>
  <si>
    <t>OLGA HELENA ACOSTA BERMUDEZ</t>
  </si>
  <si>
    <t>1153464095</t>
  </si>
  <si>
    <t>ANDRES ESTEBAN MUÑOZ GALVEZ</t>
  </si>
  <si>
    <t>43617954</t>
  </si>
  <si>
    <t>AIDE JULIANA BAÑOL GONZALEZ</t>
  </si>
  <si>
    <t>1214713014</t>
  </si>
  <si>
    <t>LEIDI  ZULUAGA ALZATE</t>
  </si>
  <si>
    <t>32209153</t>
  </si>
  <si>
    <t>YENNY ANDREA PEREZ HERNANDEZ</t>
  </si>
  <si>
    <t>1128445346</t>
  </si>
  <si>
    <t>CAMILO ANDRES YARCE ALVAREZ</t>
  </si>
  <si>
    <t>1036943980</t>
  </si>
  <si>
    <t>JOAN SEBASTIAN RUIZ CASTRILLON</t>
  </si>
  <si>
    <t>1036452092</t>
  </si>
  <si>
    <t>PAULINA  VELEZ AGUDELO</t>
  </si>
  <si>
    <t>IAA-04 - IA Aplicada y Automatización</t>
  </si>
  <si>
    <t>IAA-04</t>
  </si>
  <si>
    <t>Diego Fernando Velez</t>
  </si>
  <si>
    <t>Traslado desde IAA-15</t>
  </si>
  <si>
    <t>1036451981</t>
  </si>
  <si>
    <t>JUAN JOSE RODRIGUEZ LOPEZ</t>
  </si>
  <si>
    <t>Traslado desde IAA-14</t>
  </si>
  <si>
    <t>1022003272</t>
  </si>
  <si>
    <t>ANA SOFIA SAENZ MONTOYA</t>
  </si>
  <si>
    <t>1035435133</t>
  </si>
  <si>
    <t>LIAM  AGUDELO CALLE</t>
  </si>
  <si>
    <t>70953085</t>
  </si>
  <si>
    <t>BERNARDO DE JESUS HOYOS ALVAREZ</t>
  </si>
  <si>
    <t>Traslado desde IAA-07</t>
  </si>
  <si>
    <t>1011515152</t>
  </si>
  <si>
    <t>JUAN JOSE CARRASQUIL VASQUEZ</t>
  </si>
  <si>
    <t>1042765277</t>
  </si>
  <si>
    <t>CARLOS CARLOS ARROYAVE MESA</t>
  </si>
  <si>
    <t>1193267041</t>
  </si>
  <si>
    <t>VIVIANA ANDREA CUERVO NARANJO</t>
  </si>
  <si>
    <t>1011513679</t>
  </si>
  <si>
    <t>DANIELA  JARAMILLO CRISTANCHO</t>
  </si>
  <si>
    <t>43559379</t>
  </si>
  <si>
    <t>MARIA ADELAIDA VILLEGAS AGUDELO</t>
  </si>
  <si>
    <t>1001362279</t>
  </si>
  <si>
    <t>NELLY FERNANDA MORENO MEJIA</t>
  </si>
  <si>
    <t>8125666</t>
  </si>
  <si>
    <t>ARNOLD  OSPINA MORALES</t>
  </si>
  <si>
    <t>71634126</t>
  </si>
  <si>
    <t>WILLIAM DE JESUS TREJOS MOLINA</t>
  </si>
  <si>
    <t>43059011</t>
  </si>
  <si>
    <t>GLORIA ELIZABETH DAVILA TORRES</t>
  </si>
  <si>
    <t>1037571459</t>
  </si>
  <si>
    <t>DOUGLAS YOVANNI CARDENAS GALEANO</t>
  </si>
  <si>
    <t>1017175356</t>
  </si>
  <si>
    <t>JOHAN ESTEBAN MARQUEZ RUIZ</t>
  </si>
  <si>
    <t>1088239012</t>
  </si>
  <si>
    <t>VICTOR ALFONSO MOLINA VASQUEZ</t>
  </si>
  <si>
    <t>1020468360</t>
  </si>
  <si>
    <t>JORGE ANDRES GIRALDO VARELA</t>
  </si>
  <si>
    <t>98564371</t>
  </si>
  <si>
    <t>JUAN DAVID ROJAS RAMIREZ</t>
  </si>
  <si>
    <t>71373408</t>
  </si>
  <si>
    <t>FERNANDO FERNANDO USUGA USUGA</t>
  </si>
  <si>
    <t>1036955690</t>
  </si>
  <si>
    <t>LUISA FERNANDA CUERVO ACEBEDO</t>
  </si>
  <si>
    <t>1128387817</t>
  </si>
  <si>
    <t>DIANA KARINA DURANGO</t>
  </si>
  <si>
    <t>1040742712</t>
  </si>
  <si>
    <t>SUSANA  ESCOBAR ECHEVERRI</t>
  </si>
  <si>
    <t>1040745632</t>
  </si>
  <si>
    <t>SANTIAGO  VELEZ CORTES</t>
  </si>
  <si>
    <t>1017238239</t>
  </si>
  <si>
    <t>ALEXANDER  CHALARCA CARO</t>
  </si>
  <si>
    <t>1016063969</t>
  </si>
  <si>
    <t>ERICK SEBASTIAN NIÑO SIERRA</t>
  </si>
  <si>
    <t>1025888716</t>
  </si>
  <si>
    <t>MAYERLY ANDREA CARTAGENA GALLO</t>
  </si>
  <si>
    <t>1017132567</t>
  </si>
  <si>
    <t>MAYRA ALEJANDRA SEPULVEDA</t>
  </si>
  <si>
    <t>1015072824</t>
  </si>
  <si>
    <t>THOMAS  CASTRO ORTIZ</t>
  </si>
  <si>
    <t>43150415</t>
  </si>
  <si>
    <t>DIANA MARIA VELASQUEZ GIL</t>
  </si>
  <si>
    <t>1146684277</t>
  </si>
  <si>
    <t>JUAN ESTEBAN VASQUEZ HERNANDEZ</t>
  </si>
  <si>
    <t>43924510</t>
  </si>
  <si>
    <t>PAULA ANDREA GAVIRIA FLOREZ</t>
  </si>
  <si>
    <t>1152191440</t>
  </si>
  <si>
    <t>KELLY CRISTINA GAVIRIA RIOS</t>
  </si>
  <si>
    <t>15372252</t>
  </si>
  <si>
    <t>OMAR HUMBERTO CUADROS MORA</t>
  </si>
  <si>
    <t>1152441484</t>
  </si>
  <si>
    <t>CAROLINA  GOMEZ GARCIA</t>
  </si>
  <si>
    <t>1152702633</t>
  </si>
  <si>
    <t>SARA MARCELA AGUDELO DIAZ</t>
  </si>
  <si>
    <t>1020472509</t>
  </si>
  <si>
    <t>FREDY ALEXANDER NOFUYA GARRETA</t>
  </si>
  <si>
    <t>1018249588</t>
  </si>
  <si>
    <t>DAVID ALEJANDRO ARANGO HIGUITA</t>
  </si>
  <si>
    <t>43628817</t>
  </si>
  <si>
    <t>YANETH PATRICIA GONZÁLEZ QUINTERO</t>
  </si>
  <si>
    <t>1216727315</t>
  </si>
  <si>
    <t>VALENTINA VALENTINA CANO ESCUDERO</t>
  </si>
  <si>
    <t>43713926</t>
  </si>
  <si>
    <t>YADIRA EUGENIA MARTINEZ ALZATE</t>
  </si>
  <si>
    <t>IAA-05 - IA Aplicada y Automatización</t>
  </si>
  <si>
    <t>IAA-05</t>
  </si>
  <si>
    <t>Martes 06:00-08:00 | Miércoles 06:00-08:00 | Jueves 06:00-08:00</t>
  </si>
  <si>
    <t>Traslado desde IAA-13</t>
  </si>
  <si>
    <t>1020465464</t>
  </si>
  <si>
    <t>SANTIAGO  RENDON RAMIREZ</t>
  </si>
  <si>
    <t>5/60</t>
  </si>
  <si>
    <t>Traslado desde IAA-09</t>
  </si>
  <si>
    <t>1036947584</t>
  </si>
  <si>
    <t>JOHN ESTEBAN ROJAS GIL</t>
  </si>
  <si>
    <t>43987854</t>
  </si>
  <si>
    <t>ANA MELISSA GUTIÉRREZ CELIS</t>
  </si>
  <si>
    <t>39388510</t>
  </si>
  <si>
    <t>SANDRA MILENA CUERVO RIOS</t>
  </si>
  <si>
    <t>1126098891</t>
  </si>
  <si>
    <t>VANESSA  GUSCIO DIAZ</t>
  </si>
  <si>
    <t>82361396</t>
  </si>
  <si>
    <t>ALEX LEIPZIG MOSQUERA MOSQUERA</t>
  </si>
  <si>
    <t>71268042</t>
  </si>
  <si>
    <t>CAMILO CAMILO ESTRADA ESTRADA</t>
  </si>
  <si>
    <t>1039456127</t>
  </si>
  <si>
    <t>VALERIA  MONTOYA BARRIENTOS</t>
  </si>
  <si>
    <t>1152688814</t>
  </si>
  <si>
    <t>LENNY YARLEY LOPEZ USUGA</t>
  </si>
  <si>
    <t>70878795</t>
  </si>
  <si>
    <t>HERNAN DAVID MEJIA MONTOYA</t>
  </si>
  <si>
    <t>10187192</t>
  </si>
  <si>
    <t>FILIBERTO MANUEL CASTILLO OSTEN</t>
  </si>
  <si>
    <t>71336773</t>
  </si>
  <si>
    <t>JORGE ALEJANDRO ARROYAVE DUQUE</t>
  </si>
  <si>
    <t>71226068</t>
  </si>
  <si>
    <t>WILMAR ALEXANDER GIRALDO ARCILA</t>
  </si>
  <si>
    <t>71777129</t>
  </si>
  <si>
    <t>EDWIN MAURICIO OSPINA MAYA</t>
  </si>
  <si>
    <t>1152202086</t>
  </si>
  <si>
    <t>MELINA MELINA FREEDMAN FREEDMAN</t>
  </si>
  <si>
    <t>1037637352</t>
  </si>
  <si>
    <t>ANGIE VANESSA PAMPLONA MONTES</t>
  </si>
  <si>
    <t>1214739190</t>
  </si>
  <si>
    <t>YEISON STIVEN RUIZ VARGAS</t>
  </si>
  <si>
    <t>1001686492</t>
  </si>
  <si>
    <t>SANTIAGO  AGUDELO CASTAÑO</t>
  </si>
  <si>
    <t>21388365</t>
  </si>
  <si>
    <t>JULIANA  RENDON ARBOLEDA</t>
  </si>
  <si>
    <t>1036611970</t>
  </si>
  <si>
    <t>LUIS CARLOS SALDARRIAG ECHEVERRÍ</t>
  </si>
  <si>
    <t>43634810</t>
  </si>
  <si>
    <t>MAGDA MILENA HERNANDEZ ALZATE</t>
  </si>
  <si>
    <t>1017209473</t>
  </si>
  <si>
    <t>KAHTERIN YOANA WAITOTO</t>
  </si>
  <si>
    <t>1214723097</t>
  </si>
  <si>
    <t>WILTON  MARTINEZ GONZALEZ</t>
  </si>
  <si>
    <t>1036614288</t>
  </si>
  <si>
    <t>LILIANA PAOLA PINEDA QUIÑONES</t>
  </si>
  <si>
    <t>1033490809</t>
  </si>
  <si>
    <t>JUAN DIEGO DIEGO VELEZ VELEZ</t>
  </si>
  <si>
    <t>1001524994</t>
  </si>
  <si>
    <t>LUZ AMALIA SORA NARANJO</t>
  </si>
  <si>
    <t>71778545</t>
  </si>
  <si>
    <t>WILBER ANDRES VELEZ COSSIO</t>
  </si>
  <si>
    <t>IAA-06 - IA Aplicada y Automatización</t>
  </si>
  <si>
    <t>IAA-06</t>
  </si>
  <si>
    <t>98773566</t>
  </si>
  <si>
    <t>ERICSON ALEXANDER RIOS HERNANDEZ</t>
  </si>
  <si>
    <t>71681025</t>
  </si>
  <si>
    <t>GIOVANNI  GRISALES AGUDELO</t>
  </si>
  <si>
    <t>1152688239</t>
  </si>
  <si>
    <t>GABRIEL JAIME JIMENEZ VARGAS</t>
  </si>
  <si>
    <t>43909910</t>
  </si>
  <si>
    <t>LUNA  SELENE</t>
  </si>
  <si>
    <t>1017235744</t>
  </si>
  <si>
    <t>DANIELA  FRANCO LOPEZ</t>
  </si>
  <si>
    <t>1044502831</t>
  </si>
  <si>
    <t>LEIDY JOHANA GRANDA ARDILA</t>
  </si>
  <si>
    <t>1128449352</t>
  </si>
  <si>
    <t>ESNEIDER ALEJANDRO AGUDELO RIOS</t>
  </si>
  <si>
    <t>93372610</t>
  </si>
  <si>
    <t>GABRIEL JAIME TABARES BAENA</t>
  </si>
  <si>
    <t>43619893</t>
  </si>
  <si>
    <t>IDILIA  USUGA PERILLA</t>
  </si>
  <si>
    <t>1000886377</t>
  </si>
  <si>
    <t>ESNEIDER ALEXIS GOMEZ CARDONA</t>
  </si>
  <si>
    <t>70879739</t>
  </si>
  <si>
    <t>BISMARK JAIR VERGARA MORENO</t>
  </si>
  <si>
    <t>71699210</t>
  </si>
  <si>
    <t>LUIS FERNANDO GUTIERREZ RAVE</t>
  </si>
  <si>
    <t>1152692831</t>
  </si>
  <si>
    <t>PABLO DAVID GUERRA ECHEVERRY</t>
  </si>
  <si>
    <t>43270783</t>
  </si>
  <si>
    <t>LINA ALEJANDRA GARZON ALZATE</t>
  </si>
  <si>
    <t>98671871</t>
  </si>
  <si>
    <t>NELSON ALBERTO VASCO GAVIRIA</t>
  </si>
  <si>
    <t>1078116446</t>
  </si>
  <si>
    <t>ANTONY ESTEFANY HINESTROZA CORDOBA</t>
  </si>
  <si>
    <t>1216726635</t>
  </si>
  <si>
    <t>DANIEL DANIEL MOLINA TAMAYO</t>
  </si>
  <si>
    <t>1014281749</t>
  </si>
  <si>
    <t>CLAUDIA MARCELA OLMOS SANCHEZ</t>
  </si>
  <si>
    <t>1128399717</t>
  </si>
  <si>
    <t>LAURA MERCEDES GUERRA ESCUDERO</t>
  </si>
  <si>
    <t>1025889012</t>
  </si>
  <si>
    <t>ALEJANDRO  BOTERO MORENO</t>
  </si>
  <si>
    <t>64571967</t>
  </si>
  <si>
    <t>YERLIS PATRICIA BERTEL SERRANO</t>
  </si>
  <si>
    <t>IAA-07 - IA Aplicada y Automatización</t>
  </si>
  <si>
    <t>IAA-07</t>
  </si>
  <si>
    <t>Traslado desde IAA-16</t>
  </si>
  <si>
    <t>15371461</t>
  </si>
  <si>
    <t>DIZAN ANDRES MANCO ORTEGA</t>
  </si>
  <si>
    <t>43165108</t>
  </si>
  <si>
    <t>LUISA FERNADA ROJO BEDOYA</t>
  </si>
  <si>
    <t>1000393036</t>
  </si>
  <si>
    <t>LEIDY TATIANA QUIROGA ALZATE</t>
  </si>
  <si>
    <t>1026134206</t>
  </si>
  <si>
    <t>JONATAN ESTEBAN BELTRAN MENESES</t>
  </si>
  <si>
    <t>71265203</t>
  </si>
  <si>
    <t>DANIEL ALBERTO POSADA MURILLO</t>
  </si>
  <si>
    <t>71215127</t>
  </si>
  <si>
    <t>LUIS DANIEL VALENCIA GARCES</t>
  </si>
  <si>
    <t>1047508027</t>
  </si>
  <si>
    <t>LIBIA RAQUEL RICO VIZCAINO</t>
  </si>
  <si>
    <t>1000752768</t>
  </si>
  <si>
    <t>KAREN VANESA ROJAS TAMAYO</t>
  </si>
  <si>
    <t>98576893</t>
  </si>
  <si>
    <t>NOLFREY  MARTINEZ CARDENAS</t>
  </si>
  <si>
    <t>Traslado desde IAA-06</t>
  </si>
  <si>
    <t>1063301119</t>
  </si>
  <si>
    <t>CARMEN INES MORALES NEGRETE</t>
  </si>
  <si>
    <t>Traslado desde IAA-05</t>
  </si>
  <si>
    <t>1041533274</t>
  </si>
  <si>
    <t>LUISA MARIA LAYOS MONTOYA</t>
  </si>
  <si>
    <t>Traslado desde IAA-11</t>
  </si>
  <si>
    <t>1037654620</t>
  </si>
  <si>
    <t>ENMANUEL  GARCÍA OSORIO</t>
  </si>
  <si>
    <t>1018342902</t>
  </si>
  <si>
    <t>ELIANA MARCELA RUIZ MIRA</t>
  </si>
  <si>
    <t>43578470</t>
  </si>
  <si>
    <t>LINA MARIA DURAN ECHAVARRIA</t>
  </si>
  <si>
    <t>Traslado desde IAA-08</t>
  </si>
  <si>
    <t>1128417683</t>
  </si>
  <si>
    <t>SANTIAGO MARTINEZ MONTOYA</t>
  </si>
  <si>
    <t>1152441707</t>
  </si>
  <si>
    <t>HENRY MATEO CASTAÑO ARIAS</t>
  </si>
  <si>
    <t>1152693176</t>
  </si>
  <si>
    <t>MELISSA JOHANNA PALACIO CUARTAS</t>
  </si>
  <si>
    <t>431840</t>
  </si>
  <si>
    <t>MICHAL SIEGFRIED ALFRED BIEBER</t>
  </si>
  <si>
    <t>1017217792</t>
  </si>
  <si>
    <t>SANTIAGO  RESTREPO HERNANDEZ</t>
  </si>
  <si>
    <t>71277617</t>
  </si>
  <si>
    <t>JOHN FERNEY CORTES JARAMILLO</t>
  </si>
  <si>
    <t>43635091</t>
  </si>
  <si>
    <t>ROSMERY  ECHEVERRI RODRIGUEZ</t>
  </si>
  <si>
    <t>1128429305</t>
  </si>
  <si>
    <t>SANTIAGO  MONTOYA</t>
  </si>
  <si>
    <t>1015067078</t>
  </si>
  <si>
    <t>MARIANA MARIANA SEPÚLVEDA URREGO</t>
  </si>
  <si>
    <t>71788194</t>
  </si>
  <si>
    <t>SANTIAGO  CARDENAS TAMAYO</t>
  </si>
  <si>
    <t>1037646213</t>
  </si>
  <si>
    <t>JONATAN STIVENS GONZALEZ FLOREZ</t>
  </si>
  <si>
    <t>71389106</t>
  </si>
  <si>
    <t>LUCAS  GOMEZ BETANCOURT</t>
  </si>
  <si>
    <t>71295707</t>
  </si>
  <si>
    <t>GUSTAVO ALBERTO RESTREPO GONZALEZ</t>
  </si>
  <si>
    <t>43972515</t>
  </si>
  <si>
    <t>SANDRA MILENA SANDRA MILENA GRISALES GUTIÉRREZ</t>
  </si>
  <si>
    <t>11804729</t>
  </si>
  <si>
    <t>ÁNGEL MARIO REALES MORENO</t>
  </si>
  <si>
    <t>1098726657</t>
  </si>
  <si>
    <t>CAROLINA EUSTRALIA MEDINA ATENCIA</t>
  </si>
  <si>
    <t>1128476553</t>
  </si>
  <si>
    <t>MARTHA LUCIA GARCIA MUNERA</t>
  </si>
  <si>
    <t>1000409549</t>
  </si>
  <si>
    <t>MARIA SALOME CALDERON HERNANDEZ</t>
  </si>
  <si>
    <t>71776676</t>
  </si>
  <si>
    <t>CARLOS IGNACIO MÚNERA ALZATE</t>
  </si>
  <si>
    <t>1014198463</t>
  </si>
  <si>
    <t>ANDERSON ALBERTO FLOREZ MORENO</t>
  </si>
  <si>
    <t>32209184</t>
  </si>
  <si>
    <t>LLINA MARÍA CARVAJAL GRACIANO</t>
  </si>
  <si>
    <t>98715658</t>
  </si>
  <si>
    <t>CHRISTIAN FERNANDO DAVID ORREGO</t>
  </si>
  <si>
    <t>1017156452</t>
  </si>
  <si>
    <t>LAURA ALEJANDRA LONDONO OLARTE</t>
  </si>
  <si>
    <t>1002654155</t>
  </si>
  <si>
    <t>SEBASTIAN  BOTERO</t>
  </si>
  <si>
    <t>1128438894</t>
  </si>
  <si>
    <t>ZURI SADAY RESTREPO MEJIA</t>
  </si>
  <si>
    <t>71333522</t>
  </si>
  <si>
    <t>CARLOS AUGUSTO FLOREZ ARIAS</t>
  </si>
  <si>
    <t>22131989</t>
  </si>
  <si>
    <t>MARISELA  RAMIREZ GRAJALES</t>
  </si>
  <si>
    <t>1017207133</t>
  </si>
  <si>
    <t>ALEXIS AXEL CARRILLO HERRERA</t>
  </si>
  <si>
    <t>1143827580</t>
  </si>
  <si>
    <t>DAVID ANDRÉS MORILLO MUÑOZ</t>
  </si>
  <si>
    <t>1020469944</t>
  </si>
  <si>
    <t>SEBASTIAN  LOPEZ MANCO</t>
  </si>
  <si>
    <t>1017232088</t>
  </si>
  <si>
    <t>ELIANA MARIA CANO ALZATE</t>
  </si>
  <si>
    <t>1037634664</t>
  </si>
  <si>
    <t>CARLOS ANDRES LOPEZ AMAYA</t>
  </si>
  <si>
    <t>1037777160</t>
  </si>
  <si>
    <t>JOSÉ JULIÁN VILLA ECHAVARRÍA</t>
  </si>
  <si>
    <t>1037584441</t>
  </si>
  <si>
    <t>PATROCINIO  ZAPATA</t>
  </si>
  <si>
    <t>14880223</t>
  </si>
  <si>
    <t>JOSE ORLANDO GOMEZ SALAZAR</t>
  </si>
  <si>
    <t>1017931945</t>
  </si>
  <si>
    <t>JOSUÉ FERNANDO CALDERÓN HERNÁNDEZ</t>
  </si>
  <si>
    <t>4/60</t>
  </si>
  <si>
    <t>1045018580</t>
  </si>
  <si>
    <t>ANDRÉS FELIPE RODRÍGUEZ AGUDELO</t>
  </si>
  <si>
    <t>IAA-08 - IA Aplicada y Automatización</t>
  </si>
  <si>
    <t>IAA-08</t>
  </si>
  <si>
    <t>Erick Ruiz</t>
  </si>
  <si>
    <t>Traslado desde IAA-17</t>
  </si>
  <si>
    <t>1128425569</t>
  </si>
  <si>
    <t>WILMAR ARLEY GONZALEZ SIERRA</t>
  </si>
  <si>
    <t>1128448088</t>
  </si>
  <si>
    <t>SAUL SAUL HERNANDEZ HERNANDEZ</t>
  </si>
  <si>
    <t>98773925</t>
  </si>
  <si>
    <t>JORGE ARMANDO VELEZ TAMAYO</t>
  </si>
  <si>
    <t>1214744069</t>
  </si>
  <si>
    <t>YALEINY CATALINA SUAREZ CORREA</t>
  </si>
  <si>
    <t>43740765</t>
  </si>
  <si>
    <t>MARISOL  BUSTAMANTE</t>
  </si>
  <si>
    <t>1000746755</t>
  </si>
  <si>
    <t>SEBASTIAN  SALDARRIGA HIDALGO</t>
  </si>
  <si>
    <t>1017161036</t>
  </si>
  <si>
    <t>EDISON BAGNEY PIEDRAHITA CUESTA</t>
  </si>
  <si>
    <t>1128271948</t>
  </si>
  <si>
    <t>DANIEL ALEJANDRO RODAS GONZALEZ</t>
  </si>
  <si>
    <t>1002364968</t>
  </si>
  <si>
    <t>JHON JAIRO ALEXANDER LOPEZ MEJIA</t>
  </si>
  <si>
    <t>1014176846</t>
  </si>
  <si>
    <t>GLORIA YANETH USUGA DURANGO</t>
  </si>
  <si>
    <t>1036605270</t>
  </si>
  <si>
    <t>JUAN FERNANDO GOMEZ JIMENEZ</t>
  </si>
  <si>
    <t>1017214764</t>
  </si>
  <si>
    <t>BRAYAN ALEXIS CORREA MONTOYA</t>
  </si>
  <si>
    <t>1152202519</t>
  </si>
  <si>
    <t>MARÍA ALEJANDRA MONTOYA TORO</t>
  </si>
  <si>
    <t>1034993636</t>
  </si>
  <si>
    <t>LUISA FERNANDA DUQUE GAVIRIA</t>
  </si>
  <si>
    <t>1017209254</t>
  </si>
  <si>
    <t>NORMAN ALEXIS VERA HERNÁNDEZ</t>
  </si>
  <si>
    <t>1036660000</t>
  </si>
  <si>
    <t>JULIANA  ALZATE LOZANO</t>
  </si>
  <si>
    <t>21585134</t>
  </si>
  <si>
    <t>SANDRA LILIANA GARCIA FERRARO</t>
  </si>
  <si>
    <t>1239565</t>
  </si>
  <si>
    <t>NEUDIS LUISETH REINA HERRERA</t>
  </si>
  <si>
    <t>1025762231</t>
  </si>
  <si>
    <t>LAURA VALENTINA CANO MONSALVE</t>
  </si>
  <si>
    <t>1007360818</t>
  </si>
  <si>
    <t>SANTIAGO  MONTOYA MARÍN</t>
  </si>
  <si>
    <t>15459251</t>
  </si>
  <si>
    <t>ARLEY  CORTES SALDARRIAG</t>
  </si>
  <si>
    <t>1037656525</t>
  </si>
  <si>
    <t>VALENTINA VALENTINA GARZON GIRALDO</t>
  </si>
  <si>
    <t>1001165897</t>
  </si>
  <si>
    <t>WILMAR ANTONIO SANCHEZ BARRIENTOS</t>
  </si>
  <si>
    <t>1037524763</t>
  </si>
  <si>
    <t>JEFERSON ESTIVEN RODRIGUEZ METAUTE</t>
  </si>
  <si>
    <t>8163771</t>
  </si>
  <si>
    <t>EDGAR DAVID ARBOLEDA SARMIENTO</t>
  </si>
  <si>
    <t>1036648234</t>
  </si>
  <si>
    <t>NANCY JOHANA HINCAPIE MARTINEZ</t>
  </si>
  <si>
    <t>43201194</t>
  </si>
  <si>
    <t>GLORIA ESTELA RESTREPO ESCOBAR</t>
  </si>
  <si>
    <t>98563890</t>
  </si>
  <si>
    <t>JUAN CARLOS ARRUBLA MÉNDEZ</t>
  </si>
  <si>
    <t>1020435081</t>
  </si>
  <si>
    <t>NATALY  TAMAYO RAMIREZ</t>
  </si>
  <si>
    <t>1214731711</t>
  </si>
  <si>
    <t>LINA FERNANDA VARGAS ALZATE</t>
  </si>
  <si>
    <t>71780369</t>
  </si>
  <si>
    <t>LUIS FERNANDO YEPES RAIGOSA</t>
  </si>
  <si>
    <t>71396585</t>
  </si>
  <si>
    <t>WILLINTON  MONTOYA COLORADO</t>
  </si>
  <si>
    <t>1128424921</t>
  </si>
  <si>
    <t>ADRIAN FELIPE FLOREZ MARTÍNEZ</t>
  </si>
  <si>
    <t>71763501</t>
  </si>
  <si>
    <t>CARLOS ALBERTO RUIZ SILVA</t>
  </si>
  <si>
    <t>1000902713</t>
  </si>
  <si>
    <t>VALENTINA  VANEGAS ARBOLEDA</t>
  </si>
  <si>
    <t>21530418</t>
  </si>
  <si>
    <t>ELIZABETH  VÉLEZ PEÑA</t>
  </si>
  <si>
    <t>21632367</t>
  </si>
  <si>
    <t>MARIA ELENA MIRA PEREZ</t>
  </si>
  <si>
    <t>1020430422</t>
  </si>
  <si>
    <t>CAROLINA  CASTAÑO HIGUITA</t>
  </si>
  <si>
    <t>1017249795</t>
  </si>
  <si>
    <t>FRANCK  HENAO CALDERON</t>
  </si>
  <si>
    <t>42692722</t>
  </si>
  <si>
    <t>DIANA ELIZABETH GIRALDO RESTREPO</t>
  </si>
  <si>
    <t>1018232714</t>
  </si>
  <si>
    <t>JUAN JOSE VANEGAS OSORIO</t>
  </si>
  <si>
    <t>71265316</t>
  </si>
  <si>
    <t>DIEGO ALBERTO CANO LONDOÑO</t>
  </si>
  <si>
    <t>1017176745</t>
  </si>
  <si>
    <t>ANGELA YULIANA MONSALVE MORALES</t>
  </si>
  <si>
    <t>1000752883</t>
  </si>
  <si>
    <t>VALENTINA  FLOREZ TAMAYO</t>
  </si>
  <si>
    <t>1063163313</t>
  </si>
  <si>
    <t>EMILDRA CAROLINA LOPEZ RAMIREZ</t>
  </si>
  <si>
    <t>IAA-09 - IA Aplicada y Automatización</t>
  </si>
  <si>
    <t>IAA-09</t>
  </si>
  <si>
    <t>8105770</t>
  </si>
  <si>
    <t>CARLOS HORACIO RAMIREZ ESCOBAR</t>
  </si>
  <si>
    <t>8/60</t>
  </si>
  <si>
    <t>43588541</t>
  </si>
  <si>
    <t>ELIANA MARIA CARDONA BOHORQUEZ</t>
  </si>
  <si>
    <t>1037632128</t>
  </si>
  <si>
    <t>ANGELA PATRICIA HERNANDEZ URREA</t>
  </si>
  <si>
    <t>43323485</t>
  </si>
  <si>
    <t>ANA CRISTINA MONTOYA ARBOLEDA</t>
  </si>
  <si>
    <t>1152688124</t>
  </si>
  <si>
    <t>ALBA LUCIA RODRIGUEZ CAMPO</t>
  </si>
  <si>
    <t>43990574</t>
  </si>
  <si>
    <t>LICETH YULIANA CARDENAS VARGAS</t>
  </si>
  <si>
    <t>71783237</t>
  </si>
  <si>
    <t>JAIME ALBERTO VELÁSQUEZ GARCÍA</t>
  </si>
  <si>
    <t>1152697080</t>
  </si>
  <si>
    <t>PAULA ANDREA RODRIGUEZ CAMPO</t>
  </si>
  <si>
    <t>Traslado desde IAA-10</t>
  </si>
  <si>
    <t>1128282168</t>
  </si>
  <si>
    <t>SUSANA SUSANA MEJIA RESTREPO</t>
  </si>
  <si>
    <t>7/60</t>
  </si>
  <si>
    <t>1035302741</t>
  </si>
  <si>
    <t>ENID ESTELLA USUGA DURANGO</t>
  </si>
  <si>
    <t>71779653</t>
  </si>
  <si>
    <t>CESAR AUGUSTO MAZO GONZALEZ</t>
  </si>
  <si>
    <t>1128281479</t>
  </si>
  <si>
    <t>SEBASTIAN  BLANCO LOPEZ</t>
  </si>
  <si>
    <t>15371718</t>
  </si>
  <si>
    <t>RAÚL DAVID RAMÍREZ RESTREPO</t>
  </si>
  <si>
    <t>1000206217</t>
  </si>
  <si>
    <t>WENDY VANESSA SANCHEZ ARAQUE</t>
  </si>
  <si>
    <t>1026257036</t>
  </si>
  <si>
    <t>LAURA MARIA VELEZ CARVAJAL</t>
  </si>
  <si>
    <t>1020395437</t>
  </si>
  <si>
    <t>DIEGO ARMANDO MONTOYA SALAZAR</t>
  </si>
  <si>
    <t>1036667384</t>
  </si>
  <si>
    <t>JOHN ALEXANDER VALLEJO QUINTERO</t>
  </si>
  <si>
    <t>1020463210</t>
  </si>
  <si>
    <t>FRANCELY  DUARTE GIL</t>
  </si>
  <si>
    <t>1216730415</t>
  </si>
  <si>
    <t>LISNEIDER  POLO MENDOZA</t>
  </si>
  <si>
    <t>98553849</t>
  </si>
  <si>
    <t>JUAN DAVID AGUDELO BOTERO</t>
  </si>
  <si>
    <t>1152198604</t>
  </si>
  <si>
    <t>ESTEFANIA  VILLADA GOMEZ</t>
  </si>
  <si>
    <t>1036619559</t>
  </si>
  <si>
    <t>JOAN LOKREYBE MOSQUERA ANDRADE</t>
  </si>
  <si>
    <t>1000748054</t>
  </si>
  <si>
    <t>EMANUEL  VALLEJO TOBON</t>
  </si>
  <si>
    <t>1037612975</t>
  </si>
  <si>
    <t>MARIA ISABEL PAREJA CASTAÑEDA</t>
  </si>
  <si>
    <t>63508180</t>
  </si>
  <si>
    <t>INGRID JOVANNA LEON SUAREZ</t>
  </si>
  <si>
    <t>86073451</t>
  </si>
  <si>
    <t>PEDRO  TURRIAGO SANCHEZ</t>
  </si>
  <si>
    <t>98549570</t>
  </si>
  <si>
    <t>VICTOR FABIAN ARIAS MUNOZ</t>
  </si>
  <si>
    <t>71614868</t>
  </si>
  <si>
    <t>JUAN FERNANDO GALLEGO LONDOÑO</t>
  </si>
  <si>
    <t>71625138</t>
  </si>
  <si>
    <t>MIGUEL DAR DARIO ARISTIZABA GOMEZ</t>
  </si>
  <si>
    <t>1036634113</t>
  </si>
  <si>
    <t>ERIKA JOHANA RODRIGUEZ CAMPO</t>
  </si>
  <si>
    <t>1001064085</t>
  </si>
  <si>
    <t>WENSYSLA THALIA BARRAGAN DIAZ</t>
  </si>
  <si>
    <t>1128393998</t>
  </si>
  <si>
    <t>SANDRA MILENA MONTOYA MEDINA</t>
  </si>
  <si>
    <t>1017252123</t>
  </si>
  <si>
    <t>ALEJANDRA ALEJANDRA MUÑOZ CARDENAS</t>
  </si>
  <si>
    <t>43986197</t>
  </si>
  <si>
    <t>KELLY NATALIA JIMENEZ TORRES</t>
  </si>
  <si>
    <t>1017133299</t>
  </si>
  <si>
    <t>DIANA ALEJANDRA CASTRILLON</t>
  </si>
  <si>
    <t>1152687983</t>
  </si>
  <si>
    <t>JENNIFER  CARVAJAL DE LOSRIOS</t>
  </si>
  <si>
    <t>1128391817</t>
  </si>
  <si>
    <t>JOHAN ALEXIS ARANGO RUEDA</t>
  </si>
  <si>
    <t>1152192367</t>
  </si>
  <si>
    <t>DANIELA  ARISTIZÁBA RAMÍREZ</t>
  </si>
  <si>
    <t>1017147413</t>
  </si>
  <si>
    <t>JULIAN  FERNANDEZ ORTIZ</t>
  </si>
  <si>
    <t>1037572707</t>
  </si>
  <si>
    <t>CAROLINA  ARIAS VELASQUEZ</t>
  </si>
  <si>
    <t>1152716005</t>
  </si>
  <si>
    <t>CRISTIAN CRISTIAN VALLEJO TOBON</t>
  </si>
  <si>
    <t>1152711886</t>
  </si>
  <si>
    <t>DIEGO  CARDONA MESA</t>
  </si>
  <si>
    <t>IAA-10 - IA Aplicada y Automatización</t>
  </si>
  <si>
    <t>IAA-10</t>
  </si>
  <si>
    <t>Deiner Alonso Rivera</t>
  </si>
  <si>
    <t>32183214</t>
  </si>
  <si>
    <t>LINA JOHANNA ARBOLEDA RAMIREZ</t>
  </si>
  <si>
    <t>1017129662</t>
  </si>
  <si>
    <t>CAROLINA  SÁNCHEZ FRANCO</t>
  </si>
  <si>
    <t>1214726331</t>
  </si>
  <si>
    <t>PAOLA ANDREA SANCHEZ JARAMILLO</t>
  </si>
  <si>
    <t>43634807</t>
  </si>
  <si>
    <t>MARILENY  MAZO MAZO</t>
  </si>
  <si>
    <t>1000756713</t>
  </si>
  <si>
    <t>DANIEL  VARGAS SUAREZ</t>
  </si>
  <si>
    <t>98603311</t>
  </si>
  <si>
    <t>MAURICIO LEON LAVERDE MENDOZA</t>
  </si>
  <si>
    <t>1000646361</t>
  </si>
  <si>
    <t>JUAN PABLO CANO OCAMPO</t>
  </si>
  <si>
    <t>71187857</t>
  </si>
  <si>
    <t>JESÚS ENRIQUE DE VILLA VELASQUEZ</t>
  </si>
  <si>
    <t>79838850</t>
  </si>
  <si>
    <t>ANDRES ALEXANDER GOMEZ QUINTERO</t>
  </si>
  <si>
    <t>32182388</t>
  </si>
  <si>
    <t>MARIA CRISTINA TAMAYO OSSA</t>
  </si>
  <si>
    <t>71279838</t>
  </si>
  <si>
    <t>DIEGO EDUARDO OSORIO AYALA</t>
  </si>
  <si>
    <t>98538012</t>
  </si>
  <si>
    <t>JAIME ESTEBAN JARAMILLO JIMENEZ</t>
  </si>
  <si>
    <t>75051384</t>
  </si>
  <si>
    <t>JUAN MANUEL AGUIRRE JARAMILLO</t>
  </si>
  <si>
    <t>1110567942</t>
  </si>
  <si>
    <t>DANIELA ALEJANDRA GUZMAN LARA</t>
  </si>
  <si>
    <t>1034279207</t>
  </si>
  <si>
    <t>LUZ DANIA GIRALDO PEÑA</t>
  </si>
  <si>
    <t>43076179</t>
  </si>
  <si>
    <t>CLAUDIA  TANGARIFE CARDONA</t>
  </si>
  <si>
    <t>1017194716</t>
  </si>
  <si>
    <t>DANIELA  MUÑOZ GALLEGO</t>
  </si>
  <si>
    <t>1152699603</t>
  </si>
  <si>
    <t>MARIA ALEJANDRA GUTIERREZ DIOSA</t>
  </si>
  <si>
    <t>98581042</t>
  </si>
  <si>
    <t>JOHN FREDDY HENAO ZAPATA</t>
  </si>
  <si>
    <t>1035439253</t>
  </si>
  <si>
    <t>CRISTIAN DAVID QUINTERO PARRA</t>
  </si>
  <si>
    <t>1128397360</t>
  </si>
  <si>
    <t>ANDRES FELIPE ATEHORTUA GOMEZ</t>
  </si>
  <si>
    <t>1152463524</t>
  </si>
  <si>
    <t>SARA VALENTINA RAMIREZ ARBOLEDA</t>
  </si>
  <si>
    <t>1003844592</t>
  </si>
  <si>
    <t>EDGAR DAVID LEON BOLIVAR</t>
  </si>
  <si>
    <t>1026147970</t>
  </si>
  <si>
    <t>KELLY YERARDI VANEGAS CORREA</t>
  </si>
  <si>
    <t>72307722</t>
  </si>
  <si>
    <t>JUAN CARLOS MARTINEZ SERENO</t>
  </si>
  <si>
    <t>1214719642</t>
  </si>
  <si>
    <t>LUIS MIGUEL DIAZ GARZON</t>
  </si>
  <si>
    <t>1036606217</t>
  </si>
  <si>
    <t>SANTIAGO ALBERTO MORALES MADRID</t>
  </si>
  <si>
    <t>1005060613</t>
  </si>
  <si>
    <t>JUANA VALENTINA RUEDA CONTRERAS</t>
  </si>
  <si>
    <t>1118872358</t>
  </si>
  <si>
    <t>ANDRÉS FERNANDO GUERRA GARCIA</t>
  </si>
  <si>
    <t>1020491519</t>
  </si>
  <si>
    <t>TOMAS  RESTREPO OSPINA</t>
  </si>
  <si>
    <t>43550638</t>
  </si>
  <si>
    <t>CLAUDIA PATRICIA MUÑETON SIERRA</t>
  </si>
  <si>
    <t>1017200448</t>
  </si>
  <si>
    <t>KEILA  JIMÉNEZ LONDOÑO</t>
  </si>
  <si>
    <t>1152447526</t>
  </si>
  <si>
    <t>JOHN ALEXANDER QUENGUAN CALAMBAS</t>
  </si>
  <si>
    <t>44001267</t>
  </si>
  <si>
    <t>YEIMY MARCELA MONTOYA FONNEGRA</t>
  </si>
  <si>
    <t>1128415086</t>
  </si>
  <si>
    <t>JUAN SEBASTIAN ROMERO ACEVEDO</t>
  </si>
  <si>
    <t>1152708405</t>
  </si>
  <si>
    <t>JULIO CESAR CEBALLOS VALLE</t>
  </si>
  <si>
    <t>1152688875</t>
  </si>
  <si>
    <t>JUAN CARLOS GIL GIRALDO</t>
  </si>
  <si>
    <t>98713634</t>
  </si>
  <si>
    <t>LINCON JAVIER GOMEZ GIL</t>
  </si>
  <si>
    <t>1020411489</t>
  </si>
  <si>
    <t>JOHAN ALEJANDRO MEJIA CHAVERRA</t>
  </si>
  <si>
    <t>1037667925</t>
  </si>
  <si>
    <t>MIGUEL ANGEL ZAPATA TUBERQUIA</t>
  </si>
  <si>
    <t>1035440047</t>
  </si>
  <si>
    <t>FELIPE  MESA BETANCUR</t>
  </si>
  <si>
    <t>1017267371</t>
  </si>
  <si>
    <t>DENNIS YULIAN MONTOYA RODAS</t>
  </si>
  <si>
    <t>71792589</t>
  </si>
  <si>
    <t>ROBINSON MARINO BETANCUR</t>
  </si>
  <si>
    <t>1128281681</t>
  </si>
  <si>
    <t>MANUEL FELIPE JARAMILLO SERNA</t>
  </si>
  <si>
    <t>IAA-11 - IA Aplicada y Automatización</t>
  </si>
  <si>
    <t>IAA-11</t>
  </si>
  <si>
    <t>Mateo Ramirez</t>
  </si>
  <si>
    <t>1216718043</t>
  </si>
  <si>
    <t>MANUELA  ALVAREZ CORREA</t>
  </si>
  <si>
    <t>1045110864</t>
  </si>
  <si>
    <t>LEIDY JICETH OSPINA RUIZ</t>
  </si>
  <si>
    <t>5/70</t>
  </si>
  <si>
    <t>43187089</t>
  </si>
  <si>
    <t>LENNY JOHANNA RENDON CORREA</t>
  </si>
  <si>
    <t>1001738517</t>
  </si>
  <si>
    <t>ANA MARIA SERNA SORA</t>
  </si>
  <si>
    <t>1152206523</t>
  </si>
  <si>
    <t>DANIELA  RESTREPO MUÑOZ</t>
  </si>
  <si>
    <t>98640849</t>
  </si>
  <si>
    <t>CARLOS ANDRES ARBOLEDA GOMEZ</t>
  </si>
  <si>
    <t>1017270496</t>
  </si>
  <si>
    <t>RICARDO JOSE GARZON ARIAS</t>
  </si>
  <si>
    <t>1026578670</t>
  </si>
  <si>
    <t>ANDRES FELIPE PAMPLONA VALLEJO</t>
  </si>
  <si>
    <t>98670185</t>
  </si>
  <si>
    <t>JUAN CARLOS GAVIRIA GOMEZ</t>
  </si>
  <si>
    <t>71278929</t>
  </si>
  <si>
    <t>JOHN ALEJANDRO RESTREPO MESA</t>
  </si>
  <si>
    <t>8200802</t>
  </si>
  <si>
    <t>JAMES HUMBERTO MACHADO BONILLA</t>
  </si>
  <si>
    <t>42825049</t>
  </si>
  <si>
    <t>ELIZABETH  CORREA CANO</t>
  </si>
  <si>
    <t>1001228203</t>
  </si>
  <si>
    <t>MIGUEL ANGEL VALENCIA YEPES</t>
  </si>
  <si>
    <t>1036617048</t>
  </si>
  <si>
    <t>JORGE ARMANDO URIBE LONDOÑO</t>
  </si>
  <si>
    <t>43974054</t>
  </si>
  <si>
    <t>CAROLINA  TORRES BARRIENTOS</t>
  </si>
  <si>
    <t>1026061946</t>
  </si>
  <si>
    <t>OSCAR SANTIAGO BENITEZ BARRERA</t>
  </si>
  <si>
    <t>1128270029</t>
  </si>
  <si>
    <t>MARIA ALEJANDRA MUÑOZ MOLINA</t>
  </si>
  <si>
    <t>1037591155</t>
  </si>
  <si>
    <t>CARLOS ANDRES ARROYAVE ESCUDERO</t>
  </si>
  <si>
    <t>71367222</t>
  </si>
  <si>
    <t>ANDRES  GARRO PATIÑO</t>
  </si>
  <si>
    <t>1039700821</t>
  </si>
  <si>
    <t>KEVIN ALEJANDRO NEVADO ESTRADA</t>
  </si>
  <si>
    <t>1037645057</t>
  </si>
  <si>
    <t>DIANA MARCELA MONSALVE CIFUENTES</t>
  </si>
  <si>
    <t>1036614565</t>
  </si>
  <si>
    <t>ZURLEY  TABORDA GUTIERREZ</t>
  </si>
  <si>
    <t>71264504</t>
  </si>
  <si>
    <t>ISMAEL  QUEJADA ROVIRA</t>
  </si>
  <si>
    <t>5046634</t>
  </si>
  <si>
    <t>JAVIER CAMPUZANO VEGA</t>
  </si>
  <si>
    <t>1214744550</t>
  </si>
  <si>
    <t>DANIEL ANDRES ESPINOSA TORRES</t>
  </si>
  <si>
    <t>1017168496</t>
  </si>
  <si>
    <t>PAULA MARCELA VALENCIA BAENA</t>
  </si>
  <si>
    <t>1152190771</t>
  </si>
  <si>
    <t>JOSE LUIS JARAMILLO BUSTAMANTE</t>
  </si>
  <si>
    <t>98663514</t>
  </si>
  <si>
    <t>WILLINTON ALEXANDER VARGAS VARGAS</t>
  </si>
  <si>
    <t>1085267693</t>
  </si>
  <si>
    <t>NATHALIA ANDREA CASTRO GIL</t>
  </si>
  <si>
    <t>1017205184</t>
  </si>
  <si>
    <t>JUAN ESTEBAN ARTEAGA ZAPATA</t>
  </si>
  <si>
    <t>1040325610</t>
  </si>
  <si>
    <t>ALBA LUZ GALLAN GIRALDO</t>
  </si>
  <si>
    <t>1073968113</t>
  </si>
  <si>
    <t>LILIANA MARCELA MEDRANO MURIILO</t>
  </si>
  <si>
    <t>71381544</t>
  </si>
  <si>
    <t>JOSE MIGUEL QUEJADA ROVIRA</t>
  </si>
  <si>
    <t>1017126481</t>
  </si>
  <si>
    <t>CINDY MILENA PAJARO LOPEZ</t>
  </si>
  <si>
    <t>32181203</t>
  </si>
  <si>
    <t>ERIKA MARIA VALENCIA OTALVARO</t>
  </si>
  <si>
    <t>1018247341</t>
  </si>
  <si>
    <t>MARIA JOSE QUEJADA PAJARO</t>
  </si>
  <si>
    <t>98570410</t>
  </si>
  <si>
    <t>GABRIEL JAIME RESTREPO HOYOS</t>
  </si>
  <si>
    <t>43977760</t>
  </si>
  <si>
    <t>SANDRA VIVIANA SALINAS MONCADA</t>
  </si>
  <si>
    <t>1038102198</t>
  </si>
  <si>
    <t>EVELYN CRISTINA GARCIA ALVAREZ</t>
  </si>
  <si>
    <t>43991067</t>
  </si>
  <si>
    <t>PAULA ANDREA ARIAS CONTRERAS</t>
  </si>
  <si>
    <t>1000439869</t>
  </si>
  <si>
    <t>LUISA FERNANDA SUAZO TAMAYO</t>
  </si>
  <si>
    <t>1040755673</t>
  </si>
  <si>
    <t>JULIAN ANDRES RAMIREZ MARIN</t>
  </si>
  <si>
    <t>71785405</t>
  </si>
  <si>
    <t>EDISON  HENRY MELUK</t>
  </si>
  <si>
    <t>1020476422</t>
  </si>
  <si>
    <t>VALENTINA  ESPINOSA CARMONA</t>
  </si>
  <si>
    <t>1037119732</t>
  </si>
  <si>
    <t>CAMILA ANDREA SEGURA TORRES</t>
  </si>
  <si>
    <t>1022003947</t>
  </si>
  <si>
    <t>HILLARY ZABAD CORDOBA QUEJADA</t>
  </si>
  <si>
    <t>1035830209</t>
  </si>
  <si>
    <t>MARIA EUGENIA BETANCUR GUTIERREZ</t>
  </si>
  <si>
    <t>1020482562</t>
  </si>
  <si>
    <t>VERONICA  ALVAREZ SALDARRIAG</t>
  </si>
  <si>
    <t>IAA-12 - IA Aplicada y Automatización</t>
  </si>
  <si>
    <t>IAA-12</t>
  </si>
  <si>
    <t>Efrain Vargas</t>
  </si>
  <si>
    <t>Traslado desde IAA-20</t>
  </si>
  <si>
    <t>1042980641</t>
  </si>
  <si>
    <t>ELVIS JAVIER REALES CABARCAS</t>
  </si>
  <si>
    <t>Traslado desde IAA-18</t>
  </si>
  <si>
    <t>1017215063</t>
  </si>
  <si>
    <t>KEVIN HERNAN BETANCUR USUGA</t>
  </si>
  <si>
    <t>1128385737</t>
  </si>
  <si>
    <t>JAVIER ALEXANDER OCHOA YOTAGRY</t>
  </si>
  <si>
    <t>1127939535</t>
  </si>
  <si>
    <t>JUAN CAMILO CORREA SEMPRUN</t>
  </si>
  <si>
    <t>1020457836</t>
  </si>
  <si>
    <t>DAVID STIVEN ESCOBAR SANCHEZ</t>
  </si>
  <si>
    <t>3507412</t>
  </si>
  <si>
    <t>RODRIGO  GARRIDO HINESTROZA</t>
  </si>
  <si>
    <t>1017257233</t>
  </si>
  <si>
    <t>JONY JAIR LOPEZ SALAZAR</t>
  </si>
  <si>
    <t>43917750</t>
  </si>
  <si>
    <t>LINA MARCELA RESTREPO ARBOLEDA</t>
  </si>
  <si>
    <t>1036634218</t>
  </si>
  <si>
    <t>MAICOL ARLEY VARGAS CORREA</t>
  </si>
  <si>
    <t>1152216218</t>
  </si>
  <si>
    <t>JORGE MAURICIO VANEGAS ACEVEDO</t>
  </si>
  <si>
    <t>1017156705</t>
  </si>
  <si>
    <t>CARLOS ESTEBAN VANEGAS CARMONA</t>
  </si>
  <si>
    <t>1037638212</t>
  </si>
  <si>
    <t>ALEJANDRO  RAMIREZ ARBOLEDA</t>
  </si>
  <si>
    <t>1011397822</t>
  </si>
  <si>
    <t>SANTIAGO  OCHOA GOMEZ</t>
  </si>
  <si>
    <t>1152697481</t>
  </si>
  <si>
    <t>MARIA CAMILA TAPIAS BELLO</t>
  </si>
  <si>
    <t>1032475232</t>
  </si>
  <si>
    <t>JULIETH DAMARIS LEAL POVEDA</t>
  </si>
  <si>
    <t>1017923003</t>
  </si>
  <si>
    <t>JUAN JOSE GOEZ PEREZ</t>
  </si>
  <si>
    <t>71389377</t>
  </si>
  <si>
    <t>DAVID ANDRÉS LALINDE CASTRILLÓN</t>
  </si>
  <si>
    <t>1039048791</t>
  </si>
  <si>
    <t>CARLOS ANDRÉS GARCÍA VALENCIA</t>
  </si>
  <si>
    <t>1017164409</t>
  </si>
  <si>
    <t>JOSE LUIS CASTAÑEDA GRANADA</t>
  </si>
  <si>
    <t>1092348500</t>
  </si>
  <si>
    <t>JEAN DEIBER CEGARRA CORDERO</t>
  </si>
  <si>
    <t>43673268</t>
  </si>
  <si>
    <t>GLADYS PATRICIA GOEZ VASQUEZ</t>
  </si>
  <si>
    <t>1035874862</t>
  </si>
  <si>
    <t>VANESSA  CORONADO LUJAN</t>
  </si>
  <si>
    <t>1128431133</t>
  </si>
  <si>
    <t>DALYA ELLEN CORREA BERRIO</t>
  </si>
  <si>
    <t>1494204</t>
  </si>
  <si>
    <t>DWIGHT RAFAEL ALVAREZ ESCOBAR</t>
  </si>
  <si>
    <t>1025640399</t>
  </si>
  <si>
    <t>ANA SOFIA MUNERA RAMIREZ</t>
  </si>
  <si>
    <t>1017233790</t>
  </si>
  <si>
    <t>JORGE ALEJANDRO PANIAGUA PALACIOA</t>
  </si>
  <si>
    <t>43118622</t>
  </si>
  <si>
    <t>GLORIA SHIRLEY RIVERA CE</t>
  </si>
  <si>
    <t>1128396275</t>
  </si>
  <si>
    <t>MARLY STEPHANIE ARISMENDY OSPINA</t>
  </si>
  <si>
    <t>42936419</t>
  </si>
  <si>
    <t>SAMARA  SANCHEZ CARDONA</t>
  </si>
  <si>
    <t>1035431905</t>
  </si>
  <si>
    <t>LUISA FERNANDA PALACIO PUERTA</t>
  </si>
  <si>
    <t>98705020</t>
  </si>
  <si>
    <t>DIEGO MAURICIO HENAO MARIN</t>
  </si>
  <si>
    <t>43519759</t>
  </si>
  <si>
    <t>TRINIDAD ELENA SANCHEZ OSPINA</t>
  </si>
  <si>
    <t>1152447959</t>
  </si>
  <si>
    <t>DIANA CAROLINA GUERRA RICARDO</t>
  </si>
  <si>
    <t>1193104048</t>
  </si>
  <si>
    <t>SANTIAGO SANTIAGO MORENO RAVE</t>
  </si>
  <si>
    <t>IAA-13 - IA Aplicada y Automatización</t>
  </si>
  <si>
    <t>IAA-13</t>
  </si>
  <si>
    <t>71366200</t>
  </si>
  <si>
    <t>JAIR HERNAN VARGAS DIAZ</t>
  </si>
  <si>
    <t>1044503271</t>
  </si>
  <si>
    <t>YAMILE ANDREA PÉREZ PATIÑO</t>
  </si>
  <si>
    <t>71694262</t>
  </si>
  <si>
    <t>LEÓN DARIO ARBELAEZ ALVAREZ</t>
  </si>
  <si>
    <t>1128464781</t>
  </si>
  <si>
    <t>JOHNNATAN  CARDONA VASQUEZ</t>
  </si>
  <si>
    <t>1036625619</t>
  </si>
  <si>
    <t>JHON EDISON MUÑOZ PAMPLONA</t>
  </si>
  <si>
    <t>32108645</t>
  </si>
  <si>
    <t>LILIANA MARCELA MONTOYA BELTRAN</t>
  </si>
  <si>
    <t>43621934</t>
  </si>
  <si>
    <t>NATALIA  GARCIA HOLGUIN</t>
  </si>
  <si>
    <t>71226853</t>
  </si>
  <si>
    <t>MAURICIO ANTONIO VERGARA VELILLA</t>
  </si>
  <si>
    <t>1017234585</t>
  </si>
  <si>
    <t>KATHERINE ANDREA VELASQUEZ ARCILA</t>
  </si>
  <si>
    <t>1152447658</t>
  </si>
  <si>
    <t>YHON JAMES ARRIETA JULIO</t>
  </si>
  <si>
    <t>1152187618</t>
  </si>
  <si>
    <t>VICTOR ADOLFO OLAYA SALDARRIAG</t>
  </si>
  <si>
    <t>71293887</t>
  </si>
  <si>
    <t>FREDY ESTEIBY LONDOÑO ALZATE</t>
  </si>
  <si>
    <t>1118303017</t>
  </si>
  <si>
    <t>BRAYAN  ARBELAEZ VALENCIA</t>
  </si>
  <si>
    <t>1037626341</t>
  </si>
  <si>
    <t>DURSULEY YOLIMA RIVERO MORENO</t>
  </si>
  <si>
    <t>1039462051</t>
  </si>
  <si>
    <t>ANALEJANDR  QUICENO SOTO</t>
  </si>
  <si>
    <t>1128478035</t>
  </si>
  <si>
    <t>JOHAN ESTEBAN SIERRA AGUIRRE</t>
  </si>
  <si>
    <t>14395429</t>
  </si>
  <si>
    <t>JAIME ALBERTO JHON RODRIGUEZ</t>
  </si>
  <si>
    <t>1152193098</t>
  </si>
  <si>
    <t>BERNARDO ELIAS RAMÍREZ AVENDAÑO</t>
  </si>
  <si>
    <t>98698234</t>
  </si>
  <si>
    <t>CARLOS ANDRES GIRALDO SALDARRIAG</t>
  </si>
  <si>
    <t>43266482</t>
  </si>
  <si>
    <t>ISABEL CRISTINA ARREDONDO MONCADA</t>
  </si>
  <si>
    <t>1128279891</t>
  </si>
  <si>
    <t>JHON DAVID CALVOPIÑA PALACIO</t>
  </si>
  <si>
    <t>1143164715</t>
  </si>
  <si>
    <t>ANDERSON DAVID CEREZO VEGA</t>
  </si>
  <si>
    <t>1007223674</t>
  </si>
  <si>
    <t>SEBASTIAN  NARVAEZ HOYOS</t>
  </si>
  <si>
    <t>1004345556</t>
  </si>
  <si>
    <t>ANDRI MILDREY MARIN CARO</t>
  </si>
  <si>
    <t>1025882595</t>
  </si>
  <si>
    <t>SALOME  PULGARIN ESCOBAR</t>
  </si>
  <si>
    <t>1080935262</t>
  </si>
  <si>
    <t>YESIKA ALEJANDRA CALDERÓN GUENGUE</t>
  </si>
  <si>
    <t>1020471574</t>
  </si>
  <si>
    <t>ELIANA YAMILE MORALES MEJIA</t>
  </si>
  <si>
    <t>1001226041</t>
  </si>
  <si>
    <t>SOFÍA  MUNERA ZAPATA</t>
  </si>
  <si>
    <t>43576599</t>
  </si>
  <si>
    <t>LUZ ADRIANA ARENAS VALENZUELA</t>
  </si>
  <si>
    <t>1040756367</t>
  </si>
  <si>
    <t>SEBASTIAN  JIMENEZ MESA</t>
  </si>
  <si>
    <t>1022142081</t>
  </si>
  <si>
    <t>MARIA CAMILA ZULUAGA CARVALLO</t>
  </si>
  <si>
    <t>32106108</t>
  </si>
  <si>
    <t>DORIS ELENA GALLEGO ISAZA</t>
  </si>
  <si>
    <t>1033183769</t>
  </si>
  <si>
    <t>VALERIA  MENDEZ RAMIREZ</t>
  </si>
  <si>
    <t>1017203500</t>
  </si>
  <si>
    <t>SANDRA CAROLINA OROZCO DIOSA</t>
  </si>
  <si>
    <t>IAA-14 - IA Aplicada y Automatización</t>
  </si>
  <si>
    <t>IAA-14</t>
  </si>
  <si>
    <t>Martes 08:00-11:00 | Jueves 08:00-11:00</t>
  </si>
  <si>
    <t>1035235148</t>
  </si>
  <si>
    <t>CRISTIAN CRISTIAN ESCOBAR AVALOS</t>
  </si>
  <si>
    <t>3556927</t>
  </si>
  <si>
    <t>ELKIN HUMBERTO PEREZ GOMEZ</t>
  </si>
  <si>
    <t>1152189171</t>
  </si>
  <si>
    <t>ELIANA YULIET CASTAÑO MONTOYA</t>
  </si>
  <si>
    <t>1017226418</t>
  </si>
  <si>
    <t>JAYAN SANTIAGO CASTAÑO LONDOÑO</t>
  </si>
  <si>
    <t>1128465147</t>
  </si>
  <si>
    <t>DIANA PATRICIA URUEÑA OROZCO</t>
  </si>
  <si>
    <t>1072257469</t>
  </si>
  <si>
    <t>CRISTOBAL DE JESUS SALCEDO BELTRAN</t>
  </si>
  <si>
    <t>1128461097</t>
  </si>
  <si>
    <t>JULIANA  QUIROZ ESTRADA</t>
  </si>
  <si>
    <t>71673185</t>
  </si>
  <si>
    <t>SERGIO LUIS HERNANDEZ GARCÍA</t>
  </si>
  <si>
    <t>71687581</t>
  </si>
  <si>
    <t>NICOLAS DARIO ZULUAGA CEBALLOS</t>
  </si>
  <si>
    <t>43629258</t>
  </si>
  <si>
    <t>ADRIANA NATALIA LÓPEZ COSTA</t>
  </si>
  <si>
    <t>1017202482</t>
  </si>
  <si>
    <t>LAURA VANESA OCHOA ORTIZ</t>
  </si>
  <si>
    <t>1152194341</t>
  </si>
  <si>
    <t>ESTEFANIA  GALEANO BUILES</t>
  </si>
  <si>
    <t>71748777</t>
  </si>
  <si>
    <t>HERNAN DARIO OSORIO BUSTAMANTE</t>
  </si>
  <si>
    <t>71772099</t>
  </si>
  <si>
    <t>GONZALO  ALAVREZ ARIAS</t>
  </si>
  <si>
    <t>1077470956</t>
  </si>
  <si>
    <t>YAKELINE  RAMIREZ SALAZAR</t>
  </si>
  <si>
    <t>1020410455</t>
  </si>
  <si>
    <t>JOHANNA  MORALES GARCIA</t>
  </si>
  <si>
    <t>79794779</t>
  </si>
  <si>
    <t>IVÁN EDUARDO TORRES NÚÑEZ</t>
  </si>
  <si>
    <t>43977350</t>
  </si>
  <si>
    <t>CLAUDIA MARCELA MOLINA ALVAREZ</t>
  </si>
  <si>
    <t>1152195793</t>
  </si>
  <si>
    <t>JUAN ESTEBAN RIOS ALVAREZ</t>
  </si>
  <si>
    <t>1025642832</t>
  </si>
  <si>
    <t>JHON ALEJANDRO CARDONA GÓMEZ</t>
  </si>
  <si>
    <t>1037657194</t>
  </si>
  <si>
    <t>JUAN SIMÓN GÓMEZ PUERTA</t>
  </si>
  <si>
    <t>1110492611</t>
  </si>
  <si>
    <t>DAVID  GONZALEZ CARDENAS</t>
  </si>
  <si>
    <t>98589816</t>
  </si>
  <si>
    <t>HARVEY  GIRALDO ARBOLEDA</t>
  </si>
  <si>
    <t>42844026</t>
  </si>
  <si>
    <t>DEISY MILENA HERNANDEZ VILLEGAS</t>
  </si>
  <si>
    <t>1152210909</t>
  </si>
  <si>
    <t>NATHALIA  GALEANO BUILES</t>
  </si>
  <si>
    <t>1017162490</t>
  </si>
  <si>
    <t>ESTEBAN ALONSO RUA GIRALDO</t>
  </si>
  <si>
    <t>IAA-15 - IA Aplicada y Automatización</t>
  </si>
  <si>
    <t>IAA-15</t>
  </si>
  <si>
    <t>Carlos Jaramillo</t>
  </si>
  <si>
    <t>1216717602</t>
  </si>
  <si>
    <t>ESTEFANIA  SANCHEZ ALVAREZ</t>
  </si>
  <si>
    <t>71664931</t>
  </si>
  <si>
    <t>PAUL  GUTIERREZ</t>
  </si>
  <si>
    <t>43255020</t>
  </si>
  <si>
    <t>ENNE LEANER BARCO MONTOYA</t>
  </si>
  <si>
    <t>1080041597</t>
  </si>
  <si>
    <t>OMAR SANTIAGO SALAZAR YAQUENO</t>
  </si>
  <si>
    <t>1017186424</t>
  </si>
  <si>
    <t>MAURICIO LEANDRO OCAMPO MARTÍNEZ</t>
  </si>
  <si>
    <t>1025648623</t>
  </si>
  <si>
    <t>DANIELA ASPRILLA A</t>
  </si>
  <si>
    <t>1005568686</t>
  </si>
  <si>
    <t>SEBASTIAN  ARROYO NAVARRO</t>
  </si>
  <si>
    <t>42691741</t>
  </si>
  <si>
    <t>LUISA FERNANDA VANEGAS SANCHEZ</t>
  </si>
  <si>
    <t>1128385304</t>
  </si>
  <si>
    <t>INGRID XIOMARA ZAPATA VASQUEZ</t>
  </si>
  <si>
    <t>43602237</t>
  </si>
  <si>
    <t>MONICA JANETTE PATIÑO QUINTERO</t>
  </si>
  <si>
    <t>1128465233</t>
  </si>
  <si>
    <t>ELISEO  LOPEZ DURANGO</t>
  </si>
  <si>
    <t>1192463059</t>
  </si>
  <si>
    <t>EMMANUEL  GIRALDO TABARES</t>
  </si>
  <si>
    <t>98533104</t>
  </si>
  <si>
    <t>JUAN ALBERTO HERNANDEZ FLOREZ</t>
  </si>
  <si>
    <t>43276720</t>
  </si>
  <si>
    <t>ALEXANDRA MARIA MAZO CANO</t>
  </si>
  <si>
    <t>1128431439</t>
  </si>
  <si>
    <t>ANDERSON LEON MACIAS FONNEGRA</t>
  </si>
  <si>
    <t>15441352</t>
  </si>
  <si>
    <t>ROMY ESNEIDER MOSQUERA VALOYES</t>
  </si>
  <si>
    <t>1036627050</t>
  </si>
  <si>
    <t>DANIEL FELIPE RIOS OCHOA</t>
  </si>
  <si>
    <t>71774667</t>
  </si>
  <si>
    <t>ANDRES FELIPE ARROYAVE HOYOS</t>
  </si>
  <si>
    <t>43627748</t>
  </si>
  <si>
    <t>CLAUDIA PATRICIA SALDARRIAG GARZON</t>
  </si>
  <si>
    <t>1017195307</t>
  </si>
  <si>
    <t>ESTEFANIA ESTEFANIA RUEDA GONZALEZ</t>
  </si>
  <si>
    <t>43208494</t>
  </si>
  <si>
    <t>MARIA YOLIMA MIRANDA CARMONA</t>
  </si>
  <si>
    <t>1000291616</t>
  </si>
  <si>
    <t>YUSTIN  BARNET CARDONA</t>
  </si>
  <si>
    <t>1234990379</t>
  </si>
  <si>
    <t>JUAN DIEGO ARANGO JARAMILLO</t>
  </si>
  <si>
    <t>IAA-16 - IA Aplicada y Automatización</t>
  </si>
  <si>
    <t>IAA-16</t>
  </si>
  <si>
    <t>1017262240</t>
  </si>
  <si>
    <t>CARLOS ANDRES LOPEZ SANCHEZ</t>
  </si>
  <si>
    <t>1023623721</t>
  </si>
  <si>
    <t>JULIÁN  MORALES SAAVEDRA</t>
  </si>
  <si>
    <t>1020412144</t>
  </si>
  <si>
    <t>EDITH JULIANA PEMBERTY RESTREPO</t>
  </si>
  <si>
    <t>1017929541</t>
  </si>
  <si>
    <t>EMMANUEL  CASTRILLON ZULUAGA</t>
  </si>
  <si>
    <t>1013559049</t>
  </si>
  <si>
    <t>JULIAN ADOLFO TABORDA MARIN</t>
  </si>
  <si>
    <t>1128414743</t>
  </si>
  <si>
    <t>JHON EDWIN GUTIERREZ SOTO</t>
  </si>
  <si>
    <t>1025887705</t>
  </si>
  <si>
    <t>SANTIAGO  HENAO GALLEGO</t>
  </si>
  <si>
    <t>1128463183</t>
  </si>
  <si>
    <t>MIGUEL ANGEL TABARES CUADROS</t>
  </si>
  <si>
    <t>1017151996</t>
  </si>
  <si>
    <t>WALTER ANTONIO VASCO RESTREPO</t>
  </si>
  <si>
    <t>1039452628</t>
  </si>
  <si>
    <t>NÉSTOR IVAN CORREA URIBE</t>
  </si>
  <si>
    <t>98664903</t>
  </si>
  <si>
    <t>JOHN FREDY ARBOLEDA ZULUAGA</t>
  </si>
  <si>
    <t>1020104662</t>
  </si>
  <si>
    <t>MANUEL MANUEL LONDOÑO VALENCIA</t>
  </si>
  <si>
    <t>1020461474</t>
  </si>
  <si>
    <t>OSCAR DAVID RAMIREZ MONSALVE</t>
  </si>
  <si>
    <t>98698762</t>
  </si>
  <si>
    <t>DIEGO ALEXANDER ALVAREZ PIEDRAHITA</t>
  </si>
  <si>
    <t>1011512728</t>
  </si>
  <si>
    <t>EMANUEL  AGUDELO VELASQUEZ</t>
  </si>
  <si>
    <t>1036339501</t>
  </si>
  <si>
    <t>YAIRA MILEIDY GUERRA ZAPATA</t>
  </si>
  <si>
    <t>1036684528</t>
  </si>
  <si>
    <t>LUIS MIGUEL VILLADA HERRERA</t>
  </si>
  <si>
    <t>1020307510</t>
  </si>
  <si>
    <t>EMANUEL  QUINTERO LOAIZA</t>
  </si>
  <si>
    <t>1037615130</t>
  </si>
  <si>
    <t>KELLY JOHANNA SANTOS PALACIO</t>
  </si>
  <si>
    <t>1034987307</t>
  </si>
  <si>
    <t>SOFIA  CANO HENAO</t>
  </si>
  <si>
    <t>1026150444</t>
  </si>
  <si>
    <t>ANDRES  GOMEZ MONTOYA</t>
  </si>
  <si>
    <t>1128386671</t>
  </si>
  <si>
    <t>MARTA LILIANA PINEDA RAMIREZ</t>
  </si>
  <si>
    <t>1128463498</t>
  </si>
  <si>
    <t>ISABEL CRISTINA ALVAREZ ECHAVARRIA</t>
  </si>
  <si>
    <t>1025659438</t>
  </si>
  <si>
    <t>JERONIMO  JARAMILLO OLAYA</t>
  </si>
  <si>
    <t>1044211323</t>
  </si>
  <si>
    <t>MARIA MONICA ACOSTA CARDOZA</t>
  </si>
  <si>
    <t>1006408812</t>
  </si>
  <si>
    <t>CRISTIAN DAVID SIERRA RANGEL</t>
  </si>
  <si>
    <t>1020489574</t>
  </si>
  <si>
    <t>DANIEL  LLANO ARISTIZABA</t>
  </si>
  <si>
    <t>1017222088</t>
  </si>
  <si>
    <t>DIANA CAROLINA MEJIA CARMONA</t>
  </si>
  <si>
    <t>1037600654</t>
  </si>
  <si>
    <t>NELSON ARLEY PUERTA GARCES</t>
  </si>
  <si>
    <t>43221743</t>
  </si>
  <si>
    <t>LINA XIOMARA GUTIERREZ TABORDA</t>
  </si>
  <si>
    <t>43611484</t>
  </si>
  <si>
    <t>MONICA JEANNETTE HENAO BETANCUR</t>
  </si>
  <si>
    <t>1039468617</t>
  </si>
  <si>
    <t>DANIELA  ZAPATA RAMÍREZ</t>
  </si>
  <si>
    <t>1140842316</t>
  </si>
  <si>
    <t>LAURA ANDREA ALTAMIRAND ECHEVERRI</t>
  </si>
  <si>
    <t>1036689547</t>
  </si>
  <si>
    <t>BRAYAN  AGUIRRE PALACIO</t>
  </si>
  <si>
    <t>1042764645</t>
  </si>
  <si>
    <t>SALOME  FERNNDEZ MARTINEZ</t>
  </si>
  <si>
    <t>1130585372</t>
  </si>
  <si>
    <t>GUILLERMO GUILLERMO MEDINA GARCES</t>
  </si>
  <si>
    <t>1152709802</t>
  </si>
  <si>
    <t>SANTIAGO  BOTERO MORENO</t>
  </si>
  <si>
    <t>1005066302</t>
  </si>
  <si>
    <t>JULIAN MAURICIO ANGARITA BATECA</t>
  </si>
  <si>
    <t>1102805277</t>
  </si>
  <si>
    <t>KELVIN DAVID HOYOS VARILLA</t>
  </si>
  <si>
    <t>43980042</t>
  </si>
  <si>
    <t>SANDRA MARÍA RUIZ RUEDA</t>
  </si>
  <si>
    <t>98621166</t>
  </si>
  <si>
    <t>FREDY ALEXANDER GONZALEZ URIBE</t>
  </si>
  <si>
    <t>1017226246</t>
  </si>
  <si>
    <t>JESSICA LORENA VALENCIA CARDONA</t>
  </si>
  <si>
    <t>1037631266</t>
  </si>
  <si>
    <t>CAROLINA  CORRALES ALVAREZ</t>
  </si>
  <si>
    <t>1017269146</t>
  </si>
  <si>
    <t>DANIELA  FERNANDEZ CAMAÑO</t>
  </si>
  <si>
    <t>1055837750</t>
  </si>
  <si>
    <t>DANIELA ALEJANDRA HOLGUIN AGUIRRE</t>
  </si>
  <si>
    <t>1037657932</t>
  </si>
  <si>
    <t>NICOLAS  MEDINA DURANGO</t>
  </si>
  <si>
    <t>1152710770</t>
  </si>
  <si>
    <t>MELISA MELISSA MONÁ JARAMILLO</t>
  </si>
  <si>
    <t>IAA-17 - IA Aplicada y Automatización</t>
  </si>
  <si>
    <t>IAA-17</t>
  </si>
  <si>
    <t>1037604579</t>
  </si>
  <si>
    <t>CINTHIA LORENA TORRES HENAO</t>
  </si>
  <si>
    <t>1000570361</t>
  </si>
  <si>
    <t>VANESSA  CAMACHO TORRES</t>
  </si>
  <si>
    <t>1020437859</t>
  </si>
  <si>
    <t>DAVID ALEJANDRO AGUDELO PACHECO</t>
  </si>
  <si>
    <t>1152213735</t>
  </si>
  <si>
    <t>MIGUEL ANGEL GIRALDO SALDARRIAG</t>
  </si>
  <si>
    <t>71370861</t>
  </si>
  <si>
    <t>ANDRES FELIPE ARBELAEZ DIEZ</t>
  </si>
  <si>
    <t>43598845</t>
  </si>
  <si>
    <t>MARIA FERNANDA ECHEVERRI DIAZ</t>
  </si>
  <si>
    <t>71366717</t>
  </si>
  <si>
    <t>CAMILO ERNESTO RAMIREZ RODRIGUEZ</t>
  </si>
  <si>
    <t>1000411259</t>
  </si>
  <si>
    <t>JUAN JOSÉ ROLDÁN SALAZAR</t>
  </si>
  <si>
    <t>43150503</t>
  </si>
  <si>
    <t>LIDA GUISELA DIAZ GIRALDO</t>
  </si>
  <si>
    <t>1152206115</t>
  </si>
  <si>
    <t>JUAN CAMILO HENAO CARO</t>
  </si>
  <si>
    <t>1037598946</t>
  </si>
  <si>
    <t>KARINA KARINA OCHOA ZULETA</t>
  </si>
  <si>
    <t>1020309032</t>
  </si>
  <si>
    <t>DAVID  PALACIO IDARRAGA</t>
  </si>
  <si>
    <t>1000569615</t>
  </si>
  <si>
    <t>ANDRES FELIPE GUTIERREZ CASTAÑO</t>
  </si>
  <si>
    <t>75103571</t>
  </si>
  <si>
    <t>FREDDY  CASTRILLÓN VALENCIA</t>
  </si>
  <si>
    <t>1152456559</t>
  </si>
  <si>
    <t>DANIEL  HERRERA GOMEZ</t>
  </si>
  <si>
    <t>1214742880</t>
  </si>
  <si>
    <t>ESTEFANIA  CANO RENDON</t>
  </si>
  <si>
    <t>2/60</t>
  </si>
  <si>
    <t>1039287527</t>
  </si>
  <si>
    <t>SEBASTIAN SEBASTIAN GRANADA HOLGUIN</t>
  </si>
  <si>
    <t>1035439515</t>
  </si>
  <si>
    <t>FELIPE  ACEVEDO GUERRA</t>
  </si>
  <si>
    <t>1017169665</t>
  </si>
  <si>
    <t>YEISON ARLEY VALENCIA CARVAJAL</t>
  </si>
  <si>
    <t>43365599</t>
  </si>
  <si>
    <t>DIANA YAMILE TABARES LOPEZ</t>
  </si>
  <si>
    <t>7231794</t>
  </si>
  <si>
    <t>CLEIDER JOSE MATOS RAMOS</t>
  </si>
  <si>
    <t>71773119</t>
  </si>
  <si>
    <t>JOSE ANDRES HERNANDEZ POSADA</t>
  </si>
  <si>
    <t>1007054491</t>
  </si>
  <si>
    <t>JUAN STIVEN GIRALDO RUA</t>
  </si>
  <si>
    <t>1152710606</t>
  </si>
  <si>
    <t>KEVIN  HENAO MUÑETÓN</t>
  </si>
  <si>
    <t>1007703480</t>
  </si>
  <si>
    <t>ELIZABETH  SALGADO FRANCO</t>
  </si>
  <si>
    <t>1025664183</t>
  </si>
  <si>
    <t>SANTIAGO  GONZALEZ CHARLOTK</t>
  </si>
  <si>
    <t>1037620665</t>
  </si>
  <si>
    <t>ANDRES DAVID MIRA LOAIZA</t>
  </si>
  <si>
    <t>1020405814</t>
  </si>
  <si>
    <t>MARIA VICTORIA MONSALVE RUIZ</t>
  </si>
  <si>
    <t>1214741626</t>
  </si>
  <si>
    <t>LAURA  GONZALEZ SANABRIA</t>
  </si>
  <si>
    <t>1045112708</t>
  </si>
  <si>
    <t>LEIDY DANIELA RODRIGUEZ ATEHORTUA</t>
  </si>
  <si>
    <t>1152211563</t>
  </si>
  <si>
    <t>MANUELA  BUITRAGO ROJAS</t>
  </si>
  <si>
    <t>1037658978</t>
  </si>
  <si>
    <t>ALEJANDRO ALEJANDRO ISAZA GARCIA</t>
  </si>
  <si>
    <t>1152437895</t>
  </si>
  <si>
    <t>MARIA ISABEL ACOSTA CARDONA</t>
  </si>
  <si>
    <t>1007284213</t>
  </si>
  <si>
    <t>LUIS MIGUEL HOYOS ORDOÑEZ</t>
  </si>
  <si>
    <t>1020449883</t>
  </si>
  <si>
    <t>PAULA ANDREA MARTINEZ CANO</t>
  </si>
  <si>
    <t>1214718335</t>
  </si>
  <si>
    <t>MARIA ALEJANDRA LOPEZ RESTREPO</t>
  </si>
  <si>
    <t>1018244855</t>
  </si>
  <si>
    <t>ISABELA  FONNEGRA SÁNCHEZ</t>
  </si>
  <si>
    <t>IAA-18 - IA Aplicada y Automatización</t>
  </si>
  <si>
    <t>IAA-18</t>
  </si>
  <si>
    <t>43222406</t>
  </si>
  <si>
    <t>LUZ ADRIANA CRIADO GALLO</t>
  </si>
  <si>
    <t>98644734</t>
  </si>
  <si>
    <t>WILLIAM ALBERTO JOVEL TAMAYO</t>
  </si>
  <si>
    <t>1037583287</t>
  </si>
  <si>
    <t>CINDY CAROLINA BERRIO ARROYAVE</t>
  </si>
  <si>
    <t>13616899</t>
  </si>
  <si>
    <t>CARLOS ANDRES TORRES MORENO</t>
  </si>
  <si>
    <t>71274259</t>
  </si>
  <si>
    <t>DAWVERSON ALBERTO MEJIA RAMIREZ</t>
  </si>
  <si>
    <t>1000540056</t>
  </si>
  <si>
    <t>JUAN JOSE MIRA ALVAREZ</t>
  </si>
  <si>
    <t>91290062</t>
  </si>
  <si>
    <t>JUAN CARLOS FORERO GOMEZ</t>
  </si>
  <si>
    <t>1040748018</t>
  </si>
  <si>
    <t>KELLY XIOMARA CARDONA GUTIERREZ</t>
  </si>
  <si>
    <t>1025653478</t>
  </si>
  <si>
    <t>JUAN DAVID PÉREZ HOYOS</t>
  </si>
  <si>
    <t>1036781048</t>
  </si>
  <si>
    <t>CLAUDIA MILENA ECHEVERRI RUIZ</t>
  </si>
  <si>
    <t>1152439259</t>
  </si>
  <si>
    <t>SEBASTIAN  GARCIA PEREZ</t>
  </si>
  <si>
    <t>43151924</t>
  </si>
  <si>
    <t>ANA MARIA GÓMEZ AGUILAR</t>
  </si>
  <si>
    <t>1233341638</t>
  </si>
  <si>
    <t>DANIEL ANTONIO ORTIZ URUEÑA</t>
  </si>
  <si>
    <t>1035126183</t>
  </si>
  <si>
    <t>YEDISON ALBERTO MUÑOZ HERNÁNDEZ</t>
  </si>
  <si>
    <t>1017128377</t>
  </si>
  <si>
    <t>ASTRID CAROLINA CIRO GIRALDO</t>
  </si>
  <si>
    <t>3415053</t>
  </si>
  <si>
    <t>ERNESTO  SUAREZ HOLGUIN</t>
  </si>
  <si>
    <t>1152187875</t>
  </si>
  <si>
    <t>EDWIN SANTIAGO OSSA RESTREPO</t>
  </si>
  <si>
    <t>1020446348</t>
  </si>
  <si>
    <t>LAURA  JIMENEZ CALLE</t>
  </si>
  <si>
    <t>43986268</t>
  </si>
  <si>
    <t>MARIA CRISTINA AYALA SANTANDER</t>
  </si>
  <si>
    <t>71732434</t>
  </si>
  <si>
    <t>EDISON FERNANDO YEPES ZAPATA</t>
  </si>
  <si>
    <t>1033259615</t>
  </si>
  <si>
    <t>MARIA FERNANDA VARGAS ZAPATA</t>
  </si>
  <si>
    <t>1045023428</t>
  </si>
  <si>
    <t>WILLIAM ANTONIO CANO SALDARRIAG</t>
  </si>
  <si>
    <t>1012356751</t>
  </si>
  <si>
    <t>ANDREA YESSENIA RUIZ AVILA</t>
  </si>
  <si>
    <t>1152214473</t>
  </si>
  <si>
    <t>MARIA CAMILA VELASQUEZ RESTREPO</t>
  </si>
  <si>
    <t>43903274</t>
  </si>
  <si>
    <t>LINA MARCELA LONDOÑO CASTRILLON</t>
  </si>
  <si>
    <t>1152208576</t>
  </si>
  <si>
    <t>CARLOS ANDRES OCAMPO BERRIO</t>
  </si>
  <si>
    <t>98668899</t>
  </si>
  <si>
    <t>RENÉ WILFREDO RIVERA</t>
  </si>
  <si>
    <t>1026135959</t>
  </si>
  <si>
    <t>YURLEY ANDREA VELASQUEZ CANO</t>
  </si>
  <si>
    <t>1017229760</t>
  </si>
  <si>
    <t>JEFFERSON STIVEN HOYOS AMAYA</t>
  </si>
  <si>
    <t>43535217</t>
  </si>
  <si>
    <t>ALEYDA MIRYAM RIOS OSORIO</t>
  </si>
  <si>
    <t>43990123</t>
  </si>
  <si>
    <t>PAULA ANDREA HENAO CALLEJAS</t>
  </si>
  <si>
    <t>1037661483</t>
  </si>
  <si>
    <t>VALERIA  JARAMILLO RAMIREZ</t>
  </si>
  <si>
    <t>43971751</t>
  </si>
  <si>
    <t>LADY CATALINA VASQUEZ VELASQUEZ</t>
  </si>
  <si>
    <t>70353813</t>
  </si>
  <si>
    <t>DIEGO MAURCIO GUIRAL QUICENO</t>
  </si>
  <si>
    <t>1036624044</t>
  </si>
  <si>
    <t>CAROLINA CAROLINA ZAPATA HENAO</t>
  </si>
  <si>
    <t>39353773</t>
  </si>
  <si>
    <t>JANNETH CECILIA TANGARIFE CARDONA</t>
  </si>
  <si>
    <t>1036670944</t>
  </si>
  <si>
    <t>MARIA ALEJANDRA OTERO VEGA</t>
  </si>
  <si>
    <t>IAA-19 - IA Aplicada y Automatización</t>
  </si>
  <si>
    <t>IAA-19</t>
  </si>
  <si>
    <t>1017230523</t>
  </si>
  <si>
    <t>JORGE MARIO PALACIO TOBON</t>
  </si>
  <si>
    <t>1128437312</t>
  </si>
  <si>
    <t>VICTOR ANTONIO CAICEDO PACHECO</t>
  </si>
  <si>
    <t>1113659942</t>
  </si>
  <si>
    <t>LAURA  SUAREZ YEPES</t>
  </si>
  <si>
    <t>1017125730</t>
  </si>
  <si>
    <t>DEISY LISETTE RENDON PEREZ</t>
  </si>
  <si>
    <t>3377464</t>
  </si>
  <si>
    <t>FREDY  SUAREZ</t>
  </si>
  <si>
    <t>1020396269</t>
  </si>
  <si>
    <t>LORENA  CARDENAS RODRIGUEZ</t>
  </si>
  <si>
    <t>1000189779</t>
  </si>
  <si>
    <t>STIVEN  QUINTERO OSORIO</t>
  </si>
  <si>
    <t>1017168360</t>
  </si>
  <si>
    <t>SARA MARCELA CARO ARAQUE</t>
  </si>
  <si>
    <t>1017247712</t>
  </si>
  <si>
    <t>VALENTINA VALENTINA GIRALDO TOVAR</t>
  </si>
  <si>
    <t>39359984</t>
  </si>
  <si>
    <t>NANCY ALVERI GIRALDO JARAMILLO</t>
  </si>
  <si>
    <t>720694</t>
  </si>
  <si>
    <t>ANGEL JESUS CARVAJAL YANEZ</t>
  </si>
  <si>
    <t>1027885292</t>
  </si>
  <si>
    <t>CARLOS MARIO MONTOYA RINCON</t>
  </si>
  <si>
    <t>43158486</t>
  </si>
  <si>
    <t>BIBIANA PATRICIA JIMENEZ CUERVO</t>
  </si>
  <si>
    <t>1060650283</t>
  </si>
  <si>
    <t>LUISA FERNANDA VARELA CELI</t>
  </si>
  <si>
    <t>1116795668</t>
  </si>
  <si>
    <t>LINA MARIA DIAZ SEPULVEDA</t>
  </si>
  <si>
    <t>1072190876</t>
  </si>
  <si>
    <t>CRISTIAN CAMILO DUQUE FRANCO</t>
  </si>
  <si>
    <t>1032014515</t>
  </si>
  <si>
    <t>EMILY  PATIÑO SEPULVEDA</t>
  </si>
  <si>
    <t>1000444568</t>
  </si>
  <si>
    <t>DANIEL SNICK PEREZ CARVAJAL</t>
  </si>
  <si>
    <t>1214732245</t>
  </si>
  <si>
    <t>GREAGE  LEON</t>
  </si>
  <si>
    <t>1152219336</t>
  </si>
  <si>
    <t>BRAYAN BRAYAN ARROYAVE LOPEZ</t>
  </si>
  <si>
    <t>70115632</t>
  </si>
  <si>
    <t>GUILLERMO LEON PEREZ ALZATE</t>
  </si>
  <si>
    <t>1017931269</t>
  </si>
  <si>
    <t>ISABELLA  ZULUAGA</t>
  </si>
  <si>
    <t>1128475215</t>
  </si>
  <si>
    <t>ARISLEYDIS  HINESTROZA CÓRDOBA</t>
  </si>
  <si>
    <t>1020414748</t>
  </si>
  <si>
    <t>SANTIAGO DE JESUS CARDONA ZAPATA</t>
  </si>
  <si>
    <t>1128407398</t>
  </si>
  <si>
    <t>ALEJANDRA ALEJANDRA VELEZ GARCÍA</t>
  </si>
  <si>
    <t>71319290</t>
  </si>
  <si>
    <t>JUAN ESTEBAN ECHEVERRI VELASQUEZ</t>
  </si>
  <si>
    <t>1022002336</t>
  </si>
  <si>
    <t>EMMANUEL  CASTAÑEDA CASTAÑEDA</t>
  </si>
  <si>
    <t>1128435665</t>
  </si>
  <si>
    <t>JULY KATERNE TENJICA CAMARGO</t>
  </si>
  <si>
    <t>1017256839</t>
  </si>
  <si>
    <t>JHON EDWIN PEREZ CHAVERRA</t>
  </si>
  <si>
    <t>1152714394</t>
  </si>
  <si>
    <t>JORDAN JOHEL DUQUE CARO</t>
  </si>
  <si>
    <t>1026158638</t>
  </si>
  <si>
    <t>LUIS CARLOS GRISALES VELEZ</t>
  </si>
  <si>
    <t>1039454763</t>
  </si>
  <si>
    <t>DANIEL  SALAZAR YARCE</t>
  </si>
  <si>
    <t>1020418078</t>
  </si>
  <si>
    <t>JOHN FERNANDO GONZALEZ MONTOYA</t>
  </si>
  <si>
    <t>1017250916</t>
  </si>
  <si>
    <t>MELISSA  PEREZ GALLEGO</t>
  </si>
  <si>
    <t>1017176566</t>
  </si>
  <si>
    <t>CAROLINA  JARAMILLO RESTREPO</t>
  </si>
  <si>
    <t>1017271733</t>
  </si>
  <si>
    <t>ALEJANDRO  MONSALVE VASQUEZ</t>
  </si>
  <si>
    <t>71362332</t>
  </si>
  <si>
    <t>SERGIO ALEXANDER OROZCO DIOSA</t>
  </si>
  <si>
    <t>1017205286</t>
  </si>
  <si>
    <t>ELIANA  SOTO ZAPATA</t>
  </si>
  <si>
    <t>1017187869</t>
  </si>
  <si>
    <t>SULLY ESTHEFANIA ARBELAEZ ALARCON</t>
  </si>
  <si>
    <t>Traslado desde IAA-19</t>
  </si>
  <si>
    <t>1152717084</t>
  </si>
  <si>
    <t>CRISTIAN  ORTEGA HERRERA</t>
  </si>
  <si>
    <t>IAA-20 - IA Aplicada y Automatización</t>
  </si>
  <si>
    <t>IAA-20</t>
  </si>
  <si>
    <t>David Hincapié</t>
  </si>
  <si>
    <t>1017143801</t>
  </si>
  <si>
    <t>GUSTAVO ANDRÉS BALLESTERO JIMÉNEZ</t>
  </si>
  <si>
    <t>1032015838</t>
  </si>
  <si>
    <t>MATEO  TAMAYO HINCAPIÉ</t>
  </si>
  <si>
    <t>1118848161</t>
  </si>
  <si>
    <t>DANIEL EDUARDO CAVADIA SUAREZ</t>
  </si>
  <si>
    <t>1035876617</t>
  </si>
  <si>
    <t>NICOLÁS HERNANDO MONTENEGR TORO</t>
  </si>
  <si>
    <t>1128453002</t>
  </si>
  <si>
    <t>JULIETH ANDREA RUIZ PENAGOS</t>
  </si>
  <si>
    <t>1036625952</t>
  </si>
  <si>
    <t>JUAN SEBASTIAN RESTREPO PALLARES</t>
  </si>
  <si>
    <t>98654785</t>
  </si>
  <si>
    <t>JHON FREDY BERMUDEZ ALVAREZ</t>
  </si>
  <si>
    <t>1082931884</t>
  </si>
  <si>
    <t>VALENTINA  HERNANDEZ HORTA</t>
  </si>
  <si>
    <t>1152192204</t>
  </si>
  <si>
    <t>MATHEUS  RODRIGUEZ LOPEZ</t>
  </si>
  <si>
    <t>1124067490</t>
  </si>
  <si>
    <t>DAIBER GREGORIO ROCHA PUERTA</t>
  </si>
  <si>
    <t>757816</t>
  </si>
  <si>
    <t>LAURA ESTHER ALVARADO BOLÍVAR</t>
  </si>
  <si>
    <t>1128449652</t>
  </si>
  <si>
    <t>ALEJANDRA ALEJANDRA PALACIO YEPES</t>
  </si>
  <si>
    <t>1037586368</t>
  </si>
  <si>
    <t>VERONICA  ARCILA RIOS</t>
  </si>
  <si>
    <t>1035520526</t>
  </si>
  <si>
    <t>MARIANA  ESCOBAR GARCIA</t>
  </si>
  <si>
    <t>1020306710</t>
  </si>
  <si>
    <t>DAVID  BEDOYA ZULUAGA</t>
  </si>
  <si>
    <t>1017221698</t>
  </si>
  <si>
    <t>JULIANA MARCELA MONSALVE BOTERO</t>
  </si>
  <si>
    <t>1022447588</t>
  </si>
  <si>
    <t>NICOLAS  OVIEDO GUILLEN</t>
  </si>
  <si>
    <t>1094964169</t>
  </si>
  <si>
    <t>VALERIA  VALENCIA HINCAPIE</t>
  </si>
  <si>
    <t>1017205197</t>
  </si>
  <si>
    <t>JOHN BYRON MANGA TREJO</t>
  </si>
  <si>
    <t>1037622500</t>
  </si>
  <si>
    <t>SEBASTIAN  CARMONA</t>
  </si>
  <si>
    <t>1001545735</t>
  </si>
  <si>
    <t>JUAN JOSE CALLE FLOREZ</t>
  </si>
  <si>
    <t>98705378</t>
  </si>
  <si>
    <t>DAVID  LOPEZ CICERO</t>
  </si>
  <si>
    <t>1017181491</t>
  </si>
  <si>
    <t>DANIEL ALEJANDRO RIVAS TOBON</t>
  </si>
  <si>
    <t>11802317</t>
  </si>
  <si>
    <t>JACKSON JACKSON ASPRILLA ASPRILLA</t>
  </si>
  <si>
    <t>71367092</t>
  </si>
  <si>
    <t>WILLIAM ALBEIRO OQUENDO GARCIA</t>
  </si>
  <si>
    <t>43515191</t>
  </si>
  <si>
    <t>Usuario de Prueba</t>
  </si>
  <si>
    <t>IAA-21 - IA Aplicada y Automatización</t>
  </si>
  <si>
    <t>IAA-21</t>
  </si>
  <si>
    <t>1000417319</t>
  </si>
  <si>
    <t>EDISON DAVID PIEDRAHITA RESTREPO</t>
  </si>
  <si>
    <t>1017197019</t>
  </si>
  <si>
    <t>DANIEL FERNANDO ZAPATA ALVAREZ</t>
  </si>
  <si>
    <t>1038094380</t>
  </si>
  <si>
    <t>EMER DANIEL RIVERA CARO</t>
  </si>
  <si>
    <t>1017156153</t>
  </si>
  <si>
    <t>JENNIFER ALEJANDRA ZAPATA CORREA</t>
  </si>
  <si>
    <t>1152203066</t>
  </si>
  <si>
    <t>SEBASTIAN  ZULETA SANTAMARIA</t>
  </si>
  <si>
    <t>8062862</t>
  </si>
  <si>
    <t>CARLOS HUMBERTO LOPEZ CHAVEZ</t>
  </si>
  <si>
    <t>1128475964</t>
  </si>
  <si>
    <t>DANIELA  GRISALES GUTIERREZ</t>
  </si>
  <si>
    <t>1128453849</t>
  </si>
  <si>
    <t>VERONICA  CHAVERRA HENAO</t>
  </si>
  <si>
    <t>71683353</t>
  </si>
  <si>
    <t>RAFAEL IGNACIO GERENA MADRID</t>
  </si>
  <si>
    <t>1152216047</t>
  </si>
  <si>
    <t>DANIELA  SEPULVEDA DURANGO</t>
  </si>
  <si>
    <t>71747322</t>
  </si>
  <si>
    <t>ALEXANDER ALBERTO RICO ARIAS</t>
  </si>
  <si>
    <t>1020464238</t>
  </si>
  <si>
    <t>CARMEN ZULAY HERNANDEZ BEDOYA</t>
  </si>
  <si>
    <t>1003000520</t>
  </si>
  <si>
    <t>MARIA DEL PILAR FORTICH HERNANDEZ</t>
  </si>
  <si>
    <t>1035859232</t>
  </si>
  <si>
    <t>YULIANA  GOMEZ CORDOBA</t>
  </si>
  <si>
    <t>1037619231</t>
  </si>
  <si>
    <t>NATALIA  ROZO MARTINEZ</t>
  </si>
  <si>
    <t>44005846</t>
  </si>
  <si>
    <t>LINA MARIA ROBLEDO MARIN</t>
  </si>
  <si>
    <t>70732015</t>
  </si>
  <si>
    <t>MAURICIO  FIGUEROA QUINTERO</t>
  </si>
  <si>
    <t>71798150</t>
  </si>
  <si>
    <t>ANDRES FELIPE RAMIREZ RODRIGUEZ</t>
  </si>
  <si>
    <t>1036673186</t>
  </si>
  <si>
    <t>KELLY KELLY GOEZ OSPINA</t>
  </si>
  <si>
    <t>1017185234</t>
  </si>
  <si>
    <t>NATALIA  GÓMEZ GALLEGO</t>
  </si>
  <si>
    <t>1216719564</t>
  </si>
  <si>
    <t>LUIS MIGUEL ROLDAN DIAZ</t>
  </si>
  <si>
    <t>43906475</t>
  </si>
  <si>
    <t>GISSELLE DORIEE CARDENAS RESTREPO</t>
  </si>
  <si>
    <t>43276559</t>
  </si>
  <si>
    <t>ANGELA MARCELA GOMEZ BERRIO</t>
  </si>
  <si>
    <t>1000410052</t>
  </si>
  <si>
    <t>SUSANA PEREZ TAMAYO</t>
  </si>
  <si>
    <t>1000662408</t>
  </si>
  <si>
    <t>JUAN JOSE LONDOÑO CASTRILLON</t>
  </si>
  <si>
    <t>1152685136</t>
  </si>
  <si>
    <t>JOSE ESTEBAN ATENCIA ARANGO</t>
  </si>
  <si>
    <t>1128479178</t>
  </si>
  <si>
    <t>SANTIAGO ANDRES ARBOLEDA OROZCO</t>
  </si>
  <si>
    <t>1214728667</t>
  </si>
  <si>
    <t>ANGIE TATIANA HIGUITA PARRA</t>
  </si>
  <si>
    <t>42690939</t>
  </si>
  <si>
    <t>DORALBA  RIVERA HINCAPIE</t>
  </si>
  <si>
    <t>71319079</t>
  </si>
  <si>
    <t>JUAN CARLOS VELASQUEZ PINEDA</t>
  </si>
  <si>
    <t>1128482128</t>
  </si>
  <si>
    <t>ISABEL CRISTINA GIRALDO ALZATE</t>
  </si>
  <si>
    <t>1152450746</t>
  </si>
  <si>
    <t>JUAN PABLO RODRIGUEZ CARDONA</t>
  </si>
  <si>
    <t>1017162347</t>
  </si>
  <si>
    <t>DANIEL ANGEL RIVERA HERMOSA</t>
  </si>
  <si>
    <t>1006501994</t>
  </si>
  <si>
    <t>YISED DADIANA CUERVO DIAZ</t>
  </si>
  <si>
    <t>75101398</t>
  </si>
  <si>
    <t>OSCAR DIEGO LOAIZA AGUIRRE</t>
  </si>
  <si>
    <t>1128278063</t>
  </si>
  <si>
    <t>DANIEL ESTEBAN QUINTERO CARO</t>
  </si>
  <si>
    <t>1152684552</t>
  </si>
  <si>
    <t>CRISTIAN DAVID VALENCIA TORO</t>
  </si>
  <si>
    <t>1021807498</t>
  </si>
  <si>
    <t>SANTIAGO  PALACIO MONTES</t>
  </si>
  <si>
    <t>8061850</t>
  </si>
  <si>
    <t>JOAN CAMILO VILLA ZAPATA</t>
  </si>
  <si>
    <t>32259739</t>
  </si>
  <si>
    <t>ELIZABETH CRISTINA RESTREPO FLOREZ</t>
  </si>
  <si>
    <t>1001158913</t>
  </si>
  <si>
    <t>EIDER ANDRES PASTRANA MONTIEL</t>
  </si>
  <si>
    <t>PRO-01 - Creación y Producción de Contenidos</t>
  </si>
  <si>
    <t>PRO-01</t>
  </si>
  <si>
    <t>CREACIÓN Y PRODUCCIÓN ESTRATÉGICA DE CONTENIDOS DIGITALES</t>
  </si>
  <si>
    <t>Magda Gámez Cuartas</t>
  </si>
  <si>
    <t>Traslado desde PRO-04</t>
  </si>
  <si>
    <t>1007908899</t>
  </si>
  <si>
    <t>STEPHANNY ANDREA CARRILLO POLO</t>
  </si>
  <si>
    <t>Traslado desde PRO-03</t>
  </si>
  <si>
    <t>1005188312</t>
  </si>
  <si>
    <t>ANA MILENA QUECHO ESPELETA</t>
  </si>
  <si>
    <t>1036640068</t>
  </si>
  <si>
    <t>DANIELA  BALLESTERO MONTOYA</t>
  </si>
  <si>
    <t>Traslado desde PRO-02</t>
  </si>
  <si>
    <t>1025644659</t>
  </si>
  <si>
    <t>JUAN JOSE MONTOYA CORREA</t>
  </si>
  <si>
    <t>1216726979</t>
  </si>
  <si>
    <t>MARIANA  PARIAS GUERRERO</t>
  </si>
  <si>
    <t>1003050337</t>
  </si>
  <si>
    <t>ELIAN ANDRES CHANCI LOPEZ</t>
  </si>
  <si>
    <t>1152442977</t>
  </si>
  <si>
    <t>MANUELA  GIRALDO GAMBOA</t>
  </si>
  <si>
    <t>1001139425</t>
  </si>
  <si>
    <t>ANGIE TATIANA URDINOLA USUGA</t>
  </si>
  <si>
    <t>1152716223</t>
  </si>
  <si>
    <t>MARISABEL  TAMAYO OBANDO</t>
  </si>
  <si>
    <t>1023634613</t>
  </si>
  <si>
    <t>SALOME  ROJAS GOMEZ</t>
  </si>
  <si>
    <t>1022003766</t>
  </si>
  <si>
    <t>ISABELA  GARCÍA CARBALLO</t>
  </si>
  <si>
    <t>1017173289</t>
  </si>
  <si>
    <t>ANA CONSUELO CAÑAS CRUZ</t>
  </si>
  <si>
    <t>1023302189</t>
  </si>
  <si>
    <t>NATALIA  HENAO</t>
  </si>
  <si>
    <t>1001133011</t>
  </si>
  <si>
    <t>LUISA FERNANDA CUARTAS VARGAS</t>
  </si>
  <si>
    <t>1000086798</t>
  </si>
  <si>
    <t>CATALINA  OTÁLVARO LOPERA</t>
  </si>
  <si>
    <t>43819826</t>
  </si>
  <si>
    <t>LUZ MARINA CARDONA PANIAGUA</t>
  </si>
  <si>
    <t>1152684301</t>
  </si>
  <si>
    <t>SARA CRISTINA CARDONA CARDONA</t>
  </si>
  <si>
    <t>1135044007</t>
  </si>
  <si>
    <t>DUBIS DEL CARMEN GUANGA JACANAMIJO</t>
  </si>
  <si>
    <t>1020492500</t>
  </si>
  <si>
    <t>VERÓNICA  HOLGUÍN PÉREZ</t>
  </si>
  <si>
    <t>1000098440</t>
  </si>
  <si>
    <t>VALERIA  GARCIA ARANGO</t>
  </si>
  <si>
    <t>92506498</t>
  </si>
  <si>
    <t>DALMIRO JOSE OCHOA NARVAEZ</t>
  </si>
  <si>
    <t>1128397638</t>
  </si>
  <si>
    <t>ANA MARIA TABARES MADRIGAL</t>
  </si>
  <si>
    <t>32107607</t>
  </si>
  <si>
    <t>MARYSOL  MESA DE LOSRIOS</t>
  </si>
  <si>
    <t>1039683799</t>
  </si>
  <si>
    <t>MARIA JOSE LOPEZ SALGADO</t>
  </si>
  <si>
    <t>71712272</t>
  </si>
  <si>
    <t>GUILLERMO LEON TORO JARAMILLO</t>
  </si>
  <si>
    <t>42828001</t>
  </si>
  <si>
    <t>ANA MILENA COLORADO SALAZAR</t>
  </si>
  <si>
    <t>1017932235</t>
  </si>
  <si>
    <t>MARIA CAMILA PORRAS VERGARA</t>
  </si>
  <si>
    <t>1000885927</t>
  </si>
  <si>
    <t>NASLLY CRISTINA HERNANDEZ JARAMILLO</t>
  </si>
  <si>
    <t>1015071281</t>
  </si>
  <si>
    <t>DORIAN EDUARDO CUADROS GUTIERREZ</t>
  </si>
  <si>
    <t>1193552675</t>
  </si>
  <si>
    <t>GIOVANNY ALEXIS ARANGO JIMENEZ</t>
  </si>
  <si>
    <t>1152684292</t>
  </si>
  <si>
    <t>SANTIAGO  CEBALLOS AGUDELO</t>
  </si>
  <si>
    <t>1082952001</t>
  </si>
  <si>
    <t>DIEGO FERNANDO ALMEIDA PERLAZA</t>
  </si>
  <si>
    <t>43252115</t>
  </si>
  <si>
    <t>SANDRA LUCIA GALVEZ MONCADA</t>
  </si>
  <si>
    <t>PRO-02 - Creación y Producción de Contenidos</t>
  </si>
  <si>
    <t>PRO-02</t>
  </si>
  <si>
    <t>Hamilton Andrés Palacios Ortega</t>
  </si>
  <si>
    <t>1029988175</t>
  </si>
  <si>
    <t>NIKOL DAYANA VANEGAS ANAYA</t>
  </si>
  <si>
    <t>8/75</t>
  </si>
  <si>
    <t>43623168</t>
  </si>
  <si>
    <t>NIDIA LUZ MONTOYA ALZATE</t>
  </si>
  <si>
    <t>43982949</t>
  </si>
  <si>
    <t>CATALINA  MARTINEZ PATIÑO</t>
  </si>
  <si>
    <t>1128453719</t>
  </si>
  <si>
    <t>NATALIA  BETANCUR AYALA</t>
  </si>
  <si>
    <t>1001138906</t>
  </si>
  <si>
    <t>LEIDY DANIELA DAVID MAZO</t>
  </si>
  <si>
    <t>1036685676</t>
  </si>
  <si>
    <t>MELISSA  MENDEZ GALLEGO</t>
  </si>
  <si>
    <t>1017146306</t>
  </si>
  <si>
    <t>RAÚL ENRIQUE MEJÍA GUIZADO</t>
  </si>
  <si>
    <t>1003175254</t>
  </si>
  <si>
    <t>NATALIA  GARCIA GONZALEZ</t>
  </si>
  <si>
    <t>1001236835</t>
  </si>
  <si>
    <t>MARIANA  COLORADO MUNERA</t>
  </si>
  <si>
    <t>1035858002</t>
  </si>
  <si>
    <t>VANESSA  AGUIRRE ALVAREZ</t>
  </si>
  <si>
    <t>1041229383</t>
  </si>
  <si>
    <t>ALEJANDRA  SALAZAR LOPEZ</t>
  </si>
  <si>
    <t>1152708622</t>
  </si>
  <si>
    <t>LAURA VANESSA VALENCIA SERNA</t>
  </si>
  <si>
    <t>1037071224</t>
  </si>
  <si>
    <t>DANIEL FERNANDO QUINTERO AGUIRRE</t>
  </si>
  <si>
    <t>1047994020</t>
  </si>
  <si>
    <t>KENDRY KARIMEN MUÑOZ HENAO</t>
  </si>
  <si>
    <t>1128430923</t>
  </si>
  <si>
    <t>GAILY  GARNICA GONZALEZ</t>
  </si>
  <si>
    <t>1026305104</t>
  </si>
  <si>
    <t>CRISTIAN DANIEL PARDO MATALLANA</t>
  </si>
  <si>
    <t>1017198288</t>
  </si>
  <si>
    <t>PAULO CESAR PALLARES JARAMILLO</t>
  </si>
  <si>
    <t>1037649358</t>
  </si>
  <si>
    <t>SANTIAGO SANTIAGO GARCÍA ALZATE</t>
  </si>
  <si>
    <t>1011513911</t>
  </si>
  <si>
    <t>HANIEL HANIEL MARÍN LÓPEZ</t>
  </si>
  <si>
    <t>43267900</t>
  </si>
  <si>
    <t>DIANA CAROLINA MARÍN GOMEZ</t>
  </si>
  <si>
    <t>1216729011</t>
  </si>
  <si>
    <t>SARA  MONSALVE VELASQUEZ</t>
  </si>
  <si>
    <t>1017138873</t>
  </si>
  <si>
    <t>SANTIAGO  QUINTERO RESTREPO</t>
  </si>
  <si>
    <t>8105680</t>
  </si>
  <si>
    <t>JUAN ESTEBAN GOMEZ CARDONA</t>
  </si>
  <si>
    <t>52109643</t>
  </si>
  <si>
    <t>ROCIO MADELEIN MATALLANA MARTINEZ</t>
  </si>
  <si>
    <t>32563054</t>
  </si>
  <si>
    <t>DULFARI ANDREA MOLINA ARANGO</t>
  </si>
  <si>
    <t>1038064017</t>
  </si>
  <si>
    <t>JOHAN DANILO VALENCIA VELASQUEZ</t>
  </si>
  <si>
    <t>1193118985</t>
  </si>
  <si>
    <t>RAMIRO NEY AGREDO TRIANA</t>
  </si>
  <si>
    <t>43991496</t>
  </si>
  <si>
    <t>ALBANIA PATRICIA CASTRILLON ECHEVERRY</t>
  </si>
  <si>
    <t>1000293830</t>
  </si>
  <si>
    <t>ALEXANDRA  ROMAN ARBOLEDA</t>
  </si>
  <si>
    <t>98761751</t>
  </si>
  <si>
    <t>JOHNNATAN  ALZATE ISAZA</t>
  </si>
  <si>
    <t>1017263568</t>
  </si>
  <si>
    <t>SARA  GRANADO RODRIGUEZ</t>
  </si>
  <si>
    <t>1019991649</t>
  </si>
  <si>
    <t>NICOLE GIOVANNA AMARILES BENÍTEZ</t>
  </si>
  <si>
    <t>1052966596</t>
  </si>
  <si>
    <t>ERIX JAVIER MENDOZA ACOSTA</t>
  </si>
  <si>
    <t>1128426230</t>
  </si>
  <si>
    <t>JEISSON STIVEN TORO ZAPATA</t>
  </si>
  <si>
    <t>1152468122</t>
  </si>
  <si>
    <t>SANTIAGO SANTIAGO ARISTIZABA CASTAÑO</t>
  </si>
  <si>
    <t>1001011356</t>
  </si>
  <si>
    <t>YESICA  CARDENAS ORTIZ</t>
  </si>
  <si>
    <t>1143170914</t>
  </si>
  <si>
    <t>ANYI  JIMÉNEZ</t>
  </si>
  <si>
    <t>1128419075</t>
  </si>
  <si>
    <t>SANTIAGO  DAVILA ARANGO</t>
  </si>
  <si>
    <t>1003263071</t>
  </si>
  <si>
    <t>NARA LUCIA CHADID SALGADO</t>
  </si>
  <si>
    <t>1152471802</t>
  </si>
  <si>
    <t>LAURA CAMILA CASTILLO MENDEZ</t>
  </si>
  <si>
    <t>1192894801</t>
  </si>
  <si>
    <t>LUISA FERNANDA GOEZ RODRIGUEZ</t>
  </si>
  <si>
    <t>1037629253</t>
  </si>
  <si>
    <t>CRISTINA MARIA HIGUITA SANCHEZ</t>
  </si>
  <si>
    <t>1037668199</t>
  </si>
  <si>
    <t>ANA MARIA GOMEZ RAMIREZ</t>
  </si>
  <si>
    <t>43155659</t>
  </si>
  <si>
    <t>ELIZABETH  GAVIRIA FRANCO</t>
  </si>
  <si>
    <t>1069501456</t>
  </si>
  <si>
    <t>KAREN  HERNANDEZ VEGA</t>
  </si>
  <si>
    <t>1017251344</t>
  </si>
  <si>
    <t>JULIETH ANDREA GÓMEZ HERNÁNDEZ</t>
  </si>
  <si>
    <t>1010081846</t>
  </si>
  <si>
    <t>ANDRES CAMILO MARTINEZ DIAZ</t>
  </si>
  <si>
    <t>1023525002</t>
  </si>
  <si>
    <t>VALERY TATIANA USUGA ZAPATA</t>
  </si>
  <si>
    <t>1000445250</t>
  </si>
  <si>
    <t>ISMAEL OBED TOBÓN CADAVID</t>
  </si>
  <si>
    <t>1012381091</t>
  </si>
  <si>
    <t>JENNY MARCELA PINILLA BARBOSA</t>
  </si>
  <si>
    <t>1000439233</t>
  </si>
  <si>
    <t>LAURA VANESSA MARULANDA ZAPATA</t>
  </si>
  <si>
    <t>41959379</t>
  </si>
  <si>
    <t>MARCELA  OSPINA LARREA</t>
  </si>
  <si>
    <t>43753784</t>
  </si>
  <si>
    <t>PAOLA ANDREA OCAMPO</t>
  </si>
  <si>
    <t>1000401325</t>
  </si>
  <si>
    <t>TANIA MILDREY ZAPATA CANO</t>
  </si>
  <si>
    <t>1017248807</t>
  </si>
  <si>
    <t>YILMAR DAVID GALLEGO CORDOBA</t>
  </si>
  <si>
    <t>43619608</t>
  </si>
  <si>
    <t>ZOE PATRICIA VELASQUEZ PELAEZ</t>
  </si>
  <si>
    <t>1146435758</t>
  </si>
  <si>
    <t>ANA ALEXANDRA PINO MARTINEZ</t>
  </si>
  <si>
    <t>1152209534</t>
  </si>
  <si>
    <t>MAURICIO  LOZANO PEREZ</t>
  </si>
  <si>
    <t>PRO-03 - Creación y Producción de Contenidos</t>
  </si>
  <si>
    <t>PRO-03</t>
  </si>
  <si>
    <t>Sara Catalina Tangarife Gómez</t>
  </si>
  <si>
    <t>1028040323</t>
  </si>
  <si>
    <t>YADIRA  GUZMAN DAVID</t>
  </si>
  <si>
    <t>1152184509</t>
  </si>
  <si>
    <t>NATALIA  ALVAREZ MORALES</t>
  </si>
  <si>
    <t>1000636157</t>
  </si>
  <si>
    <t>LINA MARCELA MUÑOZ ZAPATA</t>
  </si>
  <si>
    <t>1152210777</t>
  </si>
  <si>
    <t>KATERINE KATERINE MARIN SALGADO</t>
  </si>
  <si>
    <t>71275457</t>
  </si>
  <si>
    <t>WALTER AUGUSTO URIBE LONDOÑO</t>
  </si>
  <si>
    <t>1040742870</t>
  </si>
  <si>
    <t>EDWAR CAMILO MARIN HIGUITA</t>
  </si>
  <si>
    <t>1000637618</t>
  </si>
  <si>
    <t>MANUELA  ORTIZ RESTREPO</t>
  </si>
  <si>
    <t>1034994227</t>
  </si>
  <si>
    <t>ELIZABETH  BARRIOS MARTINEZ</t>
  </si>
  <si>
    <t>1035427860</t>
  </si>
  <si>
    <t>YURY KATHERINE GARCÍA PÉREZ</t>
  </si>
  <si>
    <t>1021315655</t>
  </si>
  <si>
    <t>ANA SOFIA VELASQUEZ MORENO</t>
  </si>
  <si>
    <t>1128419649</t>
  </si>
  <si>
    <t>JULIANA  VASQUEZ ALVAREZ</t>
  </si>
  <si>
    <t>1030642551</t>
  </si>
  <si>
    <t>MANUELA ANDREA LINARES ACHURY</t>
  </si>
  <si>
    <t>1001161173</t>
  </si>
  <si>
    <t>KENIA YISETH VARGAS OSORIO</t>
  </si>
  <si>
    <t>1020442038</t>
  </si>
  <si>
    <t>JUAN ALEJANDRO DUQUE MADRIGAL</t>
  </si>
  <si>
    <t>1065014614</t>
  </si>
  <si>
    <t>ANGELICA MARIA AVILA CANTERO</t>
  </si>
  <si>
    <t>1037644561</t>
  </si>
  <si>
    <t>CRISTHIAN CAMILO CARVAJAL GONZALEZ</t>
  </si>
  <si>
    <t>1037549180</t>
  </si>
  <si>
    <t>YEINER ALEXANDER BEDOYA HERRERA</t>
  </si>
  <si>
    <t>1040747868</t>
  </si>
  <si>
    <t>YÉFERSON  GÓMEZ GARCÍA</t>
  </si>
  <si>
    <t>1040745818</t>
  </si>
  <si>
    <t>DEISY CATERINE LOZANO RUIZ</t>
  </si>
  <si>
    <t>1013106996</t>
  </si>
  <si>
    <t>MIGUEL ANGEL ARANGO CASTELLANO</t>
  </si>
  <si>
    <t>1070706997</t>
  </si>
  <si>
    <t>XIMENA ALEJANDRA TRIANA FANDIÑO</t>
  </si>
  <si>
    <t>1000568797</t>
  </si>
  <si>
    <t>VALENTINA VALENTINA VALENCIA POSADA</t>
  </si>
  <si>
    <t>1017228502</t>
  </si>
  <si>
    <t>ESTEFANIA  GONZALEZ DAVILA</t>
  </si>
  <si>
    <t>1077723616</t>
  </si>
  <si>
    <t>LINA SOFIA MOSQUERA CHARRY</t>
  </si>
  <si>
    <t>1043137722</t>
  </si>
  <si>
    <t>ANDREA CAROLINA POLO MOLINA</t>
  </si>
  <si>
    <t>1152201658</t>
  </si>
  <si>
    <t>NATALIA ANDREA BARRERA OCAMPO</t>
  </si>
  <si>
    <t>1000549337</t>
  </si>
  <si>
    <t>DIEGO ALEJANDRO CASTAÑO JARAMILLO</t>
  </si>
  <si>
    <t>1127960129</t>
  </si>
  <si>
    <t>JONATHAN JEISON ALZATE ZAPATA</t>
  </si>
  <si>
    <t>1000414411</t>
  </si>
  <si>
    <t>MARIA JOSE CASTRILLON AGUDELO</t>
  </si>
  <si>
    <t>1096238706</t>
  </si>
  <si>
    <t>VIELKA LORAYNE RESTREPO RESTREPO</t>
  </si>
  <si>
    <t>1000920434</t>
  </si>
  <si>
    <t>MANUELA  CANO SUAREZ</t>
  </si>
  <si>
    <t>1000535863</t>
  </si>
  <si>
    <t>LAURA  RENDON AGUIRRE</t>
  </si>
  <si>
    <t>Traslado desde PRO-01</t>
  </si>
  <si>
    <t>43838477</t>
  </si>
  <si>
    <t>DORA MILENA FRANCO ESTRADA</t>
  </si>
  <si>
    <t>1214718932</t>
  </si>
  <si>
    <t>ROSEMBERT ARLEY MARTINEZ URIBE</t>
  </si>
  <si>
    <t>1000872421</t>
  </si>
  <si>
    <t>SEBASTIAN  FLOREZ</t>
  </si>
  <si>
    <t>0/75</t>
  </si>
  <si>
    <t>1128477058</t>
  </si>
  <si>
    <t>JOSÉ ALEJANDRO VÉLEZ QUINTERO</t>
  </si>
  <si>
    <t>1152697936</t>
  </si>
  <si>
    <t>LUIS DANIEL SALAS TANGARIFE</t>
  </si>
  <si>
    <t>PRO-04 - Creación y Producción de Contenidos</t>
  </si>
  <si>
    <t>PRO-04</t>
  </si>
  <si>
    <t>1128441531</t>
  </si>
  <si>
    <t>JENNYFER JENNYFER CARMONA HINCAPIE</t>
  </si>
  <si>
    <t>15371433</t>
  </si>
  <si>
    <t>DANIEL  GARCIATORO</t>
  </si>
  <si>
    <t>1152718064</t>
  </si>
  <si>
    <t>DAYANIS  BLANCO MADERA</t>
  </si>
  <si>
    <t>1026146661</t>
  </si>
  <si>
    <t>YESICA  SUAZA ECHAVARRIA</t>
  </si>
  <si>
    <t>1000445562</t>
  </si>
  <si>
    <t>MARIA CAMILA MAZO RESTREPO</t>
  </si>
  <si>
    <t>32721986</t>
  </si>
  <si>
    <t>ARLEDYS  ZARZA AVILA</t>
  </si>
  <si>
    <t>1022926405</t>
  </si>
  <si>
    <t>DIEGO ALEJANDRO TINJACA ANGEL</t>
  </si>
  <si>
    <t>71386595</t>
  </si>
  <si>
    <t>HAMILTON RICARDO ORREGO ARENAS</t>
  </si>
  <si>
    <t>1038409801</t>
  </si>
  <si>
    <t>DAMA  ROLDAN TORRES</t>
  </si>
  <si>
    <t>1020421984</t>
  </si>
  <si>
    <t>RUTH ELENA MADRIGAL BEDOYA</t>
  </si>
  <si>
    <t>1001140181</t>
  </si>
  <si>
    <t>MARIA CAMILA PARRA CHICA</t>
  </si>
  <si>
    <t>1036601416</t>
  </si>
  <si>
    <t>ELIZABETH CRISTINA SANCHEZ HERNANDEZ</t>
  </si>
  <si>
    <t>43758536</t>
  </si>
  <si>
    <t>PAULA ANDREA ALVAREZ ZAPATA</t>
  </si>
  <si>
    <t>71261207</t>
  </si>
  <si>
    <t>CESAR AUGUSTO RIOS CHALARCA</t>
  </si>
  <si>
    <t>1036617896</t>
  </si>
  <si>
    <t>FABER WBEIMAR MARIN TABARES</t>
  </si>
  <si>
    <t>1001772618</t>
  </si>
  <si>
    <t>KELLY JHOANA BAENA VALENCIA</t>
  </si>
  <si>
    <t>1128434571</t>
  </si>
  <si>
    <t>YENNY PAOLA ZAPATA QUICENO</t>
  </si>
  <si>
    <t>1234988905</t>
  </si>
  <si>
    <t>SARA CRISTINA HOYOS CANO</t>
  </si>
  <si>
    <t>1025651355</t>
  </si>
  <si>
    <t>JUAN ESTEBAN ECHAVARRIA GOMEZ</t>
  </si>
  <si>
    <t>91488170</t>
  </si>
  <si>
    <t>WILLIAM JESUS MARTINEZ MEJIA</t>
  </si>
  <si>
    <t>1082838468</t>
  </si>
  <si>
    <t>LUIS CARLOS LACERA RUBIO</t>
  </si>
  <si>
    <t>43915547</t>
  </si>
  <si>
    <t>VERONICA MARCELA RIOS GIRON</t>
  </si>
  <si>
    <t>1152453946</t>
  </si>
  <si>
    <t>ANA MARIA LIZCANO ALVIRA</t>
  </si>
  <si>
    <t>1037655449</t>
  </si>
  <si>
    <t>MARTIN  SANCHEZ CARVAJAL</t>
  </si>
  <si>
    <t>1037586035</t>
  </si>
  <si>
    <t>NATALIA ANDREA GARZON AVENDAÑO</t>
  </si>
  <si>
    <t>1121327182</t>
  </si>
  <si>
    <t>MARLON MARLON LAGUNA MAESTRE</t>
  </si>
  <si>
    <t>1152226689</t>
  </si>
  <si>
    <t>VANESSA  PABON VASQUEZ</t>
  </si>
  <si>
    <t>1017273946</t>
  </si>
  <si>
    <t>MARYELY PAOLA NICAN JARAMILLO</t>
  </si>
  <si>
    <t>1020490791</t>
  </si>
  <si>
    <t>LUISA FERNANDA ZAPATA ARBOLEDA</t>
  </si>
  <si>
    <t>1020107581</t>
  </si>
  <si>
    <t>VALERIA  TANGARIFE ALVAREZ</t>
  </si>
  <si>
    <t>63529223</t>
  </si>
  <si>
    <t>MARIET TATIANA LÁZARO RUEDA</t>
  </si>
  <si>
    <t>COM-01 - E-Commerce, Emprendimiento e Innovación Digital</t>
  </si>
  <si>
    <t>COM-01</t>
  </si>
  <si>
    <t>E-COMMERCE, EMPRENDIMIENTO E INNOVACIÓN DIGITAL</t>
  </si>
  <si>
    <t>EDY ALBERTO RAMIREZ GARCIA</t>
  </si>
  <si>
    <t>Traslado desde COM-05</t>
  </si>
  <si>
    <t>71735853</t>
  </si>
  <si>
    <t>JOHN FREDY GRANADOS MARÍN</t>
  </si>
  <si>
    <t>1000635186</t>
  </si>
  <si>
    <t>ANDERSON ANDRES MADRID VILLADA</t>
  </si>
  <si>
    <t>43155746</t>
  </si>
  <si>
    <t>BEATRIZ ELENA GALLEGO</t>
  </si>
  <si>
    <t>1037649699</t>
  </si>
  <si>
    <t>SEBASTIAN  GIRALDO HOLGUIN</t>
  </si>
  <si>
    <t>71389935</t>
  </si>
  <si>
    <t>ANDRES FELIPE VALENCIA RESTREPO</t>
  </si>
  <si>
    <t>1152196047</t>
  </si>
  <si>
    <t>YESSICA MARCELA PUERTA GUERRA</t>
  </si>
  <si>
    <t>1128385730</t>
  </si>
  <si>
    <t>MARIAM  PUERTA GALLON</t>
  </si>
  <si>
    <t>1001226610</t>
  </si>
  <si>
    <t>MIGUEL ANGEL JARAMILLO PEREZ</t>
  </si>
  <si>
    <t>1017930321</t>
  </si>
  <si>
    <t>DAVID  NOREÑA TORO</t>
  </si>
  <si>
    <t>1017239377</t>
  </si>
  <si>
    <t>DAVID ALEXANDER ARRUBLA ECHAVARRIA</t>
  </si>
  <si>
    <t>1021803440</t>
  </si>
  <si>
    <t>ADRIAN STIVEN HIDALGO VASQUEZ</t>
  </si>
  <si>
    <t>50996279</t>
  </si>
  <si>
    <t>MARIA PATRICIA MONROY DURANGO</t>
  </si>
  <si>
    <t>32182781</t>
  </si>
  <si>
    <t>HEIDY YADIRA VERGARA MORENO</t>
  </si>
  <si>
    <t>1018231637</t>
  </si>
  <si>
    <t>SAMUEL  OSPINA ZAPATA</t>
  </si>
  <si>
    <t>71275202</t>
  </si>
  <si>
    <t>JUAN FERNANDO HURTADO VASQUEZ</t>
  </si>
  <si>
    <t>1128451904</t>
  </si>
  <si>
    <t>ANDRES FELIPE MESA ARENAS</t>
  </si>
  <si>
    <t>15370635</t>
  </si>
  <si>
    <t>FREDY  FORONDA GRAJALES</t>
  </si>
  <si>
    <t>1128482020</t>
  </si>
  <si>
    <t>LICET MELISA PATIÑO MONTOYA</t>
  </si>
  <si>
    <t>8016524</t>
  </si>
  <si>
    <t>CARLOS ENRIQUE JIMENEZ AVENDAÑO</t>
  </si>
  <si>
    <t>1022146109</t>
  </si>
  <si>
    <t>EMMANUEL  LOPEZ</t>
  </si>
  <si>
    <t>1000405601</t>
  </si>
  <si>
    <t>ALFONSINA DEL MAR BLANDON CASTRILLON</t>
  </si>
  <si>
    <t>COM-02 - E-Commerce, Emprendimiento e Innovación Digital</t>
  </si>
  <si>
    <t>COM-02</t>
  </si>
  <si>
    <t>1021802182</t>
  </si>
  <si>
    <t>ANDRES FELIPE SIERRA CHICA</t>
  </si>
  <si>
    <t>Traslado desde COM-04</t>
  </si>
  <si>
    <t>1027805390</t>
  </si>
  <si>
    <t>EVELIN  GUTIERREZ ORTEGA</t>
  </si>
  <si>
    <t>1035435467</t>
  </si>
  <si>
    <t>SARA  VANEGAS DUQUE</t>
  </si>
  <si>
    <t>1017171959</t>
  </si>
  <si>
    <t>MARIA ALEXANDRA SANCHEZ JARAMILLLO</t>
  </si>
  <si>
    <t>1017273859</t>
  </si>
  <si>
    <t>LUISA FERNANDA PEREZ RENDON</t>
  </si>
  <si>
    <t>1035436140</t>
  </si>
  <si>
    <t>MANUELA ANDREA GRANDA RODRIGUEZ</t>
  </si>
  <si>
    <t>1152460935</t>
  </si>
  <si>
    <t>ANGY MARCELA JARAMILLO CARMONA</t>
  </si>
  <si>
    <t>Traslado desde COM-03</t>
  </si>
  <si>
    <t>43612286</t>
  </si>
  <si>
    <t>LESLIE YELITHZA ALVAREZ HINCAPIE</t>
  </si>
  <si>
    <t>1152694272</t>
  </si>
  <si>
    <t>NASLY JULIETH BAENA BARRIENTOS</t>
  </si>
  <si>
    <t>1017253899</t>
  </si>
  <si>
    <t>JULIAN FELIPE VERA HERNANDEZ</t>
  </si>
  <si>
    <t>1017137848</t>
  </si>
  <si>
    <t>CRISTIAN ANJELO OSPINA AGUDELO</t>
  </si>
  <si>
    <t>1025763790</t>
  </si>
  <si>
    <t>SALOME  CORREA MAZO</t>
  </si>
  <si>
    <t>1022146412</t>
  </si>
  <si>
    <t>CATALINA  AGUDELO DAZA</t>
  </si>
  <si>
    <t>1214747707</t>
  </si>
  <si>
    <t>SEBASTIAN  IRAL VALENCIA</t>
  </si>
  <si>
    <t>98765079</t>
  </si>
  <si>
    <t>NILTON ANDRÉS VELÁSQUEZ GUZMÁN</t>
  </si>
  <si>
    <t>1115187738</t>
  </si>
  <si>
    <t>VALERIA  DIAZ GIRALDO</t>
  </si>
  <si>
    <t>1037602708</t>
  </si>
  <si>
    <t>MARÍA JOSÉ DÍAZ MAYA</t>
  </si>
  <si>
    <t>43921543</t>
  </si>
  <si>
    <t>SORANY  YEPES</t>
  </si>
  <si>
    <t>1047994224</t>
  </si>
  <si>
    <t>JADER ALBERTO MUÑOZ CEBALLOS</t>
  </si>
  <si>
    <t>1214746087</t>
  </si>
  <si>
    <t>JULIAN  GARCÍA MONSALVE</t>
  </si>
  <si>
    <t>1035866021</t>
  </si>
  <si>
    <t>CARLOS FERNANDO JIMÉNEZ ROJAS</t>
  </si>
  <si>
    <t>1214725621</t>
  </si>
  <si>
    <t>DANIELA  OSORIO MACÍAS</t>
  </si>
  <si>
    <t>1040031763</t>
  </si>
  <si>
    <t>ANA JACKELINE CARMONA TOBON</t>
  </si>
  <si>
    <t>1085098225</t>
  </si>
  <si>
    <t>SANDRO  ROJAS LAGUNA</t>
  </si>
  <si>
    <t>71785355</t>
  </si>
  <si>
    <t>ALBERTO LEON VASQUEZ GIRALDO</t>
  </si>
  <si>
    <t>1067731069</t>
  </si>
  <si>
    <t>YURANIS  JIMENEZ CASTRO</t>
  </si>
  <si>
    <t>1112040785</t>
  </si>
  <si>
    <t>EMANUEL  BRAN LOPEZ</t>
  </si>
  <si>
    <t>1000655008</t>
  </si>
  <si>
    <t>SARA  FLOREZ FIGUEROA</t>
  </si>
  <si>
    <t>1036424583</t>
  </si>
  <si>
    <t>YULIANA  QUINTERO</t>
  </si>
  <si>
    <t>1020430303</t>
  </si>
  <si>
    <t>STEFANIA  VALLEJO BOHORQUEZ</t>
  </si>
  <si>
    <t>1000393356</t>
  </si>
  <si>
    <t>ESTEBAN  SANCHEZ ORTIZ</t>
  </si>
  <si>
    <t>71225639</t>
  </si>
  <si>
    <t>NELSON  RAMIREZ TUBERQUIA</t>
  </si>
  <si>
    <t>1037617875</t>
  </si>
  <si>
    <t>MARÍA MARIA VARGAS VARGAS</t>
  </si>
  <si>
    <t>1025649294</t>
  </si>
  <si>
    <t>MATEO  CRUZ TANGARIFE</t>
  </si>
  <si>
    <t>1146443402</t>
  </si>
  <si>
    <t>DANIEL  INSUASTY ARANGO</t>
  </si>
  <si>
    <t>1017129750</t>
  </si>
  <si>
    <t>ISABEL CRISTINA LÓPEZ ROJAS</t>
  </si>
  <si>
    <t>COM-03 - E-Commerce, Emprendimiento e Innovación Digital</t>
  </si>
  <si>
    <t>COM-03</t>
  </si>
  <si>
    <t>1020110380</t>
  </si>
  <si>
    <t>NIKOLLE  VARGAS JARAMILLO</t>
  </si>
  <si>
    <t>1021926915</t>
  </si>
  <si>
    <t>SOFIA  GARCIA ROLDAN</t>
  </si>
  <si>
    <t>1037586964</t>
  </si>
  <si>
    <t>CARLOS ANDRES GOMEZ GOMEZ</t>
  </si>
  <si>
    <t>1023632313</t>
  </si>
  <si>
    <t>AUGUSTO  MEJIA RESTREPO</t>
  </si>
  <si>
    <t>1020485378</t>
  </si>
  <si>
    <t>JHON EDISSON SUAZA ECHAVARRIA</t>
  </si>
  <si>
    <t>1152434262</t>
  </si>
  <si>
    <t>VERONICA MARIA PALACIO TORRES</t>
  </si>
  <si>
    <t>1023634098</t>
  </si>
  <si>
    <t>ESTEBAN  RESTREPO</t>
  </si>
  <si>
    <t>1033179145</t>
  </si>
  <si>
    <t>SAMUEL  MADRID OTALVARO</t>
  </si>
  <si>
    <t>1128402996</t>
  </si>
  <si>
    <t>YUDY  GARCIA TABERA</t>
  </si>
  <si>
    <t>43486033</t>
  </si>
  <si>
    <t>LUZ  LOPEZ</t>
  </si>
  <si>
    <t>1006426904</t>
  </si>
  <si>
    <t>MARIANA  CARVAJAL SOTO</t>
  </si>
  <si>
    <t>1040032049</t>
  </si>
  <si>
    <t>MARIA CAMILA OCHOA VALENCIA</t>
  </si>
  <si>
    <t>64572344</t>
  </si>
  <si>
    <t>ESPERANZA MARGARITA FERIA ALVAREZ</t>
  </si>
  <si>
    <t>1041533391</t>
  </si>
  <si>
    <t>WILDER  RESTREPO JIMENEZ</t>
  </si>
  <si>
    <t>42887388</t>
  </si>
  <si>
    <t>LUZ MARY GARCÍA CARDONA</t>
  </si>
  <si>
    <t>1023524544</t>
  </si>
  <si>
    <t>ANA MARÍA ZAPATA RENDÓN</t>
  </si>
  <si>
    <t>39386476</t>
  </si>
  <si>
    <t>MABEL  ECHEVERRI VELEZ</t>
  </si>
  <si>
    <t>1128476670</t>
  </si>
  <si>
    <t>LAURA LAURA PARRA POSADA</t>
  </si>
  <si>
    <t>1066178094</t>
  </si>
  <si>
    <t>KELLY JOHANA DE LA PEÑA RUIZ</t>
  </si>
  <si>
    <t>1035153690</t>
  </si>
  <si>
    <t>JUAN ESTEB JUAN ESTEB PÉREZ GIRALDO</t>
  </si>
  <si>
    <t>71290944</t>
  </si>
  <si>
    <t>JUAN ARQUIMEDES HERRERA MONCADA</t>
  </si>
  <si>
    <t>1038871071</t>
  </si>
  <si>
    <t>JUAN PABLO HERRERA ARROYAVE</t>
  </si>
  <si>
    <t>1040742185</t>
  </si>
  <si>
    <t>DANIELA DIAZ SEPULVEDA</t>
  </si>
  <si>
    <t>1023627093</t>
  </si>
  <si>
    <t>ALEJANDRO ARIAS ARIAS MEJIA</t>
  </si>
  <si>
    <t>501007</t>
  </si>
  <si>
    <t>MEYLYN CAROLINA MORY GARCÍA</t>
  </si>
  <si>
    <t>1027151060</t>
  </si>
  <si>
    <t>ANGIE VALENTINA MESA GARZON</t>
  </si>
  <si>
    <t>43166561</t>
  </si>
  <si>
    <t>ELCY YOHANNA VILLA VALENCIA</t>
  </si>
  <si>
    <t>52381507</t>
  </si>
  <si>
    <t>MAYANIS  CASTRO MENA</t>
  </si>
  <si>
    <t>Traslado desde COM-02</t>
  </si>
  <si>
    <t>1039911379</t>
  </si>
  <si>
    <t>ISABELLA ISABELLA MOLINA MORENO</t>
  </si>
  <si>
    <t>1128279478</t>
  </si>
  <si>
    <t>JULIANA  AGUDELO PEREZ</t>
  </si>
  <si>
    <t>Traslado desde COM-01</t>
  </si>
  <si>
    <t>1000762974</t>
  </si>
  <si>
    <t>LAURA CRISTINA SALCEDO AGUDELO</t>
  </si>
  <si>
    <t>1126450434</t>
  </si>
  <si>
    <t>JUAN CARLOS PULGARIN RUIZ</t>
  </si>
  <si>
    <t>1152718005</t>
  </si>
  <si>
    <t>ALEJANDRO  LÒPEZ OCAMPO</t>
  </si>
  <si>
    <t>1033186227</t>
  </si>
  <si>
    <t>JUAN MANUEL MARTINEZ HENAO</t>
  </si>
  <si>
    <t>COM-04 - E-Commerce, Emprendimiento e Innovación Digital</t>
  </si>
  <si>
    <t>COM-04</t>
  </si>
  <si>
    <t>1239488326</t>
  </si>
  <si>
    <t>LAURA MARIA GUTIERREZ MARTINEZ</t>
  </si>
  <si>
    <t>1124050234</t>
  </si>
  <si>
    <t>PEDRO JOSÉ DÍAZ VALERO</t>
  </si>
  <si>
    <t>1042434866</t>
  </si>
  <si>
    <t>KEVIN ALDAIR ALVAREZ PACHECO</t>
  </si>
  <si>
    <t>43251587</t>
  </si>
  <si>
    <t>SIRLEY PAOLA HUERTAS MONJE</t>
  </si>
  <si>
    <t>1037620739</t>
  </si>
  <si>
    <t>SEBASTIAN  ISAZA ZAPATA</t>
  </si>
  <si>
    <t>1042765334</t>
  </si>
  <si>
    <t>DEISY YORLENY LÓPEZ ZAPATA</t>
  </si>
  <si>
    <t>1128266665</t>
  </si>
  <si>
    <t>KARINA KARINA GOMEZ GIRALDO</t>
  </si>
  <si>
    <t>71710900</t>
  </si>
  <si>
    <t>MARCO ANTONIO BARRIOS VARGAS</t>
  </si>
  <si>
    <t>1022094669</t>
  </si>
  <si>
    <t>YAMID ALEXIS BRAVO URREGO</t>
  </si>
  <si>
    <t>1025761379</t>
  </si>
  <si>
    <t>SOFIA  URIBE RESTREPO</t>
  </si>
  <si>
    <t>32205738</t>
  </si>
  <si>
    <t>DIANA PATRICIA HERNANDEZ RAMIREZ</t>
  </si>
  <si>
    <t>1037585644</t>
  </si>
  <si>
    <t>DIANA CAROLINA BERMÚDEZ SERNA</t>
  </si>
  <si>
    <t>1040327717</t>
  </si>
  <si>
    <t>VERONICA  BUITRAGO GALVIS</t>
  </si>
  <si>
    <t>1214743824</t>
  </si>
  <si>
    <t>JEYSON SNEYDER ESTRADA LOPEZ</t>
  </si>
  <si>
    <t>1036638837</t>
  </si>
  <si>
    <t>MELISA  YEPES MARIN</t>
  </si>
  <si>
    <t>1017145621</t>
  </si>
  <si>
    <t>ALEJANDRO  RUEDA GONZÁLEZ</t>
  </si>
  <si>
    <t>1214743468</t>
  </si>
  <si>
    <t>LISET DEL PILAR TAMAYO MARULANDA</t>
  </si>
  <si>
    <t>43571493</t>
  </si>
  <si>
    <t>NURY ELIZABETH RAMIREZ ZAPATA</t>
  </si>
  <si>
    <t>1036940940</t>
  </si>
  <si>
    <t>MARIA ANTONIETA GARCIA SALDARRIAG</t>
  </si>
  <si>
    <t>1039450002</t>
  </si>
  <si>
    <t>YIRLEY NATACHA MONTOYA GIL</t>
  </si>
  <si>
    <t>1017227237</t>
  </si>
  <si>
    <t>ANA MARIA ZAPATA ARANGO</t>
  </si>
  <si>
    <t>1088298634</t>
  </si>
  <si>
    <t>LEIDY LAURA RAMIREZ COLORADO</t>
  </si>
  <si>
    <t>1214744044</t>
  </si>
  <si>
    <t>SEBASTIAN  BETANCUR CUERVO</t>
  </si>
  <si>
    <t>1020492676</t>
  </si>
  <si>
    <t>LAURA CRISTINA LONDOÑO BALLESTERO</t>
  </si>
  <si>
    <t>1017209468</t>
  </si>
  <si>
    <t>JUAN GABRIEL PRADO ESCOBAR</t>
  </si>
  <si>
    <t>1022099962</t>
  </si>
  <si>
    <t>LUCAS  MARIN PEREZ</t>
  </si>
  <si>
    <t>1040516903</t>
  </si>
  <si>
    <t>GIRLETZA  ROMERO CÓRDOBA</t>
  </si>
  <si>
    <t>1193234093</t>
  </si>
  <si>
    <t>JUAN PABLO VINASCO GARCIA</t>
  </si>
  <si>
    <t>1033257891</t>
  </si>
  <si>
    <t>CARLOS ANDRES DUQUE GAVIRIA</t>
  </si>
  <si>
    <t>1017192780</t>
  </si>
  <si>
    <t>WILMER MAURICIO CHAVERRA SÁNCHEZ</t>
  </si>
  <si>
    <t>1128472274</t>
  </si>
  <si>
    <t>YULIANA MARIA GONZALEZ MARIN</t>
  </si>
  <si>
    <t>1152206220</t>
  </si>
  <si>
    <t>PAULA ANDREA ISAZA SANCHEZ</t>
  </si>
  <si>
    <t>1128425431</t>
  </si>
  <si>
    <t>JOHN JAIRO GUTIERREZ MARTINEZ</t>
  </si>
  <si>
    <t>3886025</t>
  </si>
  <si>
    <t>NAHOMY ANDREINA BLANCO RODRIGUEZ</t>
  </si>
  <si>
    <t>43619826</t>
  </si>
  <si>
    <t>PAULA ANDREA HOLGUIN VELASQUEZ</t>
  </si>
  <si>
    <t>1000909012</t>
  </si>
  <si>
    <t>JOSE MANUEL CANO GIRALDO</t>
  </si>
  <si>
    <t>COM-05 - E-Commerce, Emprendimiento e Innovación Digital</t>
  </si>
  <si>
    <t>COM-05</t>
  </si>
  <si>
    <t>Julián David Tobón Jiménez</t>
  </si>
  <si>
    <t>42692568</t>
  </si>
  <si>
    <t>CAROLINA MARIA ALVAREZ ZAPATA</t>
  </si>
  <si>
    <t>43203734</t>
  </si>
  <si>
    <t>DIANA MARIA OSORIO LOPEZ</t>
  </si>
  <si>
    <t>1037590682</t>
  </si>
  <si>
    <t>CARLOS ANDRÉS CÁRDENAS TAMAYO</t>
  </si>
  <si>
    <t>1001445191</t>
  </si>
  <si>
    <t>ISAAC  OSORIO</t>
  </si>
  <si>
    <t>1036252827</t>
  </si>
  <si>
    <t>ISAI  OSORIO</t>
  </si>
  <si>
    <t>43222058</t>
  </si>
  <si>
    <t>NADYA ECATHERINA ESTARITA VASQUEZ</t>
  </si>
  <si>
    <t>1005089517</t>
  </si>
  <si>
    <t>DIEGO STEVEN ARIAS ARIAS</t>
  </si>
  <si>
    <t>1035871703</t>
  </si>
  <si>
    <t>MELISA  SALDARRIAG CASTRILLON</t>
  </si>
  <si>
    <t>1036607395</t>
  </si>
  <si>
    <t>JORGE ALONSO GALLEGO ESTRADA</t>
  </si>
  <si>
    <t>1002063948</t>
  </si>
  <si>
    <t>YULIANA  QUINTERO DUQUE</t>
  </si>
  <si>
    <t>1001508023</t>
  </si>
  <si>
    <t>YUBAN ERNESTO USUGA CHAVARRIA</t>
  </si>
  <si>
    <t>1027800862</t>
  </si>
  <si>
    <t>KAREN DAHIANA QUINTERO GALLEGO</t>
  </si>
  <si>
    <t>1128459217</t>
  </si>
  <si>
    <t>KEVIN  RUA CIRO</t>
  </si>
  <si>
    <t>32142743</t>
  </si>
  <si>
    <t>LUZ VERÓNICA RAMÍREZ MONSALVE</t>
  </si>
  <si>
    <t>1152220678</t>
  </si>
  <si>
    <t>KATHERINE  HIDALGO BUSTAMANTE</t>
  </si>
  <si>
    <t>1214725384</t>
  </si>
  <si>
    <t>VALENTINA COMUNICADO RODRIGUEZ GOMEZ</t>
  </si>
  <si>
    <t>71750440</t>
  </si>
  <si>
    <t>JOHN JAIRO BOLIVAR CAÑOLA</t>
  </si>
  <si>
    <t>1128439952</t>
  </si>
  <si>
    <t>DOUGLAS HERNAN PUERTA HINCAPIE</t>
  </si>
  <si>
    <t>1045423985</t>
  </si>
  <si>
    <t>JORDYS JAVIER HENAO ALTAMIRAND</t>
  </si>
  <si>
    <t>1037630417</t>
  </si>
  <si>
    <t>DANIEL STIVEN HURTADO MEJIA</t>
  </si>
  <si>
    <t>1025888963</t>
  </si>
  <si>
    <t>MARIA FERNANDA PINEDA MEJIA</t>
  </si>
  <si>
    <t>1017125861</t>
  </si>
  <si>
    <t>LEIDY MILENA MADRIGAL BEDOYA</t>
  </si>
  <si>
    <t>1007244917</t>
  </si>
  <si>
    <t>DURLEYT JOHANA MUÑOZ BELEÑO</t>
  </si>
  <si>
    <t>1034989379</t>
  </si>
  <si>
    <t>MARÍA JOSÉ CALLE RUIZ</t>
  </si>
  <si>
    <t>71759377</t>
  </si>
  <si>
    <t>ANDRES MAURICIO GALVIS MONCADA</t>
  </si>
  <si>
    <t>43533752</t>
  </si>
  <si>
    <t>LINA MARIA RESTREPO CAÑOLA</t>
  </si>
  <si>
    <t>1040731384</t>
  </si>
  <si>
    <t>YUDY TATIANA NARVAEZ VASCO</t>
  </si>
  <si>
    <t>1017203771</t>
  </si>
  <si>
    <t>JESSICA JOHANNA VELEZ GIRALDO</t>
  </si>
  <si>
    <t>MAR-01 - Marketing Digital y Gestión de Comunidades</t>
  </si>
  <si>
    <t>MAR-01</t>
  </si>
  <si>
    <t>MARKETING DIGITAL INTEGRAL Y GESTIÓN DE COMUNIDADES</t>
  </si>
  <si>
    <t>Carolina Velásquez Vásquez</t>
  </si>
  <si>
    <t>Traslado desde MAR-07</t>
  </si>
  <si>
    <t>1032018097</t>
  </si>
  <si>
    <t>JOEL ANDRES COPETE MOSQUERA</t>
  </si>
  <si>
    <t>Traslado desde MAR-06</t>
  </si>
  <si>
    <t>1110523388</t>
  </si>
  <si>
    <t>YIZETH VALERIA AGUDELO REY</t>
  </si>
  <si>
    <t>7/70</t>
  </si>
  <si>
    <t>Traslado desde MAR-03</t>
  </si>
  <si>
    <t>43978057</t>
  </si>
  <si>
    <t>DIANA STELLA HERNANDEZ MUÑOZ</t>
  </si>
  <si>
    <t>1193110808</t>
  </si>
  <si>
    <t>MANUELA  CORDOBA GONZALEZ</t>
  </si>
  <si>
    <t>Traslado desde MAR-02</t>
  </si>
  <si>
    <t>98773535</t>
  </si>
  <si>
    <t>JOHN ROBINSON GUZMAN GAVIRIA</t>
  </si>
  <si>
    <t>43988804</t>
  </si>
  <si>
    <t>RUTH ELENA MAZO ARISTIZABA</t>
  </si>
  <si>
    <t>1020102427</t>
  </si>
  <si>
    <t>MARIA PAULINA GONZALEZ ALZATE</t>
  </si>
  <si>
    <t>1193599081</t>
  </si>
  <si>
    <t>SALOME  SALAZAR GIRALDO</t>
  </si>
  <si>
    <t>1007026475</t>
  </si>
  <si>
    <t>NICOLE VALENTINA BALCAZAR</t>
  </si>
  <si>
    <t>42778174</t>
  </si>
  <si>
    <t>JAQUELINE  AREVALO ALZATE</t>
  </si>
  <si>
    <t>1091975244</t>
  </si>
  <si>
    <t>ANGELLY ANDREA FORERO NIETO</t>
  </si>
  <si>
    <t>1128055569</t>
  </si>
  <si>
    <t>KERLY JOHANA LASTRE ESCAÑO</t>
  </si>
  <si>
    <t>1234993717</t>
  </si>
  <si>
    <t>CAMILA VICTORIA ALVAREZ MEDINDA</t>
  </si>
  <si>
    <t>1000291116</t>
  </si>
  <si>
    <t>JUAN DAVID GALEANO GALEANO</t>
  </si>
  <si>
    <t>1023528224</t>
  </si>
  <si>
    <t>EMANUEL JOHN JAIRO ZAPATA PAREJA</t>
  </si>
  <si>
    <t>1096193216</t>
  </si>
  <si>
    <t>MARA MARA GIL ZEINET</t>
  </si>
  <si>
    <t>1128437220</t>
  </si>
  <si>
    <t>CAROLINA  YEPES ZAPATA</t>
  </si>
  <si>
    <t>1017193971</t>
  </si>
  <si>
    <t>SANTIAGO  DUQUE PEREZ</t>
  </si>
  <si>
    <t>1003076854</t>
  </si>
  <si>
    <t>ESTEPANY  SANCHEZ GUERRA</t>
  </si>
  <si>
    <t>98555874</t>
  </si>
  <si>
    <t>SERGIO ALEJANDRO HERNANDEZ CHALARCA</t>
  </si>
  <si>
    <t>1152457486</t>
  </si>
  <si>
    <t>MARIANA  LEDESMA GONZALEZ</t>
  </si>
  <si>
    <t>1038106989</t>
  </si>
  <si>
    <t>PAULA ONEIDA ROMERO SIMANCA</t>
  </si>
  <si>
    <t>79546687</t>
  </si>
  <si>
    <t>PEDRO ALFONSO SANCHEZ CASTILLO</t>
  </si>
  <si>
    <t>33055534</t>
  </si>
  <si>
    <t>YULDALIA  SOTO ALVAREZ</t>
  </si>
  <si>
    <t>71714512</t>
  </si>
  <si>
    <t>GIOVANI  MORENO MENESES</t>
  </si>
  <si>
    <t>1025660692</t>
  </si>
  <si>
    <t>ESTEBAN  BETANCUR CATAÑO</t>
  </si>
  <si>
    <t>1152443742</t>
  </si>
  <si>
    <t>ANA MARIA RIVERA BECERRA</t>
  </si>
  <si>
    <t>1000533354</t>
  </si>
  <si>
    <t>PAULA ANDREA TAMAYO ALVAREZ</t>
  </si>
  <si>
    <t>1216725391</t>
  </si>
  <si>
    <t>JUAN FERNANDO HIGUITA DAVID</t>
  </si>
  <si>
    <t>1020114007</t>
  </si>
  <si>
    <t>ALEJANDRA  VARGAS</t>
  </si>
  <si>
    <t>1102391263</t>
  </si>
  <si>
    <t>ERIKA PAOLA ARDILA PICO</t>
  </si>
  <si>
    <t>1017190657</t>
  </si>
  <si>
    <t>SULMY NATALIA GRACIANO TUBERQUIA</t>
  </si>
  <si>
    <t>1025894754</t>
  </si>
  <si>
    <t>ANTONIA  GOMEZ VERGARA</t>
  </si>
  <si>
    <t>1039465903</t>
  </si>
  <si>
    <t>MARIA ALEJANDRA GARZON MUÑOZ</t>
  </si>
  <si>
    <t>1039463209</t>
  </si>
  <si>
    <t>DANIELA  CARTAGENA PATIÑO</t>
  </si>
  <si>
    <t>1000203626</t>
  </si>
  <si>
    <t>KELYS EDIT JULIO ANGULO</t>
  </si>
  <si>
    <t>1020436690</t>
  </si>
  <si>
    <t>LEIDY  CORTES RUIZ</t>
  </si>
  <si>
    <t>71614741</t>
  </si>
  <si>
    <t>ALVARO SERGIO PIEDRAHITA ESCOBAR</t>
  </si>
  <si>
    <t>1128432954</t>
  </si>
  <si>
    <t>BIVIANA MARIA AGUDELO ZAPATA</t>
  </si>
  <si>
    <t>1001132818</t>
  </si>
  <si>
    <t>MANUELA  ESPINAL GIL</t>
  </si>
  <si>
    <t>3/70</t>
  </si>
  <si>
    <t>1214714205</t>
  </si>
  <si>
    <t>LEIDY JOHANA TABORDA ARIAS</t>
  </si>
  <si>
    <t>MAR-02 - Marketing Digital y Gestión de Comunidades</t>
  </si>
  <si>
    <t>MAR-02</t>
  </si>
  <si>
    <t>4/70</t>
  </si>
  <si>
    <t>Katherinne  Salazar</t>
  </si>
  <si>
    <t>Traslado desde MAR-05</t>
  </si>
  <si>
    <t>Traslado desde MAR-04</t>
  </si>
  <si>
    <t>1146439878</t>
  </si>
  <si>
    <t>LUIS MIGUEL HERNANDEZ TABARES</t>
  </si>
  <si>
    <t>8/30</t>
  </si>
  <si>
    <t>1128458391</t>
  </si>
  <si>
    <t>JOHAN DAVID JIMENEZ PINEDA</t>
  </si>
  <si>
    <t>1033185081</t>
  </si>
  <si>
    <t>LAURA VALENTINA PESCADOR VALENTINA</t>
  </si>
  <si>
    <t>1017188633</t>
  </si>
  <si>
    <t>SEBASTIAN  GOMEZ OSPINA</t>
  </si>
  <si>
    <t>1216730140</t>
  </si>
  <si>
    <t>ANDRES FELIPE CORTES CANO</t>
  </si>
  <si>
    <t>7/30</t>
  </si>
  <si>
    <t>1035227923</t>
  </si>
  <si>
    <t>INGRID ELENA RIOS ARCILA</t>
  </si>
  <si>
    <t>1127620042</t>
  </si>
  <si>
    <t>EVA AYLEEN OSORIO HERRERA</t>
  </si>
  <si>
    <t>1018232207</t>
  </si>
  <si>
    <t>SOFIA  VARGAS</t>
  </si>
  <si>
    <t>1195213345</t>
  </si>
  <si>
    <t>TIFFANY  RENTERIA BARRERA</t>
  </si>
  <si>
    <t>1017213790</t>
  </si>
  <si>
    <t>PAOLA ANDREA OROZCO DIOSA</t>
  </si>
  <si>
    <t>3396763</t>
  </si>
  <si>
    <t>VICTOR HUGO CORREA GARCIA</t>
  </si>
  <si>
    <t>1018235954</t>
  </si>
  <si>
    <t>VALENTINA  ROLDAN GARCIA</t>
  </si>
  <si>
    <t>1152189876</t>
  </si>
  <si>
    <t>NATALIA  HOYOS ATEHORTUA</t>
  </si>
  <si>
    <t>1015072318</t>
  </si>
  <si>
    <t>PAULA ANDREA CIFUENTES CHAVARRIAG</t>
  </si>
  <si>
    <t>1002088059</t>
  </si>
  <si>
    <t>YENNIFER  HUERTAS VALOYES</t>
  </si>
  <si>
    <t>12748313</t>
  </si>
  <si>
    <t>EFRAIN  ROSERO CARVAJAL</t>
  </si>
  <si>
    <t>1025883803</t>
  </si>
  <si>
    <t>PAULINA  RESTREPO LOAIZA</t>
  </si>
  <si>
    <t>1025765244</t>
  </si>
  <si>
    <t>LUISA FERNANDA RESTREPO PULGARIN</t>
  </si>
  <si>
    <t>71379850</t>
  </si>
  <si>
    <t>MIGUEL ANGEL BENITEZ HENAO</t>
  </si>
  <si>
    <t>1128419397</t>
  </si>
  <si>
    <t>JHONATAN EDUARDO BERRIO TORO</t>
  </si>
  <si>
    <t>1000084731</t>
  </si>
  <si>
    <t>MANUELA  BARRIENTOS BELTRAN</t>
  </si>
  <si>
    <t>91446169</t>
  </si>
  <si>
    <t>ALVARO  BALDOVINO MONTES</t>
  </si>
  <si>
    <t>1038262196</t>
  </si>
  <si>
    <t>MARIA ALEJANDRA OROZCO MALDONADO</t>
  </si>
  <si>
    <t>1037650555</t>
  </si>
  <si>
    <t>VERONICA  GUERRERO CORTES</t>
  </si>
  <si>
    <t>32774611</t>
  </si>
  <si>
    <t>KARILYN ERLEEN ORDOSGOITI ALDANA</t>
  </si>
  <si>
    <t>Traslado desde MAR-01</t>
  </si>
  <si>
    <t>43921199</t>
  </si>
  <si>
    <t>SANDRA CATALINA LONDOÑO MONTOYA</t>
  </si>
  <si>
    <t>1152707527</t>
  </si>
  <si>
    <t>MARIA CAMILA LUJAN GARCIA</t>
  </si>
  <si>
    <t>MAR-03 - Marketing Digital y Gestión de Comunidades</t>
  </si>
  <si>
    <t>MAR-03</t>
  </si>
  <si>
    <t>1017220808</t>
  </si>
  <si>
    <t>CLAUDIA JANETH MOLINA TAMAYO</t>
  </si>
  <si>
    <t>1036626332</t>
  </si>
  <si>
    <t>SOL BEATRIZ OSORIO GIRALDO</t>
  </si>
  <si>
    <t>1000098422</t>
  </si>
  <si>
    <t>MARIA PAULINA OSPINA USUGA</t>
  </si>
  <si>
    <t>43491576</t>
  </si>
  <si>
    <t>HILDA AMPARO BALLESTERO OSORIO</t>
  </si>
  <si>
    <t>1000189108</t>
  </si>
  <si>
    <t>SARA  RESTREPO MARTINEZ</t>
  </si>
  <si>
    <t>43118222</t>
  </si>
  <si>
    <t>BIBIANA PATRICIA AGUDELO ACEVEDO</t>
  </si>
  <si>
    <t>1020115688</t>
  </si>
  <si>
    <t>HANNAH  MOLINA VALENCIA</t>
  </si>
  <si>
    <t>1143395788</t>
  </si>
  <si>
    <t>LUISA FERNANDA ECHAVARRIA CADAVID</t>
  </si>
  <si>
    <t>1066870805</t>
  </si>
  <si>
    <t>ESTEFANY CAROLINA GUERRA GUERRA</t>
  </si>
  <si>
    <t>1039760459</t>
  </si>
  <si>
    <t>CRISTIAN ALONSO TORRES GARCIA</t>
  </si>
  <si>
    <t>42778278</t>
  </si>
  <si>
    <t>ANGELA MARIA GUTIERREZ AGUDELO</t>
  </si>
  <si>
    <t>1192817814</t>
  </si>
  <si>
    <t>VALENTINA  HERRERA PUERTA</t>
  </si>
  <si>
    <t>1077870099</t>
  </si>
  <si>
    <t>MARIA DEL MAR VILLANUEVA ALVAREZ</t>
  </si>
  <si>
    <t>1128442129</t>
  </si>
  <si>
    <t>VANESSA  CASTANEDA OROZCO</t>
  </si>
  <si>
    <t>1214729403</t>
  </si>
  <si>
    <t>SANTIAGO  ZAPATA</t>
  </si>
  <si>
    <t>1020429754</t>
  </si>
  <si>
    <t>SARA  CEBALLOS TANGARIFE</t>
  </si>
  <si>
    <t>1022147448</t>
  </si>
  <si>
    <t>MARIA JOSE RAMIREZ TANGARIFE RAMIREZ</t>
  </si>
  <si>
    <t>32209499</t>
  </si>
  <si>
    <t>ANA MARIA MORALES DIAZ</t>
  </si>
  <si>
    <t>1035438178</t>
  </si>
  <si>
    <t>CINDY VANESA CASTRO GOMEZ</t>
  </si>
  <si>
    <t>1152187205</t>
  </si>
  <si>
    <t>MILENA  URIBE RESTREPO</t>
  </si>
  <si>
    <t>1035437089</t>
  </si>
  <si>
    <t>DANIELA  LOPEZ ALZATE</t>
  </si>
  <si>
    <t>1152713570</t>
  </si>
  <si>
    <t>MATEO ANDRES BERRIO MARIN</t>
  </si>
  <si>
    <t>71368183</t>
  </si>
  <si>
    <t>JOVAN CADAVID LONDOÑO</t>
  </si>
  <si>
    <t>1010132376</t>
  </si>
  <si>
    <t>ANGIE PAOLA MONSALVE RUIZ</t>
  </si>
  <si>
    <t>1152695987</t>
  </si>
  <si>
    <t>EDISON ALEXANDER USUGA MARTINEZ</t>
  </si>
  <si>
    <t>1001744258</t>
  </si>
  <si>
    <t>CARLOS ANDRES CAMPO ARANGO</t>
  </si>
  <si>
    <t>71753563</t>
  </si>
  <si>
    <t>DIEGO ANDRÉS CANO ALDANA</t>
  </si>
  <si>
    <t>1044504342</t>
  </si>
  <si>
    <t>LADY CAROLINA GAVIRIA SAENZ</t>
  </si>
  <si>
    <t>71364104</t>
  </si>
  <si>
    <t>YEISSON ANDRES GONZALEZ DUQUE</t>
  </si>
  <si>
    <t>1046812329</t>
  </si>
  <si>
    <t>MELIA ANGELA GIRALDO PEÑA</t>
  </si>
  <si>
    <t>1152223207</t>
  </si>
  <si>
    <t>PAULA  OSPINA GARCIA</t>
  </si>
  <si>
    <t>42693622</t>
  </si>
  <si>
    <t>VERÓNICA DE LOS ANG QUIÑONEZ RIVERA</t>
  </si>
  <si>
    <t>1033259071</t>
  </si>
  <si>
    <t>LAURA  MUÑOZ CIFUENTES</t>
  </si>
  <si>
    <t>1128471975</t>
  </si>
  <si>
    <t>RAISSA ALEXANDRA VALENCIA BENITEZ</t>
  </si>
  <si>
    <t>1001137309</t>
  </si>
  <si>
    <t>NATALIA ANDREA HERRERA GIRALDO</t>
  </si>
  <si>
    <t>1128389794</t>
  </si>
  <si>
    <t>SÉRGIO JOHAN JARAMILLO MORENO</t>
  </si>
  <si>
    <t>1125271652</t>
  </si>
  <si>
    <t>LAIA MARIN MARIN AMEZQUITA</t>
  </si>
  <si>
    <t>1003409537</t>
  </si>
  <si>
    <t>BARBARA  MEJÍA VASQUEZ</t>
  </si>
  <si>
    <t>MAR-04 - Marketing Digital y Gestión de Comunidades</t>
  </si>
  <si>
    <t>MAR-04</t>
  </si>
  <si>
    <t>Sara N. Juyo Morera</t>
  </si>
  <si>
    <t>1035155297</t>
  </si>
  <si>
    <t>MAROLIN  SANTO SILGADO</t>
  </si>
  <si>
    <t>98550451</t>
  </si>
  <si>
    <t>JIOVANNI ALBERTO GALEANO OSPINA</t>
  </si>
  <si>
    <t>1193374447</t>
  </si>
  <si>
    <t>FRANCISCO JAVIER RINCON CABALLERO</t>
  </si>
  <si>
    <t>1036646572</t>
  </si>
  <si>
    <t>MARIA PAULINA PALACIO OSORIO</t>
  </si>
  <si>
    <t>15668395</t>
  </si>
  <si>
    <t>BELISARIO BELISARIO AZUERO PORTACIO</t>
  </si>
  <si>
    <t>1193114217</t>
  </si>
  <si>
    <t>ANDREA  GONZALEZ MEDINA</t>
  </si>
  <si>
    <t>1216727161</t>
  </si>
  <si>
    <t>DANIEL ESTEBAN TORRES RAMÍREZ</t>
  </si>
  <si>
    <t>1039597036</t>
  </si>
  <si>
    <t>YOJHAN ANDERSON GUERRA SUAZA</t>
  </si>
  <si>
    <t>1017249383</t>
  </si>
  <si>
    <t>JUAN MANUEL BETANCUR VÁSQUEZ</t>
  </si>
  <si>
    <t>1017218670</t>
  </si>
  <si>
    <t>NATALIA  HOYOS MUÑOZ</t>
  </si>
  <si>
    <t>71222684</t>
  </si>
  <si>
    <t>JORGE IVÁN CUARTAS BANDA</t>
  </si>
  <si>
    <t>1036645032</t>
  </si>
  <si>
    <t>LIZET CRISTINA MONTOYA SANCHEZ</t>
  </si>
  <si>
    <t>1017922251</t>
  </si>
  <si>
    <t>JULIANA  HINCAPIE GALLEGO</t>
  </si>
  <si>
    <t>1035443784</t>
  </si>
  <si>
    <t>YÉSICA CAROLINA SÁNCHEZ MORALES</t>
  </si>
  <si>
    <t>1037580645</t>
  </si>
  <si>
    <t>JORGE ANDRES ZAPATA ARANGO</t>
  </si>
  <si>
    <t>1018222341</t>
  </si>
  <si>
    <t>JHONATAN DAVID ASPRILLA ARANGO</t>
  </si>
  <si>
    <t>1083559854</t>
  </si>
  <si>
    <t>DAVID ISAI LOPEZ FANDIÑO</t>
  </si>
  <si>
    <t>1037671484</t>
  </si>
  <si>
    <t>VALERIA  OCAMPO OSORIO</t>
  </si>
  <si>
    <t>1216715692</t>
  </si>
  <si>
    <t>YESSICA  URIBE RESTREPO</t>
  </si>
  <si>
    <t>1023622059</t>
  </si>
  <si>
    <t>ANA MARIA TABORDA MONSALVE</t>
  </si>
  <si>
    <t>1036654940</t>
  </si>
  <si>
    <t>CAMILO ANDRES GOMEZ MARIN</t>
  </si>
  <si>
    <t>1020496165</t>
  </si>
  <si>
    <t>ESTHEFANIA  VARGAS RIZO</t>
  </si>
  <si>
    <t>1039474590</t>
  </si>
  <si>
    <t>ANA MARIA ALZATE LOPEZ</t>
  </si>
  <si>
    <t>1128441189</t>
  </si>
  <si>
    <t>ESTEFANY ESTEFANY ALZATE ARROYAVE</t>
  </si>
  <si>
    <t>1065844743</t>
  </si>
  <si>
    <t>DINA MARCELA CASADIEGO MOSQUERA</t>
  </si>
  <si>
    <t>1036935189</t>
  </si>
  <si>
    <t>JOHAN  OSPINA CARDONA</t>
  </si>
  <si>
    <t>1035437181</t>
  </si>
  <si>
    <t>MARIANA  ROBLEDO MAYA</t>
  </si>
  <si>
    <t>1152688960</t>
  </si>
  <si>
    <t>YONNY FERNEY POSADA POSADA</t>
  </si>
  <si>
    <t>1037591391</t>
  </si>
  <si>
    <t>LIZ NATALY OSPINA ZAPATA</t>
  </si>
  <si>
    <t>3664288</t>
  </si>
  <si>
    <t>JUAN ALEXANDER PINO JARAMILLO</t>
  </si>
  <si>
    <t>43454839</t>
  </si>
  <si>
    <t>JULIETH ANDREA MOSQUERA MOSQUERA</t>
  </si>
  <si>
    <t>1020306974</t>
  </si>
  <si>
    <t>JERONIMO  PARRA LLANO</t>
  </si>
  <si>
    <t>43454382</t>
  </si>
  <si>
    <t>PATRICIA MILENA VASQUEZ GUTIERREZ</t>
  </si>
  <si>
    <t>1033259070</t>
  </si>
  <si>
    <t>MARIANA  MUÑOZ CIFUENTES</t>
  </si>
  <si>
    <t>1017930061</t>
  </si>
  <si>
    <t>DANIELA  TÁMARA DUARTE</t>
  </si>
  <si>
    <t>1128278250</t>
  </si>
  <si>
    <t>LUIS FERNANDO SOTO PEREZ</t>
  </si>
  <si>
    <t>1037577108</t>
  </si>
  <si>
    <t>LEIDY CATALINA BARREIRO RESTREPO</t>
  </si>
  <si>
    <t>1000871713</t>
  </si>
  <si>
    <t>MANUELA  CASTAÑO PEREZ</t>
  </si>
  <si>
    <t>1128427509</t>
  </si>
  <si>
    <t>OSCAR ALEJANDRO HERRERA SERNA</t>
  </si>
  <si>
    <t>1001026125</t>
  </si>
  <si>
    <t>GISELA MILET PADILLA MUÑOZ</t>
  </si>
  <si>
    <t>1001368476</t>
  </si>
  <si>
    <t>VALENTINA  TABORDA LAVERDE</t>
  </si>
  <si>
    <t>1037640309</t>
  </si>
  <si>
    <t>KEVIN  GARCIA ARANGO</t>
  </si>
  <si>
    <t>43604425</t>
  </si>
  <si>
    <t>YENNY OMAIRA BOLAÑOS GALLEGO</t>
  </si>
  <si>
    <t>1011510145</t>
  </si>
  <si>
    <t>MARIA CLARA GAVIRIA USUGA</t>
  </si>
  <si>
    <t>1037656414</t>
  </si>
  <si>
    <t>DANIEL  HERNANDEZ GIL</t>
  </si>
  <si>
    <t>71704188</t>
  </si>
  <si>
    <t>JOSH KENNETH MENA BLANDÓN</t>
  </si>
  <si>
    <t>1061808973</t>
  </si>
  <si>
    <t>MARIA CAMILA RODRIGUEZ LARA</t>
  </si>
  <si>
    <t>43074233</t>
  </si>
  <si>
    <t>OMAYRA DEL CARMEN POSADA MORENO</t>
  </si>
  <si>
    <t>1128471519</t>
  </si>
  <si>
    <t>MARIA ISABEL TRUJILLO ORTIZ</t>
  </si>
  <si>
    <t>MAR-05 - Marketing Digital y Gestión de Comunidades</t>
  </si>
  <si>
    <t>MAR-05</t>
  </si>
  <si>
    <t>1000900294</t>
  </si>
  <si>
    <t>SANTIAGO  FLOREZ ZAPATA</t>
  </si>
  <si>
    <t>71226512</t>
  </si>
  <si>
    <t>UBALDO DE JESÚS ZAPATA CARDONA</t>
  </si>
  <si>
    <t>39177141</t>
  </si>
  <si>
    <t>JENIFFER  DURAN DIAZ</t>
  </si>
  <si>
    <t>1027741321</t>
  </si>
  <si>
    <t>MARIANA  GALLEGO ORTEGA</t>
  </si>
  <si>
    <t>1128461619</t>
  </si>
  <si>
    <t>KATHERINE LEMUS PATRÓN</t>
  </si>
  <si>
    <t>1017175511</t>
  </si>
  <si>
    <t>GEVILLER YESID MARIN PULGARIN</t>
  </si>
  <si>
    <t>21466826</t>
  </si>
  <si>
    <t>PAOLA ANDRES LARA RAMIREZ</t>
  </si>
  <si>
    <t>71268326</t>
  </si>
  <si>
    <t>CARLOS ANDRES OTALVARO AGUIRRE</t>
  </si>
  <si>
    <t>44001297</t>
  </si>
  <si>
    <t>YULIE ALEXANDRA QUINTERO CALLE</t>
  </si>
  <si>
    <t>1214736290</t>
  </si>
  <si>
    <t>JULIANA  GARRIDO RIVERA</t>
  </si>
  <si>
    <t>1020482333</t>
  </si>
  <si>
    <t>DANIELA  HOLGUÍN RESTREPO</t>
  </si>
  <si>
    <t>1152225318</t>
  </si>
  <si>
    <t>JOSE DAVID VARGAS ZARZA</t>
  </si>
  <si>
    <t>1128440170</t>
  </si>
  <si>
    <t>JESSIKA JOHANA PEREZ GUTIERREZ</t>
  </si>
  <si>
    <t>16936132</t>
  </si>
  <si>
    <t>ELIO FERNANDO VALENCIA MEDINA</t>
  </si>
  <si>
    <t>43154550</t>
  </si>
  <si>
    <t>MARY LUZ TOBON TOBON</t>
  </si>
  <si>
    <t>32180782</t>
  </si>
  <si>
    <t>JANETH PATRICIA VELASQUEZ LABRADOR</t>
  </si>
  <si>
    <t>43998257</t>
  </si>
  <si>
    <t>JHULIANA PATRICIA BLANDÓN JARAMILLO</t>
  </si>
  <si>
    <t>43106209</t>
  </si>
  <si>
    <t>IDALIA IDALIA ORTEGA ESTRADA</t>
  </si>
  <si>
    <t>1152685018</t>
  </si>
  <si>
    <t>JESSICA KATTERIN MIRANDA SALAS</t>
  </si>
  <si>
    <t>1128420838</t>
  </si>
  <si>
    <t>YENNIFER  MONCADA BOTERO</t>
  </si>
  <si>
    <t>1128270360</t>
  </si>
  <si>
    <t>TATIANA  VALLEJO PIEDRAHITA</t>
  </si>
  <si>
    <t>1013344536</t>
  </si>
  <si>
    <t>KAREN SOFÍA MANCO HERNÁNDEZ</t>
  </si>
  <si>
    <t>1018241525</t>
  </si>
  <si>
    <t>CRISTIAN DANIEL ALVAREZ DURANGO</t>
  </si>
  <si>
    <t>1036681054</t>
  </si>
  <si>
    <t>ROSA ANGELICA MORA BEDOYA</t>
  </si>
  <si>
    <t>43203021</t>
  </si>
  <si>
    <t>DIANA MARCELA BEDOYA PATIÑO</t>
  </si>
  <si>
    <t>1128461336</t>
  </si>
  <si>
    <t>KETZELLY  BETANCUR SERNA</t>
  </si>
  <si>
    <t>1017146289</t>
  </si>
  <si>
    <t>LEIDY MARISA HERRERA ARREDONDO</t>
  </si>
  <si>
    <t>32184948</t>
  </si>
  <si>
    <t>CAROLINA MARIA OSORIO IDARRAGA</t>
  </si>
  <si>
    <t>1020302471</t>
  </si>
  <si>
    <t>JERÓNIMO  RÍOS BASTIDAS</t>
  </si>
  <si>
    <t>1017259905</t>
  </si>
  <si>
    <t>PAOLA ANDREA JIMENEZ GOMEZ</t>
  </si>
  <si>
    <t>43738658</t>
  </si>
  <si>
    <t>AIDE LORIHE RAMIREZ</t>
  </si>
  <si>
    <t>1026163146</t>
  </si>
  <si>
    <t>MARIA JOSE  ALBAN ARAGON</t>
  </si>
  <si>
    <t>17974720</t>
  </si>
  <si>
    <t>ROBERTO CARLOS DAZA GOMEZ</t>
  </si>
  <si>
    <t>1040745974</t>
  </si>
  <si>
    <t>DANIELA  CARDONA GUISAO</t>
  </si>
  <si>
    <t>1112769854</t>
  </si>
  <si>
    <t>YENNI VANESA CARDENAS GOMEZ</t>
  </si>
  <si>
    <t>1037120675</t>
  </si>
  <si>
    <t>MALORY  HENAO MARTINEZ</t>
  </si>
  <si>
    <t>44000261</t>
  </si>
  <si>
    <t>NADYA KATHERINE HERNANDEZ FLOREZ</t>
  </si>
  <si>
    <t>1110532520</t>
  </si>
  <si>
    <t>MARIA OFELIA CASILIMAS PARRA</t>
  </si>
  <si>
    <t>1128439842</t>
  </si>
  <si>
    <t>GLORIA CRISTINA OCAMPO CARO</t>
  </si>
  <si>
    <t>1037644420</t>
  </si>
  <si>
    <t>ALEJANDRO  GUERRA ESCOBAR</t>
  </si>
  <si>
    <t>MAR-06 - Marketing Digital y Gestión de Comunidades</t>
  </si>
  <si>
    <t>MAR-06</t>
  </si>
  <si>
    <t>Manuela Ramirez Eusse</t>
  </si>
  <si>
    <t>1038130906</t>
  </si>
  <si>
    <t>ANGELICA  GOMEZ</t>
  </si>
  <si>
    <t>1033259411</t>
  </si>
  <si>
    <t>ESTEFANNY  DAVID MONTOYA</t>
  </si>
  <si>
    <t>1082851524</t>
  </si>
  <si>
    <t>DANIELA CECILIA NUÑEZ CABRERA</t>
  </si>
  <si>
    <t>1011511383</t>
  </si>
  <si>
    <t>DANIEL  GIRALDO VILLA</t>
  </si>
  <si>
    <t>1036656938</t>
  </si>
  <si>
    <t>ESTEFANÍA  MURIEL AGUDELO</t>
  </si>
  <si>
    <t>1022003121</t>
  </si>
  <si>
    <t>MARIANA  DAVILA VELASQUEZ</t>
  </si>
  <si>
    <t>1000151034</t>
  </si>
  <si>
    <t>LINA MARIA RAMIREZ OROZCO</t>
  </si>
  <si>
    <t>98569664</t>
  </si>
  <si>
    <t>JURY ALEJANDRO BETANCUR RIOS</t>
  </si>
  <si>
    <t>1000549908</t>
  </si>
  <si>
    <t>YENIFER  MAZO ARANGO</t>
  </si>
  <si>
    <t>1128400827</t>
  </si>
  <si>
    <t>JOHNATAN STEVEN FLÓREZ GARCÍA</t>
  </si>
  <si>
    <t>1010196232</t>
  </si>
  <si>
    <t>CINDY PAOLA VELASQUEZ MORENO</t>
  </si>
  <si>
    <t>1020443987</t>
  </si>
  <si>
    <t>ESTEFANIA  MARTINEZ VALENCIA</t>
  </si>
  <si>
    <t>1131224085</t>
  </si>
  <si>
    <t>DULCE MARIA MARIN MUÑOZ</t>
  </si>
  <si>
    <t>1004717601</t>
  </si>
  <si>
    <t>LUISA FERNANDA ARTEAGA VALENCIA</t>
  </si>
  <si>
    <t>1038415794</t>
  </si>
  <si>
    <t>ELIZABETH  CORREA SOTO</t>
  </si>
  <si>
    <t>1036651361</t>
  </si>
  <si>
    <t>CAMILA  AGUDELO FIGUEROA</t>
  </si>
  <si>
    <t>39285683</t>
  </si>
  <si>
    <t>DIANA MARCELA GIRALDO GIRALDO</t>
  </si>
  <si>
    <t>22028903</t>
  </si>
  <si>
    <t>NELLY DEL SOCORR FERRARO HERNANDEZ</t>
  </si>
  <si>
    <t>1001234787</t>
  </si>
  <si>
    <t>SARA  CASTAÑO SIERRA</t>
  </si>
  <si>
    <t>1214718259</t>
  </si>
  <si>
    <t>MARIA ALEJANDRA ZULETA RUA</t>
  </si>
  <si>
    <t>1007690090</t>
  </si>
  <si>
    <t>ESTEFANIA  ARIAS ARIAS</t>
  </si>
  <si>
    <t>1128481212</t>
  </si>
  <si>
    <t>LINDA GISELA MUNOZ ESCOBAR</t>
  </si>
  <si>
    <t>1001140046</t>
  </si>
  <si>
    <t>ZORAIDA  RODRIGUEZ USUGA</t>
  </si>
  <si>
    <t>1053773799</t>
  </si>
  <si>
    <t>ADRIANA MARCELA MUÑOZ BETANCUR</t>
  </si>
  <si>
    <t>32255833</t>
  </si>
  <si>
    <t>LEIDY CATALINA OLIVEROS OLIVEROS</t>
  </si>
  <si>
    <t>1214734869</t>
  </si>
  <si>
    <t>MATTHEW  ALEAN SEPULVEDA</t>
  </si>
  <si>
    <t>1193559556</t>
  </si>
  <si>
    <t>PAULA SOFIA GARCIA LIZCANO</t>
  </si>
  <si>
    <t>1085229004</t>
  </si>
  <si>
    <t>YESENIA  GOMEZ MANCERA</t>
  </si>
  <si>
    <t>1000873380</t>
  </si>
  <si>
    <t>JOHAN ALBERTO CARDONA GOMEZ</t>
  </si>
  <si>
    <t>1066188311</t>
  </si>
  <si>
    <t>NOHEMI  AVILEZ CASTILLO</t>
  </si>
  <si>
    <t>1152451486</t>
  </si>
  <si>
    <t>JULIAN SANTIAGO PUERTA MUÑOZ</t>
  </si>
  <si>
    <t>1003191641</t>
  </si>
  <si>
    <t>DIANA PATRICIA VALENCIA MORALES</t>
  </si>
  <si>
    <t>1152204194</t>
  </si>
  <si>
    <t>LUIS FERNANDO CORAL JURADO</t>
  </si>
  <si>
    <t>1020423483</t>
  </si>
  <si>
    <t>JOHAN STIVEN FORONDA GALLEGO</t>
  </si>
  <si>
    <t>1185714048</t>
  </si>
  <si>
    <t>JHAN CARLO PRISCO GARCIA</t>
  </si>
  <si>
    <t>1045506159</t>
  </si>
  <si>
    <t>LUIS FERNANDO RAMIREZ</t>
  </si>
  <si>
    <t>43613366</t>
  </si>
  <si>
    <t>HELEN KATHY BAENA SUAZA</t>
  </si>
  <si>
    <t>1025650906</t>
  </si>
  <si>
    <t>ISABELA ISABELA VEGA ALVAREZ</t>
  </si>
  <si>
    <t>1128277469</t>
  </si>
  <si>
    <t>ERIKA JULIETH OCHOA ALZATE</t>
  </si>
  <si>
    <t>1000393492</t>
  </si>
  <si>
    <t>JULIANA  CASAS TORO</t>
  </si>
  <si>
    <t>1033341846</t>
  </si>
  <si>
    <t>YENDY VANESSA BETANCUR PALACIO</t>
  </si>
  <si>
    <t>1036782287</t>
  </si>
  <si>
    <t>FRANCY YULEY CIRO OCAMPO</t>
  </si>
  <si>
    <t>1039784436</t>
  </si>
  <si>
    <t>JERONIMO  CARMONA MARIN</t>
  </si>
  <si>
    <t>1070609312</t>
  </si>
  <si>
    <t>DAYSSON ESTID HENAO GUZMAN</t>
  </si>
  <si>
    <t>1020109877</t>
  </si>
  <si>
    <t>LOREN DAIANA MORENO SANCHEZ</t>
  </si>
  <si>
    <t>MAR-07 - Marketing Digital y Gestión de Comunidades</t>
  </si>
  <si>
    <t>MAR-07</t>
  </si>
  <si>
    <t>1021805528</t>
  </si>
  <si>
    <t>ANA SOFIA MORENO RENTERIA</t>
  </si>
  <si>
    <t>1127600870</t>
  </si>
  <si>
    <t>LUCIA FERNANDA MONTES CORTES</t>
  </si>
  <si>
    <t>1020224336</t>
  </si>
  <si>
    <t>VALERY  CORTES SALAZAR</t>
  </si>
  <si>
    <t>1034922606</t>
  </si>
  <si>
    <t>JULIANA  VILLA MARTINEZ</t>
  </si>
  <si>
    <t>1987882</t>
  </si>
  <si>
    <t>DANIELA DESIREE HENRIQUEZ DIAZ</t>
  </si>
  <si>
    <t>80727884</t>
  </si>
  <si>
    <t>JOSE DANIEL PEREZ SANABRIA</t>
  </si>
  <si>
    <t>42795701</t>
  </si>
  <si>
    <t>NORA ELENA CORREA PALACIO</t>
  </si>
  <si>
    <t>6316738</t>
  </si>
  <si>
    <t>JEANYANGEL STEPHANI HERNÁNDEZ MARCANO</t>
  </si>
  <si>
    <t>1000413632</t>
  </si>
  <si>
    <t>VALENTINA  SANCHEZ CAÑAS</t>
  </si>
  <si>
    <t>1000898240</t>
  </si>
  <si>
    <t>LUISA FERNANDA LONDOÑO VARELAS</t>
  </si>
  <si>
    <t>1152186672</t>
  </si>
  <si>
    <t>MANUEL ALEJANDRO CARTAGENA VALDERRAMA</t>
  </si>
  <si>
    <t>1082781063</t>
  </si>
  <si>
    <t>CARLOS MARIO IBARRA REALPE</t>
  </si>
  <si>
    <t>1001414531</t>
  </si>
  <si>
    <t>JORGE ARMANDO MUÑOZ OCHOA</t>
  </si>
  <si>
    <t>1017197590</t>
  </si>
  <si>
    <t>MARISOL JOSE MORALES OSSA</t>
  </si>
  <si>
    <t>1128273237</t>
  </si>
  <si>
    <t>CINDY ANDREA ECHEVERRI VELEZ</t>
  </si>
  <si>
    <t>1152188815</t>
  </si>
  <si>
    <t>ALEJANDRO  SALAZAR LOPEZ</t>
  </si>
  <si>
    <t>1000533305</t>
  </si>
  <si>
    <t>MARIA CAMILA ALVAREZ RAIGOSA</t>
  </si>
  <si>
    <t>1017237425</t>
  </si>
  <si>
    <t>ALEJANDRO  PÉREZ VALENCIA</t>
  </si>
  <si>
    <t>71734266</t>
  </si>
  <si>
    <t>MIGUEL FERNANDO BARCO OSPINA</t>
  </si>
  <si>
    <t>1036682780</t>
  </si>
  <si>
    <t>ANYI CAROLINA PANIAGUA EUSE</t>
  </si>
  <si>
    <t>1023634673</t>
  </si>
  <si>
    <t>SALOME  PITRE BETANCOURT</t>
  </si>
  <si>
    <t>1152438801</t>
  </si>
  <si>
    <t>ANA MARÍA OSPINA MONTOYA</t>
  </si>
  <si>
    <t>1047967181</t>
  </si>
  <si>
    <t>JUAN DAVID GIRALDO GUTIERREZ</t>
  </si>
  <si>
    <t>1214727917</t>
  </si>
  <si>
    <t>JUAN DAVID DURÁN MARÍN</t>
  </si>
  <si>
    <t>1128459648</t>
  </si>
  <si>
    <t>DIANA LUCIA TABORDA ARDILA</t>
  </si>
  <si>
    <t>1000645438</t>
  </si>
  <si>
    <t>TATIANA  ORTIZ JURADO</t>
  </si>
  <si>
    <t>1037635950</t>
  </si>
  <si>
    <t>SEBASTIAN CAMILO AGUDELO CORREA</t>
  </si>
  <si>
    <t>1152716158</t>
  </si>
  <si>
    <t>JEANN CARLOS RODRÍGUEZ CARO</t>
  </si>
  <si>
    <t>1128463882</t>
  </si>
  <si>
    <t>JUAN PABLO GARCIA CASTAÑEDA</t>
  </si>
  <si>
    <t>1011396227</t>
  </si>
  <si>
    <t>ISMAEL ISMAEL URRECO DUQUE</t>
  </si>
  <si>
    <t>98659897</t>
  </si>
  <si>
    <t>JUAN ALEJANDRO LOPEZ VASQUEZ</t>
  </si>
  <si>
    <t>1018241126</t>
  </si>
  <si>
    <t>MICHELL MICHELL GÓMEZ YEPES</t>
  </si>
  <si>
    <t>Estudiantes</t>
  </si>
  <si>
    <t>Asistencia promedio</t>
  </si>
  <si>
    <t>RESPALDO DE DATOS ORIGINALES — copia de solo valores, 2026-09-25. No editar.</t>
  </si>
  <si>
    <t>Copia de 'Resumen por grupo'</t>
  </si>
  <si>
    <t>#</t>
  </si>
  <si>
    <t>Documento</t>
  </si>
  <si>
    <t>Tipo Doc.</t>
  </si>
  <si>
    <t>Correo</t>
  </si>
  <si>
    <t>Teléfono</t>
  </si>
  <si>
    <t>Estado matrícula</t>
  </si>
  <si>
    <t>Fecha matrícula</t>
  </si>
  <si>
    <t>Código grupo</t>
  </si>
  <si>
    <t>Nombre grupo</t>
  </si>
  <si>
    <t>CC</t>
  </si>
  <si>
    <t>ANGIELORENABH@GMAIL.COM</t>
  </si>
  <si>
    <t>3004482460</t>
  </si>
  <si>
    <t>LONDONOGIL.MARIAJOSE.101@GMAIL.COM</t>
  </si>
  <si>
    <t>3504171156</t>
  </si>
  <si>
    <t>ANDREA GOMEZ MOLINA</t>
  </si>
  <si>
    <t>ANDREGOMEZ505@GMAIL.COM</t>
  </si>
  <si>
    <t>3148690944</t>
  </si>
  <si>
    <t>ZAPATAFERNANDO636@GMAIL.COM</t>
  </si>
  <si>
    <t>3206783058</t>
  </si>
  <si>
    <t>JUANDANIELRC2005@GMAIL.COM</t>
  </si>
  <si>
    <t>3117366167</t>
  </si>
  <si>
    <t>CAMILA POSADA BERNAL</t>
  </si>
  <si>
    <t>CAMIPOSADABER@GMAIL.COM</t>
  </si>
  <si>
    <t>3148502569</t>
  </si>
  <si>
    <t>JOSEALEXISHER@GMAIL.COM</t>
  </si>
  <si>
    <t>3502054883</t>
  </si>
  <si>
    <t>LAURAMARINSEGURO@GMAIL.COM</t>
  </si>
  <si>
    <t>3218086919</t>
  </si>
  <si>
    <t>ISABELLA ESTRADA HENAO</t>
  </si>
  <si>
    <t>ISABELLAESTRADAHENAO1@GMAIL.COM</t>
  </si>
  <si>
    <t>3045571057</t>
  </si>
  <si>
    <t>KATHERINE ORDUZ ALVAREZ</t>
  </si>
  <si>
    <t>KOA63@HOTMAIL.COM</t>
  </si>
  <si>
    <t>3205372520</t>
  </si>
  <si>
    <t>SEBASTIAN LOPEZ CHAUX</t>
  </si>
  <si>
    <t>CONTACTOSEBASTIANCHAUX@GMAIL.COM</t>
  </si>
  <si>
    <t>3217175544</t>
  </si>
  <si>
    <t>JULI12854@HOTMAIL.COM</t>
  </si>
  <si>
    <t>3016598141</t>
  </si>
  <si>
    <t>CAMILOMARULANDA9150@GMAIL.COM</t>
  </si>
  <si>
    <t>3113293832</t>
  </si>
  <si>
    <t>DIEGOROCAR96@GMAIL.COM</t>
  </si>
  <si>
    <t>3194123148</t>
  </si>
  <si>
    <t>TI</t>
  </si>
  <si>
    <t>MARIACARODRIGUEZ08@GMAIL.COM</t>
  </si>
  <si>
    <t>3043382243</t>
  </si>
  <si>
    <t>SANTIAGO CERRO GÓMEZ</t>
  </si>
  <si>
    <t>SANTIAGOCERROG@GMAIL.COM</t>
  </si>
  <si>
    <t>3006737332</t>
  </si>
  <si>
    <t>VELASQUEZGCAMILA@GMAIL.COM</t>
  </si>
  <si>
    <t>3142135146</t>
  </si>
  <si>
    <t>SHARAYSOFIASIMANCASGOMEZ@GMAIL.COM</t>
  </si>
  <si>
    <t>3127380886</t>
  </si>
  <si>
    <t>LUISAF1817@HOTMAIL.COM</t>
  </si>
  <si>
    <t>3178533171</t>
  </si>
  <si>
    <t>SIMON RUALES YEPES</t>
  </si>
  <si>
    <t>XIMONXITO10@GMAIL.COM</t>
  </si>
  <si>
    <t>3007864853</t>
  </si>
  <si>
    <t>jdbedoya928@gmail.com</t>
  </si>
  <si>
    <t>3227078228</t>
  </si>
  <si>
    <t>WILSON ALZATE PINEDA</t>
  </si>
  <si>
    <t>WILALZATEP@GMAIL.COM</t>
  </si>
  <si>
    <t>3147146897</t>
  </si>
  <si>
    <t>anmakfel91@gmail.com</t>
  </si>
  <si>
    <t>3245702007</t>
  </si>
  <si>
    <t>linitamariah@hotmail.com</t>
  </si>
  <si>
    <t>3017550738</t>
  </si>
  <si>
    <t>danna.lego02@gmail.com</t>
  </si>
  <si>
    <t>3206652734</t>
  </si>
  <si>
    <t>alextavera65@gmail.com</t>
  </si>
  <si>
    <t>juandasc3112@hotmail.com</t>
  </si>
  <si>
    <t>3167539583</t>
  </si>
  <si>
    <t>MARIANA MEDINA MARTINEZ</t>
  </si>
  <si>
    <t>marianamm3113@gmail.com</t>
  </si>
  <si>
    <t>3013515477</t>
  </si>
  <si>
    <t>atehrjuan@gmail.com</t>
  </si>
  <si>
    <t>3005933092</t>
  </si>
  <si>
    <t>jlvargast@outlook.com</t>
  </si>
  <si>
    <t>3052404600</t>
  </si>
  <si>
    <t>ANDRES ARBOLEDA GARCIA</t>
  </si>
  <si>
    <t>andresgarcia028@gmail.com</t>
  </si>
  <si>
    <t>3006947846</t>
  </si>
  <si>
    <t>SANTIAGO BERNAL VELASQUEZ</t>
  </si>
  <si>
    <t>santiago.bernalve@amigo.edu.co</t>
  </si>
  <si>
    <t>3117128286</t>
  </si>
  <si>
    <t>MARIANA JARAMILLO LOPEZ</t>
  </si>
  <si>
    <t>MARIANAJARAMILLO312456@GMAIL.COM</t>
  </si>
  <si>
    <t>3017612045</t>
  </si>
  <si>
    <t>NATALI MORALES FLÓREZ</t>
  </si>
  <si>
    <t>NATALI.MORALESFL@AMIGO.EDU.CO</t>
  </si>
  <si>
    <t>3016581141</t>
  </si>
  <si>
    <t>MADELEYNE ARENAS MARIN</t>
  </si>
  <si>
    <t>LITARICB@GMAIL.COM</t>
  </si>
  <si>
    <t>3153539750</t>
  </si>
  <si>
    <t>LEONARDO QUINTERO MARQUEZ</t>
  </si>
  <si>
    <t>leonardoqm7600@gmail.com</t>
  </si>
  <si>
    <t>3218469242</t>
  </si>
  <si>
    <t>JUANPA-9103@HOTMAIL.COM</t>
  </si>
  <si>
    <t>3016235551</t>
  </si>
  <si>
    <t>JULIANA VELANDIA ZAMBRANO</t>
  </si>
  <si>
    <t>JULIANAVELANDIA00@GMAIL.COM</t>
  </si>
  <si>
    <t>3125553620</t>
  </si>
  <si>
    <t>monsalvemat26@gmail.com</t>
  </si>
  <si>
    <t>3017225169</t>
  </si>
  <si>
    <t>camilo0.7@hotmail.com</t>
  </si>
  <si>
    <t>3002810584</t>
  </si>
  <si>
    <t>SEBASTIÁN OBREGÓN SILVA</t>
  </si>
  <si>
    <t>SEBASOBRESILVA@GMAIL.COM</t>
  </si>
  <si>
    <t>3152546976</t>
  </si>
  <si>
    <t>jgonzalez900401@gmail.com</t>
  </si>
  <si>
    <t>3117467759</t>
  </si>
  <si>
    <t>ANACRISCQ@GMAIL.COM</t>
  </si>
  <si>
    <t>3215219056</t>
  </si>
  <si>
    <t>YICELY DIAZ TAPIAS</t>
  </si>
  <si>
    <t>yicely1@gmail.com</t>
  </si>
  <si>
    <t>3014026342</t>
  </si>
  <si>
    <t>maryorypiedrahita@hotmail.com</t>
  </si>
  <si>
    <t>3117083744</t>
  </si>
  <si>
    <t>SEBASTIAN URIBE ARBOLEDA</t>
  </si>
  <si>
    <t>SEBASURIBE_@HOTMAIL.COM</t>
  </si>
  <si>
    <t>3195922622</t>
  </si>
  <si>
    <t>LAURA VASCO PEREZ</t>
  </si>
  <si>
    <t>LAURA.VASCOP@GMAIL.COM</t>
  </si>
  <si>
    <t>3195232773</t>
  </si>
  <si>
    <t>CAROLINA MUÑOZ CORREA</t>
  </si>
  <si>
    <t>CAROMUNOZ1231@GMAIL.COM</t>
  </si>
  <si>
    <t>3016162172</t>
  </si>
  <si>
    <t>aleja.q818@gmail.com</t>
  </si>
  <si>
    <t>3197859663</t>
  </si>
  <si>
    <t>JOHND.LONDONO@UDEA.EDU.CO</t>
  </si>
  <si>
    <t>3148617129</t>
  </si>
  <si>
    <t>JCB3020@GMAIL.COM</t>
  </si>
  <si>
    <t>3004420281</t>
  </si>
  <si>
    <t>HPUERTAG100@GMAIL.COM</t>
  </si>
  <si>
    <t>3003111437</t>
  </si>
  <si>
    <t>LINDAMAHECHABUSTOS14@GMAIL.COM</t>
  </si>
  <si>
    <t>3143936587</t>
  </si>
  <si>
    <t>LAURAHOYOS91@GMAIL.COM</t>
  </si>
  <si>
    <t>3052992960</t>
  </si>
  <si>
    <t>ESPARTANOLIBREDENUEVO@GMAIL.COM</t>
  </si>
  <si>
    <t>3174650125</t>
  </si>
  <si>
    <t>ALZATE.MARILIN22@GMAIL.COM</t>
  </si>
  <si>
    <t>3164812137</t>
  </si>
  <si>
    <t>PRIBET.TH@GMAIL.COM</t>
  </si>
  <si>
    <t>3507542750</t>
  </si>
  <si>
    <t>INGWILLIAM.CASTRO1986@GMAIL.COM</t>
  </si>
  <si>
    <t>3186331541</t>
  </si>
  <si>
    <t>ALEJANDRA ECHEVERRI GARZÓN</t>
  </si>
  <si>
    <t>ALEJANDRA.ECHEVERRIAR@AMIGO.EDU.CO</t>
  </si>
  <si>
    <t>3128576487</t>
  </si>
  <si>
    <t>STEPHANIE CORONADO LUJAN</t>
  </si>
  <si>
    <t>STEPHANIECORONADOL22@GMAIL.COM</t>
  </si>
  <si>
    <t>3006504238</t>
  </si>
  <si>
    <t>MACAMILA.16@HOTMAIL.COM</t>
  </si>
  <si>
    <t>3013646023</t>
  </si>
  <si>
    <t>JULIOA.INGAMBIENTAL@GMAIL.COM</t>
  </si>
  <si>
    <t>3008384854</t>
  </si>
  <si>
    <t>CRISTIANTORR88@GMAIL.COM</t>
  </si>
  <si>
    <t>3043759512</t>
  </si>
  <si>
    <t>JUANSE.SERNA@HOTMAIL.COM</t>
  </si>
  <si>
    <t>3205460799</t>
  </si>
  <si>
    <t>ANDREA HOYOS ATEHORTUA</t>
  </si>
  <si>
    <t>ANDREH004@GMAIL.COM</t>
  </si>
  <si>
    <t>3008915297</t>
  </si>
  <si>
    <t>SANVARADRIANA@GMAIL.COM</t>
  </si>
  <si>
    <t>3128891837</t>
  </si>
  <si>
    <t>JAIALGALLO@HOTMAIL.COM</t>
  </si>
  <si>
    <t>3136093516</t>
  </si>
  <si>
    <t>ALBANY ROJAS LÓPEZ</t>
  </si>
  <si>
    <t>ALBANYROJASLOPEZ579@GMAIL.COM</t>
  </si>
  <si>
    <t>3042344193</t>
  </si>
  <si>
    <t>NATALIA BOHORQUEZ YEPES</t>
  </si>
  <si>
    <t>natalia.bohorquezy@gmail.com</t>
  </si>
  <si>
    <t>3136438380</t>
  </si>
  <si>
    <t>stephany.cdiez@gmail.com</t>
  </si>
  <si>
    <t>3015267813</t>
  </si>
  <si>
    <t>kavigo25@hotmail.com</t>
  </si>
  <si>
    <t>3217954495</t>
  </si>
  <si>
    <t>marlyn1301@hotmail.com</t>
  </si>
  <si>
    <t>3234004027</t>
  </si>
  <si>
    <t>camilorendoning@gmail.com</t>
  </si>
  <si>
    <t>3104556255</t>
  </si>
  <si>
    <t>operaciones@admonph.com</t>
  </si>
  <si>
    <t>3004780013</t>
  </si>
  <si>
    <t>m.torres1086@pasualbravo.edu.co</t>
  </si>
  <si>
    <t>3046063915</t>
  </si>
  <si>
    <t>juancbarriento@gmail.com</t>
  </si>
  <si>
    <t>3138262438</t>
  </si>
  <si>
    <t>STEVEN CASAS SERNA</t>
  </si>
  <si>
    <t>stevencasas0527@hotmail.com</t>
  </si>
  <si>
    <t>3196675726</t>
  </si>
  <si>
    <t>kellys8402@gmail.com</t>
  </si>
  <si>
    <t>3022943444</t>
  </si>
  <si>
    <t>yenerisandrea@hotmail.com</t>
  </si>
  <si>
    <t>3204200230</t>
  </si>
  <si>
    <t>KAATHERINE LÓPEZ ARBOLEDA</t>
  </si>
  <si>
    <t>lopezarboledakatherine@gmail.com</t>
  </si>
  <si>
    <t>3116909168</t>
  </si>
  <si>
    <t>YFJIMENEZR@GMAIL.COM</t>
  </si>
  <si>
    <t>3008444070</t>
  </si>
  <si>
    <t>GERMANMENEHER77@GMAIL.COM</t>
  </si>
  <si>
    <t>3015882957</t>
  </si>
  <si>
    <t>SARA RAMIREZ HINCAPIE</t>
  </si>
  <si>
    <t>SARIS9112@GMAIL.COM</t>
  </si>
  <si>
    <t>3123692142</t>
  </si>
  <si>
    <t>MARIANA VILLEGAS BOLIVAR</t>
  </si>
  <si>
    <t>marlonbradyvillegas@gmail.com</t>
  </si>
  <si>
    <t>3197841294</t>
  </si>
  <si>
    <t>SIMÓN PAREDES RIVERA</t>
  </si>
  <si>
    <t>PAREDESSIMON02@GMAIL.COM</t>
  </si>
  <si>
    <t>3106981745</t>
  </si>
  <si>
    <t>MONTOYA.DEICY96@GMAIL.COM</t>
  </si>
  <si>
    <t>3028273462</t>
  </si>
  <si>
    <t>hapm0423@hotmail.com</t>
  </si>
  <si>
    <t>3008724503</t>
  </si>
  <si>
    <t>wgil079@gmail.com</t>
  </si>
  <si>
    <t>3218517431</t>
  </si>
  <si>
    <t>SAMUELORREGORODRIGUEZ987@GMAIL.COM</t>
  </si>
  <si>
    <t>3188129935</t>
  </si>
  <si>
    <t>ANDREA VÉLEZ QUINTERO</t>
  </si>
  <si>
    <t>andreavelezhello@gmail.com</t>
  </si>
  <si>
    <t>3015755034</t>
  </si>
  <si>
    <t>pcruizc@unadvirtual.edu.co</t>
  </si>
  <si>
    <t>3160495051</t>
  </si>
  <si>
    <t>JULIANA QUINTERO LEGARDA</t>
  </si>
  <si>
    <t>JULIANA991227@GMAIL.COM</t>
  </si>
  <si>
    <t>3226407131</t>
  </si>
  <si>
    <t>ANSAL_310@HOTMAIL.COM</t>
  </si>
  <si>
    <t>3017308334</t>
  </si>
  <si>
    <t>BCYEISYMACIAS@GMAIL.COM</t>
  </si>
  <si>
    <t>3058882674</t>
  </si>
  <si>
    <t>ALVARO HENAO GONZALEZ</t>
  </si>
  <si>
    <t>al.henao1256@gmail.com</t>
  </si>
  <si>
    <t>3136209427</t>
  </si>
  <si>
    <t>claudiavelezvanegas@gmail.com</t>
  </si>
  <si>
    <t>3012682565</t>
  </si>
  <si>
    <t>DANIELA MARTINEZ MEJIA</t>
  </si>
  <si>
    <t>dmmejia0726@gmail.com</t>
  </si>
  <si>
    <t>3127504297</t>
  </si>
  <si>
    <t>SARA.RUIZ@SAPIENCIA.GOV.CO</t>
  </si>
  <si>
    <t>3015733112</t>
  </si>
  <si>
    <t>GUTIERREZ914@HOTMAIL.COM</t>
  </si>
  <si>
    <t>3103783440</t>
  </si>
  <si>
    <t>cvascoj@gmail.com</t>
  </si>
  <si>
    <t>3172775210</t>
  </si>
  <si>
    <t>FELIIPE-LOPEZ@HOTMAIL.COM</t>
  </si>
  <si>
    <t>3218622199</t>
  </si>
  <si>
    <t>JUANPABLOARIAS803@GMAIL.COM</t>
  </si>
  <si>
    <t>3197264005</t>
  </si>
  <si>
    <t>YESICASUAREZ25@HOTMAIL.COM</t>
  </si>
  <si>
    <t>3185797940</t>
  </si>
  <si>
    <t>NICOLGOMEZ121@GMAIL.COM</t>
  </si>
  <si>
    <t>3208390781</t>
  </si>
  <si>
    <t>JUCAVAMU@GMAIL.COM</t>
  </si>
  <si>
    <t>3104140987</t>
  </si>
  <si>
    <t>JOVANMONSALVE@GMAIL.COM</t>
  </si>
  <si>
    <t>3126108984</t>
  </si>
  <si>
    <t>LUZA907@GMAIL.COM</t>
  </si>
  <si>
    <t>3117299279</t>
  </si>
  <si>
    <t>FREDY.YEPES5@GMAIL.COM</t>
  </si>
  <si>
    <t>3016071141</t>
  </si>
  <si>
    <t>JUANKSTER99@GMAIL.COM</t>
  </si>
  <si>
    <t>3016125467</t>
  </si>
  <si>
    <t>DANIEL MORALES VELASQUEZ</t>
  </si>
  <si>
    <t>DANIMORALESVELASQUES2004@GMAIL.COM</t>
  </si>
  <si>
    <t>3177683799</t>
  </si>
  <si>
    <t>JOHNFER0025@GMAIL.COM</t>
  </si>
  <si>
    <t>3164418311</t>
  </si>
  <si>
    <t>DAVIDOSIRIS88@GMAIL.COM</t>
  </si>
  <si>
    <t>3162926014</t>
  </si>
  <si>
    <t>SEBASTIAN LOAIZA MUÑOZ</t>
  </si>
  <si>
    <t>SEBASLOAIZA2217@GMAIL.COM</t>
  </si>
  <si>
    <t>3193211925</t>
  </si>
  <si>
    <t>ROBINSON MESA TORRES</t>
  </si>
  <si>
    <t>RMESATORRES@GMAIL.COM</t>
  </si>
  <si>
    <t>3006584904</t>
  </si>
  <si>
    <t>BMALDONADOARBOLEDA92@GMAIL.COM</t>
  </si>
  <si>
    <t>3023355539</t>
  </si>
  <si>
    <t>MILENA.SALINASG@GMAIL.COM</t>
  </si>
  <si>
    <t>3042045305</t>
  </si>
  <si>
    <t>ZULYCATA1@HOTMAIL.COM</t>
  </si>
  <si>
    <t>3117119027</t>
  </si>
  <si>
    <t>PABLOROBLEFRA@GMAIL.COM</t>
  </si>
  <si>
    <t>3108941346</t>
  </si>
  <si>
    <t>YESICA DUQUE CIRO</t>
  </si>
  <si>
    <t>YES.DUQUE1204@GMAIL.COM</t>
  </si>
  <si>
    <t>3053028116</t>
  </si>
  <si>
    <t>SARA DIAZ GARCIA</t>
  </si>
  <si>
    <t>SARAD.GARCIA@HOTMAIL.COM</t>
  </si>
  <si>
    <t>3163765277</t>
  </si>
  <si>
    <t>DIANACHL1210@GMAIL.COM</t>
  </si>
  <si>
    <t>3024422706</t>
  </si>
  <si>
    <t>SEBASTIAN ARANGO LOPEZ</t>
  </si>
  <si>
    <t>LOPEZ.SARANGOL22@GMAIL.COM</t>
  </si>
  <si>
    <t>3023423739</t>
  </si>
  <si>
    <t>MANUELA SUAREZ MARTINEZ</t>
  </si>
  <si>
    <t>MANU_241@LIVE.COM</t>
  </si>
  <si>
    <t>3127685153</t>
  </si>
  <si>
    <t>jasbleidysalazar97@gmail.com</t>
  </si>
  <si>
    <t>3122843099</t>
  </si>
  <si>
    <t>JANIER MOSQUERA MOSQUERA</t>
  </si>
  <si>
    <t>jamosquera0518@gmail.com</t>
  </si>
  <si>
    <t>3005051518</t>
  </si>
  <si>
    <t>jortizc1@hotmail.com</t>
  </si>
  <si>
    <t>3004311730</t>
  </si>
  <si>
    <t>tafurqui.10@gmail.com</t>
  </si>
  <si>
    <t>3245245853</t>
  </si>
  <si>
    <t>henaoyuliana@hotmail.com</t>
  </si>
  <si>
    <t>3016631249</t>
  </si>
  <si>
    <t>shara.goez15@gmail.com</t>
  </si>
  <si>
    <t>3013178962</t>
  </si>
  <si>
    <t>lina.marcella01@gmail.com</t>
  </si>
  <si>
    <t>3234693328</t>
  </si>
  <si>
    <t>danielpuerta54@gmail.com</t>
  </si>
  <si>
    <t>3105145347</t>
  </si>
  <si>
    <t>JUAN HIDALGO</t>
  </si>
  <si>
    <t>jhvpsicologia@gmail.com</t>
  </si>
  <si>
    <t>3118161711</t>
  </si>
  <si>
    <t>JOHANA JIMENEZ MESA</t>
  </si>
  <si>
    <t>johanajm92@hotmail.com</t>
  </si>
  <si>
    <t>3017747922</t>
  </si>
  <si>
    <t>azul.quiceno@gmail.com</t>
  </si>
  <si>
    <t>3147991108</t>
  </si>
  <si>
    <t>majoquiroz25@gmail.com</t>
  </si>
  <si>
    <t>3045298098</t>
  </si>
  <si>
    <t>andrestextil@gmail.com</t>
  </si>
  <si>
    <t>3006103899</t>
  </si>
  <si>
    <t>jsuarezceballos@gmail.com</t>
  </si>
  <si>
    <t>3104271916</t>
  </si>
  <si>
    <t>AJVELASQUEZ.CONSULTOR@GMAIL.COM</t>
  </si>
  <si>
    <t>3003214000</t>
  </si>
  <si>
    <t>imarcehenao90@gmail.com</t>
  </si>
  <si>
    <t>3134128905</t>
  </si>
  <si>
    <t>madrouxlopez@gmail.com</t>
  </si>
  <si>
    <t>3188999357</t>
  </si>
  <si>
    <t>CAMILA ROJAS SEPULVEDA</t>
  </si>
  <si>
    <t>camilarojassepulveda0@gmail.com</t>
  </si>
  <si>
    <t>3012205971</t>
  </si>
  <si>
    <t>ISABEL PAREDES RIVERA</t>
  </si>
  <si>
    <t>ISAPAREDES01234@GMAIL.COM</t>
  </si>
  <si>
    <t>3105430476</t>
  </si>
  <si>
    <t>DIWAR.GOMEZ1@GMAIL.COM</t>
  </si>
  <si>
    <t>3243221352</t>
  </si>
  <si>
    <t>ACARDONA69523@HOTMAIL.COM</t>
  </si>
  <si>
    <t>3002094760</t>
  </si>
  <si>
    <t>ROJEGOCO1@HOTMAIL.COM</t>
  </si>
  <si>
    <t>3176570428</t>
  </si>
  <si>
    <t>KARLAPAOLAGONZALEZVILLALBA@GMAIL.COM</t>
  </si>
  <si>
    <t>3017120036</t>
  </si>
  <si>
    <t>ANDREA RUBIO APONTE</t>
  </si>
  <si>
    <t>ARUBIOA@YAHOO.COM</t>
  </si>
  <si>
    <t>3154680514</t>
  </si>
  <si>
    <t>AGUDELOM.LAURA@UCES.EDU.CO</t>
  </si>
  <si>
    <t>3246870837</t>
  </si>
  <si>
    <t>GERALDINE VILLA TABERA</t>
  </si>
  <si>
    <t>GERALDINE.VILLA@EST.IUDIGITAL.EDU.CO</t>
  </si>
  <si>
    <t>3042024147</t>
  </si>
  <si>
    <t>LUNA CARDONA JIMÉNEZ</t>
  </si>
  <si>
    <t>LUNACARDONAJIMENEZ25@GMAIL.COM</t>
  </si>
  <si>
    <t>3207797589</t>
  </si>
  <si>
    <t>LEIDYJOHANAALVAREZESPINOSA@GMAIL.COM</t>
  </si>
  <si>
    <t>3002724958</t>
  </si>
  <si>
    <t>DCORTIZB@YAHOO.ES</t>
  </si>
  <si>
    <t>3052594114</t>
  </si>
  <si>
    <t>JULIANCORREAM@GMAIL.COM</t>
  </si>
  <si>
    <t>3053645094</t>
  </si>
  <si>
    <t>OSCAR_MARTINEZ82103@ELPOLI.EDU.CO</t>
  </si>
  <si>
    <t>3053900390</t>
  </si>
  <si>
    <t>MARIOBAN477@GMAIL.COM</t>
  </si>
  <si>
    <t>3013084994</t>
  </si>
  <si>
    <t>NATALY RESTREPO ORTEGA</t>
  </si>
  <si>
    <t>NATALY.R.O@GMAIL.COM</t>
  </si>
  <si>
    <t>3146543117</t>
  </si>
  <si>
    <t>MORENO.JUAN1021@GMAIL.COM</t>
  </si>
  <si>
    <t>3117761818</t>
  </si>
  <si>
    <t>J_GIRALDO12@HOTMAIL.COM</t>
  </si>
  <si>
    <t>3213681123</t>
  </si>
  <si>
    <t>DIANAMARCELAVIVEROS20@GMAIL.COM</t>
  </si>
  <si>
    <t>3126436374</t>
  </si>
  <si>
    <t>EVELIN.MONTOYAP@GMAIL.COM</t>
  </si>
  <si>
    <t>3163136494</t>
  </si>
  <si>
    <t>STARLEEN GAVIRIA MEDINA</t>
  </si>
  <si>
    <t>SGAVIRIAME@GMAIL.COM</t>
  </si>
  <si>
    <t>3024594071</t>
  </si>
  <si>
    <t>dumasrealpe@hotmail.com</t>
  </si>
  <si>
    <t>3041402561</t>
  </si>
  <si>
    <t>brianjaramil@gmail.com</t>
  </si>
  <si>
    <t>3013303167</t>
  </si>
  <si>
    <t>karelyscobas@gmail.com</t>
  </si>
  <si>
    <t>3005031314</t>
  </si>
  <si>
    <t>juanmpa2906@gmail.com</t>
  </si>
  <si>
    <t>3052222934</t>
  </si>
  <si>
    <t>CRISTIAN GUISAO OSPINA</t>
  </si>
  <si>
    <t>cristiangui28@gmail.com</t>
  </si>
  <si>
    <t>3242454457</t>
  </si>
  <si>
    <t>jmora617@gmail.com</t>
  </si>
  <si>
    <t>3012871474</t>
  </si>
  <si>
    <t>camaofabra2026@gmail.com</t>
  </si>
  <si>
    <t>3224992066</t>
  </si>
  <si>
    <t>DANIELA HERRERA CORREA</t>
  </si>
  <si>
    <t>daniela.c09@hotmail.es</t>
  </si>
  <si>
    <t>3113538140</t>
  </si>
  <si>
    <t>RICHARD CASAFUS MURIEL</t>
  </si>
  <si>
    <t>caifaz9127@gmail.com</t>
  </si>
  <si>
    <t>3193068153</t>
  </si>
  <si>
    <t>vebolivar@gmail.com</t>
  </si>
  <si>
    <t>3122202740</t>
  </si>
  <si>
    <t>laura.buritica.g@hotmail.com</t>
  </si>
  <si>
    <t>3016078804</t>
  </si>
  <si>
    <t>natha.riro@gmail.com</t>
  </si>
  <si>
    <t>3128639159</t>
  </si>
  <si>
    <t>dfelipe.carrillo08@gmail.com</t>
  </si>
  <si>
    <t>3127444944</t>
  </si>
  <si>
    <t>lfsierrap@gmail.com</t>
  </si>
  <si>
    <t>3053265291</t>
  </si>
  <si>
    <t>YAMERLY CHAVERRA IBARGUEN</t>
  </si>
  <si>
    <t>YAMERLY@HOTMAIL.COM</t>
  </si>
  <si>
    <t>3183024394</t>
  </si>
  <si>
    <t>lucyapaolacorrea@outlook.es</t>
  </si>
  <si>
    <t>3184722998</t>
  </si>
  <si>
    <t>ramondusil@gmail.com</t>
  </si>
  <si>
    <t>3013613867</t>
  </si>
  <si>
    <t>molinatoro99@gmail.com</t>
  </si>
  <si>
    <t>3007985425</t>
  </si>
  <si>
    <t>kristiciro@hotmail.com</t>
  </si>
  <si>
    <t>3206422026</t>
  </si>
  <si>
    <t>juandescobars@hotmail.com</t>
  </si>
  <si>
    <t>3006681384</t>
  </si>
  <si>
    <t>USTRA90@GMAIL.COM</t>
  </si>
  <si>
    <t>3185152212</t>
  </si>
  <si>
    <t>LUISAF.ZAPATAD@GMAIL.COM</t>
  </si>
  <si>
    <t>3182851044</t>
  </si>
  <si>
    <t>SEBASTIAN20020728@GMAIL.COM</t>
  </si>
  <si>
    <t>3192777824</t>
  </si>
  <si>
    <t>DIEGOM.BEDOYA98@GMAIL.COM</t>
  </si>
  <si>
    <t>3133576535</t>
  </si>
  <si>
    <t>DIARAREZ@HOTMAIL.COM</t>
  </si>
  <si>
    <t>3022087148</t>
  </si>
  <si>
    <t>MICHAELROBLEDO@GMAIL.COM</t>
  </si>
  <si>
    <t>3008430156</t>
  </si>
  <si>
    <t>JOSE.CASTANEDA@MEDELLIN.GOV.CO</t>
  </si>
  <si>
    <t>3114453812</t>
  </si>
  <si>
    <t>ANAMAGUTI@GMAIL.COM</t>
  </si>
  <si>
    <t>3044805758</t>
  </si>
  <si>
    <t>LFMARQUEZ@CORREO.IUE.EDU.CO</t>
  </si>
  <si>
    <t>3217761584</t>
  </si>
  <si>
    <t>ANDREA MATEUS JAIME</t>
  </si>
  <si>
    <t>MATEUSJAIMEA@GMAIL.COM</t>
  </si>
  <si>
    <t>3216754679</t>
  </si>
  <si>
    <t>adolfoleonvahos@gmail.com</t>
  </si>
  <si>
    <t>3006541090</t>
  </si>
  <si>
    <t>ASANCH15@HOTMAIL.COM</t>
  </si>
  <si>
    <t>3122835501</t>
  </si>
  <si>
    <t>DIACAMAGA@GMAIL.COM</t>
  </si>
  <si>
    <t>3246841740</t>
  </si>
  <si>
    <t>NATALIA HOLGUIN BERMUDEZ</t>
  </si>
  <si>
    <t>NATAHOLBER@GMAIL.COM</t>
  </si>
  <si>
    <t>3218280887</t>
  </si>
  <si>
    <t>SANTIAGO DUQUE COLORADO</t>
  </si>
  <si>
    <t>DUQUE.SANTIAGO@GMAIL.COM</t>
  </si>
  <si>
    <t>3117731000</t>
  </si>
  <si>
    <t>CAMILA CORTES BUSTAMANTE</t>
  </si>
  <si>
    <t>CCORTESBUSTAMANTE1@GMAIL.COM</t>
  </si>
  <si>
    <t>3015671955</t>
  </si>
  <si>
    <t>JUANAR@COLANTA.COM.CO</t>
  </si>
  <si>
    <t>3007889010</t>
  </si>
  <si>
    <t>SAMMYROBLEDOPALACIOS@GMAIL.COM</t>
  </si>
  <si>
    <t>3017922311</t>
  </si>
  <si>
    <t>AFRU0924@GMAIL.COM</t>
  </si>
  <si>
    <t>3117437590</t>
  </si>
  <si>
    <t>C98G26@GMAIL.COM</t>
  </si>
  <si>
    <t>3004552190</t>
  </si>
  <si>
    <t>CRISTIAN BETANCUR MARTINEZ</t>
  </si>
  <si>
    <t>CRISTIANBM2000@HOTMAIL.COM</t>
  </si>
  <si>
    <t>3008505375</t>
  </si>
  <si>
    <t>vm.yazmin@gmail.com</t>
  </si>
  <si>
    <t>3043360729</t>
  </si>
  <si>
    <t>florezandresfelipe62@gmail.com</t>
  </si>
  <si>
    <t>3024107688</t>
  </si>
  <si>
    <t>andresagudelo98@gmail.com</t>
  </si>
  <si>
    <t>3045239153</t>
  </si>
  <si>
    <t>facardenasr@gmail.com</t>
  </si>
  <si>
    <t>3117216715</t>
  </si>
  <si>
    <t>YESENIA CHAVARIAGA ACEVEDO</t>
  </si>
  <si>
    <t>yeseniacevedo17@gmail.com</t>
  </si>
  <si>
    <t>3137115856</t>
  </si>
  <si>
    <t>sevilla.amm@gmail.com</t>
  </si>
  <si>
    <t>3015118073</t>
  </si>
  <si>
    <t>julianalopezk17@gmail.com</t>
  </si>
  <si>
    <t>3137723464</t>
  </si>
  <si>
    <t>riosmesajuancamilo@gmail.com</t>
  </si>
  <si>
    <t>3226249904</t>
  </si>
  <si>
    <t>joshemiguel789@gmail.com</t>
  </si>
  <si>
    <t>3242961400</t>
  </si>
  <si>
    <t>NIXON CARRILLO HERRERA</t>
  </si>
  <si>
    <t>chnixon592@gmail.com</t>
  </si>
  <si>
    <t>3005792979</t>
  </si>
  <si>
    <t>adriandgarcia12@gmail.com</t>
  </si>
  <si>
    <t>3162845446</t>
  </si>
  <si>
    <t>danielrios34@hotmail.com</t>
  </si>
  <si>
    <t>3217571654</t>
  </si>
  <si>
    <t>ESTEBAN TORO ÁLVAREZ</t>
  </si>
  <si>
    <t>estoroal@gmail.com</t>
  </si>
  <si>
    <t>3006894385</t>
  </si>
  <si>
    <t>JUANPABLOTOBONG@HOTMAIL.COM</t>
  </si>
  <si>
    <t>3006611297</t>
  </si>
  <si>
    <t>KLJIMENEZ8609@GMAIL.COM</t>
  </si>
  <si>
    <t>3008730550</t>
  </si>
  <si>
    <t>oderis15@hotmail.com</t>
  </si>
  <si>
    <t>3195418677</t>
  </si>
  <si>
    <t>LILIANPACO@OUTLOOK.COM</t>
  </si>
  <si>
    <t>3246895818</t>
  </si>
  <si>
    <t>JOHAATORRES2103@GMAIL.COM</t>
  </si>
  <si>
    <t>3008513233</t>
  </si>
  <si>
    <t>ELIANABEDOYA39@GMAIL.COM</t>
  </si>
  <si>
    <t>3012556369</t>
  </si>
  <si>
    <t>FELIPE URIBE MEJÍA</t>
  </si>
  <si>
    <t>FURIBE@UNAL.EDU.CO</t>
  </si>
  <si>
    <t>3136807924</t>
  </si>
  <si>
    <t>LAU3182000@YAHOO.COM</t>
  </si>
  <si>
    <t>3128540541</t>
  </si>
  <si>
    <t>JULIETH MONSALVE PELEZ</t>
  </si>
  <si>
    <t>JULIETHMONSALVEP@GMAIL.COM</t>
  </si>
  <si>
    <t>3234211937</t>
  </si>
  <si>
    <t>VALENTINA GÓMEZ JARAMILLO</t>
  </si>
  <si>
    <t>VALEJARAMILLO941@GMAIL.COM</t>
  </si>
  <si>
    <t>3246738779</t>
  </si>
  <si>
    <t>PALENCIAANDRES503@GMAIL.COM</t>
  </si>
  <si>
    <t>3234133890</t>
  </si>
  <si>
    <t>CALDERON.LORENA13@GMAIL.COM</t>
  </si>
  <si>
    <t>3126726343</t>
  </si>
  <si>
    <t>STEFANY.RINCONP@GMAIL.COM</t>
  </si>
  <si>
    <t>3113019633</t>
  </si>
  <si>
    <t>MARIANA.GIRALDOR@UDEA.EDU.CO</t>
  </si>
  <si>
    <t>3023588504</t>
  </si>
  <si>
    <t>JCRUACA@GMAIL.COM</t>
  </si>
  <si>
    <t>3012151518</t>
  </si>
  <si>
    <t>ALEJANDRA MAZO</t>
  </si>
  <si>
    <t>ALEJAMAZOC@GMAIL.COM</t>
  </si>
  <si>
    <t>3008506124</t>
  </si>
  <si>
    <t>LUNAMUNOZURIBE@GMAIL.COM</t>
  </si>
  <si>
    <t>3023348175</t>
  </si>
  <si>
    <t>LGUTIERREZCO@UNAL.EDU.CO</t>
  </si>
  <si>
    <t>3173770198</t>
  </si>
  <si>
    <t>YUSMAY28@GMAIL.COM</t>
  </si>
  <si>
    <t>3192028673</t>
  </si>
  <si>
    <t>JOHN.PUERRES@UDEA.EDU.CO</t>
  </si>
  <si>
    <t>3183040463</t>
  </si>
  <si>
    <t>JULIANCORTES0729@GMAIL.COM</t>
  </si>
  <si>
    <t>3178525995</t>
  </si>
  <si>
    <t>jcmerio@hotmail.com</t>
  </si>
  <si>
    <t>3208847553</t>
  </si>
  <si>
    <t>julio.reginopa@amigo.edu.co</t>
  </si>
  <si>
    <t>3116124739</t>
  </si>
  <si>
    <t>danelly040715@gmail.com</t>
  </si>
  <si>
    <t>3017525716</t>
  </si>
  <si>
    <t>juanpa9119@gmail.com</t>
  </si>
  <si>
    <t>3218310173</t>
  </si>
  <si>
    <t>sandraraigosa127@gmail.com</t>
  </si>
  <si>
    <t>3013408991</t>
  </si>
  <si>
    <t>ferjuanmo@gmail.com</t>
  </si>
  <si>
    <t>3233346423</t>
  </si>
  <si>
    <t>PAULINA GOMEZ OSPINA</t>
  </si>
  <si>
    <t>paulina.6.gomez@gmail.com</t>
  </si>
  <si>
    <t>3197413983</t>
  </si>
  <si>
    <t>KATHERINE PEREZ MEJIA</t>
  </si>
  <si>
    <t>kathe.441@hotmail.com</t>
  </si>
  <si>
    <t>3217626919</t>
  </si>
  <si>
    <t>estebansm1702@gmail.com</t>
  </si>
  <si>
    <t>3016171367</t>
  </si>
  <si>
    <t>linacorrea17@hotmail.com</t>
  </si>
  <si>
    <t>3182090085</t>
  </si>
  <si>
    <t>lissettea16@gmail.com</t>
  </si>
  <si>
    <t>3225361510</t>
  </si>
  <si>
    <t>lcastrorengifo@gmail.com</t>
  </si>
  <si>
    <t>3015639248</t>
  </si>
  <si>
    <t>CRIS_0609@HOTMAIL.COM</t>
  </si>
  <si>
    <t>3128493745</t>
  </si>
  <si>
    <t>LAURA.EACEVEDOCO@GMAIL.COM</t>
  </si>
  <si>
    <t>3154749499</t>
  </si>
  <si>
    <t>LAURA GUZMÁN GUTIERREZ</t>
  </si>
  <si>
    <t>GUZMANGUTIERREZLAURA@GMAIL.COM</t>
  </si>
  <si>
    <t>3116339423</t>
  </si>
  <si>
    <t>SANTIAGO ECHAVARRIA RENDON</t>
  </si>
  <si>
    <t>SANTIAGOECHAVARRIARENDON@GMAIL.COM</t>
  </si>
  <si>
    <t>3019640592</t>
  </si>
  <si>
    <t>ANDRESFELIPE2389@GMAIL.COM</t>
  </si>
  <si>
    <t>3205835941</t>
  </si>
  <si>
    <t>LEANDRAMAGALLYSANCHEZ@GMAIL.COM</t>
  </si>
  <si>
    <t>3148382680</t>
  </si>
  <si>
    <t>ALEXANDER GOMEZ SIERRA</t>
  </si>
  <si>
    <t>ALEXGOSIE@GMAIL.COM</t>
  </si>
  <si>
    <t>3159777434</t>
  </si>
  <si>
    <t>PPT</t>
  </si>
  <si>
    <t>MIA.LAYA29@GMAIL.COM</t>
  </si>
  <si>
    <t>3503572709</t>
  </si>
  <si>
    <t>ISABELA RODRIGUEZ SERNA</t>
  </si>
  <si>
    <t>ISABELA2899@GMAIL.COM</t>
  </si>
  <si>
    <t>3043709295</t>
  </si>
  <si>
    <t>VICTABORDA.M@GMAIL.COM</t>
  </si>
  <si>
    <t>3195943329</t>
  </si>
  <si>
    <t>DANIELA URIBE ARIAS</t>
  </si>
  <si>
    <t>DANIELAURIBEARIAS@GMAIL.COM</t>
  </si>
  <si>
    <t>3024248147</t>
  </si>
  <si>
    <t>ISABELLA AGUDELO GIRALDO</t>
  </si>
  <si>
    <t>ISABELLAAGUDELO616@GMAIL.COM</t>
  </si>
  <si>
    <t>3008721957</t>
  </si>
  <si>
    <t>KAREN GOMEZ DAVID</t>
  </si>
  <si>
    <t>KARENGD77@GMAIL.COM</t>
  </si>
  <si>
    <t>3046420725</t>
  </si>
  <si>
    <t>JABSJOKER118@GMAIL.COM</t>
  </si>
  <si>
    <t>3225727618</t>
  </si>
  <si>
    <t>JORGEMOSKENDO@GMAIL.COM</t>
  </si>
  <si>
    <t>3054199090</t>
  </si>
  <si>
    <t>JUAN.CUARTASB@GMAIL.COM</t>
  </si>
  <si>
    <t>3216061689</t>
  </si>
  <si>
    <t>GENIASET@GMAIL.COM</t>
  </si>
  <si>
    <t>3052444483</t>
  </si>
  <si>
    <t>LUISOROZCO3098@GMAIL.COM</t>
  </si>
  <si>
    <t>3013127005</t>
  </si>
  <si>
    <t>paula.cuervo.h@gmail.com</t>
  </si>
  <si>
    <t>3015195957</t>
  </si>
  <si>
    <t>reishell.acostaru@amigo.edu.co</t>
  </si>
  <si>
    <t>3175310493</t>
  </si>
  <si>
    <t>danielmora.94@hotmail.com</t>
  </si>
  <si>
    <t>3226587610</t>
  </si>
  <si>
    <t>lancerojonny@gmail.com</t>
  </si>
  <si>
    <t>3166990694</t>
  </si>
  <si>
    <t>DANIELA CASTAÑEDA DAZA</t>
  </si>
  <si>
    <t>danidaza2312@outlook.com</t>
  </si>
  <si>
    <t>3128797509</t>
  </si>
  <si>
    <t>ANA ZAPATA</t>
  </si>
  <si>
    <t>anamariazapata.333@gmail.com</t>
  </si>
  <si>
    <t>3122515828</t>
  </si>
  <si>
    <t>SARA SALGADO FRANCO</t>
  </si>
  <si>
    <t>sara77382@gmail.com</t>
  </si>
  <si>
    <t>3007729325</t>
  </si>
  <si>
    <t>kami9320@gmail.com</t>
  </si>
  <si>
    <t>3118793038</t>
  </si>
  <si>
    <t>miguelingil89@gmail.com</t>
  </si>
  <si>
    <t>3005432460</t>
  </si>
  <si>
    <t>PABLOCELISB2015@GMAIL.COM</t>
  </si>
  <si>
    <t>3165795020</t>
  </si>
  <si>
    <t>SEBASTIANMENESESOCHOA@GMAIL.COM</t>
  </si>
  <si>
    <t>3005054262</t>
  </si>
  <si>
    <t>EDUARDOMENDOZA1654@GMAIL.COM</t>
  </si>
  <si>
    <t>3136395347</t>
  </si>
  <si>
    <t>CAMILA CORONADO LUJÁN</t>
  </si>
  <si>
    <t>CAMILACORONADOLUJAN@OUTLOOK.ES</t>
  </si>
  <si>
    <t>3005414406</t>
  </si>
  <si>
    <t>MATEO ROJAS VALENCIA</t>
  </si>
  <si>
    <t>mateorojasapk@gmail.com</t>
  </si>
  <si>
    <t>3215890133</t>
  </si>
  <si>
    <t>mariac416@hotmail.com</t>
  </si>
  <si>
    <t>3207540027</t>
  </si>
  <si>
    <t>mdiazcampo347@yahoo.com</t>
  </si>
  <si>
    <t>3106394042</t>
  </si>
  <si>
    <t>DANIELA FRANCO GOMEZ</t>
  </si>
  <si>
    <t>DF7835@GMAIL.COM</t>
  </si>
  <si>
    <t>3136331946</t>
  </si>
  <si>
    <t>VANESSA ZAFRA RESTREPO</t>
  </si>
  <si>
    <t>vanezafra5@gmail.com</t>
  </si>
  <si>
    <t>3043233876</t>
  </si>
  <si>
    <t>JHEISONI138@GMAIL.COM</t>
  </si>
  <si>
    <t>3042065302</t>
  </si>
  <si>
    <t>xxjuanuxx@gmail.com</t>
  </si>
  <si>
    <t>3148582028</t>
  </si>
  <si>
    <t>JULIETA CHAVARRÍA GONZÁLEZ</t>
  </si>
  <si>
    <t>cgonzalezjulieta@gmail.com</t>
  </si>
  <si>
    <t>3016393050</t>
  </si>
  <si>
    <t>JUANJOSEDELEONNAVARRO7@GMAIL.COM</t>
  </si>
  <si>
    <t>3142723882</t>
  </si>
  <si>
    <t>CAROLINANAVARROB18@GMAIL.COM</t>
  </si>
  <si>
    <t>3113640076</t>
  </si>
  <si>
    <t>LAURAZULUAGA_95@HOTMAIL.COM</t>
  </si>
  <si>
    <t>3013875891</t>
  </si>
  <si>
    <t>VEGAMANJARRESANGELACRISTINA@GMAIL.COM</t>
  </si>
  <si>
    <t>3216123379</t>
  </si>
  <si>
    <t>MORENOJORGE28@GMAIL.COM</t>
  </si>
  <si>
    <t>3113349144</t>
  </si>
  <si>
    <t>RICHARD.NUNEZ11@GMAIL.COM</t>
  </si>
  <si>
    <t>3183000010</t>
  </si>
  <si>
    <t>DANIEL7Z@HOTMAIL.COM</t>
  </si>
  <si>
    <t>3177028966</t>
  </si>
  <si>
    <t>JUANOCAMPOGOMEZ2004@GMAIL.COM</t>
  </si>
  <si>
    <t>3014244039</t>
  </si>
  <si>
    <t>ALEXÁNDER CASTRILLÓN CÁRDENAS</t>
  </si>
  <si>
    <t>CALEXCASTRILLON@GMAIL.COM</t>
  </si>
  <si>
    <t>3242705246</t>
  </si>
  <si>
    <t>SARA ACOSTA ECHAVARRIA</t>
  </si>
  <si>
    <t>SARA.ACO916@GMAIL.COM</t>
  </si>
  <si>
    <t>3167836990</t>
  </si>
  <si>
    <t>JUANPA284@HOTMAIL.COM</t>
  </si>
  <si>
    <t>3127113441</t>
  </si>
  <si>
    <t>ryanarvilla@hotmail.com</t>
  </si>
  <si>
    <t>3017162869</t>
  </si>
  <si>
    <t>DMBJ85@GMAIL.COM</t>
  </si>
  <si>
    <t>3127416720</t>
  </si>
  <si>
    <t>MAJOSERPO@HOTMAIL.COM</t>
  </si>
  <si>
    <t>3223605227</t>
  </si>
  <si>
    <t>andremarin44@gmail.com</t>
  </si>
  <si>
    <t>3148923060</t>
  </si>
  <si>
    <t>lauramelisarb@gmail.com</t>
  </si>
  <si>
    <t>3225353499</t>
  </si>
  <si>
    <t>DANIELMGM27@GMAIL.COM</t>
  </si>
  <si>
    <t>3207012696</t>
  </si>
  <si>
    <t>SARA VILLA GODOY</t>
  </si>
  <si>
    <t>LULU101222008@GMAIL.COM</t>
  </si>
  <si>
    <t>3007272426</t>
  </si>
  <si>
    <t>JUANSINITAVE7@GMAIL.COM</t>
  </si>
  <si>
    <t>3025969047</t>
  </si>
  <si>
    <t>OSCARBARCOCHAVEZ@GMAIL.COM</t>
  </si>
  <si>
    <t>3122571888</t>
  </si>
  <si>
    <t>MATEO AGUDELO MAZO</t>
  </si>
  <si>
    <t>AGUDELOMAZOM@GMAIL.COM</t>
  </si>
  <si>
    <t>3146453635</t>
  </si>
  <si>
    <t>HUGO.ALZATE@EPM.COM.CO</t>
  </si>
  <si>
    <t>3004230571</t>
  </si>
  <si>
    <t>LAURA.ARIAS0@ESUMER.EDU.CO</t>
  </si>
  <si>
    <t>3008394908</t>
  </si>
  <si>
    <t>prodbydsceron@gmail.com</t>
  </si>
  <si>
    <t>3143608576</t>
  </si>
  <si>
    <t>ALBEIRO PEREZ GIL</t>
  </si>
  <si>
    <t>albeirop1391@gmail.com</t>
  </si>
  <si>
    <t>3122180572</t>
  </si>
  <si>
    <t>kcano747@gmail.com</t>
  </si>
  <si>
    <t>3105087180</t>
  </si>
  <si>
    <t>ALEXANDRA HIGUITA USUGA</t>
  </si>
  <si>
    <t>alexandrahiguitausuga@gmail.com</t>
  </si>
  <si>
    <t>3177290600</t>
  </si>
  <si>
    <t>sarae.canoz@outlook.com</t>
  </si>
  <si>
    <t>3194454350</t>
  </si>
  <si>
    <t>lilianahernandez2050@gmail.com</t>
  </si>
  <si>
    <t>3218298228</t>
  </si>
  <si>
    <t>stbn0109@gmail.com</t>
  </si>
  <si>
    <t>3023500714</t>
  </si>
  <si>
    <t>giraldopalaciocarolina@gmail.com</t>
  </si>
  <si>
    <t>3123603943</t>
  </si>
  <si>
    <t>sepesteban01@gmail.com</t>
  </si>
  <si>
    <t>3137430720</t>
  </si>
  <si>
    <t>EMMANUEL BETANCUR TORO</t>
  </si>
  <si>
    <t>emmanuelbetancur55@gmail.com</t>
  </si>
  <si>
    <t>3006597536</t>
  </si>
  <si>
    <t>CAROLINA SERNA SERNA</t>
  </si>
  <si>
    <t>sernasernacarolina@gmail.com</t>
  </si>
  <si>
    <t>3195973904</t>
  </si>
  <si>
    <t>luisfelipevictoria76@gmail.com</t>
  </si>
  <si>
    <t>3225173367</t>
  </si>
  <si>
    <t>ALEJANDRA VARGAS RUIZ</t>
  </si>
  <si>
    <t>avalejita330@gmail.com</t>
  </si>
  <si>
    <t>3145023520</t>
  </si>
  <si>
    <t>lngonzalez295@gmail.com</t>
  </si>
  <si>
    <t>3135098140</t>
  </si>
  <si>
    <t>danilo950403@hotmail.com</t>
  </si>
  <si>
    <t>3107216299</t>
  </si>
  <si>
    <t>LISET GUETIO PUYO</t>
  </si>
  <si>
    <t>lisethguetio@gmail.com</t>
  </si>
  <si>
    <t>3003947351</t>
  </si>
  <si>
    <t>MATEO GARCIA HERNANDEZ</t>
  </si>
  <si>
    <t>GARCIAHERNANDEZTEO@GMAIL.COM</t>
  </si>
  <si>
    <t>3103846098</t>
  </si>
  <si>
    <t>LUISAVELASQUEZ2007@HOTMAIL.COM</t>
  </si>
  <si>
    <t>3042401912</t>
  </si>
  <si>
    <t>DEISI GARCÍA RAMÍREZ</t>
  </si>
  <si>
    <t>GRDEISI@HOTMAIL.COM</t>
  </si>
  <si>
    <t>3243854157</t>
  </si>
  <si>
    <t>CAMILA.GARCIAB08@GMAIL.COM</t>
  </si>
  <si>
    <t>3194358050</t>
  </si>
  <si>
    <t>jr0273897@gmail.com</t>
  </si>
  <si>
    <t>3053461274</t>
  </si>
  <si>
    <t>JOHAFRANCO03@YAHOO.ES</t>
  </si>
  <si>
    <t>3012407340</t>
  </si>
  <si>
    <t>GISELADELACRUZ1129@GMAIL.COM</t>
  </si>
  <si>
    <t>3006560550</t>
  </si>
  <si>
    <t>YUMERALEX2@GMAIL.COM</t>
  </si>
  <si>
    <t>3178286794</t>
  </si>
  <si>
    <t>SAMUELFELIP17E@GMAIL.COM</t>
  </si>
  <si>
    <t>3008795360</t>
  </si>
  <si>
    <t>JAACEVEDOCO@UNAL.EDU.CO</t>
  </si>
  <si>
    <t>3153619796</t>
  </si>
  <si>
    <t>JOCDARK@GMAIL.COM</t>
  </si>
  <si>
    <t>3116310196</t>
  </si>
  <si>
    <t>VALERIA CORREA DIEZ</t>
  </si>
  <si>
    <t>VALECDIEZ@GMAIL.COM</t>
  </si>
  <si>
    <t>3023995379</t>
  </si>
  <si>
    <t>GEWALT85@GMAIL.COM</t>
  </si>
  <si>
    <t>3113010786</t>
  </si>
  <si>
    <t>MATEO VASCO OSPINA</t>
  </si>
  <si>
    <t>MATEOVASCOBUITRAGO@GMAIL.COM</t>
  </si>
  <si>
    <t>3137632998</t>
  </si>
  <si>
    <t>FEKLOP@GMAIL.COM</t>
  </si>
  <si>
    <t>3217547578</t>
  </si>
  <si>
    <t>SBUCHELI@UNAL.EDU.CO</t>
  </si>
  <si>
    <t>3023485417</t>
  </si>
  <si>
    <t>juanda.rueda444@gmail.com</t>
  </si>
  <si>
    <t>3114329950</t>
  </si>
  <si>
    <t>mariangelc0910@gmail.com</t>
  </si>
  <si>
    <t>3127136274</t>
  </si>
  <si>
    <t>JULIAN ZAPATA RAMIREZ</t>
  </si>
  <si>
    <t>zapataramirezjulian@gmail.com</t>
  </si>
  <si>
    <t>3146819531</t>
  </si>
  <si>
    <t>jeanpaul1334@gmail.com</t>
  </si>
  <si>
    <t>3023255636</t>
  </si>
  <si>
    <t>lauracorreasoto49@gmail.com</t>
  </si>
  <si>
    <t>3207273274</t>
  </si>
  <si>
    <t>ELKIN FLOREZ RAMIREZ</t>
  </si>
  <si>
    <t>elflorami@gmail.com</t>
  </si>
  <si>
    <t>3146525183</t>
  </si>
  <si>
    <t>KAREN ARTEAGA GÓMEZ</t>
  </si>
  <si>
    <t>karenarteagagomez9026@gmail.com</t>
  </si>
  <si>
    <t>3122298542</t>
  </si>
  <si>
    <t>alejjja1998@gmail.com</t>
  </si>
  <si>
    <t>3108379088</t>
  </si>
  <si>
    <t>JOHAN.DGIRALDO@GMAIL.COM</t>
  </si>
  <si>
    <t>3136677177</t>
  </si>
  <si>
    <t>VEROBEDOYA96@GMAIL.COM</t>
  </si>
  <si>
    <t>3046745182</t>
  </si>
  <si>
    <t>ELDA-0531@HOTMAIL.COM</t>
  </si>
  <si>
    <t>3213762669</t>
  </si>
  <si>
    <t>SEBASTIAN GRANADOS MONTOYA</t>
  </si>
  <si>
    <t>SEBASMONTOYA2107@GMAIL.COM</t>
  </si>
  <si>
    <t>3003422996</t>
  </si>
  <si>
    <t>DANIELA GUERRA OSPINA</t>
  </si>
  <si>
    <t>DAGUEOS103@GMAIL.COM</t>
  </si>
  <si>
    <t>3146387375</t>
  </si>
  <si>
    <t>katherinepalaciosdiaz@gmail.com</t>
  </si>
  <si>
    <t>3136322097</t>
  </si>
  <si>
    <t>ESNEIDER ALVAREZ RIOS</t>
  </si>
  <si>
    <t>SNEIDER.ALVAREZ@HOTMAIL.COM</t>
  </si>
  <si>
    <t>3229013276</t>
  </si>
  <si>
    <t>JULIAN MEJIA RESTREPO</t>
  </si>
  <si>
    <t>JUMERE95@GMAIL.COM</t>
  </si>
  <si>
    <t>3016853071</t>
  </si>
  <si>
    <t>SALAZARJIMENEZMANUELA@GMAIL.COM</t>
  </si>
  <si>
    <t>3042769243</t>
  </si>
  <si>
    <t>ISABELRIVASC7@GMAIL.COM</t>
  </si>
  <si>
    <t>3337493374</t>
  </si>
  <si>
    <t>ANDRES GOMEZ RESTREPO</t>
  </si>
  <si>
    <t>ANDRESGOMEZRPO28@GMAIL.COM</t>
  </si>
  <si>
    <t>3005455253</t>
  </si>
  <si>
    <t>LAUOSORIO20012@GMAIL.COM</t>
  </si>
  <si>
    <t>3014538158</t>
  </si>
  <si>
    <t>jhonorozcoj@hotmail.com</t>
  </si>
  <si>
    <t>3136961138</t>
  </si>
  <si>
    <t>SANTIAGO ESCOBAR OBANDO</t>
  </si>
  <si>
    <t>santiagoescobarobando010@gmail.com</t>
  </si>
  <si>
    <t>3003364752</t>
  </si>
  <si>
    <t>carmeco6@gmail.com</t>
  </si>
  <si>
    <t>3127699427</t>
  </si>
  <si>
    <t>rodrijuanda0@gmail.com</t>
  </si>
  <si>
    <t>3238578084</t>
  </si>
  <si>
    <t>DUVAN LONDOÑO GUERRA</t>
  </si>
  <si>
    <t>londonoduvan2022@gmail.com</t>
  </si>
  <si>
    <t>3114280665</t>
  </si>
  <si>
    <t>johanamachado130@gmail.com</t>
  </si>
  <si>
    <t>3183600112</t>
  </si>
  <si>
    <t>MARIA MARIN</t>
  </si>
  <si>
    <t>marialemaring671@gmail.com</t>
  </si>
  <si>
    <t>3003649593</t>
  </si>
  <si>
    <t>nelsonalejandrorm@gmail.com</t>
  </si>
  <si>
    <t>3155212578</t>
  </si>
  <si>
    <t>SEBASTIAN SALAZAR ZAPATA</t>
  </si>
  <si>
    <t>SSZ.HAKI@GMAIL.COM</t>
  </si>
  <si>
    <t>3334314478</t>
  </si>
  <si>
    <t>CAMILOCIFUENTESSALGADO@GMAIL.COM</t>
  </si>
  <si>
    <t>3147847626</t>
  </si>
  <si>
    <t>ALVARADOLINA@GMAIL.COM</t>
  </si>
  <si>
    <t>3016437293</t>
  </si>
  <si>
    <t>CRISTIAN-ANDRES-L@HOTMAIL.COM</t>
  </si>
  <si>
    <t>3117033730</t>
  </si>
  <si>
    <t>andresandrade@outlook.com</t>
  </si>
  <si>
    <t>3180602828</t>
  </si>
  <si>
    <t>manugavi27@gmail.com</t>
  </si>
  <si>
    <t>3013191137</t>
  </si>
  <si>
    <t>lauravictoriaatehortua@gmail.com</t>
  </si>
  <si>
    <t>3167468913</t>
  </si>
  <si>
    <t>FRANCISCO.CALDERON768@PASCUALBRAVO.EDU.CO</t>
  </si>
  <si>
    <t>3128321077</t>
  </si>
  <si>
    <t>emersonmazoc@gmail.com</t>
  </si>
  <si>
    <t>3155152833</t>
  </si>
  <si>
    <t>CHIGORODO2@GMAIL.COM</t>
  </si>
  <si>
    <t>3193113672</t>
  </si>
  <si>
    <t>aguirregarciaalejandro99@gmail.com</t>
  </si>
  <si>
    <t>3108389657</t>
  </si>
  <si>
    <t>scobjuan@gmail.com</t>
  </si>
  <si>
    <t>3045567829</t>
  </si>
  <si>
    <t>jhondgomez@outlook.com</t>
  </si>
  <si>
    <t>3106459330</t>
  </si>
  <si>
    <t>scogollo11@gmail.com</t>
  </si>
  <si>
    <t>3215287282</t>
  </si>
  <si>
    <t>guialherjara@hotmail.com</t>
  </si>
  <si>
    <t>3017058366</t>
  </si>
  <si>
    <t>SANTIAGO ROMAN AGUDELO</t>
  </si>
  <si>
    <t>sromanagudelo@gmail.com</t>
  </si>
  <si>
    <t>3126859058</t>
  </si>
  <si>
    <t>VARGASRIOSK@GMAIL.COM</t>
  </si>
  <si>
    <t>3116612370</t>
  </si>
  <si>
    <t>COKE9412@HOTMAIL.COM</t>
  </si>
  <si>
    <t>3022245820</t>
  </si>
  <si>
    <t>DOMINICHJ2006@GMAIL.COM</t>
  </si>
  <si>
    <t>3008925368</t>
  </si>
  <si>
    <t>CHECHO916@GMAIL.COM</t>
  </si>
  <si>
    <t>3003416170</t>
  </si>
  <si>
    <t>LUCHO2012HT@GMAIL.COM</t>
  </si>
  <si>
    <t>3104044398</t>
  </si>
  <si>
    <t>ELIANA291986@GMAIL.COM</t>
  </si>
  <si>
    <t>3103931424</t>
  </si>
  <si>
    <t>SEBAS-1600@HOTMAIL.COM</t>
  </si>
  <si>
    <t>3104002026</t>
  </si>
  <si>
    <t>MAYRAMOSQUERA2201@GMAIL.COM</t>
  </si>
  <si>
    <t>3128917030</t>
  </si>
  <si>
    <t>ALVARO MARTINEZ MARTINEZ</t>
  </si>
  <si>
    <t>AJMARTINEZ8789@GMAIL.COM</t>
  </si>
  <si>
    <t>3003897075</t>
  </si>
  <si>
    <t>SANTIAGO CORREA ALVAREZ</t>
  </si>
  <si>
    <t>SANTIAGO.C.A@HOTMAIL.COM</t>
  </si>
  <si>
    <t>3117631647</t>
  </si>
  <si>
    <t>CALF0718@GMAIL.COM</t>
  </si>
  <si>
    <t>3002037569</t>
  </si>
  <si>
    <t>villaosa@hotmail.com</t>
  </si>
  <si>
    <t>3113796997</t>
  </si>
  <si>
    <t>BRAYAN BAENA RAMIREZ</t>
  </si>
  <si>
    <t>BRAYBAE1@GMAIL.COM</t>
  </si>
  <si>
    <t>3205998044</t>
  </si>
  <si>
    <t>fer950919@gmail.com</t>
  </si>
  <si>
    <t>3197156584</t>
  </si>
  <si>
    <t>alejitajaraba200@gmail.com</t>
  </si>
  <si>
    <t>3016247033</t>
  </si>
  <si>
    <t>jhonatanbetancurgarcia10@gmail.com</t>
  </si>
  <si>
    <t>3246009192</t>
  </si>
  <si>
    <t>anam.arbelaezlopez@gmail.com</t>
  </si>
  <si>
    <t>3004542616</t>
  </si>
  <si>
    <t>llorld43@gmail.com</t>
  </si>
  <si>
    <t>3505174127</t>
  </si>
  <si>
    <t>paula.bravo.varela@gmail.com</t>
  </si>
  <si>
    <t>3165271341</t>
  </si>
  <si>
    <t>MAURICIO CARDONA COLORADO</t>
  </si>
  <si>
    <t>cardona1504@hotmail.com</t>
  </si>
  <si>
    <t>3014756331</t>
  </si>
  <si>
    <t>juan73solarteark@gmail.com</t>
  </si>
  <si>
    <t>3144081715</t>
  </si>
  <si>
    <t>mikepineda7801@gmail.com</t>
  </si>
  <si>
    <t>3052619442</t>
  </si>
  <si>
    <t>miguelcarrera0051@gmail.com</t>
  </si>
  <si>
    <t>3135312441</t>
  </si>
  <si>
    <t>alexander_9524@hotmail.com</t>
  </si>
  <si>
    <t>3153833774</t>
  </si>
  <si>
    <t>JEFFRYM96@GMAIL.COM</t>
  </si>
  <si>
    <t>3126927031</t>
  </si>
  <si>
    <t>agarciahenao@yahoo.es</t>
  </si>
  <si>
    <t>3044912094</t>
  </si>
  <si>
    <t>DIEGO0941@OUTLOOK.ES</t>
  </si>
  <si>
    <t>3015268222</t>
  </si>
  <si>
    <t>ARGELIO RAMOS GRACIA</t>
  </si>
  <si>
    <t>ARGELIO17@HOTMAIL.COM</t>
  </si>
  <si>
    <t>3104085541</t>
  </si>
  <si>
    <t>BRAYANESNEYDER0128@GMAIL.COM</t>
  </si>
  <si>
    <t>3042841470</t>
  </si>
  <si>
    <t>SANTIAGO CARDOZO CELIS</t>
  </si>
  <si>
    <t>santicaz11@gmail.com</t>
  </si>
  <si>
    <t>3207046091</t>
  </si>
  <si>
    <t>JUANPA6025@GMAIL.COM</t>
  </si>
  <si>
    <t>3042845581</t>
  </si>
  <si>
    <t>jose.florez99@hotmail.com</t>
  </si>
  <si>
    <t>3216246972</t>
  </si>
  <si>
    <t>jeiandpatmon629@gmail.com</t>
  </si>
  <si>
    <t>3016383525</t>
  </si>
  <si>
    <t>MONCADAVICTOR85@GMAIL.COM</t>
  </si>
  <si>
    <t>3506475902</t>
  </si>
  <si>
    <t>camilo.fdez891@gmail.com</t>
  </si>
  <si>
    <t>3137824847</t>
  </si>
  <si>
    <t>sannyvaleaguaren@gmail.com</t>
  </si>
  <si>
    <t>3206114003</t>
  </si>
  <si>
    <t>ALEXANDER VILLADA OSPINA</t>
  </si>
  <si>
    <t>AVILLADA341@GMAIL.COM</t>
  </si>
  <si>
    <t>3007458715</t>
  </si>
  <si>
    <t>juanri9832@gmail.com</t>
  </si>
  <si>
    <t>3504640504</t>
  </si>
  <si>
    <t>SMITH990902@GMAIL.COM</t>
  </si>
  <si>
    <t>3193327015</t>
  </si>
  <si>
    <t>JUANJOALVAREZVASQUEZ@GMAIL.COM</t>
  </si>
  <si>
    <t>3042743790</t>
  </si>
  <si>
    <t>HILDEBRANDO.MONTOYA@GMAIL.COM</t>
  </si>
  <si>
    <t>3005337420</t>
  </si>
  <si>
    <t>OSCARMACIAS@HOTMAIL.COM</t>
  </si>
  <si>
    <t>3127353811</t>
  </si>
  <si>
    <t>RACSO0213@GMAIL.COM</t>
  </si>
  <si>
    <t>3215771112</t>
  </si>
  <si>
    <t>EDWINGUTIS@GMAIL.COM</t>
  </si>
  <si>
    <t>3002830294</t>
  </si>
  <si>
    <t>EMMANUELPEREZCASTRILLON2008@GMAIL.COM</t>
  </si>
  <si>
    <t>3237346500</t>
  </si>
  <si>
    <t>DEKATA.7@GMAIL.COM</t>
  </si>
  <si>
    <t>3104702804</t>
  </si>
  <si>
    <t>AGALVIS693@GMAIL.COM</t>
  </si>
  <si>
    <t>3224665574</t>
  </si>
  <si>
    <t>JUANJO-9501@HOTMAIL.COM</t>
  </si>
  <si>
    <t>3226206900</t>
  </si>
  <si>
    <t>judata007@gmail.com</t>
  </si>
  <si>
    <t>3163679737</t>
  </si>
  <si>
    <t>jmmolinam1@gmail.com</t>
  </si>
  <si>
    <t>3122468793</t>
  </si>
  <si>
    <t>lauracristinamejiacarmona@gmail.com</t>
  </si>
  <si>
    <t>3107589355</t>
  </si>
  <si>
    <t>hijodeltrueno068@gmail.com</t>
  </si>
  <si>
    <t>3203286300</t>
  </si>
  <si>
    <t>YBM427@GMAIL.COM</t>
  </si>
  <si>
    <t>3116155099</t>
  </si>
  <si>
    <t>FREIDELJOSUE13@GMAIL.COM</t>
  </si>
  <si>
    <t>3043093992</t>
  </si>
  <si>
    <t>ELCHUMY7@HOTMAIL.COM</t>
  </si>
  <si>
    <t>3127973039</t>
  </si>
  <si>
    <t>brayanaristi3@gmail.com</t>
  </si>
  <si>
    <t>3001976353</t>
  </si>
  <si>
    <t>JUANCAMILOCORDOBAMORENO84@GMAIL.COM</t>
  </si>
  <si>
    <t>3128899638</t>
  </si>
  <si>
    <t>BEATRYRIVER@GMAIL.COM</t>
  </si>
  <si>
    <t>3046570139</t>
  </si>
  <si>
    <t>jason.8hz@gmail.com</t>
  </si>
  <si>
    <t>3125150353</t>
  </si>
  <si>
    <t>benavidesposadasara@gmail.com</t>
  </si>
  <si>
    <t>3146254665</t>
  </si>
  <si>
    <t>CRESPY20@GMAIL.COM</t>
  </si>
  <si>
    <t>3117769630</t>
  </si>
  <si>
    <t>CAMILOANDRESFORONDAARRIETA@GMAIL.COM</t>
  </si>
  <si>
    <t>3105336454</t>
  </si>
  <si>
    <t>JUANMV9402@GMAIL.COM</t>
  </si>
  <si>
    <t>3012886639</t>
  </si>
  <si>
    <t>ALEXIS GOMEZ PAVAS</t>
  </si>
  <si>
    <t>GOMEZPAVAS34@GMAIL.COM</t>
  </si>
  <si>
    <t>3023155969</t>
  </si>
  <si>
    <t>JUANJOSEVELEZ61@GMAIL.COM</t>
  </si>
  <si>
    <t>3116623149</t>
  </si>
  <si>
    <t>JOHAN_CASTANEDA62141@ELPOLI.EDU.CO</t>
  </si>
  <si>
    <t>3007493334</t>
  </si>
  <si>
    <t>CRISTIANANDRESHERRERAGOMEZ@GMAIL.COM</t>
  </si>
  <si>
    <t>3216913564</t>
  </si>
  <si>
    <t>DANIELVANEGAS1996@GMAIL.COM</t>
  </si>
  <si>
    <t>3146103491</t>
  </si>
  <si>
    <t>MIRAMIREZGA@UNAL.EDU.CO</t>
  </si>
  <si>
    <t>3225242109</t>
  </si>
  <si>
    <t>ingdavidpitre@gmail.com</t>
  </si>
  <si>
    <t>3108386950</t>
  </si>
  <si>
    <t>EMANUEL GARCÍA RIOS</t>
  </si>
  <si>
    <t>emanuelgarciarios@gmail.com</t>
  </si>
  <si>
    <t>3124797221</t>
  </si>
  <si>
    <t>vanegasacevedothomas@gmail.com</t>
  </si>
  <si>
    <t>3014706648</t>
  </si>
  <si>
    <t>juandavidvanegas0@gmail.com</t>
  </si>
  <si>
    <t>3052946237</t>
  </si>
  <si>
    <t>kjhincapie6@gmail.com</t>
  </si>
  <si>
    <t>3015704518</t>
  </si>
  <si>
    <t>davicha95@gmail.com</t>
  </si>
  <si>
    <t>3104371351</t>
  </si>
  <si>
    <t>THOMAS RESTREPO RAMIREZ</t>
  </si>
  <si>
    <t>thomasrr29@gmail.com</t>
  </si>
  <si>
    <t>3053333747</t>
  </si>
  <si>
    <t>ALEJANDRO ZAPATA BUILES</t>
  </si>
  <si>
    <t>alejozapatabuiles@gmail.com</t>
  </si>
  <si>
    <t>3237912323</t>
  </si>
  <si>
    <t>anaflorez.5739@gmail.com</t>
  </si>
  <si>
    <t>3145211754</t>
  </si>
  <si>
    <t>JHOANSNEIDER22@GMAIL.COM</t>
  </si>
  <si>
    <t>3053319304</t>
  </si>
  <si>
    <t>JUPITERMEJIAO@GMAIL.COM</t>
  </si>
  <si>
    <t>3007242473</t>
  </si>
  <si>
    <t>IVANAPOLO9305@GMAIL.COM</t>
  </si>
  <si>
    <t>3239256926</t>
  </si>
  <si>
    <t>ANGELAROLDAN090@GMAIL.COM</t>
  </si>
  <si>
    <t>3002153522</t>
  </si>
  <si>
    <t>UBERNEY DELGADO DELGADO</t>
  </si>
  <si>
    <t>uberney2001@gmail.com</t>
  </si>
  <si>
    <t>3043539972</t>
  </si>
  <si>
    <t>mannuelatoromontes1717@gmail.com</t>
  </si>
  <si>
    <t>3024216308</t>
  </si>
  <si>
    <t>LINA BUILES</t>
  </si>
  <si>
    <t>452LMBL@GMAIL.COM</t>
  </si>
  <si>
    <t>3133181798</t>
  </si>
  <si>
    <t>juancastaneda2123@gmail.com</t>
  </si>
  <si>
    <t>3156841671</t>
  </si>
  <si>
    <t>ALEJANDRORAECHE@GMAIL.COM</t>
  </si>
  <si>
    <t>3134894232</t>
  </si>
  <si>
    <t>CIBERGWARRIOR86@HOTMAIL.COM</t>
  </si>
  <si>
    <t>3112029229</t>
  </si>
  <si>
    <t>CAMICA71@HOTMAIL.COM</t>
  </si>
  <si>
    <t>3174283088</t>
  </si>
  <si>
    <t>JUANDIV12@GMAIL.COM</t>
  </si>
  <si>
    <t>3218794407</t>
  </si>
  <si>
    <t>JUANAND1027@GMAIL.COM</t>
  </si>
  <si>
    <t>3117600708</t>
  </si>
  <si>
    <t>CAEGOMEZCO@UNAL.EDU.CO</t>
  </si>
  <si>
    <t>3158527732</t>
  </si>
  <si>
    <t>MARIANA SANCHEZ ARAQUE</t>
  </si>
  <si>
    <t>MSANCHEZA2006@GMAIL.COM</t>
  </si>
  <si>
    <t>3226079495</t>
  </si>
  <si>
    <t>FINNBL15YT@GMAIL.COM</t>
  </si>
  <si>
    <t>3165890247</t>
  </si>
  <si>
    <t>FABRICIO PINEDA ORTIZ</t>
  </si>
  <si>
    <t>FABRO_1985@HOTMAIL.COM</t>
  </si>
  <si>
    <t>3003497303</t>
  </si>
  <si>
    <t>MARULANDA1666@GMAIL.COM</t>
  </si>
  <si>
    <t>3242374471</t>
  </si>
  <si>
    <t>ANDERSON MURILLO CASTRILLÓN</t>
  </si>
  <si>
    <t>ANDERMURI94@GMAIL.COM</t>
  </si>
  <si>
    <t>3135920318</t>
  </si>
  <si>
    <t>MARIANA MARULANDA AGUILAR</t>
  </si>
  <si>
    <t>MARIANAMARULANDAAGUILAR@GMAIL.COM</t>
  </si>
  <si>
    <t>3207855159</t>
  </si>
  <si>
    <t>FRANCOKIVEN@GMAIL.COM</t>
  </si>
  <si>
    <t>3235038949</t>
  </si>
  <si>
    <t>ISABELCRISTINABOHORQUEZTOBON@GMAIL.COM</t>
  </si>
  <si>
    <t>3053361774</t>
  </si>
  <si>
    <t>luisracevedog@gmail.com</t>
  </si>
  <si>
    <t>3043780050</t>
  </si>
  <si>
    <t>juansuarez1708@gmail.com</t>
  </si>
  <si>
    <t>3014359925</t>
  </si>
  <si>
    <t>CAROLINA WHITE RESTREPO</t>
  </si>
  <si>
    <t>caro7w@gmail.com</t>
  </si>
  <si>
    <t>3113707311</t>
  </si>
  <si>
    <t>SARA OSPINA GIL</t>
  </si>
  <si>
    <t>saritaosgil@gmail.com</t>
  </si>
  <si>
    <t>3016518810</t>
  </si>
  <si>
    <t>lacaju192021@gmail.com</t>
  </si>
  <si>
    <t>3002511090</t>
  </si>
  <si>
    <t>CAROLINA MUÑOZ ARRUBLA</t>
  </si>
  <si>
    <t>ARRUBLACAROLINA1@GMAIL.COM</t>
  </si>
  <si>
    <t>3243124113</t>
  </si>
  <si>
    <t>MARIANA MONTOYA TORO</t>
  </si>
  <si>
    <t>MARIANAY230@GMAIL.COM</t>
  </si>
  <si>
    <t>3206546672</t>
  </si>
  <si>
    <t>carlos.gutierrezusme@inemjose.edu.co</t>
  </si>
  <si>
    <t>3242633143</t>
  </si>
  <si>
    <t>DANNY.F.DUQUE@HOTMAIL.COM</t>
  </si>
  <si>
    <t>3103983728</t>
  </si>
  <si>
    <t>OJEDA.ALEJANDRO.2304@GMAIL.COM</t>
  </si>
  <si>
    <t>3132269647</t>
  </si>
  <si>
    <t>SEBASTIAN BARRERA HERRERA</t>
  </si>
  <si>
    <t>BAHERRERAS8@GMAIL.COM</t>
  </si>
  <si>
    <t>3116404916</t>
  </si>
  <si>
    <t>EMANUEL JARAMILLO RAMIREZ</t>
  </si>
  <si>
    <t>EMANUELJR@PRESBITEROCAMILOTORRES.EDU.CO</t>
  </si>
  <si>
    <t>3027661531</t>
  </si>
  <si>
    <t>IVANTEQUIA93@GMAIL.COM</t>
  </si>
  <si>
    <t>3336081777</t>
  </si>
  <si>
    <t>soagu@hotmail.com</t>
  </si>
  <si>
    <t>3106439946</t>
  </si>
  <si>
    <t>jairoandresg32@gmail.com</t>
  </si>
  <si>
    <t>3108608215</t>
  </si>
  <si>
    <t>VELASQUEZDIEGO22014@GMAIL.COM</t>
  </si>
  <si>
    <t>3234484297</t>
  </si>
  <si>
    <t>JOHAISAMURILLOP@GMAIL.COM</t>
  </si>
  <si>
    <t>3113300174</t>
  </si>
  <si>
    <t>S-0215@HOTMAIL.COM</t>
  </si>
  <si>
    <t>3218164560</t>
  </si>
  <si>
    <t>DANIELMARIN208874@CORREO.ITM.EDU.CO</t>
  </si>
  <si>
    <t>3168659147</t>
  </si>
  <si>
    <t>CRISTIAN PIEDRAHITA ECHAVARRIA</t>
  </si>
  <si>
    <t>epcristian00@gmail.com</t>
  </si>
  <si>
    <t>3002081684</t>
  </si>
  <si>
    <t>EIDER.PASTRANA01@GMAIL.COM</t>
  </si>
  <si>
    <t>3045352006</t>
  </si>
  <si>
    <t>ZTEPHANNYPOLO30@GMAIL.COM</t>
  </si>
  <si>
    <t>3242966362</t>
  </si>
  <si>
    <t>ANAQUECHO@GMAIL.COM</t>
  </si>
  <si>
    <t>3115565789</t>
  </si>
  <si>
    <t>DANIELA BALLESTERO MONTOYA</t>
  </si>
  <si>
    <t>DANIESTEROS.189206@GMAIL.COM</t>
  </si>
  <si>
    <t>3173781980</t>
  </si>
  <si>
    <t>JUANJOMC0806@GMAIL.COM</t>
  </si>
  <si>
    <t>3145938210</t>
  </si>
  <si>
    <t>ELIANELPASPI01@GMAIL.COM</t>
  </si>
  <si>
    <t>3126887509</t>
  </si>
  <si>
    <t>MANUELA GIRALDO GAMBOA</t>
  </si>
  <si>
    <t>MANUELAGAMBOA59@GMAIL.COM</t>
  </si>
  <si>
    <t>3206608814</t>
  </si>
  <si>
    <t>TARYFERRARO@GMAIL.COM</t>
  </si>
  <si>
    <t>3003282964</t>
  </si>
  <si>
    <t>MARISABEL TAMAYO OBANDO</t>
  </si>
  <si>
    <t>ISATAMAYO1507@GMAIL.COM</t>
  </si>
  <si>
    <t>3107605107</t>
  </si>
  <si>
    <t>SALOME ROJAS GOMEZ</t>
  </si>
  <si>
    <t>SALOROJASGOMEZ28@GMAIL.COM</t>
  </si>
  <si>
    <t>3043053290</t>
  </si>
  <si>
    <t>ISABELA GARCÍA CARBALLO</t>
  </si>
  <si>
    <t>GARCIACARBALLOISABELA0531@GMAIL.COM</t>
  </si>
  <si>
    <t>3244217792</t>
  </si>
  <si>
    <t>CNITA26@GMAIL.COM</t>
  </si>
  <si>
    <t>3147945681</t>
  </si>
  <si>
    <t>NATALIA HENAO</t>
  </si>
  <si>
    <t>INKANTUSTUDIO.CO@GMail.com</t>
  </si>
  <si>
    <t>3215267325</t>
  </si>
  <si>
    <t>LUISA13.CUARTAS@GMAIL.COM</t>
  </si>
  <si>
    <t>3112772100</t>
  </si>
  <si>
    <t>TELEVISORDETUBOS@GMAIL.COM</t>
  </si>
  <si>
    <t>3006768890</t>
  </si>
  <si>
    <t>cardonasara151@gmail.com</t>
  </si>
  <si>
    <t>3218949117</t>
  </si>
  <si>
    <t>mnguanga2021@gmail.com</t>
  </si>
  <si>
    <t>3127282589</t>
  </si>
  <si>
    <t>VERÓNICA HOLGUÍN PÉREZ</t>
  </si>
  <si>
    <t>veronica.holguin39@gmail.com</t>
  </si>
  <si>
    <t>3505736895</t>
  </si>
  <si>
    <t>VALERIA GARCIA ARANGO</t>
  </si>
  <si>
    <t>valeriagarcia11c@gmail.com</t>
  </si>
  <si>
    <t>3003565907</t>
  </si>
  <si>
    <t>inversionesdalmiro8a@gmail.com</t>
  </si>
  <si>
    <t>3124815065</t>
  </si>
  <si>
    <t>tmadrigal89@hotmail.com</t>
  </si>
  <si>
    <t>3197955229</t>
  </si>
  <si>
    <t>MARYSOL MESA DE LOSRIOS</t>
  </si>
  <si>
    <t>marysolmesa233@gmail.com</t>
  </si>
  <si>
    <t>3003999600</t>
  </si>
  <si>
    <t>GTOROJA@GMAIL.COM</t>
  </si>
  <si>
    <t>3127321610</t>
  </si>
  <si>
    <t>anacolorado124@gmail.com</t>
  </si>
  <si>
    <t>3216263450</t>
  </si>
  <si>
    <t>mariacamilaporrasvergara2020@gmail.com</t>
  </si>
  <si>
    <t>3202575148</t>
  </si>
  <si>
    <t>nasllyhernan@gmail.com</t>
  </si>
  <si>
    <t>3015579622</t>
  </si>
  <si>
    <t>ja139214@gmail.com</t>
  </si>
  <si>
    <t>3107425474</t>
  </si>
  <si>
    <t>SANTIAGO CEBALLOS AGUDELO</t>
  </si>
  <si>
    <t>CEBALLOSANTIAGO91@GMAIL.COM</t>
  </si>
  <si>
    <t>3117904361</t>
  </si>
  <si>
    <t>sandra.galvez@ieslab.edu.co</t>
  </si>
  <si>
    <t>3209957620</t>
  </si>
  <si>
    <t>coordinacion.virtual@esumer.edu.co</t>
  </si>
  <si>
    <t>4038130152</t>
  </si>
  <si>
    <t>NVANEGASANAYA@GMAIL.COM</t>
  </si>
  <si>
    <t>3105916602</t>
  </si>
  <si>
    <t>NMONTOA@GMAIL.COM</t>
  </si>
  <si>
    <t>3004582149</t>
  </si>
  <si>
    <t>CATALINA MARTINEZ PATIÑO</t>
  </si>
  <si>
    <t>kataliva@gmail.com</t>
  </si>
  <si>
    <t>3004381235</t>
  </si>
  <si>
    <t>NATALIA BETANCUR AYALA</t>
  </si>
  <si>
    <t>NATYLA02@HOTMAIL.COM</t>
  </si>
  <si>
    <t>3002571650</t>
  </si>
  <si>
    <t>MAZODAVID.96@GMAIL.COM</t>
  </si>
  <si>
    <t>3012368465</t>
  </si>
  <si>
    <t>MELISSA MENDEZ GALLEGO</t>
  </si>
  <si>
    <t>MELISSAGALLEGO626@GMAIL.COM</t>
  </si>
  <si>
    <t>3005995516</t>
  </si>
  <si>
    <t>RAULMEJIA320@GMAIL.COM</t>
  </si>
  <si>
    <t>3002184662</t>
  </si>
  <si>
    <t>NATALIA GARCIA GONZALEZ</t>
  </si>
  <si>
    <t>NGARCIAG40@GMAIL.COM</t>
  </si>
  <si>
    <t>3144366550</t>
  </si>
  <si>
    <t>MARIANA COLORADO MUNERA</t>
  </si>
  <si>
    <t>COLORADOMARIANA22@GMAIL.COM</t>
  </si>
  <si>
    <t>3005571495</t>
  </si>
  <si>
    <t>VANESSA AGUIRRE ALVAREZ</t>
  </si>
  <si>
    <t>VANESSAALVAREZ_@HOTMAIL.COM</t>
  </si>
  <si>
    <t>3006360375</t>
  </si>
  <si>
    <t>ALEJANDRA SALAZAR LOPEZ</t>
  </si>
  <si>
    <t>J.LO906@HOTMAIL.COM</t>
  </si>
  <si>
    <t>3216253695</t>
  </si>
  <si>
    <t>LVALENCIASE@GMAIL.COM</t>
  </si>
  <si>
    <t>3207056739</t>
  </si>
  <si>
    <t>DANIELFQA@GMAIL.COM</t>
  </si>
  <si>
    <t>3147927691</t>
  </si>
  <si>
    <t>KENDRYHENAO.14@GMAIL.COM</t>
  </si>
  <si>
    <t>3196981265</t>
  </si>
  <si>
    <t>GAILY GARNICA GONZALEZ</t>
  </si>
  <si>
    <t>GI3GI0416@GMAIL.COM</t>
  </si>
  <si>
    <t>3185471271</t>
  </si>
  <si>
    <t>PARDOC99@GMAIL.COM</t>
  </si>
  <si>
    <t>3217633897</t>
  </si>
  <si>
    <t>PALLARESPAULO@GMAIL.COM</t>
  </si>
  <si>
    <t>3105158192</t>
  </si>
  <si>
    <t>SANGARAL25@GMAIL.COM</t>
  </si>
  <si>
    <t>3003939129</t>
  </si>
  <si>
    <t>HANIELMARINLOPEZ1654@GMAIL.COM</t>
  </si>
  <si>
    <t>3241201873</t>
  </si>
  <si>
    <t>KRITO4326@GMAIL.COM</t>
  </si>
  <si>
    <t>3007752493</t>
  </si>
  <si>
    <t>SARA MONSALVE VELASQUEZ</t>
  </si>
  <si>
    <t>SARAVELASQUEZ55663@GMAIL.COM</t>
  </si>
  <si>
    <t>3023117988</t>
  </si>
  <si>
    <t>SANTIAGO QUINTERO RESTREPO</t>
  </si>
  <si>
    <t>QUINTERO363@GMAIL.COM</t>
  </si>
  <si>
    <t>3014648629</t>
  </si>
  <si>
    <t>JUANESGOMEZ@GMAIL.COM</t>
  </si>
  <si>
    <t>3006121155</t>
  </si>
  <si>
    <t>MADLY.1974@GMAIL.COM</t>
  </si>
  <si>
    <t>3246893544</t>
  </si>
  <si>
    <t>DULANMOL8@GMAIL.COM</t>
  </si>
  <si>
    <t>3113090895</t>
  </si>
  <si>
    <t>valenciavelasquezjohandanilo2@gmail.com</t>
  </si>
  <si>
    <t>3177637075</t>
  </si>
  <si>
    <t>neyramiro3114@gmail.com</t>
  </si>
  <si>
    <t>3155627011</t>
  </si>
  <si>
    <t>albaniapatri@gmail.com</t>
  </si>
  <si>
    <t>3012959233</t>
  </si>
  <si>
    <t>ALEXANDRA ROMAN ARBOLEDA</t>
  </si>
  <si>
    <t>alexandraroman1336@gmail.com</t>
  </si>
  <si>
    <t>3015900872</t>
  </si>
  <si>
    <t>JOHNNATAN ALZATE ISAZA</t>
  </si>
  <si>
    <t>jota.alzate.isaza@gmail.com</t>
  </si>
  <si>
    <t>3185410328</t>
  </si>
  <si>
    <t>SARA GRANADO RODRIGUEZ</t>
  </si>
  <si>
    <t>sararodriguez2019@gmail.com</t>
  </si>
  <si>
    <t>3026002581</t>
  </si>
  <si>
    <t>giovanna.amariles@gmail.com</t>
  </si>
  <si>
    <t>3013574622</t>
  </si>
  <si>
    <t>mendozaerixjavier@gmail.com</t>
  </si>
  <si>
    <t>3104569963</t>
  </si>
  <si>
    <t>yeison0315@hotmail.com</t>
  </si>
  <si>
    <t>3207181881</t>
  </si>
  <si>
    <t>saristizabalc05@gmail.com</t>
  </si>
  <si>
    <t>3022830528</t>
  </si>
  <si>
    <t>YESICA CARDENAS ORTIZ</t>
  </si>
  <si>
    <t>yecardenas278@gmail.com</t>
  </si>
  <si>
    <t>3135184708</t>
  </si>
  <si>
    <t>ANYI JIMÉNEZ</t>
  </si>
  <si>
    <t>anyi0511@hotmail.com</t>
  </si>
  <si>
    <t>3015115716</t>
  </si>
  <si>
    <t>SANTIAGO DAVILA ARANGO</t>
  </si>
  <si>
    <t>santiagodavila88@gmail.com</t>
  </si>
  <si>
    <t>3006512068</t>
  </si>
  <si>
    <t>chadidnara18@gmail.com</t>
  </si>
  <si>
    <t>3017390850</t>
  </si>
  <si>
    <t>laucamcastillo@hotmail.com</t>
  </si>
  <si>
    <t>3138543558</t>
  </si>
  <si>
    <t>CHIGUITA08@GMAIL.COM</t>
  </si>
  <si>
    <t>3043539006</t>
  </si>
  <si>
    <t>anymgr718@gmail.com</t>
  </si>
  <si>
    <t>3025634207</t>
  </si>
  <si>
    <t>ELIZABETH GAVIRIA FRANCO</t>
  </si>
  <si>
    <t>egaviria23@gmail.com</t>
  </si>
  <si>
    <t>3206772065</t>
  </si>
  <si>
    <t>KAREN HERNANDEZ VEGA</t>
  </si>
  <si>
    <t>GIFTLOVEMEDELLIN@GMAIL.COM</t>
  </si>
  <si>
    <t>3215480970</t>
  </si>
  <si>
    <t>JULEANNGOMEZ@GMAIL.COM</t>
  </si>
  <si>
    <t>3113965943</t>
  </si>
  <si>
    <t>andreskmartinez@outlook.com</t>
  </si>
  <si>
    <t>3173436418</t>
  </si>
  <si>
    <t>valerytatianausugazapata@gmail.com</t>
  </si>
  <si>
    <t>3044936146</t>
  </si>
  <si>
    <t>ismaeltobonnews@gmail.com</t>
  </si>
  <si>
    <t>3205707983</t>
  </si>
  <si>
    <t>JMPINILLABAR91@GMAIL.COM</t>
  </si>
  <si>
    <t>3503473754</t>
  </si>
  <si>
    <t>LAURAVANESSA1406@GMAIL.COM</t>
  </si>
  <si>
    <t>3006764219</t>
  </si>
  <si>
    <t>MARCELA OSPINA LARREA</t>
  </si>
  <si>
    <t>MARCELAOSPI@YAHOO.COM.CO</t>
  </si>
  <si>
    <t>3104052499</t>
  </si>
  <si>
    <t>OCAMPOPAOLA804@GMAIL.COM</t>
  </si>
  <si>
    <t>3053486719</t>
  </si>
  <si>
    <t>TANIACANO2300@GMAIL.COM</t>
  </si>
  <si>
    <t>3023903809</t>
  </si>
  <si>
    <t>DAVIDGALLEGOC1997@GMAIL.COM</t>
  </si>
  <si>
    <t>3245010685</t>
  </si>
  <si>
    <t>ZOE.VELASQUEZ@EPM.COM.CO</t>
  </si>
  <si>
    <t>3014302283</t>
  </si>
  <si>
    <t>ALEXANDRAPINO43@GMAIL.COM</t>
  </si>
  <si>
    <t>3136201060</t>
  </si>
  <si>
    <t>MAURICIO LOZANO PEREZ</t>
  </si>
  <si>
    <t>LOZANO.MAURICIOP@GMAIL.COM</t>
  </si>
  <si>
    <t>3234788185</t>
  </si>
  <si>
    <t>YADIRA GUZMAN DAVID</t>
  </si>
  <si>
    <t>YADIRAGUZMAN2017@GMAIL.COM</t>
  </si>
  <si>
    <t>3122376301</t>
  </si>
  <si>
    <t>NATALIA ALVAREZ MORALES</t>
  </si>
  <si>
    <t>NATY8912@GMAIL.COM</t>
  </si>
  <si>
    <t>3226881010</t>
  </si>
  <si>
    <t>LINAMARCELAMUNOZZAPATA@GMAIL.COM</t>
  </si>
  <si>
    <t>3113948670</t>
  </si>
  <si>
    <t>KTHY.MARIN7@GMAIL.COM</t>
  </si>
  <si>
    <t>3505713308</t>
  </si>
  <si>
    <t>WALO2012@GMAIL.COM</t>
  </si>
  <si>
    <t>3116490982</t>
  </si>
  <si>
    <t>CAMILO3MARIN@GMAIL.COM</t>
  </si>
  <si>
    <t>3178061689</t>
  </si>
  <si>
    <t>MANUELA ORTIZ RESTREPO</t>
  </si>
  <si>
    <t>MANUR3STREPO2002@GMAIL.COM</t>
  </si>
  <si>
    <t>3027322581</t>
  </si>
  <si>
    <t>ELIZABETH BARRIOS MARTINEZ</t>
  </si>
  <si>
    <t>ELIZABETHBARRIOSMARTINEZ2009@GMAIL.COM</t>
  </si>
  <si>
    <t>3011965581</t>
  </si>
  <si>
    <t>YURYKGP@GMAIL.COM</t>
  </si>
  <si>
    <t>3145527574</t>
  </si>
  <si>
    <t>siempreanime88@gmail.com</t>
  </si>
  <si>
    <t>3332221626</t>
  </si>
  <si>
    <t>JULIANA VASQUEZ ALVAREZ</t>
  </si>
  <si>
    <t>juliana.vasqueza.4@gmail.com</t>
  </si>
  <si>
    <t>3016658344</t>
  </si>
  <si>
    <t>manuelaachury@gmail.com</t>
  </si>
  <si>
    <t>3042197474</t>
  </si>
  <si>
    <t>kenia22pola@gmail.com</t>
  </si>
  <si>
    <t>3114895756</t>
  </si>
  <si>
    <t>jaduquemadrigal@gmail.com</t>
  </si>
  <si>
    <t>3215443179</t>
  </si>
  <si>
    <t>aavilacantero19@gmail.com</t>
  </si>
  <si>
    <t>3002277321</t>
  </si>
  <si>
    <t>camilocarvajal36@gmail.com</t>
  </si>
  <si>
    <t>3148046876</t>
  </si>
  <si>
    <t>yeineralexb@hotmail.com</t>
  </si>
  <si>
    <t>3196557883</t>
  </si>
  <si>
    <t>YÉFERSON GÓMEZ GARCÍA</t>
  </si>
  <si>
    <t>yeferson75@gmail.com</t>
  </si>
  <si>
    <t>3003370558</t>
  </si>
  <si>
    <t>RUIZCATERINE400@GMAIL.COM</t>
  </si>
  <si>
    <t>3123915754</t>
  </si>
  <si>
    <t>MIGUEL.ARANGOCA@AMIGO.EDU.CO</t>
  </si>
  <si>
    <t>3115308337</t>
  </si>
  <si>
    <t>ximena.alejandra17@gmail.com</t>
  </si>
  <si>
    <t>3138950124</t>
  </si>
  <si>
    <t>VALEVAP01@GMAIL.COM</t>
  </si>
  <si>
    <t>3001178815</t>
  </si>
  <si>
    <t>ESTEFANIA GONZALEZ DAVILA</t>
  </si>
  <si>
    <t>estefaniagonzalez.d19@gmail.com</t>
  </si>
  <si>
    <t>3117582186</t>
  </si>
  <si>
    <t>LMOSQUERACHARRY@GMAIL.COM</t>
  </si>
  <si>
    <t>3122036136</t>
  </si>
  <si>
    <t>ANDREAPOLOMOLINA9@GMAIL.COM</t>
  </si>
  <si>
    <t>3244422610</t>
  </si>
  <si>
    <t>natabo2024@gmail.com</t>
  </si>
  <si>
    <t>3104924334</t>
  </si>
  <si>
    <t>dijara201@gmail.com</t>
  </si>
  <si>
    <t>3216636450</t>
  </si>
  <si>
    <t>JONATHANJALZATE@GMAIL.COM</t>
  </si>
  <si>
    <t>3222213423</t>
  </si>
  <si>
    <t>MAJO.CASTRILLON2003@GMAIL.COM</t>
  </si>
  <si>
    <t>3009042979</t>
  </si>
  <si>
    <t>vlorestrepo@gmail.com</t>
  </si>
  <si>
    <t>3015927739</t>
  </si>
  <si>
    <t>MANUELA CANO SUAREZ</t>
  </si>
  <si>
    <t>mcanosu29@gmail.com</t>
  </si>
  <si>
    <t>3014525355</t>
  </si>
  <si>
    <t>LAURA RENDON AGUIRRE</t>
  </si>
  <si>
    <t>laurarendonaguirre2@gmail.com</t>
  </si>
  <si>
    <t>3134373443</t>
  </si>
  <si>
    <t>milena.franco00@gmail.com</t>
  </si>
  <si>
    <t>3019054769</t>
  </si>
  <si>
    <t>rose.15@hotmail.com</t>
  </si>
  <si>
    <t>3218795304</t>
  </si>
  <si>
    <t>SEBASTIAN FLOREZ</t>
  </si>
  <si>
    <t>SEFLOREZ@UNAL.EDU.CO</t>
  </si>
  <si>
    <t>3053276930</t>
  </si>
  <si>
    <t>alexjolate@gmail.com</t>
  </si>
  <si>
    <t>3009921665</t>
  </si>
  <si>
    <t>L.DANIELST@HOTMAIL.COM</t>
  </si>
  <si>
    <t>3007716569</t>
  </si>
  <si>
    <t>JENNYFERCH1991@GMAIL.COM</t>
  </si>
  <si>
    <t>3197813301</t>
  </si>
  <si>
    <t>DANIEL GARCIATORO</t>
  </si>
  <si>
    <t>DGTORO7@GMAIL.COM</t>
  </si>
  <si>
    <t>3006977851</t>
  </si>
  <si>
    <t>DAYANIS BLANCO MADERA</t>
  </si>
  <si>
    <t>DAYANISMADERA@GMAIL.COM</t>
  </si>
  <si>
    <t>3148577382</t>
  </si>
  <si>
    <t>YESICA SUAZA ECHAVARRIA</t>
  </si>
  <si>
    <t>YESISUAZA22@GMAIL.COM</t>
  </si>
  <si>
    <t>3042018738</t>
  </si>
  <si>
    <t>ARLEDYS ZARZA AVILA</t>
  </si>
  <si>
    <t>ZARZAVILA68@GMAIL.COM</t>
  </si>
  <si>
    <t>3232474833</t>
  </si>
  <si>
    <t>VARDAMIR22@GMAIL.COM</t>
  </si>
  <si>
    <t>3024123653</t>
  </si>
  <si>
    <t>HAMILTONORREGO@GMAIL.COM</t>
  </si>
  <si>
    <t>3185670124</t>
  </si>
  <si>
    <t>DAMA ROLDAN TORRES</t>
  </si>
  <si>
    <t>DAMARIS21-2007@HOTMAIL.COM</t>
  </si>
  <si>
    <t>3164592656</t>
  </si>
  <si>
    <t>RELEN255@GMAIL.COM</t>
  </si>
  <si>
    <t>3027102225</t>
  </si>
  <si>
    <t>MARIACVP08@GMAIL.COM</t>
  </si>
  <si>
    <t>3216359039</t>
  </si>
  <si>
    <t>EBAZILE0106@HOTMAIL.COM</t>
  </si>
  <si>
    <t>3137422884</t>
  </si>
  <si>
    <t>paulaandreaalvarezz@hotmail.com</t>
  </si>
  <si>
    <t>3187169064</t>
  </si>
  <si>
    <t>rioschcesar@gmail.com</t>
  </si>
  <si>
    <t>3006831891</t>
  </si>
  <si>
    <t>fabrizkit@hotmail.com</t>
  </si>
  <si>
    <t>3193939131</t>
  </si>
  <si>
    <t>kellyjhoanabaena@gmail.com</t>
  </si>
  <si>
    <t>3242914933</t>
  </si>
  <si>
    <t>paozq2014@gmail.com</t>
  </si>
  <si>
    <t>3205926084</t>
  </si>
  <si>
    <t>sarahoyoscano@gmail.com</t>
  </si>
  <si>
    <t>3043971277</t>
  </si>
  <si>
    <t>juanes352008@icloud.com</t>
  </si>
  <si>
    <t>3044479676</t>
  </si>
  <si>
    <t>WJM849300@GMAIL.COM</t>
  </si>
  <si>
    <t>3177178296</t>
  </si>
  <si>
    <t>KRINOVE@GMAIL.COM</t>
  </si>
  <si>
    <t>3015016024</t>
  </si>
  <si>
    <t>ANNALIZCANO21@GMAIL.COM</t>
  </si>
  <si>
    <t>3242421903</t>
  </si>
  <si>
    <t>MARTIN SANCHEZ CARVAJAL</t>
  </si>
  <si>
    <t>MSANCHEZC97@GMAIL.COM</t>
  </si>
  <si>
    <t>3044490502</t>
  </si>
  <si>
    <t>natygarzon27@hotmail.com</t>
  </si>
  <si>
    <t>3146224713</t>
  </si>
  <si>
    <t>LAGUNAMARLON221@GMAIL.COM</t>
  </si>
  <si>
    <t>3137305473</t>
  </si>
  <si>
    <t>VANESSA PABON VASQUEZ</t>
  </si>
  <si>
    <t>ALONMAR25213@GMAIL.COM</t>
  </si>
  <si>
    <t>3103514820</t>
  </si>
  <si>
    <t>maryelyjaramillo7@gmail.com</t>
  </si>
  <si>
    <t>3107196193</t>
  </si>
  <si>
    <t>luisa08zapata@gmail.com</t>
  </si>
  <si>
    <t>3017417486</t>
  </si>
  <si>
    <t>VALERIA TANGARIFE ALVAREZ</t>
  </si>
  <si>
    <t>VALERIAVEGA0208@GMAIL.COM</t>
  </si>
  <si>
    <t>3215858837</t>
  </si>
  <si>
    <t>productora.tatianalazaro@gmail.com</t>
  </si>
  <si>
    <t>3144385102</t>
  </si>
  <si>
    <t>NATALIA SERNA VASQUEZ</t>
  </si>
  <si>
    <t>NATALIA2988@HOTMAIL.COM</t>
  </si>
  <si>
    <t>3182165427</t>
  </si>
  <si>
    <t>MANUELALEJANDROGP87@GMAIL.COM</t>
  </si>
  <si>
    <t>3148165490</t>
  </si>
  <si>
    <t>GARCIAALEJOISAAC@GMAIL.COM</t>
  </si>
  <si>
    <t>3137900176</t>
  </si>
  <si>
    <t>DRJUANCARDONA09@GMAIL.COM</t>
  </si>
  <si>
    <t>3043501198</t>
  </si>
  <si>
    <t>GILBERTO.RODRIGUEZ@UDEA.EDU.CO</t>
  </si>
  <si>
    <t>3136486161</t>
  </si>
  <si>
    <t>ELIZABETH BUSTAMANTE VELASQUEZ</t>
  </si>
  <si>
    <t>ELIZASTARK-1989@OUTLOOK.ES</t>
  </si>
  <si>
    <t>3005121445</t>
  </si>
  <si>
    <t>PIPEFLOREZCO@GMAIL.COM</t>
  </si>
  <si>
    <t>3159863926</t>
  </si>
  <si>
    <t>JHOJANHENAOALVAREZ@GMAIL.COM</t>
  </si>
  <si>
    <t>3245774564</t>
  </si>
  <si>
    <t>TOBONJUANESTEBAN406@GMAIL.COM</t>
  </si>
  <si>
    <t>3242454684</t>
  </si>
  <si>
    <t>JUANPAVASLOPEZ@GMAIL.COM</t>
  </si>
  <si>
    <t>3053568342</t>
  </si>
  <si>
    <t>JUSFER159@OUTLOOK.COM</t>
  </si>
  <si>
    <t>3195426945</t>
  </si>
  <si>
    <t>CRISTIANCAMILOP020@GMAIL.COM</t>
  </si>
  <si>
    <t>3126596187</t>
  </si>
  <si>
    <t>EBC013@GMAIL.COM</t>
  </si>
  <si>
    <t>3203332417</t>
  </si>
  <si>
    <t>MARIANA SUAZA SERNA</t>
  </si>
  <si>
    <t>MARIANASUAZA15@GMAIL.COM</t>
  </si>
  <si>
    <t>3106488692</t>
  </si>
  <si>
    <t>JERONIMO CIFUENTES CASTRILLON</t>
  </si>
  <si>
    <t>jeroeuropa20@gmail.com</t>
  </si>
  <si>
    <t>3507504760</t>
  </si>
  <si>
    <t>angelalejandroospina@gmail.com</t>
  </si>
  <si>
    <t>3014749813</t>
  </si>
  <si>
    <t>SEBASTIAN MARTINEZ ALZATE</t>
  </si>
  <si>
    <t>sebasmaral@gmail.com</t>
  </si>
  <si>
    <t>3147987718</t>
  </si>
  <si>
    <t>juanjoserios538@gmail.com</t>
  </si>
  <si>
    <t>3046545338</t>
  </si>
  <si>
    <t>kathecastrillon89@gmail.com</t>
  </si>
  <si>
    <t>3108489696</t>
  </si>
  <si>
    <t>CHELSEA ORDOÑEZ GÓMEZ</t>
  </si>
  <si>
    <t>gomezordonezchelsea@gmail.com</t>
  </si>
  <si>
    <t>3052241777</t>
  </si>
  <si>
    <t>gomezmaicol1017@gmail.com</t>
  </si>
  <si>
    <t>3243407454</t>
  </si>
  <si>
    <t>JULIANA RÍOS CASTAÑO</t>
  </si>
  <si>
    <t>julianaipb48@gmail.com</t>
  </si>
  <si>
    <t>3116248734</t>
  </si>
  <si>
    <t>karenholguin93@gmail.com</t>
  </si>
  <si>
    <t>3007850556</t>
  </si>
  <si>
    <t>SAMUELALTUZARRA02@GMAIL.COM</t>
  </si>
  <si>
    <t>3246030335</t>
  </si>
  <si>
    <t>JDIEGO.OSPINA@UDEA.EDU.CO</t>
  </si>
  <si>
    <t>3011921298</t>
  </si>
  <si>
    <t>mafetibocha@gmail.com</t>
  </si>
  <si>
    <t>3118181732</t>
  </si>
  <si>
    <t>DAYANA NIEBLES PEDRAZA</t>
  </si>
  <si>
    <t>dayananieblespedraza@gmail.com</t>
  </si>
  <si>
    <t>3012503259</t>
  </si>
  <si>
    <t>JUANDAVIDCARDONAMONTO@GMAIL.COM</t>
  </si>
  <si>
    <t>3043706802</t>
  </si>
  <si>
    <t>ESTELLARES6@GMAIL.COM</t>
  </si>
  <si>
    <t>3046603428</t>
  </si>
  <si>
    <t>MANUELA BOLIVAR SANCHEZ</t>
  </si>
  <si>
    <t>MANUBOLIVAR1306@GMAIL.COM</t>
  </si>
  <si>
    <t>3242309004</t>
  </si>
  <si>
    <t>florecita.115@hotmail.com</t>
  </si>
  <si>
    <t>3177071990</t>
  </si>
  <si>
    <t>carolinapg1011@gmail.com</t>
  </si>
  <si>
    <t>3024101216</t>
  </si>
  <si>
    <t>CARLOSZAPATA1991@HOTMAIL.COM</t>
  </si>
  <si>
    <t>3242069073</t>
  </si>
  <si>
    <t>BENJAMÍN SUÁREZ BALLESTERO</t>
  </si>
  <si>
    <t>BENJAMINSUAREZBA@GMAIL.COM</t>
  </si>
  <si>
    <t>3135385964</t>
  </si>
  <si>
    <t>SEBASTIAN GONZALEZ</t>
  </si>
  <si>
    <t>sg728203@gmail.com</t>
  </si>
  <si>
    <t>3208160074</t>
  </si>
  <si>
    <t>andresfelipeacevedovergara@gmail.com</t>
  </si>
  <si>
    <t>3053145234</t>
  </si>
  <si>
    <t>EDUBEL AGUDELO LEON</t>
  </si>
  <si>
    <t>EDUBEL77@GMAIL.COM</t>
  </si>
  <si>
    <t>3044954728</t>
  </si>
  <si>
    <t>DANIELSTEBAN20@GMAIL.COM</t>
  </si>
  <si>
    <t>3015889426</t>
  </si>
  <si>
    <t>JACOB SUAREZ MUÑOZ</t>
  </si>
  <si>
    <t>JACOBTOMI321@GMAIL.COM</t>
  </si>
  <si>
    <t>3246604503</t>
  </si>
  <si>
    <t>ARLEYEISON@GMAIL.COM</t>
  </si>
  <si>
    <t>3194687098</t>
  </si>
  <si>
    <t>VALEMONSACORREA@GMAIL.COM</t>
  </si>
  <si>
    <t>3225962383</t>
  </si>
  <si>
    <t>JAMER153@OUTLOOK.COM</t>
  </si>
  <si>
    <t>3017937659</t>
  </si>
  <si>
    <t>DANIELGALHE@GMAIL.COM</t>
  </si>
  <si>
    <t>3113705886</t>
  </si>
  <si>
    <t>JUANMOLINACARO@GMAIL.COM</t>
  </si>
  <si>
    <t>3146538359</t>
  </si>
  <si>
    <t>ALEXIITHA1993@GMAIL.COM</t>
  </si>
  <si>
    <t>3185814590</t>
  </si>
  <si>
    <t>WWSLIKE3@GMAIL.COM</t>
  </si>
  <si>
    <t>3227420572</t>
  </si>
  <si>
    <t>PIPEANDRES37@GMAIL.COM</t>
  </si>
  <si>
    <t>3003311329</t>
  </si>
  <si>
    <t>LABORES.DAVID@GMAIL.COM</t>
  </si>
  <si>
    <t>3052422917</t>
  </si>
  <si>
    <t>LUZKARLUZ@GMAIL.COM</t>
  </si>
  <si>
    <t>3194300886</t>
  </si>
  <si>
    <t>WILLIAMJOSERAMOSRUIZ@GMAIL.COM</t>
  </si>
  <si>
    <t>3249477423</t>
  </si>
  <si>
    <t>ZULUAGA0905@GMAIL.COM</t>
  </si>
  <si>
    <t>3176647484</t>
  </si>
  <si>
    <t>nicolas.duque1821@gmail.com</t>
  </si>
  <si>
    <t>3116039634</t>
  </si>
  <si>
    <t>velezhector36h@gmail.com</t>
  </si>
  <si>
    <t>3113140605</t>
  </si>
  <si>
    <t>aleja161276@gmail.com</t>
  </si>
  <si>
    <t>3008000049</t>
  </si>
  <si>
    <t>stiven-115@hotmail.com</t>
  </si>
  <si>
    <t>3116477416</t>
  </si>
  <si>
    <t>jerson19997@gmail.com</t>
  </si>
  <si>
    <t>3052156923</t>
  </si>
  <si>
    <t>JOHAN LOPEZ OCAMPO</t>
  </si>
  <si>
    <t>johanlopez1328@gmail.com</t>
  </si>
  <si>
    <t>3207258424</t>
  </si>
  <si>
    <t>sergiohurtadop18@gmail.com</t>
  </si>
  <si>
    <t>3224431041</t>
  </si>
  <si>
    <t>jafernandez7921@gmail.com</t>
  </si>
  <si>
    <t>3166217685</t>
  </si>
  <si>
    <t>ca.torrestorres87@gmail.com</t>
  </si>
  <si>
    <t>3163169943</t>
  </si>
  <si>
    <t>tutor2525@gmail.com</t>
  </si>
  <si>
    <t>3214260002</t>
  </si>
  <si>
    <t>nelinho15@gmail.com</t>
  </si>
  <si>
    <t>3106895130</t>
  </si>
  <si>
    <t>jovanyusuga.87@gmail.com</t>
  </si>
  <si>
    <t>3104920441</t>
  </si>
  <si>
    <t>RAFAELARROYO122@GMAIL.COM</t>
  </si>
  <si>
    <t>3023506117</t>
  </si>
  <si>
    <t>ekcolombia@gmail.com</t>
  </si>
  <si>
    <t>3192325043</t>
  </si>
  <si>
    <t>UJHONNY012@GMAIL.COM</t>
  </si>
  <si>
    <t>3016552528</t>
  </si>
  <si>
    <t>johan.marin330@pascualbravo.edu.co</t>
  </si>
  <si>
    <t>3184582771</t>
  </si>
  <si>
    <t>dsejinguzman@gmail.com</t>
  </si>
  <si>
    <t>3046386806</t>
  </si>
  <si>
    <t>VILLEGASGIL1036@GMAIL.COM</t>
  </si>
  <si>
    <t>3006259849</t>
  </si>
  <si>
    <t>LUISM.ALVAREZ@MEDELLIN.GOV.CO</t>
  </si>
  <si>
    <t>3003730051</t>
  </si>
  <si>
    <t>FUTURELION@OUTLOOK.ES</t>
  </si>
  <si>
    <t>3046305523</t>
  </si>
  <si>
    <t>SANTIAGO VELASQUEZ</t>
  </si>
  <si>
    <t>SANTIAGO@NEXTFORIA.COM</t>
  </si>
  <si>
    <t>3013507371</t>
  </si>
  <si>
    <t>ALJAJIGO94@HOTMAIL.COM</t>
  </si>
  <si>
    <t>3150916161</t>
  </si>
  <si>
    <t>ALFONSO SERNA</t>
  </si>
  <si>
    <t>PLUCKY64@HOTMAIL.COM</t>
  </si>
  <si>
    <t>3052438899</t>
  </si>
  <si>
    <t>GODIESB@GMAIL.COM</t>
  </si>
  <si>
    <t>3017697885</t>
  </si>
  <si>
    <t>NANAANDREA2215@GMAIL.COM</t>
  </si>
  <si>
    <t>3233409383</t>
  </si>
  <si>
    <t>ALVAREZHURTADO2513@GMAIL.COM</t>
  </si>
  <si>
    <t>3015727894</t>
  </si>
  <si>
    <t>LIZETHKARINAOSORIOOVALLE@GMAIL.COM</t>
  </si>
  <si>
    <t>3164616430</t>
  </si>
  <si>
    <t>JOAN1995@LIVE.COM</t>
  </si>
  <si>
    <t>3233226327</t>
  </si>
  <si>
    <t>JACOBO LOPEZ OCAMPO</t>
  </si>
  <si>
    <t>JACOBOLOPEZ2015@GMAIL.COM</t>
  </si>
  <si>
    <t>3054803943</t>
  </si>
  <si>
    <t>WILLIAMSAAVEDRA@LIVE.COM</t>
  </si>
  <si>
    <t>3104341845</t>
  </si>
  <si>
    <t>ESCOBARLUISAFERNANDA5@GMAIL.COM</t>
  </si>
  <si>
    <t>3013168786</t>
  </si>
  <si>
    <t>OMAR CARVAJAL LEON</t>
  </si>
  <si>
    <t>omarcarvajalleon@gmail.com</t>
  </si>
  <si>
    <t>3207320144</t>
  </si>
  <si>
    <t>DANIEL ATEHORTUA</t>
  </si>
  <si>
    <t>daniel-atehortua472@hotmail.com</t>
  </si>
  <si>
    <t>3145055317</t>
  </si>
  <si>
    <t>NICOLAS VARGAS MARQUEZ</t>
  </si>
  <si>
    <t>vargasnicolas2350@gmail.com</t>
  </si>
  <si>
    <t>3156405555</t>
  </si>
  <si>
    <t>MANUEL ZAPATA GUTIERREZ</t>
  </si>
  <si>
    <t>manuel.zg627@gmail.com</t>
  </si>
  <si>
    <t>3102069441</t>
  </si>
  <si>
    <t>SEBASTIAN ECHAVARRIA JARAMILLO</t>
  </si>
  <si>
    <t>sebasechavarria99@gmail.com</t>
  </si>
  <si>
    <t>3226820788</t>
  </si>
  <si>
    <t>franklincruzo@gmail.com</t>
  </si>
  <si>
    <t>3004885729</t>
  </si>
  <si>
    <t>YOHNNIER ROMAÑA CHAVERRA</t>
  </si>
  <si>
    <t>yohnnier@outlook.com</t>
  </si>
  <si>
    <t>3122794676</t>
  </si>
  <si>
    <t>hoyosantiago2007@gmail.com</t>
  </si>
  <si>
    <t>3236709662</t>
  </si>
  <si>
    <t>jonathancano8925@gmail.com</t>
  </si>
  <si>
    <t>3015709582</t>
  </si>
  <si>
    <t>marlondanieljaraba@gmail.com</t>
  </si>
  <si>
    <t>3126942955</t>
  </si>
  <si>
    <t>valeriasanchezvanegas@gmail.com</t>
  </si>
  <si>
    <t>3024267660</t>
  </si>
  <si>
    <t>LUIS CLAVIJO</t>
  </si>
  <si>
    <t>felipeclavijo149@gmail.com</t>
  </si>
  <si>
    <t>3246474210</t>
  </si>
  <si>
    <t>FRANCYLORENARIVERA@YAHOO.COM</t>
  </si>
  <si>
    <t>3113661391</t>
  </si>
  <si>
    <t>FERNANDO AGUDELO LEON</t>
  </si>
  <si>
    <t>FAGUDELO736@GMAIL.COM</t>
  </si>
  <si>
    <t>3122406065</t>
  </si>
  <si>
    <t>fevasco10@gmail.com</t>
  </si>
  <si>
    <t>3012446643</t>
  </si>
  <si>
    <t>julian97jaramillo@gmail.com</t>
  </si>
  <si>
    <t>3044407413</t>
  </si>
  <si>
    <t>SALDARRIAGADAVIS5@GMAIL.COM</t>
  </si>
  <si>
    <t>3146629730</t>
  </si>
  <si>
    <t>juanjosesalazar361@gmail.com</t>
  </si>
  <si>
    <t>3004418739</t>
  </si>
  <si>
    <t>jorgeballesteros4@gmail.com</t>
  </si>
  <si>
    <t>3174199021</t>
  </si>
  <si>
    <t>MANOLITOMERAM@GMAIL.COM</t>
  </si>
  <si>
    <t>3052669440</t>
  </si>
  <si>
    <t>JULIAN AGUDELO MONTOYA</t>
  </si>
  <si>
    <t>AGUDELO_04@HOTMAIL.COM</t>
  </si>
  <si>
    <t>3184345730</t>
  </si>
  <si>
    <t>hernanes18@gmail.com</t>
  </si>
  <si>
    <t>3012514618</t>
  </si>
  <si>
    <t>samyandrea85@gmail.com</t>
  </si>
  <si>
    <t>3002496825</t>
  </si>
  <si>
    <t>emmanuelsinitave81@gmail.com</t>
  </si>
  <si>
    <t>3189970863</t>
  </si>
  <si>
    <t>CARCAMOZABALALUISALFONSO@GMAIL.COM</t>
  </si>
  <si>
    <t>3207236870</t>
  </si>
  <si>
    <t>NJ986@YAHOO.ES</t>
  </si>
  <si>
    <t>3103779978</t>
  </si>
  <si>
    <t>DANIELA POSADA GIL</t>
  </si>
  <si>
    <t>DANIPOSA@GMAIL.COM</t>
  </si>
  <si>
    <t>3013760063</t>
  </si>
  <si>
    <t>ANDRESELIAS58690@GMAIL.COM</t>
  </si>
  <si>
    <t>3202653614</t>
  </si>
  <si>
    <t>SIMON PATIÑO VALENCIA</t>
  </si>
  <si>
    <t>SIMON13Q@GMAIL.COM</t>
  </si>
  <si>
    <t>3166780735</t>
  </si>
  <si>
    <t>MANUELA LOPEZ OSORIO</t>
  </si>
  <si>
    <t>MANUELITA182015@GMAIL.COM</t>
  </si>
  <si>
    <t>3246291418</t>
  </si>
  <si>
    <t>HAYEGESA@LIVE.COM</t>
  </si>
  <si>
    <t>3008946920</t>
  </si>
  <si>
    <t>JUANGARCIAWOLF@GMAIL.COM</t>
  </si>
  <si>
    <t>3015097921</t>
  </si>
  <si>
    <t>ODHENAO06@GMAIL.COM</t>
  </si>
  <si>
    <t>3106645420</t>
  </si>
  <si>
    <t>SIMÓN GARCÍA BECERRA</t>
  </si>
  <si>
    <t>SIMONGARCIAB@GMAIL.COM</t>
  </si>
  <si>
    <t>3013643489</t>
  </si>
  <si>
    <t>MIGUEZARCO444@GMAIL.COM</t>
  </si>
  <si>
    <t>3160915157</t>
  </si>
  <si>
    <t>NICOLÁS MAYA OROZCO</t>
  </si>
  <si>
    <t>NMOP.2004@GMAIL.COM</t>
  </si>
  <si>
    <t>3175335926</t>
  </si>
  <si>
    <t>FERNANDO.SIERRA1@UDEA.EDU.CO</t>
  </si>
  <si>
    <t>3023629623</t>
  </si>
  <si>
    <t>JOSE.GIL909@PASCUALBRAVO.EDU.CO</t>
  </si>
  <si>
    <t>3023564026</t>
  </si>
  <si>
    <t>JUANSAENZ022005@GMAIL.COM</t>
  </si>
  <si>
    <t>3152748871</t>
  </si>
  <si>
    <t>YEFREYMAR32@HOTMAIL.COM</t>
  </si>
  <si>
    <t>3152030488</t>
  </si>
  <si>
    <t>BRANDONSTIV7@GMAIL.COM</t>
  </si>
  <si>
    <t>3195856504</t>
  </si>
  <si>
    <t>ANDRES DAVID RUEDA</t>
  </si>
  <si>
    <t>DAVIDADE15@HOTMAIL.COM</t>
  </si>
  <si>
    <t>3013200135</t>
  </si>
  <si>
    <t>JULIANRESTREPO.GARZON@GMAIL.COM</t>
  </si>
  <si>
    <t>3045257845</t>
  </si>
  <si>
    <t>BLAWERMONCADA@GMAIL.COM</t>
  </si>
  <si>
    <t>3104673865</t>
  </si>
  <si>
    <t>VIRGILIO VALENCIA SOSA</t>
  </si>
  <si>
    <t>bhellium@hotmail.com</t>
  </si>
  <si>
    <t>3203424484</t>
  </si>
  <si>
    <t>AGAVIRIIA@GMAIL.COM</t>
  </si>
  <si>
    <t>3046470664</t>
  </si>
  <si>
    <t>di-3006@hotmail.com</t>
  </si>
  <si>
    <t>3188338850</t>
  </si>
  <si>
    <t>camilovelez2603@gmail.com</t>
  </si>
  <si>
    <t>3135596343</t>
  </si>
  <si>
    <t>andersonorozco1059@gmail.com</t>
  </si>
  <si>
    <t>3052255591</t>
  </si>
  <si>
    <t>SEBASTIAN PIEDRAHITA ACEVEDO</t>
  </si>
  <si>
    <t>sebastianphac@outlook.com</t>
  </si>
  <si>
    <t>3217424542</t>
  </si>
  <si>
    <t>johanmira885@gmail.com</t>
  </si>
  <si>
    <t>3216239154</t>
  </si>
  <si>
    <t>cardenasrodriguezcarolestefani@gmail.com</t>
  </si>
  <si>
    <t>3104479013</t>
  </si>
  <si>
    <t>smbetancur@correo.iue.edu.co</t>
  </si>
  <si>
    <t>3337446952</t>
  </si>
  <si>
    <t>HENRYTABORDA57@GMAIL.COM</t>
  </si>
  <si>
    <t>3245769748</t>
  </si>
  <si>
    <t>JAZSKA@GMAIL.COM</t>
  </si>
  <si>
    <t>3013843479</t>
  </si>
  <si>
    <t>CALEX.GDIAZ@GMAIL.COM</t>
  </si>
  <si>
    <t>3024438211</t>
  </si>
  <si>
    <t>CAMILACARVA1415@GMAIL.COM</t>
  </si>
  <si>
    <t>3123280845</t>
  </si>
  <si>
    <t>SANDRISLI86@GMAIL.COM</t>
  </si>
  <si>
    <t>3013880161</t>
  </si>
  <si>
    <t>ADIMARO MONTOYA TORO</t>
  </si>
  <si>
    <t>ADIMARO@GMAIL.COM</t>
  </si>
  <si>
    <t>3017448026</t>
  </si>
  <si>
    <t>LORENA ARISTIZÁBA AGUIRRE</t>
  </si>
  <si>
    <t>LOLOHQH@HOTMAIL.COM</t>
  </si>
  <si>
    <t>3197433889</t>
  </si>
  <si>
    <t>PAULAMONSALVE90@GMAIL.COM</t>
  </si>
  <si>
    <t>3232230195</t>
  </si>
  <si>
    <t>RONALD MORENO CÓRDOBA</t>
  </si>
  <si>
    <t>RONALD7MORENO7@GMAIL.COM</t>
  </si>
  <si>
    <t>3017622774</t>
  </si>
  <si>
    <t>CASCARITA1005@GMAIL.COM</t>
  </si>
  <si>
    <t>3113845374</t>
  </si>
  <si>
    <t>ANGIE265598@GMAIL.COM</t>
  </si>
  <si>
    <t>3192715269</t>
  </si>
  <si>
    <t>JUANMARV2009@GMAIL.COM</t>
  </si>
  <si>
    <t>3046622469</t>
  </si>
  <si>
    <t>CARVAJALISABELA57@GMAIL.COM</t>
  </si>
  <si>
    <t>3235891739</t>
  </si>
  <si>
    <t>HILDEBRAND QUICENO RESTREPO</t>
  </si>
  <si>
    <t>hilde.qr07@hotmail.com</t>
  </si>
  <si>
    <t>3015178731</t>
  </si>
  <si>
    <t>henaocandy3@gmail.com</t>
  </si>
  <si>
    <t>3011906258</t>
  </si>
  <si>
    <t>SANTIAGO MORENO MENA</t>
  </si>
  <si>
    <t>morenomenasantiago@gmail.com</t>
  </si>
  <si>
    <t>3136240362</t>
  </si>
  <si>
    <t>edison86233268@gmail.com</t>
  </si>
  <si>
    <t>3008631411</t>
  </si>
  <si>
    <t>luisalds.99@gmail.com</t>
  </si>
  <si>
    <t>3234378348</t>
  </si>
  <si>
    <t>ANDREA MIRANDA LOPEZ</t>
  </si>
  <si>
    <t>mirandalopezandrea698@gmail.com</t>
  </si>
  <si>
    <t>3107751479</t>
  </si>
  <si>
    <t>milenita230_@hotmail.com</t>
  </si>
  <si>
    <t>3133951446</t>
  </si>
  <si>
    <t>ALEJANDRO MANYOMA CORDOBA</t>
  </si>
  <si>
    <t>alejandromanyoma9@gmail.com</t>
  </si>
  <si>
    <t>3206938166</t>
  </si>
  <si>
    <t>JERÓNIMO RESTREPO MORALES</t>
  </si>
  <si>
    <t>jeronimo15092008@gmail.com</t>
  </si>
  <si>
    <t>3044219816</t>
  </si>
  <si>
    <t>iglesiasmesam@gmail.com</t>
  </si>
  <si>
    <t>3244047500</t>
  </si>
  <si>
    <t>julioarromero@gmail.com</t>
  </si>
  <si>
    <t>3114478473</t>
  </si>
  <si>
    <t>LAURA.RAMIREZG08@GMAIL.COM</t>
  </si>
  <si>
    <t>3053365546</t>
  </si>
  <si>
    <t>RESTOSPI@YAHOO.ES</t>
  </si>
  <si>
    <t>3014714066</t>
  </si>
  <si>
    <t>dafit.app.dev@gmail.com</t>
  </si>
  <si>
    <t>3015624787</t>
  </si>
  <si>
    <t>monsamele@gmail.com</t>
  </si>
  <si>
    <t>3006163934</t>
  </si>
  <si>
    <t>kellyestefaniabolivarmarin@gmail.com</t>
  </si>
  <si>
    <t>3143461658</t>
  </si>
  <si>
    <t>CRISTIAN ALVAREZ CIRO</t>
  </si>
  <si>
    <t>ceac94@gmail.com</t>
  </si>
  <si>
    <t>3237959393</t>
  </si>
  <si>
    <t>DANILOCASTRILLONACEVEDO@GMAIL.COM</t>
  </si>
  <si>
    <t>3156170999</t>
  </si>
  <si>
    <t>SANSEB117@GMAIL.COM</t>
  </si>
  <si>
    <t>3016864869</t>
  </si>
  <si>
    <t>CRISTIANMARTINEZ0360@GMAIL.COM</t>
  </si>
  <si>
    <t>3052706223</t>
  </si>
  <si>
    <t>OVEJITALUISA@GMAIL.COM</t>
  </si>
  <si>
    <t>3052552178</t>
  </si>
  <si>
    <t>DANIEL.YEPES.LOPERA@GMAIL.COM</t>
  </si>
  <si>
    <t>3016113934</t>
  </si>
  <si>
    <t>LSSM0110@GMAIL.COM</t>
  </si>
  <si>
    <t>3147089717</t>
  </si>
  <si>
    <t>SMIROA07@GMAIL.COM</t>
  </si>
  <si>
    <t>3028173356</t>
  </si>
  <si>
    <t>ALEXMARIN1408@GMAIL.COM</t>
  </si>
  <si>
    <t>3127282837</t>
  </si>
  <si>
    <t>ZULAYLOPEERA@GMAIL.COM</t>
  </si>
  <si>
    <t>3045920876</t>
  </si>
  <si>
    <t>JANDERSONMAT@GMAIL.COM</t>
  </si>
  <si>
    <t>3028565186</t>
  </si>
  <si>
    <t>estefania.gomez711@outlook.es</t>
  </si>
  <si>
    <t>3508506998</t>
  </si>
  <si>
    <t>juancarlosmlinares@gmail.com</t>
  </si>
  <si>
    <t>3027017063</t>
  </si>
  <si>
    <t>MANUELA BERRIO ZAPATA</t>
  </si>
  <si>
    <t>manuelaberrioz28@gmail.com</t>
  </si>
  <si>
    <t>3015374014</t>
  </si>
  <si>
    <t>johnyagaviriaj@gmail.com</t>
  </si>
  <si>
    <t>3188467026</t>
  </si>
  <si>
    <t>cesar7895123@gmail.com</t>
  </si>
  <si>
    <t>3015868368</t>
  </si>
  <si>
    <t>anasofiacuadros27@gmail.com</t>
  </si>
  <si>
    <t>3508032748</t>
  </si>
  <si>
    <t>danielloaiza_1996@hotmail.com</t>
  </si>
  <si>
    <t>3175837259</t>
  </si>
  <si>
    <t>juanpaplus.06@gmail.com</t>
  </si>
  <si>
    <t>3174170391</t>
  </si>
  <si>
    <t>johnfrader@gmail.com</t>
  </si>
  <si>
    <t>3104670681</t>
  </si>
  <si>
    <t>laluperios09@gmail.com</t>
  </si>
  <si>
    <t>3128089815</t>
  </si>
  <si>
    <t>danigarcia222005@gmail.com</t>
  </si>
  <si>
    <t>3026141771</t>
  </si>
  <si>
    <t>davidga3214@gmail.com</t>
  </si>
  <si>
    <t>3004566022</t>
  </si>
  <si>
    <t>ANGIEHSALINAS01@GMAIL.COM</t>
  </si>
  <si>
    <t>3243427144</t>
  </si>
  <si>
    <t>ANDREA MUÑOZ CANO</t>
  </si>
  <si>
    <t>ANDREAMUNOZCANO5@GMAIL.COM</t>
  </si>
  <si>
    <t>3013820104</t>
  </si>
  <si>
    <t>KATERINE CÓRDOBA ORTIZ</t>
  </si>
  <si>
    <t>KTECO94@GMAIL.COM</t>
  </si>
  <si>
    <t>3135427862</t>
  </si>
  <si>
    <t>TYKCSH@GMAIL.COM</t>
  </si>
  <si>
    <t>3147219892</t>
  </si>
  <si>
    <t>MOISESDAVID269@GMAIL.COM</t>
  </si>
  <si>
    <t>3054579760</t>
  </si>
  <si>
    <t>MARIO CARDENAS QUIROZ</t>
  </si>
  <si>
    <t>mariocardenas21@gmail.com</t>
  </si>
  <si>
    <t>3004931490</t>
  </si>
  <si>
    <t>RIOSOQUENDO@GMAIL.COM</t>
  </si>
  <si>
    <t>3004969446</t>
  </si>
  <si>
    <t>juansebastiangr5@gmail.com</t>
  </si>
  <si>
    <t>3122342716</t>
  </si>
  <si>
    <t>JADERPEREZD2@GMAIL.COM</t>
  </si>
  <si>
    <t>3122405401</t>
  </si>
  <si>
    <t>ELEMER100X@GMAIL.COM</t>
  </si>
  <si>
    <t>3143727510</t>
  </si>
  <si>
    <t>JONATHAN MARÍN GALLEGO</t>
  </si>
  <si>
    <t>souljmg@gmail.com</t>
  </si>
  <si>
    <t>3128768420</t>
  </si>
  <si>
    <t>LEIDYH.MIRANDA@GMAIL.COM</t>
  </si>
  <si>
    <t>3005285558</t>
  </si>
  <si>
    <t>VELEZMARIAHANNA@GMAIL.COM</t>
  </si>
  <si>
    <t>3225087735</t>
  </si>
  <si>
    <t>joelcopete80@gmail.com</t>
  </si>
  <si>
    <t>3156924827</t>
  </si>
  <si>
    <t>VALE.AGUDELO92@GMAIL.COM</t>
  </si>
  <si>
    <t>3108546186</t>
  </si>
  <si>
    <t>DSHERNANDEZ@HOTMAIL.COM</t>
  </si>
  <si>
    <t>3113130632</t>
  </si>
  <si>
    <t>MANUELA CORDOBA GONZALEZ</t>
  </si>
  <si>
    <t>manucordoba28@gmail.com</t>
  </si>
  <si>
    <t>3193785048</t>
  </si>
  <si>
    <t>JRGUZMANGA@OUTLOOK.COM</t>
  </si>
  <si>
    <t>3014310010</t>
  </si>
  <si>
    <t>ELENITAHJ@GMAIL.COM</t>
  </si>
  <si>
    <t>3104958858</t>
  </si>
  <si>
    <t>PAULINA.ALZATE.28@GMAIL.COM</t>
  </si>
  <si>
    <t>3205058977</t>
  </si>
  <si>
    <t>SALOME SALAZAR GIRALDO</t>
  </si>
  <si>
    <t>SALOMESALAZAR527@GMAIL.COM</t>
  </si>
  <si>
    <t>3104635407</t>
  </si>
  <si>
    <t>BALCAZARNVALENTINA@GMAIL.COM</t>
  </si>
  <si>
    <t>3243876793</t>
  </si>
  <si>
    <t>JAQUELINE AREVALO ALZATE</t>
  </si>
  <si>
    <t>JAQUELINE.AREVALO@IEMANUELJBETANCUR.EDU.CO</t>
  </si>
  <si>
    <t>3008556121</t>
  </si>
  <si>
    <t>ANGELLYANDREAFORERO2309@GMAIL.COM</t>
  </si>
  <si>
    <t>3217007180</t>
  </si>
  <si>
    <t>KERLYLASTRE@GMAIL.COM</t>
  </si>
  <si>
    <t>3125743123</t>
  </si>
  <si>
    <t>CAMILAVICTORIAALVAREZMEDINA@GMAIL.COM</t>
  </si>
  <si>
    <t>3018319165</t>
  </si>
  <si>
    <t>JUANDA200930@HOTMAIL.COM</t>
  </si>
  <si>
    <t>3205909782</t>
  </si>
  <si>
    <t>EMANUEL.ZAPATAPAREJA@GMAIL.COM</t>
  </si>
  <si>
    <t>3113074716</t>
  </si>
  <si>
    <t>MARAZEINET@GMAIL.COM</t>
  </si>
  <si>
    <t>3107344780</t>
  </si>
  <si>
    <t>CAROLINA YEPES ZAPATA</t>
  </si>
  <si>
    <t>CAROYEPES2000391@GMAIL.COM</t>
  </si>
  <si>
    <t>3202887400</t>
  </si>
  <si>
    <t>SANTIAGO DUQUE PEREZ</t>
  </si>
  <si>
    <t>SANTIAGODUQUEPEREZGOMEZURIBE@GMAIL.COM</t>
  </si>
  <si>
    <t>3173099111</t>
  </si>
  <si>
    <t>ESTEPANY SANCHEZ GUERRA</t>
  </si>
  <si>
    <t>STEPHANYSANCHEZGUERRA@GMAIL.COM</t>
  </si>
  <si>
    <t>3116332081</t>
  </si>
  <si>
    <t>HSERGIO2013@GMAIL.COM</t>
  </si>
  <si>
    <t>3222721748</t>
  </si>
  <si>
    <t>MARIANA LEDESMA GONZALEZ</t>
  </si>
  <si>
    <t>DISENOCREATIVOCM@GMAIL.COM</t>
  </si>
  <si>
    <t>3232887210</t>
  </si>
  <si>
    <t>paula.romero12@hotmail.com</t>
  </si>
  <si>
    <t>3147253140</t>
  </si>
  <si>
    <t>PEDSANCHEZ@HOTMAIL.COM</t>
  </si>
  <si>
    <t>3008506601</t>
  </si>
  <si>
    <t>YULDALIA SOTO ALVAREZ</t>
  </si>
  <si>
    <t>yuldys.a@hotmail.com</t>
  </si>
  <si>
    <t>3193643262</t>
  </si>
  <si>
    <t>GIOVANI MORENO MENESES</t>
  </si>
  <si>
    <t>GIOVAMORENO06@GMAIL.COM</t>
  </si>
  <si>
    <t>3105734008</t>
  </si>
  <si>
    <t>ESTEBAN BETANCUR CATAÑO</t>
  </si>
  <si>
    <t>ROCK.LEE.Y.LAS8PUERTAS@GMAIL.COM</t>
  </si>
  <si>
    <t>3024442559</t>
  </si>
  <si>
    <t>ana.riverabecerra@gmail.com</t>
  </si>
  <si>
    <t>3193571845</t>
  </si>
  <si>
    <t>tamayoalvarezp@gmail.com</t>
  </si>
  <si>
    <t>3114148221</t>
  </si>
  <si>
    <t>juanfernandohigui@gmail.com</t>
  </si>
  <si>
    <t>3206314631</t>
  </si>
  <si>
    <t>ALEJANDRA VARGAS</t>
  </si>
  <si>
    <t>lejavargas4@gmail.com</t>
  </si>
  <si>
    <t>3023805668</t>
  </si>
  <si>
    <t>erikapico.arpa17@gmail.com</t>
  </si>
  <si>
    <t>3238904885</t>
  </si>
  <si>
    <t>nataliatuberquia777@gmail.com</t>
  </si>
  <si>
    <t>3116046273</t>
  </si>
  <si>
    <t>ANTONIA GOMEZ VERGARA</t>
  </si>
  <si>
    <t>antoniavergara1802@gmail.com</t>
  </si>
  <si>
    <t>3015899132</t>
  </si>
  <si>
    <t>politologa.garzon@gmail.com</t>
  </si>
  <si>
    <t>3003913445</t>
  </si>
  <si>
    <t>DANIELA CARTAGENA PATIÑO</t>
  </si>
  <si>
    <t>danielacartagena9403@gmail.com</t>
  </si>
  <si>
    <t>3194836593</t>
  </si>
  <si>
    <t>kellyjulio1519@gmail.com</t>
  </si>
  <si>
    <t>3102973476</t>
  </si>
  <si>
    <t>LEIDY CORTES RUIZ</t>
  </si>
  <si>
    <t>leidycortex@gmail.com</t>
  </si>
  <si>
    <t>3045640417</t>
  </si>
  <si>
    <t>alvarosergio@hotmail.com</t>
  </si>
  <si>
    <t>3136101547</t>
  </si>
  <si>
    <t>bivi_0411@hotmail.com</t>
  </si>
  <si>
    <t>3146187638</t>
  </si>
  <si>
    <t>MANUELA ESPINAL GIL</t>
  </si>
  <si>
    <t>manuela.espinal.15@gmail.com</t>
  </si>
  <si>
    <t>3014296547</t>
  </si>
  <si>
    <t>SARAAGUDELO633@GMAIL.COM</t>
  </si>
  <si>
    <t>3135517244</t>
  </si>
  <si>
    <t>NELLYMORENOMEJIAA@GMAIL.COM</t>
  </si>
  <si>
    <t>3114239812</t>
  </si>
  <si>
    <t>VALENTINA FLOREZ TAMAYO</t>
  </si>
  <si>
    <t>FLOREZTAMAYOV@GMAIL.COM</t>
  </si>
  <si>
    <t>3245637095</t>
  </si>
  <si>
    <t>leidyjohanatabordaarias@gmail.com</t>
  </si>
  <si>
    <t>3228486791</t>
  </si>
  <si>
    <t>consultorcomercial721@gmail.com</t>
  </si>
  <si>
    <t>3166565863</t>
  </si>
  <si>
    <t>luis.hernandez1602@hotmail.com</t>
  </si>
  <si>
    <t>DAVIDQUESTIONS2020@GMAIL.COM</t>
  </si>
  <si>
    <t>3104376494</t>
  </si>
  <si>
    <t>LAURAVALENCIA3207@GMAIL.COM</t>
  </si>
  <si>
    <t>3009462332</t>
  </si>
  <si>
    <t>SEBASTIAN GOMEZ OSPINA</t>
  </si>
  <si>
    <t>sebasos_252@hotmail.com</t>
  </si>
  <si>
    <t>3015043118</t>
  </si>
  <si>
    <t>ANDRESFELIPE.CORTES1212@GMAIL.COM</t>
  </si>
  <si>
    <t>3116261014</t>
  </si>
  <si>
    <t>IINGRIID05@GMAIL.COM</t>
  </si>
  <si>
    <t>3006975520</t>
  </si>
  <si>
    <t>OSORIOEVA2020@GMAIL.COM</t>
  </si>
  <si>
    <t>3044963426</t>
  </si>
  <si>
    <t>SOFIA VARGAS</t>
  </si>
  <si>
    <t>SOFIAVARGAS0207@GMAIL.COM</t>
  </si>
  <si>
    <t>3207800420</t>
  </si>
  <si>
    <t>TIFFANY RENTERIA BARRERA</t>
  </si>
  <si>
    <t>TIFFANYRB2009@GMAIL.COM</t>
  </si>
  <si>
    <t>3026994583</t>
  </si>
  <si>
    <t>PAOANDREA118@HOTMAIL.COM</t>
  </si>
  <si>
    <t>3236624649</t>
  </si>
  <si>
    <t>DCONFIARTEX@GMAIL.COM</t>
  </si>
  <si>
    <t>3007187005</t>
  </si>
  <si>
    <t>VALENTINA ROLDAN GARCIA</t>
  </si>
  <si>
    <t>VALENTINAVIOLE2014@GMAIL.COM</t>
  </si>
  <si>
    <t>3128027800</t>
  </si>
  <si>
    <t>NATALIA HOYOS ATEHORTUA</t>
  </si>
  <si>
    <t>NATALIAHOYOSATEHORTUA@GMAIL.COM</t>
  </si>
  <si>
    <t>3003171800</t>
  </si>
  <si>
    <t>PAULACIFUENTES311@GMAIL.COM</t>
  </si>
  <si>
    <t>3242786654</t>
  </si>
  <si>
    <t>YENNIFER HUERTAS VALOYES</t>
  </si>
  <si>
    <t>YENNIFERHUERTAS68@GMAIL.COM</t>
  </si>
  <si>
    <t>3106737600</t>
  </si>
  <si>
    <t>EFRAIN ROSERO CARVAJAL</t>
  </si>
  <si>
    <t>EFRAINROSEROC@GMAIL.COM</t>
  </si>
  <si>
    <t>3203944426</t>
  </si>
  <si>
    <t>PAULINA RESTREPO LOAIZA</t>
  </si>
  <si>
    <t>PAULINARLOAIZA24@GMAIL.COM</t>
  </si>
  <si>
    <t>3052706368</t>
  </si>
  <si>
    <t>LUISARPULGARIN02@GMAIL.COM</t>
  </si>
  <si>
    <t>3104746028</t>
  </si>
  <si>
    <t>hagopublicidad@gmail.com</t>
  </si>
  <si>
    <t>3004497179</t>
  </si>
  <si>
    <t>jhotatoreto5@gmail.com</t>
  </si>
  <si>
    <t>3014150307</t>
  </si>
  <si>
    <t>MANUELA BARRIENTOS BELTRAN</t>
  </si>
  <si>
    <t>manuelabeltran021120@gmail.com</t>
  </si>
  <si>
    <t>3024038222</t>
  </si>
  <si>
    <t>alejaorozco502@gmail.com</t>
  </si>
  <si>
    <t>3017686091</t>
  </si>
  <si>
    <t>VERONICA GUERRERO CORTES</t>
  </si>
  <si>
    <t>verogc24@gmail.com</t>
  </si>
  <si>
    <t>3135803016</t>
  </si>
  <si>
    <t>KARILYNERLEEN@HOTMAIL.COM</t>
  </si>
  <si>
    <t>3154637532</t>
  </si>
  <si>
    <t>catalina0608@yahoo.es</t>
  </si>
  <si>
    <t>3054719942</t>
  </si>
  <si>
    <t>luischars19.85@gmail.com</t>
  </si>
  <si>
    <t>3006596025</t>
  </si>
  <si>
    <t>CAMILAMARIAMAZO@GMAIL.COM</t>
  </si>
  <si>
    <t>3209015596</t>
  </si>
  <si>
    <t>camilujan152@gmail.com</t>
  </si>
  <si>
    <t>3188162363</t>
  </si>
  <si>
    <t>claudia.molinat05@gmail.com</t>
  </si>
  <si>
    <t>3507677253</t>
  </si>
  <si>
    <t>solosoriogiraldo@gmail.com</t>
  </si>
  <si>
    <t>3017514421</t>
  </si>
  <si>
    <t>paulinaospina00@gmail.com</t>
  </si>
  <si>
    <t>3026375492</t>
  </si>
  <si>
    <t>hildaballesterososorio@gmail.com</t>
  </si>
  <si>
    <t>3208267790</t>
  </si>
  <si>
    <t>SARA RESTREPO MARTINEZ</t>
  </si>
  <si>
    <t>SARARESTREPO2013@GMAIL.COM</t>
  </si>
  <si>
    <t>3103930388</t>
  </si>
  <si>
    <t>vivianagudelo27@gmail.com</t>
  </si>
  <si>
    <t>3105405938</t>
  </si>
  <si>
    <t>HANNAH MOLINA VALENCIA</t>
  </si>
  <si>
    <t>hmv2104@gmail.com</t>
  </si>
  <si>
    <t>3217572881</t>
  </si>
  <si>
    <t>luisa-576@hotmail.com</t>
  </si>
  <si>
    <t>3007733194</t>
  </si>
  <si>
    <t>TEFYGUERRA19@OUTLOOK.ES</t>
  </si>
  <si>
    <t>3233215566</t>
  </si>
  <si>
    <t>SAMANAIFO505@GMAIL.COM</t>
  </si>
  <si>
    <t>3242107976</t>
  </si>
  <si>
    <t>ANGGUTIE@YAHOO.COM</t>
  </si>
  <si>
    <t>3113764761</t>
  </si>
  <si>
    <t>VALENTINA HERRERA PUERTA</t>
  </si>
  <si>
    <t>VALENTINA.HERRERA.PUERTA@HOTMAIL.COM</t>
  </si>
  <si>
    <t>3007560927</t>
  </si>
  <si>
    <t>AIRAMAR18@HOTMAIL.COM</t>
  </si>
  <si>
    <t>3022271197</t>
  </si>
  <si>
    <t>VANESSA CASTANEDA OROZCO</t>
  </si>
  <si>
    <t>VANE9202@HOTMAIL.COM</t>
  </si>
  <si>
    <t>3166261348</t>
  </si>
  <si>
    <t>SANTIAGO ZAPATA</t>
  </si>
  <si>
    <t>SANTIAGOZAPATA0512@GMAIL.COM</t>
  </si>
  <si>
    <t>3046221622</t>
  </si>
  <si>
    <t>SARA CEBALLOS TANGARIFE</t>
  </si>
  <si>
    <t>saraceballostangarife@gmail.com</t>
  </si>
  <si>
    <t>3014552734</t>
  </si>
  <si>
    <t>MARIAJOSERAMIREZ563@GMAIL.COM</t>
  </si>
  <si>
    <t>3136843975</t>
  </si>
  <si>
    <t>ARIANA-718@HOTMAIL.COM</t>
  </si>
  <si>
    <t>3195020635</t>
  </si>
  <si>
    <t>CASTROGOMEZCINDYVANESA@GMAIL.COM</t>
  </si>
  <si>
    <t>3195432065</t>
  </si>
  <si>
    <t>MILENA URIBE RESTREPO</t>
  </si>
  <si>
    <t>MILENA.URIBE41@GMAIL.COM</t>
  </si>
  <si>
    <t>3243153703</t>
  </si>
  <si>
    <t>DANIELA LOPEZ ALZATE</t>
  </si>
  <si>
    <t>DANII9612@HOTMAIL.COM</t>
  </si>
  <si>
    <t>3246848912</t>
  </si>
  <si>
    <t>MATEO-0830@HOTMAIL.COM</t>
  </si>
  <si>
    <t>3157003101</t>
  </si>
  <si>
    <t>JOVANCADAVID83@GMAIL.COM</t>
  </si>
  <si>
    <t>3002712711</t>
  </si>
  <si>
    <t>PAOLA.RUIX1403@GMAIL.COM</t>
  </si>
  <si>
    <t>3104205348</t>
  </si>
  <si>
    <t>alex.martiinez0815@gmail.com</t>
  </si>
  <si>
    <t>3004512919</t>
  </si>
  <si>
    <t>estudiosandres4@gmail.com</t>
  </si>
  <si>
    <t>3225318991</t>
  </si>
  <si>
    <t>diegocano1975@hotmail.com</t>
  </si>
  <si>
    <t>3147676106</t>
  </si>
  <si>
    <t>carito.g2485@gmail.com</t>
  </si>
  <si>
    <t>3002694216</t>
  </si>
  <si>
    <t>yeissonandres40@gmail.com</t>
  </si>
  <si>
    <t>3003540440</t>
  </si>
  <si>
    <t>melyangelagiraldo@gmail.com</t>
  </si>
  <si>
    <t>3242690409</t>
  </si>
  <si>
    <t>PAULA OSPINA GARCIA</t>
  </si>
  <si>
    <t>paulalunaog98@gmail.com</t>
  </si>
  <si>
    <t>3106517951</t>
  </si>
  <si>
    <t>vero.q.r@hotmail.com</t>
  </si>
  <si>
    <t>3106087917</t>
  </si>
  <si>
    <t>LAURA MUÑOZ CIFUENTES</t>
  </si>
  <si>
    <t>cifuenteslaura124@gmail.com</t>
  </si>
  <si>
    <t>3205019380</t>
  </si>
  <si>
    <t>raissavalencia@hotmail.com</t>
  </si>
  <si>
    <t>3148502426</t>
  </si>
  <si>
    <t>feminidadyfe@gmail.com</t>
  </si>
  <si>
    <t>3005977100</t>
  </si>
  <si>
    <t>sergiojjm@gmail.com</t>
  </si>
  <si>
    <t>3013835692</t>
  </si>
  <si>
    <t>LAIAMARIN63@GMAIL.COM</t>
  </si>
  <si>
    <t>3118888741</t>
  </si>
  <si>
    <t>luisafernandagoez11@gmail.com</t>
  </si>
  <si>
    <t>3192857333</t>
  </si>
  <si>
    <t>LALINDECASTRILLON@YAHOO.COM</t>
  </si>
  <si>
    <t>3017393837</t>
  </si>
  <si>
    <t>yomaraduque@gmail.com</t>
  </si>
  <si>
    <t>3053056262</t>
  </si>
  <si>
    <t>BARBARA MEJÍA VASQUEZ</t>
  </si>
  <si>
    <t>mejia.barbara14@gmail.com</t>
  </si>
  <si>
    <t>3023041658</t>
  </si>
  <si>
    <t>MAROLIN SANTO SILGADO</t>
  </si>
  <si>
    <t>MAROLINSANTO2@GMAIL.COM</t>
  </si>
  <si>
    <t>3052092551</t>
  </si>
  <si>
    <t>GIOGALEANO10@GMAIL.COM</t>
  </si>
  <si>
    <t>3007152688</t>
  </si>
  <si>
    <t>MAPUPALACIO@HOTMAIL.COM</t>
  </si>
  <si>
    <t>3225298828</t>
  </si>
  <si>
    <t>BAZUEROP@GMAIL.COM</t>
  </si>
  <si>
    <t>3117882517</t>
  </si>
  <si>
    <t>ANDREA GONZALEZ MEDINA</t>
  </si>
  <si>
    <t>ANDRE0843@GMAIL.COM</t>
  </si>
  <si>
    <t>3004034934</t>
  </si>
  <si>
    <t>TORROIDE@GMAIL.COM</t>
  </si>
  <si>
    <t>3014221630</t>
  </si>
  <si>
    <t>YAGUERRAS@UNAL.EDU.CO</t>
  </si>
  <si>
    <t>3128021382</t>
  </si>
  <si>
    <t>JMANUEL9779@HOTMAIL.COM</t>
  </si>
  <si>
    <t>3216042465</t>
  </si>
  <si>
    <t>NATALIA HOYOS MUÑOZ</t>
  </si>
  <si>
    <t>XNATHALIAHMX@GMAIL.COM</t>
  </si>
  <si>
    <t>3017894806</t>
  </si>
  <si>
    <t>JCUARTAS2012@GMAIL.COM</t>
  </si>
  <si>
    <t>3147610737</t>
  </si>
  <si>
    <t>MONTOYA-1993@HOTMAIL.COM</t>
  </si>
  <si>
    <t>3013020554</t>
  </si>
  <si>
    <t>JULIANA HINCAPIE GALLEGO</t>
  </si>
  <si>
    <t>HINCAPIEGALLEGOJULIANA@GMAIL.COM</t>
  </si>
  <si>
    <t>3022826144</t>
  </si>
  <si>
    <t>CAROLINA199916@HOTMAIL.COM</t>
  </si>
  <si>
    <t>3046560672</t>
  </si>
  <si>
    <t>JOANZAR@MSN.COM</t>
  </si>
  <si>
    <t>3178280782</t>
  </si>
  <si>
    <t>JHONATANDAVIDPUBLICO@GMAIL.COM</t>
  </si>
  <si>
    <t>3053023726</t>
  </si>
  <si>
    <t>DAVIDILOPEZF11@GMAIL.COM</t>
  </si>
  <si>
    <t>3206305675</t>
  </si>
  <si>
    <t>VALERIA OCAMPO OSORIO</t>
  </si>
  <si>
    <t>valeri8@hotmail.es</t>
  </si>
  <si>
    <t>3007145423</t>
  </si>
  <si>
    <t>YESSICA URIBE RESTREPO</t>
  </si>
  <si>
    <t>yess.uribe79@gmail.com</t>
  </si>
  <si>
    <t>3002504315</t>
  </si>
  <si>
    <t>ANATABORDAMONSALVE33@GMAIL.COM</t>
  </si>
  <si>
    <t>3205949559</t>
  </si>
  <si>
    <t>CAMILOANDRESGOMEZMARIN@GMAIL.COM</t>
  </si>
  <si>
    <t>3046533260</t>
  </si>
  <si>
    <t>ESTHEFANIA VARGAS RIZO</t>
  </si>
  <si>
    <t>ESTHEFANIARIZO@GMAIL.COM</t>
  </si>
  <si>
    <t>3007518250</t>
  </si>
  <si>
    <t>ANAMALZATE100@GMAIL.COM</t>
  </si>
  <si>
    <t>3006607170</t>
  </si>
  <si>
    <t>STEFANNY388@HOTMAIL.COM</t>
  </si>
  <si>
    <t>3005111632</t>
  </si>
  <si>
    <t>DINACASADIEGO08@HOTMAIL.COM</t>
  </si>
  <si>
    <t>3016818909</t>
  </si>
  <si>
    <t>JOHAN OSPINA CARDONA</t>
  </si>
  <si>
    <t>JOHANPEX@HOTMAIL.COM</t>
  </si>
  <si>
    <t>3006616207</t>
  </si>
  <si>
    <t>MARIANA ROBLEDO MAYA</t>
  </si>
  <si>
    <t>MARIR021@HOTMAIL.COM</t>
  </si>
  <si>
    <t>3103767937</t>
  </si>
  <si>
    <t>yonnyinn@gmail.com</t>
  </si>
  <si>
    <t>3115822920</t>
  </si>
  <si>
    <t>naty.1037@hotmail.com</t>
  </si>
  <si>
    <t>3165372386</t>
  </si>
  <si>
    <t>alejandro7149@gmail.com</t>
  </si>
  <si>
    <t>3206950839</t>
  </si>
  <si>
    <t>andreamos430@gmail.com</t>
  </si>
  <si>
    <t>3108903669</t>
  </si>
  <si>
    <t>JERONIMO PARRA LLANO</t>
  </si>
  <si>
    <t>jpl270410uwu@gmail.com</t>
  </si>
  <si>
    <t>3148350836</t>
  </si>
  <si>
    <t>milenanoslin@gmail.com</t>
  </si>
  <si>
    <t>3108462322</t>
  </si>
  <si>
    <t>MARIANA MUÑOZ CIFUENTES</t>
  </si>
  <si>
    <t>cifuentesmariana460@gmail.com</t>
  </si>
  <si>
    <t>3105996507</t>
  </si>
  <si>
    <t>DANIELA TÁMARA DUARTE</t>
  </si>
  <si>
    <t>danielatamara55@gmail.com</t>
  </si>
  <si>
    <t>3132835950</t>
  </si>
  <si>
    <t>lusotoph@gmail.com</t>
  </si>
  <si>
    <t>3163416583</t>
  </si>
  <si>
    <t>catabarreiro758@gmail.com</t>
  </si>
  <si>
    <t>3246604562</t>
  </si>
  <si>
    <t>MANUELA CASTAÑO PEREZ</t>
  </si>
  <si>
    <t>MANU-06@LIVE.COM</t>
  </si>
  <si>
    <t>3194851991</t>
  </si>
  <si>
    <t>OSAL07@HOTMAIL.ES</t>
  </si>
  <si>
    <t>3507480665</t>
  </si>
  <si>
    <t>GISELLA1900.PADILLA@HOTMAIL.COM</t>
  </si>
  <si>
    <t>3136935119</t>
  </si>
  <si>
    <t>VALENTINA TABORDA LAVERDE</t>
  </si>
  <si>
    <t>VALENTIINAVTL@GMAIL.COM</t>
  </si>
  <si>
    <t>3104324020</t>
  </si>
  <si>
    <t>KEVIN GARCIA ARANGO</t>
  </si>
  <si>
    <t>KEVIN200211@GMAIL.COM</t>
  </si>
  <si>
    <t>3017838413</t>
  </si>
  <si>
    <t>YOBIUS@HOTMAIL.COM</t>
  </si>
  <si>
    <t>3148603100</t>
  </si>
  <si>
    <t>mcgaviria04@gmail.com</t>
  </si>
  <si>
    <t>3008480435</t>
  </si>
  <si>
    <t>DANIEL HERNANDEZ GIL</t>
  </si>
  <si>
    <t>daniel-gil62@hotmail.com</t>
  </si>
  <si>
    <t>3002868442</t>
  </si>
  <si>
    <t>JOSHKENNETHMENABLANDON@GMAIL.COM</t>
  </si>
  <si>
    <t>3332442778</t>
  </si>
  <si>
    <t>camilalaro72@gmail.com</t>
  </si>
  <si>
    <t>3019754150</t>
  </si>
  <si>
    <t>omyposada@yahoo.es</t>
  </si>
  <si>
    <t>3103824355</t>
  </si>
  <si>
    <t>MO604173@GMAIL.COM</t>
  </si>
  <si>
    <t>3053158481</t>
  </si>
  <si>
    <t>SANTIAGO FLOREZ ZAPATA</t>
  </si>
  <si>
    <t>FLOREZS485@GMAIL.COM</t>
  </si>
  <si>
    <t>3042341018</t>
  </si>
  <si>
    <t>ubzaka71226@gmail.com</t>
  </si>
  <si>
    <t>3174050974</t>
  </si>
  <si>
    <t>JENIFFER DURAN DIAZ</t>
  </si>
  <si>
    <t>JENIFFER.DURANDI@HOTMAIL.COM</t>
  </si>
  <si>
    <t>3117514153</t>
  </si>
  <si>
    <t>MARIANA GALLEGO ORTEGA</t>
  </si>
  <si>
    <t>GALLEGOORTEGAMARIANA@GMAIL.COM</t>
  </si>
  <si>
    <t>3205901826</t>
  </si>
  <si>
    <t>LADEUS3006@GMAIL.COM</t>
  </si>
  <si>
    <t>3044246664</t>
  </si>
  <si>
    <t>GEVILLER@GMAIL.COM</t>
  </si>
  <si>
    <t>3127929259</t>
  </si>
  <si>
    <t>PALARA1977@GMAIL.COM</t>
  </si>
  <si>
    <t>3113739649</t>
  </si>
  <si>
    <t>CARLOSANDRES.OTALVARO@GMAIL.COM</t>
  </si>
  <si>
    <t>3508473786</t>
  </si>
  <si>
    <t>ALEXANDRACALLE992@GMAIL.COM</t>
  </si>
  <si>
    <t>3044365822</t>
  </si>
  <si>
    <t>JULIANA GARRIDO RIVERA</t>
  </si>
  <si>
    <t>JULIRIVERA1008@GMAIL.COM</t>
  </si>
  <si>
    <t>3136245801</t>
  </si>
  <si>
    <t>DANIELA HOLGUÍN RESTREPO</t>
  </si>
  <si>
    <t>DANIELAHOLGUINRESTREPO76@GMAIL.COM</t>
  </si>
  <si>
    <t>3173426542</t>
  </si>
  <si>
    <t>JV853177@GMAIL.COM</t>
  </si>
  <si>
    <t>3222824091</t>
  </si>
  <si>
    <t>PEREZJESSIKA282@GMAIL.COM</t>
  </si>
  <si>
    <t>3023475656</t>
  </si>
  <si>
    <t>eliovalenciamedina@gmail.com</t>
  </si>
  <si>
    <t>3164422660</t>
  </si>
  <si>
    <t>marytobon29@gmail.com</t>
  </si>
  <si>
    <t>3005069077</t>
  </si>
  <si>
    <t>patriciav825@gmail.com</t>
  </si>
  <si>
    <t>3007769232</t>
  </si>
  <si>
    <t>jhulianabj@gmail.com</t>
  </si>
  <si>
    <t>3103930694</t>
  </si>
  <si>
    <t>idaliaortega.consultorias@gmail.com</t>
  </si>
  <si>
    <t>3145121146</t>
  </si>
  <si>
    <t>jekmirandas@gmail.com</t>
  </si>
  <si>
    <t>3194021788</t>
  </si>
  <si>
    <t>YENNIFER MONCADA BOTERO</t>
  </si>
  <si>
    <t>yennimonk@hotmail.com</t>
  </si>
  <si>
    <t>3218507237</t>
  </si>
  <si>
    <t>TATIANA VALLEJO PIEDRAHITA</t>
  </si>
  <si>
    <t>tati.pi.va@hotmail.com</t>
  </si>
  <si>
    <t>3044957974</t>
  </si>
  <si>
    <t>jaironcristian7@gmail.com</t>
  </si>
  <si>
    <t>3196270575</t>
  </si>
  <si>
    <t>r.angelicabedoya@gmail.com</t>
  </si>
  <si>
    <t>3054312512</t>
  </si>
  <si>
    <t>dianamarcelabedoya35@gmail.com</t>
  </si>
  <si>
    <t>3217710974</t>
  </si>
  <si>
    <t>KETZELLY BETANCUR SERNA</t>
  </si>
  <si>
    <t>ketzellybs@hotmail.com</t>
  </si>
  <si>
    <t>3154088649</t>
  </si>
  <si>
    <t>leidyh20@yahoo.es</t>
  </si>
  <si>
    <t>3225116511</t>
  </si>
  <si>
    <t>carolinaosorioid@gmail.com</t>
  </si>
  <si>
    <t>3106718034</t>
  </si>
  <si>
    <t>JERÓNIMO RÍOS BASTIDAS</t>
  </si>
  <si>
    <t>jeronimoriosb11@gmail.com</t>
  </si>
  <si>
    <t>3196990744</t>
  </si>
  <si>
    <t>pao13jg@hotmail.com</t>
  </si>
  <si>
    <t>3243181122</t>
  </si>
  <si>
    <t>alramirez@escolme.edu.co</t>
  </si>
  <si>
    <t>3014612300</t>
  </si>
  <si>
    <t>MARIA JOSE ALBAN ARAGON</t>
  </si>
  <si>
    <t>mariajosealbanaragon@gmail.com</t>
  </si>
  <si>
    <t>3024515048</t>
  </si>
  <si>
    <t>robertodaza171@gmail.com</t>
  </si>
  <si>
    <t>3002010857</t>
  </si>
  <si>
    <t>DANIELA CARDONA GUISAO</t>
  </si>
  <si>
    <t>danielacguisao@gmail.com</t>
  </si>
  <si>
    <t>3012886640</t>
  </si>
  <si>
    <t>vanesac9854@gmail.com</t>
  </si>
  <si>
    <t>3106285710</t>
  </si>
  <si>
    <t>MALORY HENAO MARTINEZ</t>
  </si>
  <si>
    <t>henaomalory@gmail.com</t>
  </si>
  <si>
    <t>3023434354</t>
  </si>
  <si>
    <t>kathe.f84@hotmail.com</t>
  </si>
  <si>
    <t>3207354315</t>
  </si>
  <si>
    <t>mcasilimas.19@gmail.com</t>
  </si>
  <si>
    <t>3138344385</t>
  </si>
  <si>
    <t>GCRISOCARO@HOTMAIL.COM</t>
  </si>
  <si>
    <t>3052238200</t>
  </si>
  <si>
    <t>ALEJANDRO GUERRA ESCOBAR</t>
  </si>
  <si>
    <t>alejandro.guerra.e22@gmail.com</t>
  </si>
  <si>
    <t>3502974533</t>
  </si>
  <si>
    <t>lizethcardona10b@gmail.com</t>
  </si>
  <si>
    <t>3215465414</t>
  </si>
  <si>
    <t>ANGELICA GOMEZ</t>
  </si>
  <si>
    <t>MEZANG96@GMAIL.COM</t>
  </si>
  <si>
    <t>3025635230</t>
  </si>
  <si>
    <t>ESTEFANNY DAVID MONTOYA</t>
  </si>
  <si>
    <t>ESTEFADAVID238@GMAIL.COM</t>
  </si>
  <si>
    <t>3011092139</t>
  </si>
  <si>
    <t>DANIELACECILIANUNEZ@GMAIL.COM</t>
  </si>
  <si>
    <t>3045757803</t>
  </si>
  <si>
    <t>DANIEL GIRALDO VILLA</t>
  </si>
  <si>
    <t>DANIEL2005GIRALDO@GMAIL.COM</t>
  </si>
  <si>
    <t>3042946782</t>
  </si>
  <si>
    <t>ESTEFANÍA MURIEL AGUDELO</t>
  </si>
  <si>
    <t>SNIAMURIEL1207@GMAIL.COM</t>
  </si>
  <si>
    <t>3197308391</t>
  </si>
  <si>
    <t>MARIANA DAVILA VELASQUEZ</t>
  </si>
  <si>
    <t>marianadavilavelasquez@gmail.com</t>
  </si>
  <si>
    <t>3019518194</t>
  </si>
  <si>
    <t>LMRAMIREZO@EAFIT.EDU.CO</t>
  </si>
  <si>
    <t>3225697463</t>
  </si>
  <si>
    <t>CUATROAZUL20@GMAIL.COM</t>
  </si>
  <si>
    <t>3207965426</t>
  </si>
  <si>
    <t>YENIFER MAZO ARANGO</t>
  </si>
  <si>
    <t>YENIFERMAZO702215@GMAIL.COM</t>
  </si>
  <si>
    <t>3215233046</t>
  </si>
  <si>
    <t>LEODKG@HOTMAIL.COM</t>
  </si>
  <si>
    <t>3044426435</t>
  </si>
  <si>
    <t>HOLA@PAOLAVELASQUEZ.COM</t>
  </si>
  <si>
    <t>3153228900</t>
  </si>
  <si>
    <t>ESTEFANIA MARTINEZ VALENCIA</t>
  </si>
  <si>
    <t>MARTINEXMEDELLIN@GMAIL.COM</t>
  </si>
  <si>
    <t>3015515554</t>
  </si>
  <si>
    <t>DULCEMARIAMARINMUNOZ@GMAIL.COM</t>
  </si>
  <si>
    <t>3242097359</t>
  </si>
  <si>
    <t>LFARTEAGAV.DESIGNER@GMAIL.COM</t>
  </si>
  <si>
    <t>3105491961</t>
  </si>
  <si>
    <t>ELIZABETH CORREA SOTO</t>
  </si>
  <si>
    <t>ELIZA1605.1996@GMAIL.COM</t>
  </si>
  <si>
    <t>3126363692</t>
  </si>
  <si>
    <t>CAMILA AGUDELO FIGUEROA</t>
  </si>
  <si>
    <t>CAGUDELOFIG@GMAIL.COM</t>
  </si>
  <si>
    <t>3168468663</t>
  </si>
  <si>
    <t>MARCELAGIRALDOG15@GMAIL.COM</t>
  </si>
  <si>
    <t>3116170156</t>
  </si>
  <si>
    <t>NELLYFERRAROHERNANDEZ@GMAIL.COM</t>
  </si>
  <si>
    <t>6045864771</t>
  </si>
  <si>
    <t>SARA CASTAÑO SIERRA</t>
  </si>
  <si>
    <t>SARACASTANOSIERRA@GMAIL.COM</t>
  </si>
  <si>
    <t>3005660203</t>
  </si>
  <si>
    <t>alezuleta463@gmail.com</t>
  </si>
  <si>
    <t>3006732662</t>
  </si>
  <si>
    <t>ESTEFANIA ARIAS ARIAS</t>
  </si>
  <si>
    <t>TEFIARIAS01@GMAIL.COM</t>
  </si>
  <si>
    <t>3017621108</t>
  </si>
  <si>
    <t>gise.escobar@hotmail.com</t>
  </si>
  <si>
    <t>3103696827</t>
  </si>
  <si>
    <t>adrimunozbe@gmail.com</t>
  </si>
  <si>
    <t>3178740749</t>
  </si>
  <si>
    <t>catalinaoliveros1983@gmail.com</t>
  </si>
  <si>
    <t>3235674352</t>
  </si>
  <si>
    <t>MATTHEW ALEAN SEPULVEDA</t>
  </si>
  <si>
    <t>matthew.alean@gmail.com</t>
  </si>
  <si>
    <t>3104873856</t>
  </si>
  <si>
    <t>pauula.g1@gmail.com</t>
  </si>
  <si>
    <t>3107072993</t>
  </si>
  <si>
    <t>YESENIA GOMEZ MANCERA</t>
  </si>
  <si>
    <t>yese9329@hotmail.com</t>
  </si>
  <si>
    <t>3024609405</t>
  </si>
  <si>
    <t>johan7crackdona@gmail.com</t>
  </si>
  <si>
    <t>3015221937</t>
  </si>
  <si>
    <t>NOHEMI AVILEZ CASTILLO</t>
  </si>
  <si>
    <t>nohemiavilez06@gmail.com</t>
  </si>
  <si>
    <t>3105624691</t>
  </si>
  <si>
    <t>valenciamoralesdiana@gmail.com</t>
  </si>
  <si>
    <t>3007020775</t>
  </si>
  <si>
    <t>luiscoralj@gmail.com</t>
  </si>
  <si>
    <t>3021207245</t>
  </si>
  <si>
    <t>stiventv24@gmail.com</t>
  </si>
  <si>
    <t>3104926212</t>
  </si>
  <si>
    <t>alina.gomez@corporacionsuperarse.org</t>
  </si>
  <si>
    <t>3008238013</t>
  </si>
  <si>
    <t>luisfer42432@gmail.com</t>
  </si>
  <si>
    <t>3234930898</t>
  </si>
  <si>
    <t>helenkathy.baena@gmail.com</t>
  </si>
  <si>
    <t>3014277315</t>
  </si>
  <si>
    <t>ISABELAV2011@GMAIL.COM</t>
  </si>
  <si>
    <t>3113109940</t>
  </si>
  <si>
    <t>ERIJU8A@GMAIL.COM</t>
  </si>
  <si>
    <t>3016170771</t>
  </si>
  <si>
    <t>JULIANA CASAS TORO</t>
  </si>
  <si>
    <t>JULICASASTORO75@GMAIL.COM</t>
  </si>
  <si>
    <t>3005310736</t>
  </si>
  <si>
    <t>yendy.betancur846@pascualbravo.edu.co</t>
  </si>
  <si>
    <t>3147747560</t>
  </si>
  <si>
    <t>FRANCY.CIRO@GMAIL.COM</t>
  </si>
  <si>
    <t>3128485460</t>
  </si>
  <si>
    <t>JERONIMO CARMONA MARIN</t>
  </si>
  <si>
    <t>jeronimoc439@gmail.com</t>
  </si>
  <si>
    <t>3113199344</t>
  </si>
  <si>
    <t>daysonhenao@hotmail.com</t>
  </si>
  <si>
    <t>3204333699</t>
  </si>
  <si>
    <t>loren.moreno@udea.edu.co</t>
  </si>
  <si>
    <t>3006070088</t>
  </si>
  <si>
    <t>RESTREPOELIZA4@GMAIL.COM</t>
  </si>
  <si>
    <t>3103628351</t>
  </si>
  <si>
    <t>SANTIAGO GONZALEZ CHARLOTK</t>
  </si>
  <si>
    <t>3024588741</t>
  </si>
  <si>
    <t>ANAMORENORENTERIA123@GMAIL.COM</t>
  </si>
  <si>
    <t>3148271105</t>
  </si>
  <si>
    <t>lucycortes1009@gmail.com</t>
  </si>
  <si>
    <t>3104105646</t>
  </si>
  <si>
    <t>VALERY CORTES SALAZAR</t>
  </si>
  <si>
    <t>VALERYCORTESSALAZAR40@GMAIL.COM</t>
  </si>
  <si>
    <t>3127102963</t>
  </si>
  <si>
    <t>JULIANA VILLA MARTINEZ</t>
  </si>
  <si>
    <t>JULIVMAR4@GMAIL.COM</t>
  </si>
  <si>
    <t>3195463456</t>
  </si>
  <si>
    <t>DANIDESIREEDIAZ@GMAIL.COM</t>
  </si>
  <si>
    <t>3023546094</t>
  </si>
  <si>
    <t>DANYALE1922@GMAIL.COM</t>
  </si>
  <si>
    <t>3015949156</t>
  </si>
  <si>
    <t>NORELCO12@GMAIL.COM</t>
  </si>
  <si>
    <t>3508858082</t>
  </si>
  <si>
    <t>JEANYANGELH@GMAIL.COM</t>
  </si>
  <si>
    <t>3148703341</t>
  </si>
  <si>
    <t>VALENTINA SANCHEZ CAÑAS</t>
  </si>
  <si>
    <t>VALENSANCHEZC13@GMAIL.COM</t>
  </si>
  <si>
    <t>3107289784</t>
  </si>
  <si>
    <t>LUISAVARELAS234@GMAIL.COM</t>
  </si>
  <si>
    <t>3052003275</t>
  </si>
  <si>
    <t>MANUELALEJANDRO.CARTAGENAV@GMAIL.COM</t>
  </si>
  <si>
    <t>3016301066</t>
  </si>
  <si>
    <t>CARLOSMARIOIBARRA@OUTLOOK.COM</t>
  </si>
  <si>
    <t>3207875788</t>
  </si>
  <si>
    <t>aservantes810@gmail.com</t>
  </si>
  <si>
    <t>3148261309</t>
  </si>
  <si>
    <t>magui9121@hotmail.com</t>
  </si>
  <si>
    <t>3206956191</t>
  </si>
  <si>
    <t>herreragrisales9@gmail.com</t>
  </si>
  <si>
    <t>3006665266</t>
  </si>
  <si>
    <t>ALEJANDRO SALAZAR LOPEZ</t>
  </si>
  <si>
    <t>alejandro.salazar@esumer.edu.co</t>
  </si>
  <si>
    <t>3015308160</t>
  </si>
  <si>
    <t>camilaalvarezraigosa@gmail.com</t>
  </si>
  <si>
    <t>3205746095</t>
  </si>
  <si>
    <t>ALEJANDRO PÉREZ VALENCIA</t>
  </si>
  <si>
    <t>pvalejo64@gmail.com</t>
  </si>
  <si>
    <t>3044182542</t>
  </si>
  <si>
    <t>mibarco@live.com</t>
  </si>
  <si>
    <t>3008499367</t>
  </si>
  <si>
    <t>paniaguaeuseangiecarolina@gmail.com</t>
  </si>
  <si>
    <t>3045317522</t>
  </si>
  <si>
    <t>SALOME PITRE BETANCOURT</t>
  </si>
  <si>
    <t>salopitre08@gmail.com</t>
  </si>
  <si>
    <t>3105067699</t>
  </si>
  <si>
    <t>mariachopin1991@gmail.com</t>
  </si>
  <si>
    <t>3004081681</t>
  </si>
  <si>
    <t>jdavid.giraldog@gmail.com</t>
  </si>
  <si>
    <t>3016126441</t>
  </si>
  <si>
    <t>juandavidduranmarin@gmail.com</t>
  </si>
  <si>
    <t>3042069374</t>
  </si>
  <si>
    <t>luciataborda192@gmail.com</t>
  </si>
  <si>
    <t>3043709852</t>
  </si>
  <si>
    <t>TATIANA ORTIZ JURADO</t>
  </si>
  <si>
    <t>ORTIZJURADOTATIANA@GMAIL.COM</t>
  </si>
  <si>
    <t>3012700355</t>
  </si>
  <si>
    <t>SAGUDELO2794@GMAIL.COM</t>
  </si>
  <si>
    <t>3146140337</t>
  </si>
  <si>
    <t>jeannc.rc@gmail.com</t>
  </si>
  <si>
    <t>3107908242</t>
  </si>
  <si>
    <t>JUANPABLO9705@GMAIL.COM</t>
  </si>
  <si>
    <t>3225118525</t>
  </si>
  <si>
    <t>ISMAEL.URREGO227@PASCUALBRAVO.EDU.CO</t>
  </si>
  <si>
    <t>3148514387</t>
  </si>
  <si>
    <t>ULTRAHIT@GMAIL.COM</t>
  </si>
  <si>
    <t>3155555450</t>
  </si>
  <si>
    <t>michellgomezy.777@gmail.com</t>
  </si>
  <si>
    <t>3237565640</t>
  </si>
  <si>
    <t>FREDYGRANADOS2@GMAIL.COM</t>
  </si>
  <si>
    <t>3165822944</t>
  </si>
  <si>
    <t>ANDRESMADRID2015@GMAIL.COM</t>
  </si>
  <si>
    <t>3006496651</t>
  </si>
  <si>
    <t>BEATRIZELENAGALLEGO888@HOTMAIL.COM</t>
  </si>
  <si>
    <t>3014033859</t>
  </si>
  <si>
    <t>SEBASTIAN GIRALDO HOLGUIN</t>
  </si>
  <si>
    <t>SEBASTIAN.GIRALDO-H@UNIMINUTO.EDU.CO</t>
  </si>
  <si>
    <t>3002274452</t>
  </si>
  <si>
    <t>ANFEVARE935@GMAIL.COM</t>
  </si>
  <si>
    <t>3053306448</t>
  </si>
  <si>
    <t>YSKPUERTA24@GMAIL.COM</t>
  </si>
  <si>
    <t>3014849758</t>
  </si>
  <si>
    <t>MARIAM PUERTA GALLON</t>
  </si>
  <si>
    <t>MAPUERTAGALLON@GMAIL.COM</t>
  </si>
  <si>
    <t>3004286422</t>
  </si>
  <si>
    <t>MJPJARA12324@GMAIL.COM</t>
  </si>
  <si>
    <t>3213413831</t>
  </si>
  <si>
    <t>DAVID NOREÑA TORO</t>
  </si>
  <si>
    <t>DAVIDNORENAT07@HOTMAIL.COM</t>
  </si>
  <si>
    <t>3194651998</t>
  </si>
  <si>
    <t>ARRUBLA01A@GMAIL.COM</t>
  </si>
  <si>
    <t>3128765908</t>
  </si>
  <si>
    <t>STIVENHIDALGO1@GMAIL.COM</t>
  </si>
  <si>
    <t>3053188120</t>
  </si>
  <si>
    <t>MAPMDU15@GMAIL.COM</t>
  </si>
  <si>
    <t>3126255055</t>
  </si>
  <si>
    <t>heidynutri@gmail.com</t>
  </si>
  <si>
    <t>3004889059</t>
  </si>
  <si>
    <t>SAMUEL OSPINA ZAPATA</t>
  </si>
  <si>
    <t>samospina112@gmail.com</t>
  </si>
  <si>
    <t>3016028094</t>
  </si>
  <si>
    <t>juanf.hurtadov@gmail.com</t>
  </si>
  <si>
    <t>3195873394</t>
  </si>
  <si>
    <t>andresf1911@gmail.com</t>
  </si>
  <si>
    <t>3113826434</t>
  </si>
  <si>
    <t>FREDY FORONDA GRAJALES</t>
  </si>
  <si>
    <t>foronda2510@hotmail.com</t>
  </si>
  <si>
    <t>3043314478</t>
  </si>
  <si>
    <t>MARATTOFASHIONSTORE@GMAIL.COM</t>
  </si>
  <si>
    <t>3218002064</t>
  </si>
  <si>
    <t>CAJIMENEZ39@POLIGRAN.EDU.CO</t>
  </si>
  <si>
    <t>3336084841</t>
  </si>
  <si>
    <t>EMMANUEL LOPEZ</t>
  </si>
  <si>
    <t>EMLOPETA@GMAIL.COM</t>
  </si>
  <si>
    <t>3007886237</t>
  </si>
  <si>
    <t>JULIETH CATAÑEDA GALLEGO</t>
  </si>
  <si>
    <t>lizcova20@gmail.com</t>
  </si>
  <si>
    <t>3160417465</t>
  </si>
  <si>
    <t>DELMARCANTANTE@GMAIL.COM</t>
  </si>
  <si>
    <t>3245832142</t>
  </si>
  <si>
    <t>pipesierra146@gmail.com</t>
  </si>
  <si>
    <t>3225910259</t>
  </si>
  <si>
    <t>EVELIN GUTIERREZ ORTEGA</t>
  </si>
  <si>
    <t>EVELINGUTIERREZO2072@GMAIL.COM</t>
  </si>
  <si>
    <t>3217727181</t>
  </si>
  <si>
    <t>SARA VANEGAS DUQUE</t>
  </si>
  <si>
    <t>SARAVANEGAS0216@GMAIL.COM</t>
  </si>
  <si>
    <t>3014280481</t>
  </si>
  <si>
    <t>alexandra.sanchez89@gmail.com</t>
  </si>
  <si>
    <t>3502426249</t>
  </si>
  <si>
    <t>luisarendon8@hotmail.com</t>
  </si>
  <si>
    <t>3013621459</t>
  </si>
  <si>
    <t>magrandaro@gmail.com</t>
  </si>
  <si>
    <t>3125875205</t>
  </si>
  <si>
    <t>angyjaramillo1996@gmail.com</t>
  </si>
  <si>
    <t>3046827290</t>
  </si>
  <si>
    <t>LESLIEYELITHZAA@GMAIL.COM</t>
  </si>
  <si>
    <t>3207615578</t>
  </si>
  <si>
    <t>manabalo.12@gmail.com</t>
  </si>
  <si>
    <t>3017412332</t>
  </si>
  <si>
    <t>JULIANVERAH@GMAIL.COM</t>
  </si>
  <si>
    <t>3057261170</t>
  </si>
  <si>
    <t>CRISTIANJOS100@HOTMAIL.COM</t>
  </si>
  <si>
    <t>3008432719</t>
  </si>
  <si>
    <t>SALOME CORREA MAZO</t>
  </si>
  <si>
    <t>SCORREAMAZO@GMAIL.COM</t>
  </si>
  <si>
    <t>3017547110</t>
  </si>
  <si>
    <t>CATALINA AGUDELO DAZA</t>
  </si>
  <si>
    <t>CATALINAAGUDELO028@GMAIL.COM</t>
  </si>
  <si>
    <t>3108986681</t>
  </si>
  <si>
    <t>SEBASTIAN IRAL VALENCIA</t>
  </si>
  <si>
    <t>SEBASIRALVALENCIA@GMAIL.COM</t>
  </si>
  <si>
    <t>3052785626</t>
  </si>
  <si>
    <t>NILTONVELASQUEZ85@GMAIL.COM</t>
  </si>
  <si>
    <t>3006599917</t>
  </si>
  <si>
    <t>VALERIA DIAZ GIRALDO</t>
  </si>
  <si>
    <t>VALERIADG0409@GMAIL.COM</t>
  </si>
  <si>
    <t>3216280304</t>
  </si>
  <si>
    <t>MARIAJOSEDIAZMAYA@GMAIL.COM</t>
  </si>
  <si>
    <t>3117453695</t>
  </si>
  <si>
    <t>SORANY YEPES</t>
  </si>
  <si>
    <t>soraoyepes@hotmail.com</t>
  </si>
  <si>
    <t>3213416806</t>
  </si>
  <si>
    <t>jadermunoz0@gmail.com</t>
  </si>
  <si>
    <t>3108983613</t>
  </si>
  <si>
    <t>JULIAN GARCÍA MONSALVE</t>
  </si>
  <si>
    <t>gam.julian0327@gmail.com</t>
  </si>
  <si>
    <t>3012009909</t>
  </si>
  <si>
    <t>carjim1913@gmail.com</t>
  </si>
  <si>
    <t>3118443382</t>
  </si>
  <si>
    <t>DANIELA OSORIO MACÍAS</t>
  </si>
  <si>
    <t>daniela.940801@gmail.com</t>
  </si>
  <si>
    <t>3046409723</t>
  </si>
  <si>
    <t>anacarmona1@hotmail.com</t>
  </si>
  <si>
    <t>3108422734</t>
  </si>
  <si>
    <t>SANDRO ROJAS LAGUNA</t>
  </si>
  <si>
    <t>srojas2580@gmail.com</t>
  </si>
  <si>
    <t>3107057889</t>
  </si>
  <si>
    <t>aleonvasquezg@gmail.com</t>
  </si>
  <si>
    <t>3104236470</t>
  </si>
  <si>
    <t>YURANIS JIMENEZ CASTRO</t>
  </si>
  <si>
    <t>yuranisjcas@gmail.com</t>
  </si>
  <si>
    <t>3103592725</t>
  </si>
  <si>
    <t>EMANUEL BRAN LOPEZ</t>
  </si>
  <si>
    <t>branlopezemanuel78@gmail.com</t>
  </si>
  <si>
    <t>3043107254</t>
  </si>
  <si>
    <t>SARA FLOREZ FIGUEROA</t>
  </si>
  <si>
    <t>sarangelita06@gmail.com</t>
  </si>
  <si>
    <t>3234407850</t>
  </si>
  <si>
    <t>STEFANIA VALLEJO BOHORQUEZ</t>
  </si>
  <si>
    <t>nia0405@gmail.com</t>
  </si>
  <si>
    <t>3015334268</t>
  </si>
  <si>
    <t>ESTEBAN SANCHEZ ORTIZ</t>
  </si>
  <si>
    <t>pariz93@hotmail.com</t>
  </si>
  <si>
    <t>3013312113</t>
  </si>
  <si>
    <t>NELSON RAMIREZ TUBERQUIA</t>
  </si>
  <si>
    <t>NELSONAAL@GMAIL.COM</t>
  </si>
  <si>
    <t>3023855204</t>
  </si>
  <si>
    <t>MARUVARGAS1608@GMAIL.COM</t>
  </si>
  <si>
    <t>3147284994</t>
  </si>
  <si>
    <t>MATEO CRUZ TANGARIFE</t>
  </si>
  <si>
    <t>MC055531@GMAIL.COM</t>
  </si>
  <si>
    <t>3156327858</t>
  </si>
  <si>
    <t>DANIEL INSUASTY ARANGO</t>
  </si>
  <si>
    <t>DANIELINSUASTYA@ICLOUD.COM</t>
  </si>
  <si>
    <t>3147922200</t>
  </si>
  <si>
    <t>NIKOLLE VARGAS JARAMILLO</t>
  </si>
  <si>
    <t>nvargasj620@gmail.com</t>
  </si>
  <si>
    <t>3043459579</t>
  </si>
  <si>
    <t>SOFIA GARCIA ROLDAN</t>
  </si>
  <si>
    <t>sofiakarengr@gmail.com</t>
  </si>
  <si>
    <t>3158007752</t>
  </si>
  <si>
    <t>cagg.med@gmail.com</t>
  </si>
  <si>
    <t>3152401212</t>
  </si>
  <si>
    <t>AUGUSTO MEJIA RESTREPO</t>
  </si>
  <si>
    <t>AUGUSTOMEJIARPO13@GMAIL.COM</t>
  </si>
  <si>
    <t>3142602989</t>
  </si>
  <si>
    <t>J.SUAZA17@PASCUALBRAVO.EDU.CO</t>
  </si>
  <si>
    <t>3145345388</t>
  </si>
  <si>
    <t>VEMAPATO16@GMAIL.COM</t>
  </si>
  <si>
    <t>3002527862</t>
  </si>
  <si>
    <t>ESTEBAN RESTREPO</t>
  </si>
  <si>
    <t>RESTREPOE801@GMAIL.COM</t>
  </si>
  <si>
    <t>3053238981</t>
  </si>
  <si>
    <t>SAMUEL MADRID OTALVARO</t>
  </si>
  <si>
    <t>MADRIDSAMUEL211@GMAIL.COM</t>
  </si>
  <si>
    <t>3015156617</t>
  </si>
  <si>
    <t>YUDY GARCIA TABERA</t>
  </si>
  <si>
    <t>YUDIGARCIATAVERA@YAHOO.ES</t>
  </si>
  <si>
    <t>3116282890</t>
  </si>
  <si>
    <t>LUZ LOPEZ</t>
  </si>
  <si>
    <t>adriana_lopez_1982@hotmail.com</t>
  </si>
  <si>
    <t>3102665118</t>
  </si>
  <si>
    <t>MARIANA CARVAJAL SOTO</t>
  </si>
  <si>
    <t>marianacarvajalsoto23@gmail.com</t>
  </si>
  <si>
    <t>camilaochoa0813@gmail.com</t>
  </si>
  <si>
    <t>3225694409</t>
  </si>
  <si>
    <t>esperanzamferiaa@gmail.com</t>
  </si>
  <si>
    <t>3155806783</t>
  </si>
  <si>
    <t>WILDER RESTREPO JIMENEZ</t>
  </si>
  <si>
    <t>wilderrj58@gmail.com</t>
  </si>
  <si>
    <t>3043123453</t>
  </si>
  <si>
    <t>lukarte04@gmail.com</t>
  </si>
  <si>
    <t>3506656601</t>
  </si>
  <si>
    <t>anamariazr905@gmail.com</t>
  </si>
  <si>
    <t>3045754685</t>
  </si>
  <si>
    <t>MABEL ECHEVERRI VELEZ</t>
  </si>
  <si>
    <t>mabelecheverri15@gmail.com</t>
  </si>
  <si>
    <t>3013709207</t>
  </si>
  <si>
    <t>lau91061@hotmail.com</t>
  </si>
  <si>
    <t>3104991179</t>
  </si>
  <si>
    <t>kellyru17@hotmail.com</t>
  </si>
  <si>
    <t>3113514703</t>
  </si>
  <si>
    <t>juanestebanperezgiraldo66@gmail.com</t>
  </si>
  <si>
    <t>3105097480</t>
  </si>
  <si>
    <t>JAHMPABLO@GMAIL.COM</t>
  </si>
  <si>
    <t>3192992012</t>
  </si>
  <si>
    <t>JUANPAHERRERAYO0120@GMAIL.COM</t>
  </si>
  <si>
    <t>3001080894</t>
  </si>
  <si>
    <t>DADIAZSE1@GMAIL.COM</t>
  </si>
  <si>
    <t>3205053051</t>
  </si>
  <si>
    <t>ARIASMEJIALEJANDRO@GMAIL.COM</t>
  </si>
  <si>
    <t>3196169337</t>
  </si>
  <si>
    <t>CE</t>
  </si>
  <si>
    <t>meylyncarolina@gmail.com</t>
  </si>
  <si>
    <t>3184596185</t>
  </si>
  <si>
    <t>GARZONVALE1@GMAI.COM</t>
  </si>
  <si>
    <t>3222320543</t>
  </si>
  <si>
    <t>VALENCIAJOHANNA008@GMAIL.COM</t>
  </si>
  <si>
    <t>3216675692</t>
  </si>
  <si>
    <t>MAYANIS CASTRO MENA</t>
  </si>
  <si>
    <t>MAYANISNUEVO@GMAIL.COM</t>
  </si>
  <si>
    <t>3246292112</t>
  </si>
  <si>
    <t>isabellamolina13090@gmail.com</t>
  </si>
  <si>
    <t>3103766598</t>
  </si>
  <si>
    <t>JULIANA AGUDELO PEREZ</t>
  </si>
  <si>
    <t>JULIANAAGUDELOPEREZ@GMAIL.COM</t>
  </si>
  <si>
    <t>3053161901</t>
  </si>
  <si>
    <t>LAURASALCEDOAGUDELO23@GMAIL.COM</t>
  </si>
  <si>
    <t>3023424569</t>
  </si>
  <si>
    <t>pulgarincarlos282@gmail.com</t>
  </si>
  <si>
    <t>3206116043</t>
  </si>
  <si>
    <t>ALEJANDRO LÒPEZ OCAMPO</t>
  </si>
  <si>
    <t>LOPEZALEJANDRO01152729@GMAIL.COM</t>
  </si>
  <si>
    <t>3235509021</t>
  </si>
  <si>
    <t>gutierrezarango2008@icloud.com</t>
  </si>
  <si>
    <t>3016373245</t>
  </si>
  <si>
    <t>JUANM.MARTINEZH@UDEA.EDU.CO</t>
  </si>
  <si>
    <t>3227158785</t>
  </si>
  <si>
    <t>laurag270906@gmail.com</t>
  </si>
  <si>
    <t>3024509769</t>
  </si>
  <si>
    <t>PJDIAZ1509@GMAIL.COM</t>
  </si>
  <si>
    <t>3004890405</t>
  </si>
  <si>
    <t>SONICKMUSIC2023@GMAIL.COM</t>
  </si>
  <si>
    <t>3123020275</t>
  </si>
  <si>
    <t>SIR-PAO@HOTMAIL.COM</t>
  </si>
  <si>
    <t>3216357979</t>
  </si>
  <si>
    <t>SEBASTIAN ISAZA ZAPATA</t>
  </si>
  <si>
    <t>SEBASTIAN_ISAZA_ZAPATA@OUTLOOK.COM</t>
  </si>
  <si>
    <t>3002430955</t>
  </si>
  <si>
    <t>YORLE.LOPEZ19@GMAIL.COM</t>
  </si>
  <si>
    <t>3105478013</t>
  </si>
  <si>
    <t>KARINA.GOMEZ208@GMAIL.COM</t>
  </si>
  <si>
    <t>3014339430</t>
  </si>
  <si>
    <t>MARKOBARRIOS@HOTMAIL.COM</t>
  </si>
  <si>
    <t>3136714283</t>
  </si>
  <si>
    <t>YABRAVOURREGO@GMAIL.COM</t>
  </si>
  <si>
    <t>3146261114</t>
  </si>
  <si>
    <t>SOFIA URIBE RESTREPO</t>
  </si>
  <si>
    <t>SOFIURIBERES@GMAIL.COM</t>
  </si>
  <si>
    <t>3004411586</t>
  </si>
  <si>
    <t>genteit13@gmail.com</t>
  </si>
  <si>
    <t>3012633722</t>
  </si>
  <si>
    <t>carolinabermudezserna@gmail.com</t>
  </si>
  <si>
    <t>3114243814</t>
  </si>
  <si>
    <t>VERONICA BUITRAGO GALVIS</t>
  </si>
  <si>
    <t>buitrago2020cardona@gmail.com</t>
  </si>
  <si>
    <t>3106341386</t>
  </si>
  <si>
    <t>jeisonsneider08@gmail.com</t>
  </si>
  <si>
    <t>3045218140</t>
  </si>
  <si>
    <t>MELISA YEPES MARIN</t>
  </si>
  <si>
    <t>melissa.yepes@gmail.com</t>
  </si>
  <si>
    <t>3002534552</t>
  </si>
  <si>
    <t>ALEJANDRO RUEDA GONZÁLEZ</t>
  </si>
  <si>
    <t>alejo.r.gprimo@gmail.com</t>
  </si>
  <si>
    <t>3008390305</t>
  </si>
  <si>
    <t>liztamayom@gmail.com</t>
  </si>
  <si>
    <t>3246029542</t>
  </si>
  <si>
    <t>nuryrz14@gmail.com</t>
  </si>
  <si>
    <t>3005690191</t>
  </si>
  <si>
    <t>mariagasa@hotmail.com</t>
  </si>
  <si>
    <t>3137691413</t>
  </si>
  <si>
    <t>natasha.m881016@gmail.com</t>
  </si>
  <si>
    <t>3017262187</t>
  </si>
  <si>
    <t>ANIZAPATA549@GMAIL.COM</t>
  </si>
  <si>
    <t>3166880427</t>
  </si>
  <si>
    <t>LADY0532@HOTMAIL.COM</t>
  </si>
  <si>
    <t>3206175705</t>
  </si>
  <si>
    <t>SEBASTIAN BETANCUR CUERVO</t>
  </si>
  <si>
    <t>sbetancurcuervo@gmail.com</t>
  </si>
  <si>
    <t>3194796386</t>
  </si>
  <si>
    <t>LAURACRISTINALONDONO709@GMAIL.COM</t>
  </si>
  <si>
    <t>3235225640</t>
  </si>
  <si>
    <t>juan.prado@udea.edu.co</t>
  </si>
  <si>
    <t>3013038806</t>
  </si>
  <si>
    <t>LUCAS MARIN PEREZ</t>
  </si>
  <si>
    <t>lucasmarinpe@gmail.com</t>
  </si>
  <si>
    <t>3203542879</t>
  </si>
  <si>
    <t>GIRLETZA ROMERO CÓRDOBA</t>
  </si>
  <si>
    <t>girletza@gmail.com</t>
  </si>
  <si>
    <t>3226946661</t>
  </si>
  <si>
    <t>juanpablovinascogarcia@gmail.com</t>
  </si>
  <si>
    <t>3136567498</t>
  </si>
  <si>
    <t>CADG22526@GMAIL.COM</t>
  </si>
  <si>
    <t>3015603287</t>
  </si>
  <si>
    <t>MAO1019@HOTMAIL.ES</t>
  </si>
  <si>
    <t>3218640407</t>
  </si>
  <si>
    <t>ISABEL.LOPEZ.ROJAS@GMAIL.COM</t>
  </si>
  <si>
    <t>3183762339</t>
  </si>
  <si>
    <t>GONZALEZYULIANAMARIA@GMAIL.COM</t>
  </si>
  <si>
    <t>3052552761</t>
  </si>
  <si>
    <t>paulandreaisaza@gmail.com</t>
  </si>
  <si>
    <t>3005150105</t>
  </si>
  <si>
    <t>johnjairo88@gmail.com</t>
  </si>
  <si>
    <t>3019837997</t>
  </si>
  <si>
    <t>COMERCIALNAHOMYBLANCO@GMAIL.COM</t>
  </si>
  <si>
    <t>3023657741</t>
  </si>
  <si>
    <t>paulaholve@gmail.com</t>
  </si>
  <si>
    <t>3026379242</t>
  </si>
  <si>
    <t>CANOGIRALDO456@GMAIL.COM</t>
  </si>
  <si>
    <t>3126864073</t>
  </si>
  <si>
    <t>caritoalvarez43@hotmail.com</t>
  </si>
  <si>
    <t>3147995986</t>
  </si>
  <si>
    <t>DMOSORIO9@GMAIL.COM</t>
  </si>
  <si>
    <t>3015434123</t>
  </si>
  <si>
    <t>CARLOS.CARDENASTA@AMIGO.EDU.CO</t>
  </si>
  <si>
    <t>3193037869</t>
  </si>
  <si>
    <t>ISAAC OSORIO</t>
  </si>
  <si>
    <t>ISAIGERMAN9090@GMAIL.COM</t>
  </si>
  <si>
    <t>3216181201</t>
  </si>
  <si>
    <t>ISAI OSORIO</t>
  </si>
  <si>
    <t>JESE7997@GMAIL.COM</t>
  </si>
  <si>
    <t>3016302346</t>
  </si>
  <si>
    <t>NADYASTARI@GMAIL.COM</t>
  </si>
  <si>
    <t>3053503255</t>
  </si>
  <si>
    <t>DIEGOLARIAS21@GMAIL.COM</t>
  </si>
  <si>
    <t>3005678537</t>
  </si>
  <si>
    <t>MELISA SALDARRIAG CASTRILLON</t>
  </si>
  <si>
    <t>melisasaldarriaga37@gmail.com</t>
  </si>
  <si>
    <t>3105127285</t>
  </si>
  <si>
    <t>JG504@HOTMAIL.COM</t>
  </si>
  <si>
    <t>3012915151</t>
  </si>
  <si>
    <t>YULIANA QUINTERO DUQUE</t>
  </si>
  <si>
    <t>YULIQUINTERO540@GMAIL.COM</t>
  </si>
  <si>
    <t>3103539795</t>
  </si>
  <si>
    <t>ernesto.usuga@outlook.es</t>
  </si>
  <si>
    <t>3024999519</t>
  </si>
  <si>
    <t>karenquintero1704@gmail.com</t>
  </si>
  <si>
    <t>3024798201</t>
  </si>
  <si>
    <t>KEVIN RUA CIRO</t>
  </si>
  <si>
    <t>kevin20rc@hotmail.com</t>
  </si>
  <si>
    <t>3237295182</t>
  </si>
  <si>
    <t>luzveronica.ramirezmonsalve@gmail.com</t>
  </si>
  <si>
    <t>3007850462</t>
  </si>
  <si>
    <t>KATHERINE HIDALGO BUSTAMANTE</t>
  </si>
  <si>
    <t>kathe-hb@hotmail.com</t>
  </si>
  <si>
    <t>3023799121</t>
  </si>
  <si>
    <t>comunicadorasocialvalentina@gmail.com</t>
  </si>
  <si>
    <t>3002877280</t>
  </si>
  <si>
    <t>johnbolivar34@hotmail.com</t>
  </si>
  <si>
    <t>3155882168</t>
  </si>
  <si>
    <t>nextripcolombia@gmail.com</t>
  </si>
  <si>
    <t>3203958916</t>
  </si>
  <si>
    <t>jojaheal@gmail.com</t>
  </si>
  <si>
    <t>3216990866</t>
  </si>
  <si>
    <t>DANIELHURTADO_93@HOTMAIL.COM</t>
  </si>
  <si>
    <t>3162823966</t>
  </si>
  <si>
    <t>MPINEDAMEJIA299@GMAIL.COM</t>
  </si>
  <si>
    <t>3217234518</t>
  </si>
  <si>
    <t>lmmadrigalbedoya@gmail.com</t>
  </si>
  <si>
    <t>3205617580</t>
  </si>
  <si>
    <t>mdurleyt@gmail.com</t>
  </si>
  <si>
    <t>3136276207</t>
  </si>
  <si>
    <t>mariajosecalleruiz@gmail.com</t>
  </si>
  <si>
    <t>3053735971</t>
  </si>
  <si>
    <t>mauriciogmoncada@gmail.com</t>
  </si>
  <si>
    <t>3113612219</t>
  </si>
  <si>
    <t>salo.susana.fede@gmail.com</t>
  </si>
  <si>
    <t>3206788613</t>
  </si>
  <si>
    <t>EJECUTIVA@AMOLCA.COM.CO</t>
  </si>
  <si>
    <t>3227633873</t>
  </si>
  <si>
    <t>moniloaiza@hotmail.com</t>
  </si>
  <si>
    <t>3006102560</t>
  </si>
  <si>
    <t>octavioh@hotmail.com</t>
  </si>
  <si>
    <t>3208606965</t>
  </si>
  <si>
    <t>andresceballosvalle@gmail.com</t>
  </si>
  <si>
    <t>3206690095</t>
  </si>
  <si>
    <t>pipedufisica@gmail.com</t>
  </si>
  <si>
    <t>3127555941</t>
  </si>
  <si>
    <t>PAULINA CORTES CANO</t>
  </si>
  <si>
    <t>PAULINA1303@HOTMAIL.COM</t>
  </si>
  <si>
    <t>3113141693</t>
  </si>
  <si>
    <t>ANDRESV0628@GMAIL.COM</t>
  </si>
  <si>
    <t>3147479514</t>
  </si>
  <si>
    <t>CHRISTIANV0312@GMAIL.COM</t>
  </si>
  <si>
    <t>3116460655</t>
  </si>
  <si>
    <t>YO@DAVIDMARTINEZ.COM.CO</t>
  </si>
  <si>
    <t>3147793376</t>
  </si>
  <si>
    <t>MILLERPEREAA@GMAIL.COM</t>
  </si>
  <si>
    <t>3016866842</t>
  </si>
  <si>
    <t>ANGELAPATRICIAARANGOARANGOAPAA@GMAIL.COM</t>
  </si>
  <si>
    <t>3174388888</t>
  </si>
  <si>
    <t>CLARA.GALINDO@UDEA.EDU.CO</t>
  </si>
  <si>
    <t>3104509701</t>
  </si>
  <si>
    <t>JOHNATAN GONZALEZ VELEZ</t>
  </si>
  <si>
    <t>INGEGONZALEZ1982@GMAIL.COM</t>
  </si>
  <si>
    <t>3003337717</t>
  </si>
  <si>
    <t>YASHIROEVIL2005@GMAIL.COM</t>
  </si>
  <si>
    <t>3046060912</t>
  </si>
  <si>
    <t>YESSICA GALLEGO FLOREZ</t>
  </si>
  <si>
    <t>YESSICAGALLEGOF@GMAIL.COM</t>
  </si>
  <si>
    <t>3103479326</t>
  </si>
  <si>
    <t>MARYORY RODRIGUEZ MANRIQUE</t>
  </si>
  <si>
    <t>SAMYAMACONTACTO@GMAIL.COM</t>
  </si>
  <si>
    <t>3107518235</t>
  </si>
  <si>
    <t>SANTIAGO GOMEZ RONDON</t>
  </si>
  <si>
    <t>SANTIAGO.GOMEZND@AMIGO.EDU.CO</t>
  </si>
  <si>
    <t>3127663152</t>
  </si>
  <si>
    <t>LEONARDO LOPEZ LOZANO</t>
  </si>
  <si>
    <t>LEONARDO199759@OUTLOOK.ES</t>
  </si>
  <si>
    <t>3126339706</t>
  </si>
  <si>
    <t>ISARIAS09@GMAIL.COM</t>
  </si>
  <si>
    <t>3217970025</t>
  </si>
  <si>
    <t>ANACIFUENTES1508@GMAIL.COM</t>
  </si>
  <si>
    <t>3195355542</t>
  </si>
  <si>
    <t>kateochoa93@gmail.com</t>
  </si>
  <si>
    <t>3103943370</t>
  </si>
  <si>
    <t>ALEJANDRO JARAMILLO VELEZ</t>
  </si>
  <si>
    <t>alejandro.jaramillov@udea.edu.co</t>
  </si>
  <si>
    <t>3235836990</t>
  </si>
  <si>
    <t>maria.tobonm@medellin.gov.co</t>
  </si>
  <si>
    <t>3103764513</t>
  </si>
  <si>
    <t>agiraldorestrepo@gmail.com</t>
  </si>
  <si>
    <t>3006115964</t>
  </si>
  <si>
    <t>mybalbin@hotmail.com</t>
  </si>
  <si>
    <t>3013104101</t>
  </si>
  <si>
    <t>TATIANA ARANGO</t>
  </si>
  <si>
    <t>tatiarango54@gmail.com</t>
  </si>
  <si>
    <t>3154284366</t>
  </si>
  <si>
    <t>adanmarquez@gmail.com</t>
  </si>
  <si>
    <t>3002007885</t>
  </si>
  <si>
    <t>dmontoya1978@gmail.com</t>
  </si>
  <si>
    <t>3127661837</t>
  </si>
  <si>
    <t>nicolascaceres09@gmail.com</t>
  </si>
  <si>
    <t>3505401241</t>
  </si>
  <si>
    <t>andrade.pao07@gmail.com</t>
  </si>
  <si>
    <t>3046234091</t>
  </si>
  <si>
    <t>mafe.29gg@gmail.com</t>
  </si>
  <si>
    <t>3016912503</t>
  </si>
  <si>
    <t>jhonyandres17@gmail.com</t>
  </si>
  <si>
    <t>3001167339</t>
  </si>
  <si>
    <t>ARCILACARMONA@GMAIL.COM</t>
  </si>
  <si>
    <t>3009081000</t>
  </si>
  <si>
    <t>ACAGUDELOP@GMAIL.COM</t>
  </si>
  <si>
    <t>3017103059</t>
  </si>
  <si>
    <t>CARDONJUANDANIEL@GMAIL.COM</t>
  </si>
  <si>
    <t>3013705601</t>
  </si>
  <si>
    <t>ESTEFANIA ZAPATA MORA</t>
  </si>
  <si>
    <t>ESTEFA0408@GMAIL.COM</t>
  </si>
  <si>
    <t>3012514517</t>
  </si>
  <si>
    <t>ALVAREZVELEZJUANPABLO@GMAIL.COM</t>
  </si>
  <si>
    <t>3194390750</t>
  </si>
  <si>
    <t>JUANCAMILOZAPATA@GMAIL.COM</t>
  </si>
  <si>
    <t>3017029311</t>
  </si>
  <si>
    <t>LEONARDO VARGAS BRAVO</t>
  </si>
  <si>
    <t>LEOSEVEN8@GMAIL.COM</t>
  </si>
  <si>
    <t>3004763268</t>
  </si>
  <si>
    <t>RICHARD.BERMUDEZ@GMAIL.COM</t>
  </si>
  <si>
    <t>3217212960</t>
  </si>
  <si>
    <t>SANDRARIAZA95@GMAIL.COM</t>
  </si>
  <si>
    <t>3113627407</t>
  </si>
  <si>
    <t>sepulvedap382@gmail.com</t>
  </si>
  <si>
    <t>3223926189</t>
  </si>
  <si>
    <t>SELVAAZUL_07@YAHOO.ES</t>
  </si>
  <si>
    <t>3215611674</t>
  </si>
  <si>
    <t>MARVILA7@HOTMAIL.COM</t>
  </si>
  <si>
    <t>3184102198</t>
  </si>
  <si>
    <t>CHIRLY82@HOTMAIL.COM</t>
  </si>
  <si>
    <t>3146687681</t>
  </si>
  <si>
    <t>SAMUEL CEBALLOS GONZALEZ</t>
  </si>
  <si>
    <t>SAMUELTEBY@GMAIL.COM</t>
  </si>
  <si>
    <t>3011925469</t>
  </si>
  <si>
    <t>mileidi.carvajal@medellin.gov.co</t>
  </si>
  <si>
    <t>3113722184</t>
  </si>
  <si>
    <t>MIKE18DR@GMAIL.COM</t>
  </si>
  <si>
    <t>3125586382</t>
  </si>
  <si>
    <t>JEFFERSON CARVAJAL SUAREZ</t>
  </si>
  <si>
    <t>theshadowofficial001@gmail.com</t>
  </si>
  <si>
    <t>3171270363</t>
  </si>
  <si>
    <t>elmazapata770@gmail.com</t>
  </si>
  <si>
    <t>3122838349</t>
  </si>
  <si>
    <t>andresgrisalesvelez@gmail.com</t>
  </si>
  <si>
    <t>3007074515</t>
  </si>
  <si>
    <t>MATEO HURTADO RUEDA</t>
  </si>
  <si>
    <t>mateo150405@gmail.com</t>
  </si>
  <si>
    <t>3243317736</t>
  </si>
  <si>
    <t>manuela.gomezz.zapata@gmail.com</t>
  </si>
  <si>
    <t>3052962953</t>
  </si>
  <si>
    <t>subgerencia@admonph.com</t>
  </si>
  <si>
    <t>3127722450</t>
  </si>
  <si>
    <t>giraldoqui@gmail.com</t>
  </si>
  <si>
    <t>3017832055</t>
  </si>
  <si>
    <t>fabertorres@gmail.com</t>
  </si>
  <si>
    <t>3235568080</t>
  </si>
  <si>
    <t>JULIANA RODRIGUEZ BOTERO</t>
  </si>
  <si>
    <t>julianarodrigueztdm@gmail.com</t>
  </si>
  <si>
    <t>3504251416</t>
  </si>
  <si>
    <t>FELIPE LOAIZA</t>
  </si>
  <si>
    <t>loaizaarias2000@gmail.com</t>
  </si>
  <si>
    <t>3004613801</t>
  </si>
  <si>
    <t>luisf350@gmail.com</t>
  </si>
  <si>
    <t>3225156632</t>
  </si>
  <si>
    <t>andresriverasierra234@gmail.com</t>
  </si>
  <si>
    <t>3152653608</t>
  </si>
  <si>
    <t>JENIFER.TORRES@MEDELLIN.GOV.CO</t>
  </si>
  <si>
    <t>3218092341</t>
  </si>
  <si>
    <t>wandrescasmol@gmail.com</t>
  </si>
  <si>
    <t>3117947201</t>
  </si>
  <si>
    <t>YESICA NOREÑA LÓPEZ</t>
  </si>
  <si>
    <t>JESSI-K04@LIVE.COM</t>
  </si>
  <si>
    <t>3206442866</t>
  </si>
  <si>
    <t>OBANDOAGUDELO198@GMAIL.COM</t>
  </si>
  <si>
    <t>3003733918</t>
  </si>
  <si>
    <t>ANIUSK08@HOTMAIL.COM</t>
  </si>
  <si>
    <t>3206452782</t>
  </si>
  <si>
    <t>MIRO.RC07@GMAIL.COM</t>
  </si>
  <si>
    <t>3008807110</t>
  </si>
  <si>
    <t>ISABELLA ARANGO TAMAYO</t>
  </si>
  <si>
    <t>ISABELLAARANGO207@GMAIL.COM</t>
  </si>
  <si>
    <t>3126943811</t>
  </si>
  <si>
    <t>DENISSEVALENCIA52@GMAIL.COM</t>
  </si>
  <si>
    <t>3126960898</t>
  </si>
  <si>
    <t>MARIAG-1980@HOTMAIL.COM</t>
  </si>
  <si>
    <t>3012277612</t>
  </si>
  <si>
    <t>CAMILO LONDOÑO GOMEZ</t>
  </si>
  <si>
    <t>CAMILOLOGO6@GMAIL.COM</t>
  </si>
  <si>
    <t>3006040586</t>
  </si>
  <si>
    <t>YESENIA BARRIENTOS GUTIERREZ</t>
  </si>
  <si>
    <t>YESEBARRIENTOSGUTIERREZ@GMAIL.COM</t>
  </si>
  <si>
    <t>3137198241</t>
  </si>
  <si>
    <t>MAURICIO TORRES SEPULVEDA</t>
  </si>
  <si>
    <t>MAURICIOTORRESEPULVEDAUNO@GMAIL.COM</t>
  </si>
  <si>
    <t>3136930026</t>
  </si>
  <si>
    <t>JMCT_74@HOTMAIL.COM</t>
  </si>
  <si>
    <t>3128083498</t>
  </si>
  <si>
    <t>CAROLINA SALAZAR SANCHEZ</t>
  </si>
  <si>
    <t>CAROLSAZA30@GMAIL.COM</t>
  </si>
  <si>
    <t>3008076550</t>
  </si>
  <si>
    <t>JORGEGOMEZ@TECNICOPASCUALBRAVO.EDU.CO</t>
  </si>
  <si>
    <t>3155149895</t>
  </si>
  <si>
    <t>DAVID BERRIO CASTILLO</t>
  </si>
  <si>
    <t>DAVIDELHEROE21@GMAIL.COM</t>
  </si>
  <si>
    <t>3003434614</t>
  </si>
  <si>
    <t>VALENTINA RIVERA JIMENEZ</t>
  </si>
  <si>
    <t>valeriji229@gmail.com</t>
  </si>
  <si>
    <t>3216032565</t>
  </si>
  <si>
    <t>andresarevalo2019@gmail.com</t>
  </si>
  <si>
    <t>3105745724</t>
  </si>
  <si>
    <t>angielaura.aa@gmail.com</t>
  </si>
  <si>
    <t>3147992231</t>
  </si>
  <si>
    <t>andresospii@hotmail.com</t>
  </si>
  <si>
    <t>3005501787</t>
  </si>
  <si>
    <t>marykima145@gmail.com</t>
  </si>
  <si>
    <t>3156760291</t>
  </si>
  <si>
    <t>VALERY CALLEJAS ALVAREZ</t>
  </si>
  <si>
    <t>valery12callejas@gmail.com</t>
  </si>
  <si>
    <t>3027559704</t>
  </si>
  <si>
    <t>disigno.industrial.1@gmail.com</t>
  </si>
  <si>
    <t>3166470735</t>
  </si>
  <si>
    <t>andres.munoz.479@gmail.com</t>
  </si>
  <si>
    <t>3044569842</t>
  </si>
  <si>
    <t>julybg@outlook.es</t>
  </si>
  <si>
    <t>3192315351</t>
  </si>
  <si>
    <t>LEIDI ZULUAGA ALZATE</t>
  </si>
  <si>
    <t>lore.159@hotmail.com</t>
  </si>
  <si>
    <t>3113604986</t>
  </si>
  <si>
    <t>yaph.pu@gmail.com</t>
  </si>
  <si>
    <t>3012533819</t>
  </si>
  <si>
    <t>CAMILOANDRESYARCE10@GMAIL.COM</t>
  </si>
  <si>
    <t>3233889968</t>
  </si>
  <si>
    <t>HANZELCUERVO@GMAIL.COM</t>
  </si>
  <si>
    <t>3044760590</t>
  </si>
  <si>
    <t>PAULINA VELEZ AGUDELO</t>
  </si>
  <si>
    <t>VELEZPAULINA0314@GMAIL.COM</t>
  </si>
  <si>
    <t>3014284312</t>
  </si>
  <si>
    <t>JUANJOSE.RODRIGUEZLOPZ@GMAIL.COM</t>
  </si>
  <si>
    <t>3203779968</t>
  </si>
  <si>
    <t>SOFISAENZ992@GMAIL.COM</t>
  </si>
  <si>
    <t>3052283997</t>
  </si>
  <si>
    <t>LIAM AGUDELO CALLE</t>
  </si>
  <si>
    <t>liamcalle.ac@gmail.com</t>
  </si>
  <si>
    <t>3193365860</t>
  </si>
  <si>
    <t>KMNJK258@GMAIL.COM</t>
  </si>
  <si>
    <t>3007175149</t>
  </si>
  <si>
    <t>ANDRESITOMESA88@GMAIL.COM</t>
  </si>
  <si>
    <t>3218990857</t>
  </si>
  <si>
    <t>VIVIANAADREA143@GMAIL.COM</t>
  </si>
  <si>
    <t>3102170348</t>
  </si>
  <si>
    <t>DANIELA JARAMILLO CRISTANCHO</t>
  </si>
  <si>
    <t>DANIELAJARAMIL481@GMAIL.COM</t>
  </si>
  <si>
    <t>3012422818</t>
  </si>
  <si>
    <t>TATAVILLEGAS1@HOTMAIL.COM</t>
  </si>
  <si>
    <t>3125227328</t>
  </si>
  <si>
    <t>ARNOLD OSPINA MORALES</t>
  </si>
  <si>
    <t>FOX8125@HOTMAIL.COM</t>
  </si>
  <si>
    <t>3052527837</t>
  </si>
  <si>
    <t>WILLIAM1961.04.26@GMAIL.COM</t>
  </si>
  <si>
    <t>3105335157</t>
  </si>
  <si>
    <t>COPITO.DAVILA9@GMAIL.COM</t>
  </si>
  <si>
    <t>3006978321</t>
  </si>
  <si>
    <t>DOUGLASCARDENAS8616@GMAIL.COM</t>
  </si>
  <si>
    <t>3246833704</t>
  </si>
  <si>
    <t>KIT3D.DESIGN@GMAIL.COM</t>
  </si>
  <si>
    <t>3157432647</t>
  </si>
  <si>
    <t>VICTORMOLINATRADER@GMAIL.COM</t>
  </si>
  <si>
    <t>3105403778</t>
  </si>
  <si>
    <t>JORGEX.09@HOTMAIL.COM</t>
  </si>
  <si>
    <t>3127032266</t>
  </si>
  <si>
    <t>JDROJASRAMIREZ@GMAIL.COM</t>
  </si>
  <si>
    <t>3006414685</t>
  </si>
  <si>
    <t>FDOUSUGA@GMAIL.COM</t>
  </si>
  <si>
    <t>3113524573</t>
  </si>
  <si>
    <t>LUI.F5410@GMAIL.COM</t>
  </si>
  <si>
    <t>3104186331</t>
  </si>
  <si>
    <t>diana.durango2025@gmail.com</t>
  </si>
  <si>
    <t>3160422366</t>
  </si>
  <si>
    <t>SUSANA ESCOBAR ECHEVERRI</t>
  </si>
  <si>
    <t>susanaescobare@gmail.com</t>
  </si>
  <si>
    <t>3046385899</t>
  </si>
  <si>
    <t>SANTIAGO VELEZ CORTES</t>
  </si>
  <si>
    <t>santi.1913@hotmail.com</t>
  </si>
  <si>
    <t>3015889579</t>
  </si>
  <si>
    <t>ALEXANDER CHALARCA CARO</t>
  </si>
  <si>
    <t>alexanderchalarcacaro@gmail.com</t>
  </si>
  <si>
    <t>3232874364</t>
  </si>
  <si>
    <t>eninos23@gmail.com</t>
  </si>
  <si>
    <t>3057842964</t>
  </si>
  <si>
    <t>mayerlycartagena09@gmail.com</t>
  </si>
  <si>
    <t>3024609067</t>
  </si>
  <si>
    <t>mayralejandrasepulveda@gmail.com</t>
  </si>
  <si>
    <t>3024431343</t>
  </si>
  <si>
    <t>THOMAS CASTRO ORTIZ</t>
  </si>
  <si>
    <t>thomascastro801@gmail.com</t>
  </si>
  <si>
    <t>3023041921</t>
  </si>
  <si>
    <t>diana7801@gmail.com</t>
  </si>
  <si>
    <t>3158510262</t>
  </si>
  <si>
    <t>jevh114@gmail.com</t>
  </si>
  <si>
    <t>3238101994</t>
  </si>
  <si>
    <t>paula.gaviria15@gmail.com</t>
  </si>
  <si>
    <t>3015811507</t>
  </si>
  <si>
    <t>kellygaviria11@gmail.com</t>
  </si>
  <si>
    <t>3126001177</t>
  </si>
  <si>
    <t>mora1984omar@gmail.com</t>
  </si>
  <si>
    <t>3107265938</t>
  </si>
  <si>
    <t>CAROLINA GOMEZ GARCIA</t>
  </si>
  <si>
    <t>CARO92GOMEZ@GMAIL.COM</t>
  </si>
  <si>
    <t>3006843337</t>
  </si>
  <si>
    <t>FREDHYALEXANDER@GMAIL.COM</t>
  </si>
  <si>
    <t>3232919776</t>
  </si>
  <si>
    <t>DAVIDALEJANDROARANGO81@GMAIL.COM</t>
  </si>
  <si>
    <t>3249450680</t>
  </si>
  <si>
    <t>YANETHGONZALEZQ@GMAIL.COM</t>
  </si>
  <si>
    <t>3006589644</t>
  </si>
  <si>
    <t>valentina.ce1909@gmail.com</t>
  </si>
  <si>
    <t>3244912916</t>
  </si>
  <si>
    <t>angecheverri@gmail.com</t>
  </si>
  <si>
    <t>3105395808</t>
  </si>
  <si>
    <t>YMARTINE.1111@GMAIL.COM</t>
  </si>
  <si>
    <t>3233216085</t>
  </si>
  <si>
    <t>SANTIAGO RENDON RAMIREZ</t>
  </si>
  <si>
    <t>santiagorendon322@gmail.com</t>
  </si>
  <si>
    <t>3233157875</t>
  </si>
  <si>
    <t>JESTEBANRG32@GMAIL.COM</t>
  </si>
  <si>
    <t>3145561236</t>
  </si>
  <si>
    <t>ANAMELISSA.GUTIERREZ@GMAIL.COM</t>
  </si>
  <si>
    <t>3185881447</t>
  </si>
  <si>
    <t>SAM.Y.08@HOTMAIL.COM</t>
  </si>
  <si>
    <t>3127560106</t>
  </si>
  <si>
    <t>VANESSA GUSCIO DIAZ</t>
  </si>
  <si>
    <t>VANEGUSCIO@GMAIL.COM</t>
  </si>
  <si>
    <t>3146492004</t>
  </si>
  <si>
    <t>ALEXAILERALAN@OUTLOOK.COM</t>
  </si>
  <si>
    <t>3178724986</t>
  </si>
  <si>
    <t>CESTRAD5@GMAIL.COM</t>
  </si>
  <si>
    <t>3127270035</t>
  </si>
  <si>
    <t>VALERIA MONTOYA BARRIENTOS</t>
  </si>
  <si>
    <t>montoyavaleria041@gmail.com</t>
  </si>
  <si>
    <t>3246825181</t>
  </si>
  <si>
    <t>LENNY9315@GMAIL.COM</t>
  </si>
  <si>
    <t>3106474992</t>
  </si>
  <si>
    <t>HDMM031580@GMAIL.COM</t>
  </si>
  <si>
    <t>3015707023</t>
  </si>
  <si>
    <t>TAURO.JUAN15@HOTMAIL.COM</t>
  </si>
  <si>
    <t>3122399016</t>
  </si>
  <si>
    <t>JAAD.78@HOTMAIL.COM</t>
  </si>
  <si>
    <t>3113757095</t>
  </si>
  <si>
    <t>ALEXGIRALDO797@GMAIL.COM</t>
  </si>
  <si>
    <t>3144912981</t>
  </si>
  <si>
    <t>MAOSPINA.2011@GMAIL.COM</t>
  </si>
  <si>
    <t>3206823200</t>
  </si>
  <si>
    <t>melinafreedman@gmail.com</t>
  </si>
  <si>
    <t>3022251994</t>
  </si>
  <si>
    <t>AVAPAMPLONA1709@HOTMAIL.COM</t>
  </si>
  <si>
    <t>3005526918</t>
  </si>
  <si>
    <t>yeison_ruiz.7@outlook.es</t>
  </si>
  <si>
    <t>3184157211</t>
  </si>
  <si>
    <t>SANTIAGO AGUDELO CASTAÑO</t>
  </si>
  <si>
    <t>tiagofersan777@gmail.com</t>
  </si>
  <si>
    <t>3023679160</t>
  </si>
  <si>
    <t>JULIANA RENDON ARBOLEDA</t>
  </si>
  <si>
    <t>juliluna5.jr@gmail.com</t>
  </si>
  <si>
    <t>3244540367</t>
  </si>
  <si>
    <t>luiscarlos8787@gmail.com</t>
  </si>
  <si>
    <t>3192903114</t>
  </si>
  <si>
    <t>magdamilenahernandezalzate@gmail.com</t>
  </si>
  <si>
    <t>3148840353</t>
  </si>
  <si>
    <t>katherinjw@gmail.com</t>
  </si>
  <si>
    <t>3107290470</t>
  </si>
  <si>
    <t>WILTON MARTINEZ GONZALEZ</t>
  </si>
  <si>
    <t>wilton.martinez.g@gmail.com</t>
  </si>
  <si>
    <t>3046494413</t>
  </si>
  <si>
    <t>pqliliana1504@gmail.com</t>
  </si>
  <si>
    <t>3233213172</t>
  </si>
  <si>
    <t>JUAND.VELEZ2019@GMAIL.COM</t>
  </si>
  <si>
    <t>3007271812</t>
  </si>
  <si>
    <t>AMALIAZORA10@GMAIL.COM</t>
  </si>
  <si>
    <t>3115450966</t>
  </si>
  <si>
    <t>andresvecossio@gmail.com</t>
  </si>
  <si>
    <t>3021227944</t>
  </si>
  <si>
    <t>ERICSONRIOS@HOTMAIL.COM</t>
  </si>
  <si>
    <t>3128635289</t>
  </si>
  <si>
    <t>GIOVANNI GRISALES AGUDELO</t>
  </si>
  <si>
    <t>GIOVANNI.GRISALES@OUTLOOK.COM</t>
  </si>
  <si>
    <t>3174031216</t>
  </si>
  <si>
    <t>GJJIMENEZV@GMAIL.COM</t>
  </si>
  <si>
    <t>3136315689</t>
  </si>
  <si>
    <t>LUNA SELENE</t>
  </si>
  <si>
    <t>LUNASELENE366@GMAIL.COM</t>
  </si>
  <si>
    <t>3042558062</t>
  </si>
  <si>
    <t>DANIELA FRANCO LOPEZ</t>
  </si>
  <si>
    <t>DANIFRANCO1814@GMAIL.COM</t>
  </si>
  <si>
    <t>3102414171</t>
  </si>
  <si>
    <t>LGRANDA488@GMAIL.COM</t>
  </si>
  <si>
    <t>3104280805</t>
  </si>
  <si>
    <t>ALERIOS.89@GMAIL.COM</t>
  </si>
  <si>
    <t>3145403300</t>
  </si>
  <si>
    <t>GABRIELTABARE@YAHOO.ES</t>
  </si>
  <si>
    <t>3504939954</t>
  </si>
  <si>
    <t>IDILIA USUGA PERILLA</t>
  </si>
  <si>
    <t>IUSUGAPP@GMAIL.COM</t>
  </si>
  <si>
    <t>3127538167</t>
  </si>
  <si>
    <t>ESNIR8657@GMAIL.COM</t>
  </si>
  <si>
    <t>3143060174</t>
  </si>
  <si>
    <t>BISMARKVERGARA@GMAIL.COM</t>
  </si>
  <si>
    <t>3052843926</t>
  </si>
  <si>
    <t>gutierrezraveluisfdo@gmail.com</t>
  </si>
  <si>
    <t>3007875798</t>
  </si>
  <si>
    <t>pguerraec@hotmail.com</t>
  </si>
  <si>
    <t>3005489075</t>
  </si>
  <si>
    <t>flaualeja@gmail.com</t>
  </si>
  <si>
    <t>3017510425</t>
  </si>
  <si>
    <t>nelsonvas@hotmail.es</t>
  </si>
  <si>
    <t>3005392213</t>
  </si>
  <si>
    <t>hinestroza.a@yahoo.com</t>
  </si>
  <si>
    <t>3205985205</t>
  </si>
  <si>
    <t>danielmt0727@gmail.com</t>
  </si>
  <si>
    <t>3137223061</t>
  </si>
  <si>
    <t>psico.claudiaolmos@gmail.com</t>
  </si>
  <si>
    <t>3209309216</t>
  </si>
  <si>
    <t>lauraguerraescudero5@gmail.com</t>
  </si>
  <si>
    <t>3001034590</t>
  </si>
  <si>
    <t>ALEJANDRO BOTERO MORENO</t>
  </si>
  <si>
    <t>alejandrobotero1127277@correo.itm.edu.co</t>
  </si>
  <si>
    <t>3042850063</t>
  </si>
  <si>
    <t>jhoanny.5387@outlook.com</t>
  </si>
  <si>
    <t>3504593601</t>
  </si>
  <si>
    <t>YEROTH@HOTMAIL.COM</t>
  </si>
  <si>
    <t>3205218416</t>
  </si>
  <si>
    <t>DIZAN8@GMAIL.COM</t>
  </si>
  <si>
    <t>3137078317</t>
  </si>
  <si>
    <t>LUFEROBE@YAHOO.COM</t>
  </si>
  <si>
    <t>3016188070</t>
  </si>
  <si>
    <t>TATIANA.QUIAL66@GMAIL.COM</t>
  </si>
  <si>
    <t>3113723861</t>
  </si>
  <si>
    <t>jmeneses2012@gmail.com</t>
  </si>
  <si>
    <t>3147361939</t>
  </si>
  <si>
    <t>DPOSADA13@GMAIL.COM</t>
  </si>
  <si>
    <t>3122972001</t>
  </si>
  <si>
    <t>DANILUISVALENCIAGA@GMAIL.COM</t>
  </si>
  <si>
    <t>3160921721</t>
  </si>
  <si>
    <t>KARENVANESA2808@GMAIL.COM</t>
  </si>
  <si>
    <t>3245861722</t>
  </si>
  <si>
    <t>NOLFREY MARTINEZ CARDENAS</t>
  </si>
  <si>
    <t>NOLFREYMARTINEZ@GMAIL.COM</t>
  </si>
  <si>
    <t>3017381117</t>
  </si>
  <si>
    <t>CARMENMORALES156.CM@GMAIL.COM</t>
  </si>
  <si>
    <t>3222611178</t>
  </si>
  <si>
    <t>LUULAYOS1501@GMAIL.COM</t>
  </si>
  <si>
    <t>3023286514</t>
  </si>
  <si>
    <t>ENMANUEL GARCÍA OSORIO</t>
  </si>
  <si>
    <t>CRENMS@GMAIL.COM</t>
  </si>
  <si>
    <t>3113585153</t>
  </si>
  <si>
    <t>ELIANA4774@GMAIL.COM</t>
  </si>
  <si>
    <t>3502133810</t>
  </si>
  <si>
    <t>DURANEABOGADA@GMAIL.COM</t>
  </si>
  <si>
    <t>3007521175</t>
  </si>
  <si>
    <t>SANTIAGOMM8810@GMAIL.COM</t>
  </si>
  <si>
    <t>3113490481</t>
  </si>
  <si>
    <t>HMATEOCA@GMAIL.COM</t>
  </si>
  <si>
    <t>3137648846</t>
  </si>
  <si>
    <t>JOHA115269@GMAIL.COM</t>
  </si>
  <si>
    <t>3045639174</t>
  </si>
  <si>
    <t>MICHAELBIEBER843@GMAIL.COM</t>
  </si>
  <si>
    <t>3235042271</t>
  </si>
  <si>
    <t>SANTIAGO RESTREPO HERNANDEZ</t>
  </si>
  <si>
    <t>TIAGO.R0194@HOTMAIL.COM</t>
  </si>
  <si>
    <t>3005196703</t>
  </si>
  <si>
    <t>JOHNFERNEYCORTES@GMAIL.COM</t>
  </si>
  <si>
    <t>6044959230</t>
  </si>
  <si>
    <t>ROSMERY ECHEVERRI RODRIGUEZ</t>
  </si>
  <si>
    <t>ROSMECRO@GMAIL.COM</t>
  </si>
  <si>
    <t>3107701638</t>
  </si>
  <si>
    <t>SANTIAGO MONTOYA</t>
  </si>
  <si>
    <t>SANTIAGOMONTOYA02@GMAIL.COM</t>
  </si>
  <si>
    <t>3104705537</t>
  </si>
  <si>
    <t>SEPULVEDAMARIANA123@GMAIL.COM</t>
  </si>
  <si>
    <t>3223926186</t>
  </si>
  <si>
    <t>SANTIAGO CARDENAS TAMAYO</t>
  </si>
  <si>
    <t>SANTICAR77@HOTMAIL.COM</t>
  </si>
  <si>
    <t>3008219517</t>
  </si>
  <si>
    <t>JONATAN.SGF1@GMAIL.COM</t>
  </si>
  <si>
    <t>3057433177</t>
  </si>
  <si>
    <t>LUCAS GOMEZ BETANCOURT</t>
  </si>
  <si>
    <t>LKSGOMEZ@GMAIL.COM</t>
  </si>
  <si>
    <t>3002738991</t>
  </si>
  <si>
    <t>TAVORPO7@GMAIL.COM</t>
  </si>
  <si>
    <t>3165724472</t>
  </si>
  <si>
    <t>SAMGRISALES@GMAIL.COM</t>
  </si>
  <si>
    <t>3004528232</t>
  </si>
  <si>
    <t>ANGELREALESMORENO@HOTMAIL.COM.AR</t>
  </si>
  <si>
    <t>3206722456</t>
  </si>
  <si>
    <t>MEDINAATENCIA1098@GMAIL.COM</t>
  </si>
  <si>
    <t>3213643675</t>
  </si>
  <si>
    <t>MARTHA.GARCIA.MUNERA@GMAIL.COM</t>
  </si>
  <si>
    <t>3052439324</t>
  </si>
  <si>
    <t>SALOCALDERON2003@GMAIL.COM</t>
  </si>
  <si>
    <t>3015263971</t>
  </si>
  <si>
    <t>CARLOS.MUNERAAL@AMIGO.EDU.CO</t>
  </si>
  <si>
    <t>3008141762</t>
  </si>
  <si>
    <t>ANDERR_89@HOTMAIL.COM</t>
  </si>
  <si>
    <t>3017309101</t>
  </si>
  <si>
    <t>carvajalg901@gmail.com</t>
  </si>
  <si>
    <t>3003276179</t>
  </si>
  <si>
    <t>chfdavido@gmail.com</t>
  </si>
  <si>
    <t>3137105240</t>
  </si>
  <si>
    <t>lauris1829@hotmail.com</t>
  </si>
  <si>
    <t>3174273755</t>
  </si>
  <si>
    <t>SEBASTIAN BOTERO</t>
  </si>
  <si>
    <t>sebastianboteror2003@gmail.com</t>
  </si>
  <si>
    <t>3023498307</t>
  </si>
  <si>
    <t>zurirpo@gmail.com</t>
  </si>
  <si>
    <t>3153594231</t>
  </si>
  <si>
    <t>carlosflorez3522@gmail.com</t>
  </si>
  <si>
    <t>3006010137</t>
  </si>
  <si>
    <t>MARISELA RAMIREZ GRAJALES</t>
  </si>
  <si>
    <t>mabrit2023@gmail.com</t>
  </si>
  <si>
    <t>3216453144</t>
  </si>
  <si>
    <t>axel93ch@gmail.com</t>
  </si>
  <si>
    <t>3233531133</t>
  </si>
  <si>
    <t>damorillom@gmail.com</t>
  </si>
  <si>
    <t>3189218691</t>
  </si>
  <si>
    <t>SEBASTIAN LOPEZ MANCO</t>
  </si>
  <si>
    <t>sebastianlopezm95@gmail.com</t>
  </si>
  <si>
    <t>3126318356</t>
  </si>
  <si>
    <t>elianna-1995@hotmail.com</t>
  </si>
  <si>
    <t>3225616875</t>
  </si>
  <si>
    <t>andres.148@hotmail.com</t>
  </si>
  <si>
    <t>3028117356</t>
  </si>
  <si>
    <t>villajulian769@gmail.com</t>
  </si>
  <si>
    <t>3016050810</t>
  </si>
  <si>
    <t>PATROCINIO ZAPATA</t>
  </si>
  <si>
    <t>patrociniozapata14@gmail.com</t>
  </si>
  <si>
    <t>3017630058</t>
  </si>
  <si>
    <t>jogs1896@gmail.com</t>
  </si>
  <si>
    <t>3122611352</t>
  </si>
  <si>
    <t>HOYOSALVAREZBERNARDO@GMAIL.COM</t>
  </si>
  <si>
    <t>3124125394</t>
  </si>
  <si>
    <t>JOSUCALER@GMAIL.COM</t>
  </si>
  <si>
    <t>3136503156</t>
  </si>
  <si>
    <t>ANDRESRODRIGUEZ7547@HOTMAIL.COM</t>
  </si>
  <si>
    <t>3162969317</t>
  </si>
  <si>
    <t>WILMARGONZALEZ.SIERRA@HOTMAIL.COM</t>
  </si>
  <si>
    <t>3007038200</t>
  </si>
  <si>
    <t>SAULHERNANDEZ000@GMAIL.COM</t>
  </si>
  <si>
    <t>3003245049</t>
  </si>
  <si>
    <t>VELEZTAMAYOJORGEA@GMAIL.COM</t>
  </si>
  <si>
    <t>3044222059</t>
  </si>
  <si>
    <t>catalinasuarez.mgvc@gmail.com</t>
  </si>
  <si>
    <t>3113921107</t>
  </si>
  <si>
    <t>MARISOL BUSTAMANTE</t>
  </si>
  <si>
    <t>marisolbustamante@hotmail.es</t>
  </si>
  <si>
    <t>3016959804</t>
  </si>
  <si>
    <t>SEBASTIAN SALDARRIGA HIDALGO</t>
  </si>
  <si>
    <t>saldarriagasebastian42@gmail.com</t>
  </si>
  <si>
    <t>3045246345</t>
  </si>
  <si>
    <t>BAGPIEDRAHITA@GMAIL.COM</t>
  </si>
  <si>
    <t>3004722992</t>
  </si>
  <si>
    <t>gonzavita_36@hotmail.com</t>
  </si>
  <si>
    <t>3012507439</t>
  </si>
  <si>
    <t>JAIRO.ALEX1310@GMAIL.COM</t>
  </si>
  <si>
    <t>3045760313</t>
  </si>
  <si>
    <t>YANETHUSUGA08@GMAIL.COM</t>
  </si>
  <si>
    <t>3165251363</t>
  </si>
  <si>
    <t>JUANF_GOMEZ@HOTMAIL.ES</t>
  </si>
  <si>
    <t>3008474189</t>
  </si>
  <si>
    <t>BRAYANALESIX1994@GMAIL.COM</t>
  </si>
  <si>
    <t>3042685080</t>
  </si>
  <si>
    <t>MALEJA.TOLLA@GMAIL.COM</t>
  </si>
  <si>
    <t>3195911104</t>
  </si>
  <si>
    <t>LUISADUQUE360@GMAIL.COM</t>
  </si>
  <si>
    <t>3155780589</t>
  </si>
  <si>
    <t>ALEXIS.VH92@HOTMAIL.COM</t>
  </si>
  <si>
    <t>3022980731</t>
  </si>
  <si>
    <t>JULIANA ALZATE LOZANO</t>
  </si>
  <si>
    <t>JULIANA.1089@GMAIL.COM</t>
  </si>
  <si>
    <t>3106418355</t>
  </si>
  <si>
    <t>SALLYFERRARO@HOTMAIL.COM</t>
  </si>
  <si>
    <t>3146970331</t>
  </si>
  <si>
    <t>NEUDISREINA1@GMAIL.COM</t>
  </si>
  <si>
    <t>3132358437</t>
  </si>
  <si>
    <t>LCANOMONSALVE@GMAIL.COM</t>
  </si>
  <si>
    <t>3337189153</t>
  </si>
  <si>
    <t>SANTIAGO MONTOYA MARÍN</t>
  </si>
  <si>
    <t>SANTYMM95@GMAIL.COM</t>
  </si>
  <si>
    <t>3136895352</t>
  </si>
  <si>
    <t>JOHAN.ARANGOR@GMAIL.COM</t>
  </si>
  <si>
    <t>3206617095</t>
  </si>
  <si>
    <t>ARLEY CORTES SALDARRIAG</t>
  </si>
  <si>
    <t>ARLEYCORTES1980@GMAIL.COM</t>
  </si>
  <si>
    <t>3126396736</t>
  </si>
  <si>
    <t>VALENTINAGARZON79@GMAIL.COM</t>
  </si>
  <si>
    <t>3177005821</t>
  </si>
  <si>
    <t>WILMARSANCHEZ905@GMAIL.COM</t>
  </si>
  <si>
    <t>3045564074</t>
  </si>
  <si>
    <t>JEFFERSONMETAUTE2704@HOTMAIL.COM</t>
  </si>
  <si>
    <t>3145597308</t>
  </si>
  <si>
    <t>ARCKNGHL@GMAIL.COM</t>
  </si>
  <si>
    <t>3216217791</t>
  </si>
  <si>
    <t>JOHANA.HM12@GMAIL.COM</t>
  </si>
  <si>
    <t>3217156242</t>
  </si>
  <si>
    <t>gloriarpo@gmail.com</t>
  </si>
  <si>
    <t>3004992670</t>
  </si>
  <si>
    <t>ELCORREODEARRUBLA@GMAIL.COM</t>
  </si>
  <si>
    <t>3104545945</t>
  </si>
  <si>
    <t>NATALY TAMAYO RAMIREZ</t>
  </si>
  <si>
    <t>NATHULA2023@GMAIL.COM</t>
  </si>
  <si>
    <t>3105044133</t>
  </si>
  <si>
    <t>linavargas95@gmail.com</t>
  </si>
  <si>
    <t>3226169861</t>
  </si>
  <si>
    <t>fernandoyepes@gmail.com</t>
  </si>
  <si>
    <t>3006457449</t>
  </si>
  <si>
    <t>WILLINTON MONTOYA COLORADO</t>
  </si>
  <si>
    <t>wilintonmontoyacolorado@hotmail.com</t>
  </si>
  <si>
    <t>3156732704</t>
  </si>
  <si>
    <t>adrianistico12@gmail.com</t>
  </si>
  <si>
    <t>3137647949</t>
  </si>
  <si>
    <t>carlospaisa7627@gmail.com</t>
  </si>
  <si>
    <t>3172893190</t>
  </si>
  <si>
    <t>VALENTINA VANEGAS ARBOLEDA</t>
  </si>
  <si>
    <t>valentina.vanegas@udea.edu.co</t>
  </si>
  <si>
    <t>3224684660</t>
  </si>
  <si>
    <t>ELIZABETH VÉLEZ PEÑA</t>
  </si>
  <si>
    <t>liza621@gmail.com</t>
  </si>
  <si>
    <t>3246848178</t>
  </si>
  <si>
    <t>maria.mira@medellin.gov.co</t>
  </si>
  <si>
    <t>3015497377</t>
  </si>
  <si>
    <t>CAROLINA CASTAÑO HIGUITA</t>
  </si>
  <si>
    <t>carocastanohi@outlook.com</t>
  </si>
  <si>
    <t>3003823902</t>
  </si>
  <si>
    <t>FRANCK HENAO CALDERON</t>
  </si>
  <si>
    <t>franckh111@hotmail.com</t>
  </si>
  <si>
    <t>3108275006</t>
  </si>
  <si>
    <t>giraldod11@gmail.com</t>
  </si>
  <si>
    <t>3103908028</t>
  </si>
  <si>
    <t>juanjoovanegas26@gmail.com</t>
  </si>
  <si>
    <t>3117177051</t>
  </si>
  <si>
    <t>DIEGUITO.KANO@GMAIL.COM</t>
  </si>
  <si>
    <t>3002055933</t>
  </si>
  <si>
    <t>ANGELA.YULI@HOTMAIL.COM</t>
  </si>
  <si>
    <t>3044378289</t>
  </si>
  <si>
    <t>ELIBER GONZALEZ ARCILA</t>
  </si>
  <si>
    <t>ELIBERGONZALEZ@GMAIL.COM</t>
  </si>
  <si>
    <t>3008661040</t>
  </si>
  <si>
    <t>fannyv.rubiano@yahoo.es</t>
  </si>
  <si>
    <t>3126821199</t>
  </si>
  <si>
    <t>CRISTIANGALEANO0809@GMAIL.COM</t>
  </si>
  <si>
    <t>3233032491</t>
  </si>
  <si>
    <t>CARO92LOPEZ@GMAIL.COM</t>
  </si>
  <si>
    <t>3023283207</t>
  </si>
  <si>
    <t>ramesco@gmail.com</t>
  </si>
  <si>
    <t>3146224619</t>
  </si>
  <si>
    <t>ELICARDONA74@HOTMAIL.COM</t>
  </si>
  <si>
    <t>3012683375</t>
  </si>
  <si>
    <t>angela.hernandez@esumer.edu.co</t>
  </si>
  <si>
    <t>3004562641</t>
  </si>
  <si>
    <t>ANACMONTOYA24@GMAIL.COM</t>
  </si>
  <si>
    <t>3113093434</t>
  </si>
  <si>
    <t>albalucy3@hotmail.com</t>
  </si>
  <si>
    <t>3234296477</t>
  </si>
  <si>
    <t>LICETH9110@GMAIL.COM</t>
  </si>
  <si>
    <t>3202586575</t>
  </si>
  <si>
    <t>JAIMEA.VELASQUEZGARCIA@GMAIL.COM</t>
  </si>
  <si>
    <t>3126110477</t>
  </si>
  <si>
    <t>paulandrearc94@gmail.com</t>
  </si>
  <si>
    <t>3233899177</t>
  </si>
  <si>
    <t>SUSIMEJIA10@GMAIL.COM</t>
  </si>
  <si>
    <t>3005416088</t>
  </si>
  <si>
    <t>ENID.USUGAD@GMAIL.COM</t>
  </si>
  <si>
    <t>3125636995</t>
  </si>
  <si>
    <t>CESARMAZO17@GMAIL.COM</t>
  </si>
  <si>
    <t>3136546418</t>
  </si>
  <si>
    <t>SEBASTIAN BLANCO LOPEZ</t>
  </si>
  <si>
    <t>SEBASTIANBLANCOLOPEZ@GMAIL.COM</t>
  </si>
  <si>
    <t>3134370855</t>
  </si>
  <si>
    <t>DAVIDRAP667@GMAIL.COM</t>
  </si>
  <si>
    <t>3053747419</t>
  </si>
  <si>
    <t>SANCHEZARAQUEWENDYVANESSA@GMAIL.COM</t>
  </si>
  <si>
    <t>3185626545</t>
  </si>
  <si>
    <t>LAURAVELEZC@HOTMAIL.COM</t>
  </si>
  <si>
    <t>3181370768</t>
  </si>
  <si>
    <t>DIEGO_MONTOYA11101@HOTMAIL.COM</t>
  </si>
  <si>
    <t>3046424298</t>
  </si>
  <si>
    <t>JHONALEX.VALLEJO13@GMAIL.COM</t>
  </si>
  <si>
    <t>3024387596</t>
  </si>
  <si>
    <t>FRANCELY DUARTE GIL</t>
  </si>
  <si>
    <t>FRANCELYGIL2294@GMAIL.COM</t>
  </si>
  <si>
    <t>3015010862</t>
  </si>
  <si>
    <t>LISNEIDER POLO MENDOZA</t>
  </si>
  <si>
    <t>LISNEIDYS27@HOTMAIL.COM</t>
  </si>
  <si>
    <t>3215700675</t>
  </si>
  <si>
    <t>JUANDAGUDELOBOTERO@GMAIL.COM</t>
  </si>
  <si>
    <t>3136863989</t>
  </si>
  <si>
    <t>ESTEFANIA VILLADA GOMEZ</t>
  </si>
  <si>
    <t>TEPHAROCK2@GMAIL.COM</t>
  </si>
  <si>
    <t>3115981746</t>
  </si>
  <si>
    <t>JM@JOANMOSQUERA.COM</t>
  </si>
  <si>
    <t>3162785797</t>
  </si>
  <si>
    <t>EMANUEL VALLEJO TOBON</t>
  </si>
  <si>
    <t>EMANUELVALLEJOTOBON@GMAIL.COM</t>
  </si>
  <si>
    <t>3114108006</t>
  </si>
  <si>
    <t>IXAPOST@GMAIL.COM</t>
  </si>
  <si>
    <t>3207809066</t>
  </si>
  <si>
    <t>INYOLESU06@HOTMAIL.COM</t>
  </si>
  <si>
    <t>3133745340</t>
  </si>
  <si>
    <t>PEDRO TURRIAGO SANCHEZ</t>
  </si>
  <si>
    <t>PETUSAN36@GMAIL.COM</t>
  </si>
  <si>
    <t>3128340021</t>
  </si>
  <si>
    <t>VFABIARIAS@GMAIL.COM</t>
  </si>
  <si>
    <t>3008844620</t>
  </si>
  <si>
    <t>JUAN.GALLEGOL23@HOTMAIL.COM</t>
  </si>
  <si>
    <t>3005352732</t>
  </si>
  <si>
    <t>middass@gmail.com</t>
  </si>
  <si>
    <t>3006537900</t>
  </si>
  <si>
    <t>erieisa513@gmail.com</t>
  </si>
  <si>
    <t>3135516511</t>
  </si>
  <si>
    <t>thaliadiaz2509@gmail.com</t>
  </si>
  <si>
    <t>3023043579</t>
  </si>
  <si>
    <t>sandra.montoyamedina@gmail.com</t>
  </si>
  <si>
    <t>3182164361</t>
  </si>
  <si>
    <t>alejamunozc0912@gmail.com</t>
  </si>
  <si>
    <t>3136470236</t>
  </si>
  <si>
    <t>natisf8@hotmail.com</t>
  </si>
  <si>
    <t>3128342076</t>
  </si>
  <si>
    <t>dacastrillongomez@gmail.com</t>
  </si>
  <si>
    <t>3147297020</t>
  </si>
  <si>
    <t>JENNIFER CARVAJAL DE LOSRIOS</t>
  </si>
  <si>
    <t>JENICARVAJAL.8@GMAIL.COM</t>
  </si>
  <si>
    <t>3016710143</t>
  </si>
  <si>
    <t>DANIELA ARISTIZÁBA RAMÍREZ</t>
  </si>
  <si>
    <t>DANIELA.ARISTIZABALR@GMAIL.COM</t>
  </si>
  <si>
    <t>3017941794</t>
  </si>
  <si>
    <t>JULIAN FERNANDEZ ORTIZ</t>
  </si>
  <si>
    <t>JULIANFERNANDEZORTIZ76@GMAIL.COM</t>
  </si>
  <si>
    <t>3163048689</t>
  </si>
  <si>
    <t>CAROLINA ARIAS VELASQUEZ</t>
  </si>
  <si>
    <t>CAROARIAS86@HOTMAIL.COM</t>
  </si>
  <si>
    <t>3015684221</t>
  </si>
  <si>
    <t>CRISTIANVALLEJOTOBON@GMAIL.COM</t>
  </si>
  <si>
    <t>3113437253</t>
  </si>
  <si>
    <t>DIEGO CARDONA MESA</t>
  </si>
  <si>
    <t>diegocardonam1998@gmail.com</t>
  </si>
  <si>
    <t>3217148396</t>
  </si>
  <si>
    <t>ARBOLEDALJ@GMAIL.COM</t>
  </si>
  <si>
    <t>3004160303</t>
  </si>
  <si>
    <t>CAROLINA SÁNCHEZ FRANCO</t>
  </si>
  <si>
    <t>carito.safra@gmail.com</t>
  </si>
  <si>
    <t>3016799392</t>
  </si>
  <si>
    <t>paolaconfiar94@gmail.com</t>
  </si>
  <si>
    <t>3003025317</t>
  </si>
  <si>
    <t>DANIEL VARGAS SUAREZ</t>
  </si>
  <si>
    <t>SUAREZDVS@GMAIL.COM</t>
  </si>
  <si>
    <t>3004483498</t>
  </si>
  <si>
    <t>JUANPABLOCANOOCAMPO@GMAIL.COM</t>
  </si>
  <si>
    <t>3104047883</t>
  </si>
  <si>
    <t>JESUSDEVILLA@HOTMAIL.COM</t>
  </si>
  <si>
    <t>3152736265</t>
  </si>
  <si>
    <t>AAGQ1976@GMAIL.COM</t>
  </si>
  <si>
    <t>3015200850</t>
  </si>
  <si>
    <t>CRISTYTAMAYO77@GMAIL.COM</t>
  </si>
  <si>
    <t>3206951609</t>
  </si>
  <si>
    <t>OSORIOAYALAD@GMAIL.COM</t>
  </si>
  <si>
    <t>3113617243</t>
  </si>
  <si>
    <t>ESTEBANJARAMILLOJIMENEZ@GMAIL.COM</t>
  </si>
  <si>
    <t>3013972964</t>
  </si>
  <si>
    <t>SOPORTESISTEMASJM@GMAIL.COM</t>
  </si>
  <si>
    <t>3128925421</t>
  </si>
  <si>
    <t>DAAGUZMANLA@GMAIL.COM</t>
  </si>
  <si>
    <t>3188884337</t>
  </si>
  <si>
    <t>LUZDANIAGIRALDO@HOTMAIL.COM</t>
  </si>
  <si>
    <t>3127695142</t>
  </si>
  <si>
    <t>CLAUDIA TANGARIFE CARDONA</t>
  </si>
  <si>
    <t>CTANGARIFEC@GMAIL.COM</t>
  </si>
  <si>
    <t>3116355765</t>
  </si>
  <si>
    <t>DANIELA MUÑOZ GALLEGO</t>
  </si>
  <si>
    <t>DMG.0509@GMAIL.COM</t>
  </si>
  <si>
    <t>3218918542</t>
  </si>
  <si>
    <t>ALEJAGUDI95@HOTMAIL.COM</t>
  </si>
  <si>
    <t>3003671323</t>
  </si>
  <si>
    <t>JFHZ.HENAO@GMAIL.COM</t>
  </si>
  <si>
    <t>3232132984</t>
  </si>
  <si>
    <t>CRISTIAN.QUINTERO.PARRA@GMAIL.COM</t>
  </si>
  <si>
    <t>3249351757</t>
  </si>
  <si>
    <t>AFATEHORTUAG@GMAIL.COM</t>
  </si>
  <si>
    <t>3137724670</t>
  </si>
  <si>
    <t>SARA_RAMIREZ897@OUTLOOK.ES</t>
  </si>
  <si>
    <t>3012027954</t>
  </si>
  <si>
    <t>DAVIDLEON2201@GMAIL.COM</t>
  </si>
  <si>
    <t>3117722980</t>
  </si>
  <si>
    <t>KELLY-278@HOTMAIL.COM</t>
  </si>
  <si>
    <t>3113757547</t>
  </si>
  <si>
    <t>JUANKA.2008@HOTMAIL.COM</t>
  </si>
  <si>
    <t>3008509129</t>
  </si>
  <si>
    <t>lumdiazga@gmail.com</t>
  </si>
  <si>
    <t>3505186822</t>
  </si>
  <si>
    <t>santiago.morales0287@gmail.com</t>
  </si>
  <si>
    <t>3183084434</t>
  </si>
  <si>
    <t>juanitarueda09@gmail.com</t>
  </si>
  <si>
    <t>3001411757</t>
  </si>
  <si>
    <t>azandresg@gmail.com</t>
  </si>
  <si>
    <t>3114966445</t>
  </si>
  <si>
    <t>TOMAS RESTREPO OSPINA</t>
  </si>
  <si>
    <t>tomasospiina@gmail.com</t>
  </si>
  <si>
    <t>3137522446</t>
  </si>
  <si>
    <t>cpmsierra@yahoo.com</t>
  </si>
  <si>
    <t>3104250163</t>
  </si>
  <si>
    <t>KEILA JIMÉNEZ LONDOÑO</t>
  </si>
  <si>
    <t>kjimenez.londono77@gmail.com</t>
  </si>
  <si>
    <t>3007540557</t>
  </si>
  <si>
    <t>john_9315@hotmail.com</t>
  </si>
  <si>
    <t>3206405963</t>
  </si>
  <si>
    <t>yeimymarcelamf@gmail.com</t>
  </si>
  <si>
    <t>3165368655</t>
  </si>
  <si>
    <t>jr4154036@gmail.com</t>
  </si>
  <si>
    <t>3502246201</t>
  </si>
  <si>
    <t>cvjulio83@gmail.com</t>
  </si>
  <si>
    <t>3242930325</t>
  </si>
  <si>
    <t>gilgiraldojuan@gmail.com</t>
  </si>
  <si>
    <t>3243682169</t>
  </si>
  <si>
    <t>lincongomez@hotmail.com</t>
  </si>
  <si>
    <t>3007762937</t>
  </si>
  <si>
    <t>johan.mejia.ch@gmail.com</t>
  </si>
  <si>
    <t>3114080680</t>
  </si>
  <si>
    <t>angel0000zapata@outlook.com</t>
  </si>
  <si>
    <t>3105944054</t>
  </si>
  <si>
    <t>FELIPE MESA BETANCUR</t>
  </si>
  <si>
    <t>FELIPEMESABETANCUR@GMAIL.COM</t>
  </si>
  <si>
    <t>3013672423</t>
  </si>
  <si>
    <t>DEMONTOYAK3@GMAIL.COM</t>
  </si>
  <si>
    <t>3228120460</t>
  </si>
  <si>
    <t>RMARINOBETANCUR@GMAIL.COM</t>
  </si>
  <si>
    <t>3146797789</t>
  </si>
  <si>
    <t>MFJARAMILLOS@UNAL.EDU.CO</t>
  </si>
  <si>
    <t>3332481481</t>
  </si>
  <si>
    <t>MANUELA ALVAREZ CORREA</t>
  </si>
  <si>
    <t>MANUCORREA.9526@GMAIL.COM</t>
  </si>
  <si>
    <t>3054877507</t>
  </si>
  <si>
    <t>LRENDC0311@GMAIL.COM</t>
  </si>
  <si>
    <t>3192028110</t>
  </si>
  <si>
    <t>SERNAANAMARIA55@GMAIL.COM</t>
  </si>
  <si>
    <t>3135663645</t>
  </si>
  <si>
    <t>DANIELA RESTREPO MUÑOZ</t>
  </si>
  <si>
    <t>DANIELARPO94@GMAIL.COM</t>
  </si>
  <si>
    <t>3046351969</t>
  </si>
  <si>
    <t>ARBOL032@HOTMAIL.COM</t>
  </si>
  <si>
    <t>3003913283</t>
  </si>
  <si>
    <t>RICHYARIAS2499@GMAIL.COM</t>
  </si>
  <si>
    <t>3042659547</t>
  </si>
  <si>
    <t>ANDRESVALLEJO09@HOTMAIL.COM</t>
  </si>
  <si>
    <t>3102478673</t>
  </si>
  <si>
    <t>JUANCARLOSGAVIRIAGOMEZ@GMAIL.COM</t>
  </si>
  <si>
    <t>3217104912</t>
  </si>
  <si>
    <t>alejandro.restrepomesa@gmail.com</t>
  </si>
  <si>
    <t>3142984416</t>
  </si>
  <si>
    <t>MABOJA777@YAHOO.COM</t>
  </si>
  <si>
    <t>3136146481</t>
  </si>
  <si>
    <t>ELIZABETH CORREA CANO</t>
  </si>
  <si>
    <t>ELIZA.CORREA.CANO10@GMAIL.COM</t>
  </si>
  <si>
    <t>3113033242</t>
  </si>
  <si>
    <t>MVALENCIAYEPES068@GMAIL.COM</t>
  </si>
  <si>
    <t>3153864123</t>
  </si>
  <si>
    <t>JORGEURIBE88@OUTLOOK.COM</t>
  </si>
  <si>
    <t>3166247116</t>
  </si>
  <si>
    <t>CAROLINA TORRES BARRIENTOS</t>
  </si>
  <si>
    <t>CAROLINATORRESBARRIENTOS@GMAIL.COM</t>
  </si>
  <si>
    <t>3502940019</t>
  </si>
  <si>
    <t>BENITEZBARRERA.SANTIAGO@GMAIL.COM</t>
  </si>
  <si>
    <t>3137618980</t>
  </si>
  <si>
    <t>MARIAALEJANDRAMUNOZMOLINA@GMAIL.COM</t>
  </si>
  <si>
    <t>3004296323</t>
  </si>
  <si>
    <t>KARROYAVEESCUDERO@GMAIL.COM</t>
  </si>
  <si>
    <t>3207051350</t>
  </si>
  <si>
    <t>ANDRES GARRO PATIÑO</t>
  </si>
  <si>
    <t>andrew1484@gmail.com</t>
  </si>
  <si>
    <t>3007850513</t>
  </si>
  <si>
    <t>knevado4@gmail.com</t>
  </si>
  <si>
    <t>3136193476</t>
  </si>
  <si>
    <t>dianamarcelamonsalve9@gmail.com</t>
  </si>
  <si>
    <t>3176645581</t>
  </si>
  <si>
    <t>ZURLEY TABORDA GUTIERREZ</t>
  </si>
  <si>
    <t>zurley12@hotmail.com</t>
  </si>
  <si>
    <t>3207398002</t>
  </si>
  <si>
    <t>ISMAEL QUEJADA ROVIRA</t>
  </si>
  <si>
    <t>ismaelquejada@gmail.com</t>
  </si>
  <si>
    <t>3146685585</t>
  </si>
  <si>
    <t>proyection2018@gmail.com</t>
  </si>
  <si>
    <t>3106865560</t>
  </si>
  <si>
    <t>d.a.e-981107@hotmail.com</t>
  </si>
  <si>
    <t>3006911491</t>
  </si>
  <si>
    <t>MARILENY MAZO MAZO</t>
  </si>
  <si>
    <t>estudio4807@gmail.com</t>
  </si>
  <si>
    <t>3023611575</t>
  </si>
  <si>
    <t>pmarcela04@gmail.com</t>
  </si>
  <si>
    <t>3017177145</t>
  </si>
  <si>
    <t>pachojb16@gmail.com</t>
  </si>
  <si>
    <t>3173773495</t>
  </si>
  <si>
    <t>willy507798@gmail.com</t>
  </si>
  <si>
    <t>3122178566</t>
  </si>
  <si>
    <t>liacastro88@gmail.com</t>
  </si>
  <si>
    <t>3137264326</t>
  </si>
  <si>
    <t>juanearteagaz@gmail.com</t>
  </si>
  <si>
    <t>3045274300</t>
  </si>
  <si>
    <t>ALBALUZGALLANG@GMAIL.COM</t>
  </si>
  <si>
    <t>3024152062</t>
  </si>
  <si>
    <t>limarmemu@hotmail.com</t>
  </si>
  <si>
    <t>3508828943</t>
  </si>
  <si>
    <t>jmquejad42@gmail.com</t>
  </si>
  <si>
    <t>3128634337</t>
  </si>
  <si>
    <t>milepalo321@gmail.com</t>
  </si>
  <si>
    <t>3136181632</t>
  </si>
  <si>
    <t>evalenco1020@gmail.com</t>
  </si>
  <si>
    <t>3046509859</t>
  </si>
  <si>
    <t>mafisaqp@gmail.com</t>
  </si>
  <si>
    <t>3116957283</t>
  </si>
  <si>
    <t>GJRH1975@GMAIL.COM</t>
  </si>
  <si>
    <t>3002199690</t>
  </si>
  <si>
    <t>SALINAS220@HOTMAIL.COM</t>
  </si>
  <si>
    <t>3207383390</t>
  </si>
  <si>
    <t>KRYSMA1730@GMAIL.COM</t>
  </si>
  <si>
    <t>3245990591</t>
  </si>
  <si>
    <t>PARIASCONTRERAS@GMAIL.COM</t>
  </si>
  <si>
    <t>3016856861</t>
  </si>
  <si>
    <t>LUISASUAZO86@GMAIL.COM</t>
  </si>
  <si>
    <t>3117586953</t>
  </si>
  <si>
    <t>juli4nmarin@gmail.com</t>
  </si>
  <si>
    <t>3025264568</t>
  </si>
  <si>
    <t>EDISON HENRY MELUK</t>
  </si>
  <si>
    <t>HENRYIBARGUEN808@GMAIL.COM</t>
  </si>
  <si>
    <t>3145966243</t>
  </si>
  <si>
    <t>VALENTINA ESPINOSA CARMONA</t>
  </si>
  <si>
    <t>VALENEC@HOTMAIL.COM</t>
  </si>
  <si>
    <t>3128939837</t>
  </si>
  <si>
    <t>camilatorres2250@gmail.com</t>
  </si>
  <si>
    <t>3218472679</t>
  </si>
  <si>
    <t>hillarycordoba5@gmail.com</t>
  </si>
  <si>
    <t>3217157218</t>
  </si>
  <si>
    <t>mariaeube87@gmail.com</t>
  </si>
  <si>
    <t>3116315053</t>
  </si>
  <si>
    <t>LEIDY.GRANDA@ESUMER.EDU.CO</t>
  </si>
  <si>
    <t>3122654343</t>
  </si>
  <si>
    <t>DARIO.PINEDA@HOTMAIL.COM</t>
  </si>
  <si>
    <t>3011089529</t>
  </si>
  <si>
    <t>VERONICA ALVAREZ SALDARRIAG</t>
  </si>
  <si>
    <t>VERONICAALVAREZ.0904@GMAIL.COM</t>
  </si>
  <si>
    <t>3015520522</t>
  </si>
  <si>
    <t>REALESELVIS3@GMAIL.COM</t>
  </si>
  <si>
    <t>3025611590</t>
  </si>
  <si>
    <t>kevinhernan93@gmail.com</t>
  </si>
  <si>
    <t>3163181325</t>
  </si>
  <si>
    <t>LEIDYJICETHOSPINA@GMAIL.COM</t>
  </si>
  <si>
    <t>3023387505</t>
  </si>
  <si>
    <t>CAMILOCORREA25@GMAIL.COM</t>
  </si>
  <si>
    <t>3007736829</t>
  </si>
  <si>
    <t>DSTIVEN.ESCOBAR@UDEA.EDU.CO</t>
  </si>
  <si>
    <t>3015165049</t>
  </si>
  <si>
    <t>RODRIGO GARRIDO HINESTROZA</t>
  </si>
  <si>
    <t>ARQ.RGH@GMAIL.COM</t>
  </si>
  <si>
    <t>3003125959</t>
  </si>
  <si>
    <t>JONY.LOPEZ@UDEA.EDU.CO</t>
  </si>
  <si>
    <t>3144525379</t>
  </si>
  <si>
    <t>LINARESTREPOA@GMAIL.COM</t>
  </si>
  <si>
    <t>3213573643</t>
  </si>
  <si>
    <t>maicolvc@yahoo.com</t>
  </si>
  <si>
    <t>3113380176</t>
  </si>
  <si>
    <t>MAURO970130@HOTMAIL.COM</t>
  </si>
  <si>
    <t>3113546200</t>
  </si>
  <si>
    <t>BATISTUTABOCA@HOTMAIL.COM</t>
  </si>
  <si>
    <t>3104592537</t>
  </si>
  <si>
    <t>ALEJANDRO RAMIREZ ARBOLEDA</t>
  </si>
  <si>
    <t>ALEJO.327@HOTMAIL.COM</t>
  </si>
  <si>
    <t>3043731524</t>
  </si>
  <si>
    <t>SANTIAGO OCHOA GOMEZ</t>
  </si>
  <si>
    <t>SAEE06245@GMAIL.COM</t>
  </si>
  <si>
    <t>3016999293</t>
  </si>
  <si>
    <t>MACATABE28@GMAIL.COM</t>
  </si>
  <si>
    <t>3105529566</t>
  </si>
  <si>
    <t>JULIETHLEAL@OUTLOOK.ES</t>
  </si>
  <si>
    <t>3013175081</t>
  </si>
  <si>
    <t>JUANJO22GP@GMAIL.COM</t>
  </si>
  <si>
    <t>3013266201</t>
  </si>
  <si>
    <t>carlosgarciavalencia9@gmail.com</t>
  </si>
  <si>
    <t>3234995316</t>
  </si>
  <si>
    <t>jjosel.010@gmail.com</t>
  </si>
  <si>
    <t>3117732309</t>
  </si>
  <si>
    <t>janndeyverc@gmail.com</t>
  </si>
  <si>
    <t>3058714212</t>
  </si>
  <si>
    <t>gpatriciagoezv@gmail.com</t>
  </si>
  <si>
    <t>3148914065</t>
  </si>
  <si>
    <t>VANESSA CORONADO LUJAN</t>
  </si>
  <si>
    <t>vanecoronado1@gmail.com</t>
  </si>
  <si>
    <t>3168390072</t>
  </si>
  <si>
    <t>ellencrr2@gmail.com</t>
  </si>
  <si>
    <t>3213374651</t>
  </si>
  <si>
    <t>dwight.alvarez@gmail.com</t>
  </si>
  <si>
    <t>3232437376</t>
  </si>
  <si>
    <t>sofiamunerarr@gmail.com</t>
  </si>
  <si>
    <t>3122822941</t>
  </si>
  <si>
    <t>paniaguapalacioa@gmail.com</t>
  </si>
  <si>
    <t>3138723952</t>
  </si>
  <si>
    <t>glorisima15@hotmail.com</t>
  </si>
  <si>
    <t>3148349353</t>
  </si>
  <si>
    <t>tffy.ao@gmail.com</t>
  </si>
  <si>
    <t>3168239223</t>
  </si>
  <si>
    <t>SAMARA SANCHEZ CARDONA</t>
  </si>
  <si>
    <t>SAMARA.SANCHEZM@GMAIL.COM</t>
  </si>
  <si>
    <t>3113319314</t>
  </si>
  <si>
    <t>LUISAPALA12@GMAIL.COM</t>
  </si>
  <si>
    <t>3057730391</t>
  </si>
  <si>
    <t>mauromn2@gmail.com</t>
  </si>
  <si>
    <t>3003052002</t>
  </si>
  <si>
    <t>ebaospina@hotmail.com</t>
  </si>
  <si>
    <t>3006135251</t>
  </si>
  <si>
    <t>CAROL9327@HOTMAIL.COM</t>
  </si>
  <si>
    <t>3006702059</t>
  </si>
  <si>
    <t>TIAGO11914@GMAIL.COM</t>
  </si>
  <si>
    <t>3217088296</t>
  </si>
  <si>
    <t>JHVARGAS@GMAIL.COM</t>
  </si>
  <si>
    <t>3013329768</t>
  </si>
  <si>
    <t>PEREZPATINOANDREA02@GMAIL.COM</t>
  </si>
  <si>
    <t>3006529672</t>
  </si>
  <si>
    <t>LARBELAEZ71@YAHOO.COM</t>
  </si>
  <si>
    <t>3002830340</t>
  </si>
  <si>
    <t>JOHNNATAN CARDONA VASQUEZ</t>
  </si>
  <si>
    <t>JOHNNATANCARDONA@GMAIL.COM</t>
  </si>
  <si>
    <t>3023816458</t>
  </si>
  <si>
    <t>JHONED89@OUTLOOK.COM</t>
  </si>
  <si>
    <t>LILIVEROMON@GMAIL.COM</t>
  </si>
  <si>
    <t>3117795859</t>
  </si>
  <si>
    <t>NATALIA GARCIA HOLGUIN</t>
  </si>
  <si>
    <t>NATALIA.GARCIA514@GMAIL.COM</t>
  </si>
  <si>
    <t>3043761852</t>
  </si>
  <si>
    <t>MAURICIO1903@HOTMAIL.ES</t>
  </si>
  <si>
    <t>3136805231</t>
  </si>
  <si>
    <t>ANDREA.VELASQUEZA@HOTMAIL.COM</t>
  </si>
  <si>
    <t>3186073294</t>
  </si>
  <si>
    <t>YHONARRIETA14@GMAIL.COM</t>
  </si>
  <si>
    <t>3012734808</t>
  </si>
  <si>
    <t>ESPECIALISTASENLICORES@GMAIL.COM</t>
  </si>
  <si>
    <t>3118867134</t>
  </si>
  <si>
    <t>FELONDONOA@UNAL.EDU.CO</t>
  </si>
  <si>
    <t>3105392396</t>
  </si>
  <si>
    <t>BRAYAN ARBELAEZ VALENCIA</t>
  </si>
  <si>
    <t>BRAYAN9407@HOTMAIL.COM</t>
  </si>
  <si>
    <t>3217128524</t>
  </si>
  <si>
    <t>YOLIMA1019@GMAIL.COM</t>
  </si>
  <si>
    <t>3128135683</t>
  </si>
  <si>
    <t>ANALEJANDR QUICENO SOTO</t>
  </si>
  <si>
    <t>ALEJANDRAQUICENOSOTO@GMAIL.COM</t>
  </si>
  <si>
    <t>3005498420</t>
  </si>
  <si>
    <t>exban.04@gmail.com</t>
  </si>
  <si>
    <t>3154967553</t>
  </si>
  <si>
    <t>jajhonrod@gmail.com</t>
  </si>
  <si>
    <t>3337220776</t>
  </si>
  <si>
    <t>bernardoeramirez@gmail.com</t>
  </si>
  <si>
    <t>3196721130</t>
  </si>
  <si>
    <t>carlosandres1982@gmail.com</t>
  </si>
  <si>
    <t>3002802183</t>
  </si>
  <si>
    <t>isacristinaarredondo@gmail.com</t>
  </si>
  <si>
    <t>3117544964</t>
  </si>
  <si>
    <t>jhonda_18@hotmail.com</t>
  </si>
  <si>
    <t>3206397370</t>
  </si>
  <si>
    <t>andersoncerezo07@gmail.com</t>
  </si>
  <si>
    <t>3196489193</t>
  </si>
  <si>
    <t>SEBASTIAN NARVAEZ HOYOS</t>
  </si>
  <si>
    <t>sebastiannarvaez@uraindustries.com</t>
  </si>
  <si>
    <t>3218931981</t>
  </si>
  <si>
    <t>andrymildrey@hotmail.com</t>
  </si>
  <si>
    <t>3004527533</t>
  </si>
  <si>
    <t>SALOME PULGARIN ESCOBAR</t>
  </si>
  <si>
    <t>salome.19escobar@gmail.com</t>
  </si>
  <si>
    <t>3127058595</t>
  </si>
  <si>
    <t>calderonaleja@hotmail.com</t>
  </si>
  <si>
    <t>3162448590</t>
  </si>
  <si>
    <t>ELIANA.MORALES4@GMAIL.COM</t>
  </si>
  <si>
    <t>3007551570</t>
  </si>
  <si>
    <t>SOFÍA MUNERA ZAPATA</t>
  </si>
  <si>
    <t>SOFIMUNERAZ0406@GMAIL.COM</t>
  </si>
  <si>
    <t>3233268211</t>
  </si>
  <si>
    <t>laav00@hotmail.com</t>
  </si>
  <si>
    <t>3103999591</t>
  </si>
  <si>
    <t>SEBASTIAN JIMENEZ MESA</t>
  </si>
  <si>
    <t>SEBASTIANJM1040@GMAIL.COM</t>
  </si>
  <si>
    <t>3008292778</t>
  </si>
  <si>
    <t>camilazuluaga14141@gmail.com</t>
  </si>
  <si>
    <t>3022145234</t>
  </si>
  <si>
    <t>degallegoi@yahoo.com</t>
  </si>
  <si>
    <t>3152876606</t>
  </si>
  <si>
    <t>VALERIA MENDEZ RAMIREZ</t>
  </si>
  <si>
    <t>VALERIA.MENDEZ.DEV@GMAIL.COM</t>
  </si>
  <si>
    <t>3002047595</t>
  </si>
  <si>
    <t>JEFERSON.RAMIREZ@ESUMER.EDU.CO</t>
  </si>
  <si>
    <t>3206322064</t>
  </si>
  <si>
    <t>CAROL.07122@HOTMAIL.COM</t>
  </si>
  <si>
    <t>3007663582</t>
  </si>
  <si>
    <t>CRISAVALO02@GMAIL.COM</t>
  </si>
  <si>
    <t>3008224920</t>
  </si>
  <si>
    <t>ELKINPEREZGOMEZ@GMAIL.COM</t>
  </si>
  <si>
    <t>3006203850</t>
  </si>
  <si>
    <t>ELIANA.MONTOYA22@GMAIL.COM</t>
  </si>
  <si>
    <t>3167569498</t>
  </si>
  <si>
    <t>JAYANCASTANO@GMAIL.COM</t>
  </si>
  <si>
    <t>3158386090</t>
  </si>
  <si>
    <t>DIANAURUENAO@HOTMAIL.COM</t>
  </si>
  <si>
    <t>3128711482</t>
  </si>
  <si>
    <t>CSALCEDO90@GMAIL.COM</t>
  </si>
  <si>
    <t>3128411250</t>
  </si>
  <si>
    <t>JULIANA QUIROZ ESTRADA</t>
  </si>
  <si>
    <t>JULIANAQUIROZ9509@GMAIL.COM</t>
  </si>
  <si>
    <t>3215947396</t>
  </si>
  <si>
    <t>SERGIO@HRVABOGADOS.COM</t>
  </si>
  <si>
    <t>3006857470</t>
  </si>
  <si>
    <t>NICOLASZULUAGA670425@GMAIL.COM</t>
  </si>
  <si>
    <t>3147835543</t>
  </si>
  <si>
    <t>ANATALOPEZ@GMAIL.COM</t>
  </si>
  <si>
    <t>3005776405</t>
  </si>
  <si>
    <t>LAURITA.OCHOAORTIZ1017@GMAIL.COM</t>
  </si>
  <si>
    <t>3104427770</t>
  </si>
  <si>
    <t>ESTEFANIA GALEANO BUILES</t>
  </si>
  <si>
    <t>ESTEFI.1116@HOTMAIL.COM</t>
  </si>
  <si>
    <t>3227646310</t>
  </si>
  <si>
    <t>HDOSORIO.B@GMAIL.COM</t>
  </si>
  <si>
    <t>3167564441</t>
  </si>
  <si>
    <t>GONZALO ALAVREZ ARIAS</t>
  </si>
  <si>
    <t>GONZALOALVAREZARIAS@GMAIL.COM</t>
  </si>
  <si>
    <t>3162852041</t>
  </si>
  <si>
    <t>YAKELINE RAMIREZ SALAZAR</t>
  </si>
  <si>
    <t>ramirezsalazar748@gmail.com</t>
  </si>
  <si>
    <t>3103512212</t>
  </si>
  <si>
    <t>JOHANNA MORALES GARCIA</t>
  </si>
  <si>
    <t>moralesgarciajohanna@gmail.com</t>
  </si>
  <si>
    <t>3116362503</t>
  </si>
  <si>
    <t>ibangueto@gmail.com</t>
  </si>
  <si>
    <t>3007839827</t>
  </si>
  <si>
    <t>marcelamolinaassistant@gmail.com</t>
  </si>
  <si>
    <t>3007838953</t>
  </si>
  <si>
    <t>juanrios9233@gmail.com</t>
  </si>
  <si>
    <t>3053770115</t>
  </si>
  <si>
    <t>alejo.lds0904@gmail.com</t>
  </si>
  <si>
    <t>3052701248</t>
  </si>
  <si>
    <t>juanmongomez@gmail.com</t>
  </si>
  <si>
    <t>3186256028</t>
  </si>
  <si>
    <t>DAVID GONZALEZ CARDENAS</t>
  </si>
  <si>
    <t>beckerkotzen1989@gmail.com</t>
  </si>
  <si>
    <t>3214669275</t>
  </si>
  <si>
    <t>HARVEY GIRALDO ARBOLEDA</t>
  </si>
  <si>
    <t>harveygiraldo@gmail.com</t>
  </si>
  <si>
    <t>3007840992</t>
  </si>
  <si>
    <t>deisymhv@gmail.com</t>
  </si>
  <si>
    <t>3505779354</t>
  </si>
  <si>
    <t>NATHALIA GALEANO BUILES</t>
  </si>
  <si>
    <t>NATYGAL021195@HOTMAIL.COM</t>
  </si>
  <si>
    <t>3104346577</t>
  </si>
  <si>
    <t>ESTERUA@HOTMAIL.COM</t>
  </si>
  <si>
    <t>3195795047</t>
  </si>
  <si>
    <t>ESTEFANIA SANCHEZ ALVAREZ</t>
  </si>
  <si>
    <t>SANCHEZANNY2013@OUTLOOK.COM</t>
  </si>
  <si>
    <t>3008683523</t>
  </si>
  <si>
    <t>PAUL GUTIERREZ</t>
  </si>
  <si>
    <t>PAUL.GUTIERREZ.C@GMAIL.COM</t>
  </si>
  <si>
    <t>3103775873</t>
  </si>
  <si>
    <t>ENNELEANER@HOTMAIL.COM</t>
  </si>
  <si>
    <t>3005722209</t>
  </si>
  <si>
    <t>MAURICIOM88C@GMAIL.COM</t>
  </si>
  <si>
    <t>3206432988</t>
  </si>
  <si>
    <t>DAASPRILLA07@GMAIL.COM</t>
  </si>
  <si>
    <t>3023271641</t>
  </si>
  <si>
    <t>SEBASTIAN ARROYO NAVARRO</t>
  </si>
  <si>
    <t>SEBASTIANARROYO46@GMAIL.COM</t>
  </si>
  <si>
    <t>3046507396</t>
  </si>
  <si>
    <t>LUISAFERVAN@GMAIL.COM</t>
  </si>
  <si>
    <t>3117049055</t>
  </si>
  <si>
    <t>XMY1311@GMAIL.COM</t>
  </si>
  <si>
    <t>3154026884</t>
  </si>
  <si>
    <t>MONIPAQU@GMAIL.COM</t>
  </si>
  <si>
    <t>3045503011</t>
  </si>
  <si>
    <t>ELISEO LOPEZ DURANGO</t>
  </si>
  <si>
    <t>ELISEOLOPEZD@GMAIL.COM</t>
  </si>
  <si>
    <t>3233709255</t>
  </si>
  <si>
    <t>EMMANUEL GIRALDO TABARES</t>
  </si>
  <si>
    <t>TABARESEMANUEL501@GMAIL.COM</t>
  </si>
  <si>
    <t>3242302386</t>
  </si>
  <si>
    <t>JUANALBERTOH@GMAIL.COM</t>
  </si>
  <si>
    <t>3173699070</t>
  </si>
  <si>
    <t>AMMACA07@GMAIL.COM</t>
  </si>
  <si>
    <t>3122801746</t>
  </si>
  <si>
    <t>ANDERMACIX@GMAIL.COM</t>
  </si>
  <si>
    <t>3154839989</t>
  </si>
  <si>
    <t>romyes22@gmail.com</t>
  </si>
  <si>
    <t>3105395762</t>
  </si>
  <si>
    <t>danielr.8910@gmail.com</t>
  </si>
  <si>
    <t>3117785403</t>
  </si>
  <si>
    <t>afa.hoyos@gmail.com</t>
  </si>
  <si>
    <t>3147907219</t>
  </si>
  <si>
    <t>claudiapsg888@gmail.com</t>
  </si>
  <si>
    <t>3218641113</t>
  </si>
  <si>
    <t>estefa523@gmail.com</t>
  </si>
  <si>
    <t>3052082861</t>
  </si>
  <si>
    <t>yolimiranda246@gmail.com</t>
  </si>
  <si>
    <t>3337161575</t>
  </si>
  <si>
    <t>YUSTIN BARNET CARDONA</t>
  </si>
  <si>
    <t>YUSTINBARNETCARDONA@GMAIL.COM</t>
  </si>
  <si>
    <t>3207925928</t>
  </si>
  <si>
    <t>JUAN-LDS1999@HOTMAIL.COM</t>
  </si>
  <si>
    <t>3011084313</t>
  </si>
  <si>
    <t>CL.199854@GMAIL.COM</t>
  </si>
  <si>
    <t>3046573626</t>
  </si>
  <si>
    <t>JULIÁN MORALES SAAVEDRA</t>
  </si>
  <si>
    <t>SUBJULIANMO941@GMAIL.COM</t>
  </si>
  <si>
    <t>3024482844</t>
  </si>
  <si>
    <t>julianap88@hotmail.com</t>
  </si>
  <si>
    <t>3205953977</t>
  </si>
  <si>
    <t>EMMANUEL CASTRILLON ZULUAGA</t>
  </si>
  <si>
    <t>EMMANUEL.CASTRILLON@ESUMER.EDU.CO</t>
  </si>
  <si>
    <t>3002439317</t>
  </si>
  <si>
    <t>JATM3606@GMAIL.COM</t>
  </si>
  <si>
    <t>3136730149</t>
  </si>
  <si>
    <t>JHONGU88@GMAIL.COM</t>
  </si>
  <si>
    <t>3045914059</t>
  </si>
  <si>
    <t>SANTIAGO HENAO GALLEGO</t>
  </si>
  <si>
    <t>SANTIAGOH.G890@GMAIL.COM</t>
  </si>
  <si>
    <t>3193184979</t>
  </si>
  <si>
    <t>SILENCEISBEAUTYOFSOUL@GMAIL.COM</t>
  </si>
  <si>
    <t>3245719186</t>
  </si>
  <si>
    <t>VASCORESTREPOANTONIO@GMAIL.COM</t>
  </si>
  <si>
    <t>3004773450</t>
  </si>
  <si>
    <t>JOHNFREDYARBOLEDA@GMAIL.COM</t>
  </si>
  <si>
    <t>3006147426</t>
  </si>
  <si>
    <t>MANUEL2057VALENCIA@GMAIL.COM</t>
  </si>
  <si>
    <t>3022304436</t>
  </si>
  <si>
    <t>DAVEMONSALVE1@GMAIL.COM</t>
  </si>
  <si>
    <t>3122834822</t>
  </si>
  <si>
    <t>dalvarez1982@hotmail.com</t>
  </si>
  <si>
    <t>3015331863</t>
  </si>
  <si>
    <t>EMANUEL AGUDELO VELASQUEZ</t>
  </si>
  <si>
    <t>EMANUELAGUDELO901@GMAIL.COM</t>
  </si>
  <si>
    <t>3234927484</t>
  </si>
  <si>
    <t>YAIRA.GUERRA26@GMAIL.COM</t>
  </si>
  <si>
    <t>3102910752</t>
  </si>
  <si>
    <t>LUISMIGUELVILLADA.18@GMAIL.COM</t>
  </si>
  <si>
    <t>3245987045</t>
  </si>
  <si>
    <t>EMANUEL QUINTERO LOAIZA</t>
  </si>
  <si>
    <t>EMANUALQUINTEROLOAIZA@GMAIL.COM</t>
  </si>
  <si>
    <t>3242010945</t>
  </si>
  <si>
    <t>DI_VI_KEL@HOTMAIL.COM</t>
  </si>
  <si>
    <t>3128422736</t>
  </si>
  <si>
    <t>SOFIA CANO HENAO</t>
  </si>
  <si>
    <t>SOFIA120021@GMAIL.COM</t>
  </si>
  <si>
    <t>3226158469</t>
  </si>
  <si>
    <t>ANDRES GOMEZ MONTOYA</t>
  </si>
  <si>
    <t>bdn.andres@GMAIL.COM</t>
  </si>
  <si>
    <t>3041697768</t>
  </si>
  <si>
    <t>liliapin.ra@gmail.com</t>
  </si>
  <si>
    <t>3004814233</t>
  </si>
  <si>
    <t>isabelalv21092301@gmail.com</t>
  </si>
  <si>
    <t>3332948883</t>
  </si>
  <si>
    <t>JERONIMO JARAMILLO OLAYA</t>
  </si>
  <si>
    <t>jeronimojaramillo27@gamil.com</t>
  </si>
  <si>
    <t>3155943535</t>
  </si>
  <si>
    <t>maacostaca@unal.edu.co</t>
  </si>
  <si>
    <t>3154823272</t>
  </si>
  <si>
    <t>csierrara@unal.edu.co</t>
  </si>
  <si>
    <t>3184894944</t>
  </si>
  <si>
    <t>DANIEL LLANO ARISTIZABA</t>
  </si>
  <si>
    <t>daniel.llano15@gmail.com</t>
  </si>
  <si>
    <t>3202510923</t>
  </si>
  <si>
    <t>carola.busy@gmail.com</t>
  </si>
  <si>
    <t>lainus763@gmail.com</t>
  </si>
  <si>
    <t>3124349478</t>
  </si>
  <si>
    <t>mjhenao@gmail.com</t>
  </si>
  <si>
    <t>3007871063</t>
  </si>
  <si>
    <t>DANIELA ZAPATA RAMÍREZ</t>
  </si>
  <si>
    <t>danielazapata.r96@gmail.com</t>
  </si>
  <si>
    <t>3196744533</t>
  </si>
  <si>
    <t>lauraaltamirandaecheverri@gmail.com</t>
  </si>
  <si>
    <t>BRAYAN AGUIRRE PALACIO</t>
  </si>
  <si>
    <t>solumotos.tm@gmail.com</t>
  </si>
  <si>
    <t>3135958758</t>
  </si>
  <si>
    <t>SALOME FERNNDEZ MARTINEZ</t>
  </si>
  <si>
    <t>fernandezsalomem021@gmail.com</t>
  </si>
  <si>
    <t>3214335566</t>
  </si>
  <si>
    <t>4gmedina@gmail.com</t>
  </si>
  <si>
    <t>3162243577</t>
  </si>
  <si>
    <t>SANTIAGO BOTERO MORENO</t>
  </si>
  <si>
    <t>santiagoboteromoreno@gmail.com</t>
  </si>
  <si>
    <t>3165168452</t>
  </si>
  <si>
    <t>juliangarita79@gmail.com</t>
  </si>
  <si>
    <t>3155399192</t>
  </si>
  <si>
    <t>hvkelvin@gmail.com</t>
  </si>
  <si>
    <t>3103839518</t>
  </si>
  <si>
    <t>sandrarr2319@gmail.com</t>
  </si>
  <si>
    <t>3012465111</t>
  </si>
  <si>
    <t>fredygonzalez96@gmail.com</t>
  </si>
  <si>
    <t>3044502176</t>
  </si>
  <si>
    <t>jessi1222_94@hotmail.com</t>
  </si>
  <si>
    <t>3053514141</t>
  </si>
  <si>
    <t>CAROLINA CORRALES ALVAREZ</t>
  </si>
  <si>
    <t>carocorrales1@gmail.com</t>
  </si>
  <si>
    <t>3218687273</t>
  </si>
  <si>
    <t>DANIELA FERNANDEZ CAMAÑO</t>
  </si>
  <si>
    <t>fernandezdaniela9190@coruniamericana.edu.co</t>
  </si>
  <si>
    <t>3004924471</t>
  </si>
  <si>
    <t>dannyholguina@gmail.com</t>
  </si>
  <si>
    <t>3135153953</t>
  </si>
  <si>
    <t>NICOLAS MEDINA DURANGO</t>
  </si>
  <si>
    <t>medinadnicolas@gmail.com</t>
  </si>
  <si>
    <t>3105391327</t>
  </si>
  <si>
    <t>MELISSA.MJ26@HOTMAIL.COM</t>
  </si>
  <si>
    <t>3246711961</t>
  </si>
  <si>
    <t>LALORENA0429@GMAIL.COM</t>
  </si>
  <si>
    <t>3215199467</t>
  </si>
  <si>
    <t>VANESSA CAMACHO TORRES</t>
  </si>
  <si>
    <t>VANESSACAMACHOTORRES@GMAIL.COM</t>
  </si>
  <si>
    <t>3007169300</t>
  </si>
  <si>
    <t>alejo.agudelo1991@hotmail.com</t>
  </si>
  <si>
    <t>3246840033</t>
  </si>
  <si>
    <t>MIGUELANGELGIRALDOSALDARRIAGA@GMAIL.COM</t>
  </si>
  <si>
    <t>3217850057</t>
  </si>
  <si>
    <t>ARBELAEZ.ANDRES04@GMAIL.COM</t>
  </si>
  <si>
    <t>3012761749</t>
  </si>
  <si>
    <t>MAFECHE2010@GMAIL.COM</t>
  </si>
  <si>
    <t>3155888223</t>
  </si>
  <si>
    <t>CAMILOCER@GMAIL.COM</t>
  </si>
  <si>
    <t>3008178429</t>
  </si>
  <si>
    <t>JUANJOSE.ROLDANS@GMAIL.COM</t>
  </si>
  <si>
    <t>3215414257</t>
  </si>
  <si>
    <t>LIDAG.DIAZG@GMAIL.COM</t>
  </si>
  <si>
    <t>3017837494</t>
  </si>
  <si>
    <t>KMILOJE02@GMAIL.COM</t>
  </si>
  <si>
    <t>3103571722</t>
  </si>
  <si>
    <t>karyochoa@gmail.com</t>
  </si>
  <si>
    <t>3013632218</t>
  </si>
  <si>
    <t>DAVID PALACIO IDARRAGA</t>
  </si>
  <si>
    <t>DAVID.PALACIO@SOYROSARISTA.EDU.CO</t>
  </si>
  <si>
    <t>3213386915</t>
  </si>
  <si>
    <t>ALGORITYOUTOBE@GMAIL.COM</t>
  </si>
  <si>
    <t>3112271476</t>
  </si>
  <si>
    <t>FREDDY CASTRILLÓN VALENCIA</t>
  </si>
  <si>
    <t>FCASTRILLON027@GMAIL.COM</t>
  </si>
  <si>
    <t>3116115284</t>
  </si>
  <si>
    <t>DANIEL HERRERA GOMEZ</t>
  </si>
  <si>
    <t>seafight.herreroide@gmail.com</t>
  </si>
  <si>
    <t>3504228284</t>
  </si>
  <si>
    <t>granada.sebastian@yahoo.es</t>
  </si>
  <si>
    <t>3028665112</t>
  </si>
  <si>
    <t>FELIPE ACEVEDO GUERRA</t>
  </si>
  <si>
    <t>felipecag8@gmail.com</t>
  </si>
  <si>
    <t>3042454699</t>
  </si>
  <si>
    <t>yeison.valecar@gmail.com</t>
  </si>
  <si>
    <t>3006485306</t>
  </si>
  <si>
    <t>diana.tabares@outlook.es</t>
  </si>
  <si>
    <t>3128478195</t>
  </si>
  <si>
    <t>ramos0814jose@gmail.com</t>
  </si>
  <si>
    <t>3234556387</t>
  </si>
  <si>
    <t>andreshernandez.posada@gmail.com</t>
  </si>
  <si>
    <t>3186017306</t>
  </si>
  <si>
    <t>juanstivengiraldo12345@gmail.com</t>
  </si>
  <si>
    <t>3003923910</t>
  </si>
  <si>
    <t>KEVIN HENAO MUÑETÓN</t>
  </si>
  <si>
    <t>kevinhm03@gmail.com</t>
  </si>
  <si>
    <t>3126781150</t>
  </si>
  <si>
    <t>DAVIDMIRA0829@HOTMAIL.COM</t>
  </si>
  <si>
    <t>3217599307</t>
  </si>
  <si>
    <t>vickymonsalve@gmail.com</t>
  </si>
  <si>
    <t>3012499862</t>
  </si>
  <si>
    <t>LAURA GONZALEZ SANABRIA</t>
  </si>
  <si>
    <t>LAURAGOSAN97@GMAIL.COM</t>
  </si>
  <si>
    <t>3021210012</t>
  </si>
  <si>
    <t>ROAT0130@GMAIL.COM</t>
  </si>
  <si>
    <t>3246825853</t>
  </si>
  <si>
    <t>MANUELA BUITRAGO ROJAS</t>
  </si>
  <si>
    <t>manuelabuitragorojas@hotmail.com</t>
  </si>
  <si>
    <t>3022366821</t>
  </si>
  <si>
    <t>alejo-isaza@hotmail.com</t>
  </si>
  <si>
    <t>3117042134</t>
  </si>
  <si>
    <t>LMIGUEL.HOYOS@UDEA.EDU.CO</t>
  </si>
  <si>
    <t>3118693098</t>
  </si>
  <si>
    <t>pmartinez.hrpartner@gmail.com</t>
  </si>
  <si>
    <t>3116251750</t>
  </si>
  <si>
    <t>alejalopezr6@gmail.com</t>
  </si>
  <si>
    <t>3003544883</t>
  </si>
  <si>
    <t>ISABELA FONNEGRA SÁNCHEZ</t>
  </si>
  <si>
    <t>ISABELAFONNEGRA2017@GMAIL.COM</t>
  </si>
  <si>
    <t>3233690999</t>
  </si>
  <si>
    <t>LUZA2301@HOTMAIL.COM</t>
  </si>
  <si>
    <t>3007870876</t>
  </si>
  <si>
    <t>WAJOVEL@GMAIL.COM</t>
  </si>
  <si>
    <t>3103867301</t>
  </si>
  <si>
    <t>CAROBERRIOA@GMAIL.COM</t>
  </si>
  <si>
    <t>3013354748</t>
  </si>
  <si>
    <t>CARLOSANDRESTOM@GMAIL.COM</t>
  </si>
  <si>
    <t>3167589844</t>
  </si>
  <si>
    <t>DAWVERSON@GMAIL.COM</t>
  </si>
  <si>
    <t>3246868933</t>
  </si>
  <si>
    <t>JUANJOSE.MIRAALVAREZ@GMAIL.COM</t>
  </si>
  <si>
    <t>3216266061</t>
  </si>
  <si>
    <t>FOREROJC06@HOTMAIL.COM</t>
  </si>
  <si>
    <t>3158037876</t>
  </si>
  <si>
    <t>xiomy.cardona@hotmail.com</t>
  </si>
  <si>
    <t>3017875221</t>
  </si>
  <si>
    <t>JDAVIDPEREZH2000@GMAIL.COM</t>
  </si>
  <si>
    <t>3014955750</t>
  </si>
  <si>
    <t>CLAU2012-2405@HOTMAIL.COM</t>
  </si>
  <si>
    <t>3507005209</t>
  </si>
  <si>
    <t>SEBASTIAN GARCIA PEREZ</t>
  </si>
  <si>
    <t>SALCO91@YAHOO.ES</t>
  </si>
  <si>
    <t>3017197715</t>
  </si>
  <si>
    <t>ANAGOMEZAGUILAR@GMAIL.COM</t>
  </si>
  <si>
    <t>3012944463</t>
  </si>
  <si>
    <t>ING.DANIEL.URUENA@GMAIL.COM</t>
  </si>
  <si>
    <t>3013100841</t>
  </si>
  <si>
    <t>YEMUHE@GMAIL.COM</t>
  </si>
  <si>
    <t>3147339370</t>
  </si>
  <si>
    <t>ASTRIDGIRALDO16@GMAIL.COM</t>
  </si>
  <si>
    <t>3113634947</t>
  </si>
  <si>
    <t>ERNESTO SUAREZ HOLGUIN</t>
  </si>
  <si>
    <t>ernesuarez@hotmail.com</t>
  </si>
  <si>
    <t>3026680509</t>
  </si>
  <si>
    <t>ossarestrepoedwinsantiago@gmail.com</t>
  </si>
  <si>
    <t>3218924052</t>
  </si>
  <si>
    <t>mariacristina1011@gmail.com</t>
  </si>
  <si>
    <t>3137724025</t>
  </si>
  <si>
    <t>erison08@hotmail.es</t>
  </si>
  <si>
    <t>3043277916</t>
  </si>
  <si>
    <t>vargaszapatamariafernanda@gmail.com</t>
  </si>
  <si>
    <t>3136329144</t>
  </si>
  <si>
    <t>knwilliam3@gmail.com</t>
  </si>
  <si>
    <t>3018779448</t>
  </si>
  <si>
    <t>anyerua@gmail.com</t>
  </si>
  <si>
    <t>3138037300</t>
  </si>
  <si>
    <t>mvelasre@gmail.com</t>
  </si>
  <si>
    <t>3196092288</t>
  </si>
  <si>
    <t>lina_marcela81@hotmail.com</t>
  </si>
  <si>
    <t>3192326737</t>
  </si>
  <si>
    <t>andresocampo.233@gmail.com</t>
  </si>
  <si>
    <t>3147139065</t>
  </si>
  <si>
    <t>insuelec@hotmail.com</t>
  </si>
  <si>
    <t>3185493800</t>
  </si>
  <si>
    <t>dim_andrea88@hotmail.com</t>
  </si>
  <si>
    <t>3136062042</t>
  </si>
  <si>
    <t>steventecnicoricoh@gmail.com</t>
  </si>
  <si>
    <t>3187178984</t>
  </si>
  <si>
    <t>amriososorio@gmail.com</t>
  </si>
  <si>
    <t>3128687991</t>
  </si>
  <si>
    <t>ANDDREAHENAO7@GMAIL.COM</t>
  </si>
  <si>
    <t>3154746350</t>
  </si>
  <si>
    <t>VALERIA JARAMILLO RAMIREZ</t>
  </si>
  <si>
    <t>VALERIAJARAMILLO24@GMAIL.COM</t>
  </si>
  <si>
    <t>3194467114</t>
  </si>
  <si>
    <t>kathavasquez@gmail.com</t>
  </si>
  <si>
    <t>3206839230</t>
  </si>
  <si>
    <t>GUIRALM1@GMAIL.COM</t>
  </si>
  <si>
    <t>3233646625</t>
  </si>
  <si>
    <t>CAROLINAZH28@GMAIL.COM</t>
  </si>
  <si>
    <t>JANNETHTANGARIFE2013@GMAIL.COM</t>
  </si>
  <si>
    <t>3112708906</t>
  </si>
  <si>
    <t>WILMAR CASTAÑEDA</t>
  </si>
  <si>
    <t>wilmarcj@gmail.com</t>
  </si>
  <si>
    <t>3173745157</t>
  </si>
  <si>
    <t>alejandraoterov@gmail.com</t>
  </si>
  <si>
    <t>3046303890</t>
  </si>
  <si>
    <t>JORGEM.PALACIO@UDEA.EDU.CO</t>
  </si>
  <si>
    <t>3147834905</t>
  </si>
  <si>
    <t>byktoracp999@gmail.com</t>
  </si>
  <si>
    <t>3174523226</t>
  </si>
  <si>
    <t>LAURA SUAREZ YEPES</t>
  </si>
  <si>
    <t>LAU.SUAREZ.YEPES@GMAIL.COM</t>
  </si>
  <si>
    <t>3177705129</t>
  </si>
  <si>
    <t>DLRENDON@UNAL.EDU.CO</t>
  </si>
  <si>
    <t>3015155564</t>
  </si>
  <si>
    <t>FREDY SUAREZ</t>
  </si>
  <si>
    <t>FREDYSUAREZPAREJA@GMAIL.COM</t>
  </si>
  <si>
    <t>3008655791</t>
  </si>
  <si>
    <t>LORENA CARDENAS RODRIGUEZ</t>
  </si>
  <si>
    <t>INDUSELECTROLORE@HOTMAIL.COM</t>
  </si>
  <si>
    <t>3137368004</t>
  </si>
  <si>
    <t>STIVEN QUINTERO OSORIO</t>
  </si>
  <si>
    <t>STIVENQO10@GMAIL.COM</t>
  </si>
  <si>
    <t>3246762071</t>
  </si>
  <si>
    <t>SARAMARCELA.CARO@GMAIL.COM</t>
  </si>
  <si>
    <t>3117095330</t>
  </si>
  <si>
    <t>VALENTINAGIRALDOT264@GMAIL.COM</t>
  </si>
  <si>
    <t>3012514738</t>
  </si>
  <si>
    <t>ALVERY85@GMAIL.COM</t>
  </si>
  <si>
    <t>3137180302</t>
  </si>
  <si>
    <t>ANJECA748@GMAIL.COM</t>
  </si>
  <si>
    <t>3235590703</t>
  </si>
  <si>
    <t>CMMONTOYAR@GMAIL.COM</t>
  </si>
  <si>
    <t>3012395773</t>
  </si>
  <si>
    <t>BIBIANA486@HOTMAIL.COM</t>
  </si>
  <si>
    <t>3128638835</t>
  </si>
  <si>
    <t>LUISAPONCHO@HOTMAIL.COM</t>
  </si>
  <si>
    <t>3025306989</t>
  </si>
  <si>
    <t>LENAMDS23@GMAIL.COM</t>
  </si>
  <si>
    <t>3013122184</t>
  </si>
  <si>
    <t>cristian.duquefranco@gmail.com</t>
  </si>
  <si>
    <t>3011441797</t>
  </si>
  <si>
    <t>EMILY PATIÑO SEPULVEDA</t>
  </si>
  <si>
    <t>emilypat25@gmail.com</t>
  </si>
  <si>
    <t>3012578350</t>
  </si>
  <si>
    <t>danielpz115@outlook.es</t>
  </si>
  <si>
    <t>3044560497</t>
  </si>
  <si>
    <t>GREAGE LEON</t>
  </si>
  <si>
    <t>graceleon705@gmail.com</t>
  </si>
  <si>
    <t>3006378617</t>
  </si>
  <si>
    <t>brarroyave@gmail.com</t>
  </si>
  <si>
    <t>3117113069</t>
  </si>
  <si>
    <t>guillerlepe@hotmail.com</t>
  </si>
  <si>
    <t>3006102966</t>
  </si>
  <si>
    <t>ISABELLA ZULUAGA</t>
  </si>
  <si>
    <t>isabellazuluagahz@gmail.com</t>
  </si>
  <si>
    <t>3197187439</t>
  </si>
  <si>
    <t>ARISLEYDIS HINESTROZA CÓRDOBA</t>
  </si>
  <si>
    <t>arishinestroza04@gmail.com</t>
  </si>
  <si>
    <t>3003482552</t>
  </si>
  <si>
    <t>scardonapci@gmail.com</t>
  </si>
  <si>
    <t>3207187533</t>
  </si>
  <si>
    <t>alejavg0110@hotmail.com</t>
  </si>
  <si>
    <t>3206359105</t>
  </si>
  <si>
    <t>juanes9290@yahoo.es</t>
  </si>
  <si>
    <t>3004687785</t>
  </si>
  <si>
    <t>EMMANUEL CASTAÑEDA CASTAÑEDA</t>
  </si>
  <si>
    <t>emmanuel.c1913@gmail.com</t>
  </si>
  <si>
    <t>3177994251</t>
  </si>
  <si>
    <t>YULIK1025@HOTMAIL.COM</t>
  </si>
  <si>
    <t>3103699235</t>
  </si>
  <si>
    <t>JHONEDP115@GMAIL.COM</t>
  </si>
  <si>
    <t>3015472312</t>
  </si>
  <si>
    <t>DUQUEJ08@GMAIL.COM</t>
  </si>
  <si>
    <t>3507712480</t>
  </si>
  <si>
    <t>luis.cgv@hotmail.com</t>
  </si>
  <si>
    <t>3024935170</t>
  </si>
  <si>
    <t>DANIEL SALAZAR YARCE</t>
  </si>
  <si>
    <t>danielyarcesur@hotmail.com</t>
  </si>
  <si>
    <t>3054792592</t>
  </si>
  <si>
    <t>jhon_gon@hotmail.com</t>
  </si>
  <si>
    <t>3135190033</t>
  </si>
  <si>
    <t>MELISSA PEREZ GALLEGO</t>
  </si>
  <si>
    <t>melissaperezg@hotmail.com</t>
  </si>
  <si>
    <t>3004451660</t>
  </si>
  <si>
    <t>CAROLINA JARAMILLO RESTREPO</t>
  </si>
  <si>
    <t>CAROJARAMILLO0190@GMAIL.COM</t>
  </si>
  <si>
    <t>3206529804</t>
  </si>
  <si>
    <t>ALEJANDRO MONSALVE VASQUEZ</t>
  </si>
  <si>
    <t>ALEJOMONSALVE0105@GMAIL.COM</t>
  </si>
  <si>
    <t>3045423893</t>
  </si>
  <si>
    <t>SERGIOAOD@GMAIL.COM</t>
  </si>
  <si>
    <t>3105288159</t>
  </si>
  <si>
    <t>ELIANA SOTO ZAPATA</t>
  </si>
  <si>
    <t>ELIANASOTO0204@GMAIL.COM</t>
  </si>
  <si>
    <t>3135187786</t>
  </si>
  <si>
    <t>ARBELAEZ.ESTHEFANIA@HOTMAIL.COM</t>
  </si>
  <si>
    <t>3158651928</t>
  </si>
  <si>
    <t>CRISTIAN ORTEGA HERRERA</t>
  </si>
  <si>
    <t>CRISTIANMATH123@GMAIL.COM</t>
  </si>
  <si>
    <t>3026093761</t>
  </si>
  <si>
    <t>GABUACU11@GMAIL.COM</t>
  </si>
  <si>
    <t>3002680314</t>
  </si>
  <si>
    <t>MATEO TAMAYO HINCAPIÉ</t>
  </si>
  <si>
    <t>MATEOTAMAYO17@GMAIL.COM</t>
  </si>
  <si>
    <t>3147462515</t>
  </si>
  <si>
    <t>DCAVADIA93@GMAIL.COM</t>
  </si>
  <si>
    <t>3226440312</t>
  </si>
  <si>
    <t>NICOLAS.MONTENEGROTO@GMAIL.COM</t>
  </si>
  <si>
    <t>3053020703</t>
  </si>
  <si>
    <t>ARUIZPENAGOS@GMAIL.COM</t>
  </si>
  <si>
    <t>3136936319</t>
  </si>
  <si>
    <t>JUSSEBAS@HOTMAIL.COM</t>
  </si>
  <si>
    <t>3002958556</t>
  </si>
  <si>
    <t>JOTAEFE19@GMAIL.COM</t>
  </si>
  <si>
    <t>3136718502</t>
  </si>
  <si>
    <t>VALENTINA HERNANDEZ HORTA</t>
  </si>
  <si>
    <t>VALENTINAHERNANDEZHORTA@GMAIL.COM</t>
  </si>
  <si>
    <t>3016241665</t>
  </si>
  <si>
    <t>MATHEUS RODRIGUEZ LOPEZ</t>
  </si>
  <si>
    <t>MATHEUSS88@HOTMAIL.COM</t>
  </si>
  <si>
    <t>3207151182</t>
  </si>
  <si>
    <t>DAIVERROCHA@GMAIL.COM</t>
  </si>
  <si>
    <t>3188799877</t>
  </si>
  <si>
    <t>BROOMILDA@GMAIL.COM</t>
  </si>
  <si>
    <t>3188423283</t>
  </si>
  <si>
    <t>ALEJANDRAPALACIOYEPES@GMAIL.COM</t>
  </si>
  <si>
    <t>3014450689</t>
  </si>
  <si>
    <t>VERONICA ARCILA RIOS</t>
  </si>
  <si>
    <t>VEROARCI2@HOTMAIL.COM</t>
  </si>
  <si>
    <t>3013076412</t>
  </si>
  <si>
    <t>MARIANA ESCOBAR GARCIA</t>
  </si>
  <si>
    <t>MARIANASCOBAR12@GMAIL.COM</t>
  </si>
  <si>
    <t>3009420854</t>
  </si>
  <si>
    <t>DAVID BEDOYA ZULUAGA</t>
  </si>
  <si>
    <t>dreamdinosaurio@gmail.com</t>
  </si>
  <si>
    <t>3007414741</t>
  </si>
  <si>
    <t>julimb57@hotmail.com</t>
  </si>
  <si>
    <t>3005691791</t>
  </si>
  <si>
    <t>NICOLAS OVIEDO GUILLEN</t>
  </si>
  <si>
    <t>nikolasoviedo1999@gmail.com</t>
  </si>
  <si>
    <t>3196062723</t>
  </si>
  <si>
    <t>VALERIA VALENCIA HINCAPIE</t>
  </si>
  <si>
    <t>valvalenciah@gmail.com</t>
  </si>
  <si>
    <t>3206242455</t>
  </si>
  <si>
    <t>bairon.mt25@gmail.com</t>
  </si>
  <si>
    <t>3155876633</t>
  </si>
  <si>
    <t>SEBASTIAN CARMONA</t>
  </si>
  <si>
    <t>sebastianacarmonacano@gmail.com</t>
  </si>
  <si>
    <t>3504055106</t>
  </si>
  <si>
    <t>juanjocalle39@gmail.com</t>
  </si>
  <si>
    <t>3148956884</t>
  </si>
  <si>
    <t>DAVID LOPEZ CICERO</t>
  </si>
  <si>
    <t>cizeros@gmail.com</t>
  </si>
  <si>
    <t>3145041113</t>
  </si>
  <si>
    <t>DALEJANDROZ@GMAIL.COM</t>
  </si>
  <si>
    <t>3007840168</t>
  </si>
  <si>
    <t>jacksonah012@gmail.com</t>
  </si>
  <si>
    <t>3186240050</t>
  </si>
  <si>
    <t>WILLIAM.OQUENDOG@GMAIL.COM</t>
  </si>
  <si>
    <t>3128261100</t>
  </si>
  <si>
    <t>EDISONPIEDRAHITARESTREPO@GMAIL.COM</t>
  </si>
  <si>
    <t>3186515609</t>
  </si>
  <si>
    <t>DANIELF1024@HOTMAIL.COM</t>
  </si>
  <si>
    <t>3042145486</t>
  </si>
  <si>
    <t>CAROD2928@GMAIL.COM</t>
  </si>
  <si>
    <t>3128507432</t>
  </si>
  <si>
    <t>IXABELLA03@GMAIL.COM</t>
  </si>
  <si>
    <t>3006089328</t>
  </si>
  <si>
    <t>SEBASTIAN ZULETA SANTAMARIA</t>
  </si>
  <si>
    <t>SEBASTIANZ1993@GMAIL.COM</t>
  </si>
  <si>
    <t>3208247882</t>
  </si>
  <si>
    <t>MEDELLIN1213@GMAIL.COM</t>
  </si>
  <si>
    <t>3046638181</t>
  </si>
  <si>
    <t>DANIELA GRISALES GUTIERREZ</t>
  </si>
  <si>
    <t>DANIELA.30016@GMAIL.COM</t>
  </si>
  <si>
    <t>3012778878</t>
  </si>
  <si>
    <t>VERONICA CHAVERRA HENAO</t>
  </si>
  <si>
    <t>VECHAHE27@GMAIL.COM</t>
  </si>
  <si>
    <t>3112035405</t>
  </si>
  <si>
    <t>RIGERENAM@GMAIL.COM</t>
  </si>
  <si>
    <t>3128529356</t>
  </si>
  <si>
    <t>DANIELA SEPULVEDA DURANGO</t>
  </si>
  <si>
    <t>DANIELA.0118@HOTMAIL.COM</t>
  </si>
  <si>
    <t>3117048840</t>
  </si>
  <si>
    <t>ALRICOA@GMAIL.COM</t>
  </si>
  <si>
    <t>3176388188</t>
  </si>
  <si>
    <t>ZEI_KN@HOTMAIL.COM</t>
  </si>
  <si>
    <t>3183034211</t>
  </si>
  <si>
    <t>PILAR.FORTICH@GMAIL.COM</t>
  </si>
  <si>
    <t>3017145150</t>
  </si>
  <si>
    <t>YULIANA GOMEZ CORDOBA</t>
  </si>
  <si>
    <t>YULYGOM91@GMAIL.COM</t>
  </si>
  <si>
    <t>3146505092</t>
  </si>
  <si>
    <t>NATALIA ROZO MARTINEZ</t>
  </si>
  <si>
    <t>NATYROZO82@GMAIL.COM</t>
  </si>
  <si>
    <t>3176747855</t>
  </si>
  <si>
    <t>LINA.ROBLEDO@UDEA.EDU.CO</t>
  </si>
  <si>
    <t>3188730591</t>
  </si>
  <si>
    <t>MAURICIO FIGUEROA QUINTERO</t>
  </si>
  <si>
    <t>qmaofi732@gmail.com</t>
  </si>
  <si>
    <t>3154319882</t>
  </si>
  <si>
    <t>CONHORMIGON@GMAIL.COM</t>
  </si>
  <si>
    <t>3007684689</t>
  </si>
  <si>
    <t>KELLYGOEZO@GMAIL.COM</t>
  </si>
  <si>
    <t>3147259105</t>
  </si>
  <si>
    <t>NATALIA GÓMEZ GALLEGO</t>
  </si>
  <si>
    <t>natigg16@hotmail.com</t>
  </si>
  <si>
    <t>3148449591</t>
  </si>
  <si>
    <t>luis-mrd@hotmail.com</t>
  </si>
  <si>
    <t>3147466796</t>
  </si>
  <si>
    <t>gdcardenasr@gmail.com</t>
  </si>
  <si>
    <t>3053541483</t>
  </si>
  <si>
    <t>marcegomez2019@gmail.com</t>
  </si>
  <si>
    <t>3002007158</t>
  </si>
  <si>
    <t>susa200018@gmail.com</t>
  </si>
  <si>
    <t>3104219505</t>
  </si>
  <si>
    <t>londonocastrillonj@gmail.com</t>
  </si>
  <si>
    <t>3242608506</t>
  </si>
  <si>
    <t>joseatencia06_10@hotmail.com</t>
  </si>
  <si>
    <t>3217184471</t>
  </si>
  <si>
    <t>santiago.arboleda.20@gmail.com</t>
  </si>
  <si>
    <t>3108285613</t>
  </si>
  <si>
    <t>thatiparra@gmail.com</t>
  </si>
  <si>
    <t>3052391247</t>
  </si>
  <si>
    <t>DORALBA RIVERA HINCAPIE</t>
  </si>
  <si>
    <t>fidoce@hotmail.com</t>
  </si>
  <si>
    <t>3165251390</t>
  </si>
  <si>
    <t>ascglosas@gmail.com</t>
  </si>
  <si>
    <t>3216882548</t>
  </si>
  <si>
    <t>CRISS1263@HOTMAIL.COM</t>
  </si>
  <si>
    <t>3116729033</t>
  </si>
  <si>
    <t>PABLO090894@HOTMAIL.COM</t>
  </si>
  <si>
    <t>3053615188</t>
  </si>
  <si>
    <t>daniel.rivera0588@gmail.com</t>
  </si>
  <si>
    <t>3217803690</t>
  </si>
  <si>
    <t>yised.11d@gmail.com</t>
  </si>
  <si>
    <t>3237612764</t>
  </si>
  <si>
    <t>DANIQUINTERO7@GMAIL.COM</t>
  </si>
  <si>
    <t>3016269681</t>
  </si>
  <si>
    <t>CRISDA100256@GMAIL.COM</t>
  </si>
  <si>
    <t>3136742416</t>
  </si>
  <si>
    <t>SANTIAGO PALACIO MONTES</t>
  </si>
  <si>
    <t>ROBLEISMONTES@GMAIL.COM</t>
  </si>
  <si>
    <t>3007383097</t>
  </si>
  <si>
    <t>camilovilla1185@hotmail.com</t>
  </si>
  <si>
    <t>3146295961</t>
  </si>
  <si>
    <t>ESTEFANIA CANO RENDON</t>
  </si>
  <si>
    <t>stefaniicano@gmail.com</t>
  </si>
  <si>
    <t>3014362437</t>
  </si>
  <si>
    <t>LAURA JIMENEZ CALLE</t>
  </si>
  <si>
    <t>laurajc9127@gmail.com</t>
  </si>
  <si>
    <t>3128196784</t>
  </si>
  <si>
    <t>MEYERPATINO2@GMAIL.COM</t>
  </si>
  <si>
    <t>3246894151</t>
  </si>
  <si>
    <t>Asistidas</t>
  </si>
  <si>
    <t>Clases dictadas (est.)</t>
  </si>
  <si>
    <t>PARÁMETROS DEL SISTEMA DE ASISTENCIA</t>
  </si>
  <si>
    <t>Celdas en azul = valores editables. Todas las hojas se recalculan con estos parámetros.</t>
  </si>
  <si>
    <t>Nivel</t>
  </si>
  <si>
    <t>Prioridad</t>
  </si>
  <si>
    <t>Descripción</t>
  </si>
  <si>
    <t>🔴 CRÍTICO</t>
  </si>
  <si>
    <t>🟠 ALERTA</t>
  </si>
  <si>
    <t>🟡 SEGUIMIENTO</t>
  </si>
  <si>
    <t>🟢 NORMAL</t>
  </si>
  <si>
    <t>Otros parámetros</t>
  </si>
  <si>
    <t>Valor</t>
  </si>
  <si>
    <t>Uso</t>
  </si>
  <si>
    <t>Faltas consecutivas para alerta</t>
  </si>
  <si>
    <t>⚠️ AUSENCIAS CONSECUTIVAS (requiere hoja DATOS)</t>
  </si>
  <si>
    <t>Ventana de tendencia (días)</t>
  </si>
  <si>
    <t>Compara los últimos N días contra el periodo anterior (requiere DATOS)</t>
  </si>
  <si>
    <t>Caída mínima para tendencia negativa</t>
  </si>
  <si>
    <t>📉 TENDENCIA NEGATIVA si la asistencia cae al menos este valor</t>
  </si>
  <si>
    <t>Desviaciones para fecha anormal</t>
  </si>
  <si>
    <t>Fecha anormal si % inasistencia &gt; promedio + N desviaciones</t>
  </si>
  <si>
    <t>Excluir usuarios de prueba (nombre contiene)</t>
  </si>
  <si>
    <t>Prueba</t>
  </si>
  <si>
    <t>Registros con este texto en el nombre no cuentan en indicadores</t>
  </si>
  <si>
    <t>Estados válidos en DATOS</t>
  </si>
  <si>
    <t>Presente</t>
  </si>
  <si>
    <t>Cuenta como asistencia</t>
  </si>
  <si>
    <t>Ausente</t>
  </si>
  <si>
    <t>Cuenta como inasistencia</t>
  </si>
  <si>
    <t>Justificada</t>
  </si>
  <si>
    <t>Inasistencia justificada (cuenta como inasistencia)</t>
  </si>
  <si>
    <t>Tarde</t>
  </si>
  <si>
    <t>DATOS — Registro diario de asistencia (plantilla). Una fila = un estudiante + un grupo + una fecha + un estado. Pegue aquí los registros diarios a partir de la fila 4.</t>
  </si>
  <si>
    <t>Actualmente vacía: el archivo original no contiene fechas de asistencia. Al llenarla se activan: historial, faltas consecutivas, última asistencia/inasistencia, tendencia y análisis por fecha.</t>
  </si>
  <si>
    <t>Fecha</t>
  </si>
  <si>
    <t>Estudiante</t>
  </si>
  <si>
    <t>Clases planeadas</t>
  </si>
  <si>
    <t>Clases dictadas</t>
  </si>
  <si>
    <t>GRUPOS — Tabla maestra de grupos (cálculo). Única entrada editable: columna H 'Clases dictadas (manual)'.</t>
  </si>
  <si>
    <t>Clases dictadas (est.) = máximo de asistencias de un estudiante activo del grupo (sin acumulados por traslado). Si conoce el número real, escríbalo en la columna H.</t>
  </si>
  <si>
    <t>Clases dictadas (manual)</t>
  </si>
  <si>
    <t>Matrículas activas</t>
  </si>
  <si>
    <t>Estudiantes evaluados</t>
  </si>
  <si>
    <t>Asistencias</t>
  </si>
  <si>
    <t>Inasistencias</t>
  </si>
  <si>
    <t>% asistencia</t>
  </si>
  <si>
    <t>Críticos</t>
  </si>
  <si>
    <t>Alerta</t>
  </si>
  <si>
    <t>Seguimiento</t>
  </si>
  <si>
    <t>Normal</t>
  </si>
  <si>
    <t>Sin registro</t>
  </si>
  <si>
    <t>% en riesgo</t>
  </si>
  <si>
    <t>Nivel grupo</t>
  </si>
  <si>
    <t>Incluir</t>
  </si>
  <si>
    <t>Última asistencia</t>
  </si>
  <si>
    <t>Última inasistencia</t>
  </si>
  <si>
    <t>Faltas consecutivas</t>
  </si>
  <si>
    <t>Tendencia</t>
  </si>
  <si>
    <t>Tipo de alerta</t>
  </si>
  <si>
    <t>En Base Estudiantes</t>
  </si>
  <si>
    <t>Listas para filtros (automáticas, no editar)</t>
  </si>
  <si>
    <t>Programas</t>
  </si>
  <si>
    <t>Docentes</t>
  </si>
  <si>
    <t>Grupos</t>
  </si>
  <si>
    <t>Grupos del programa (CURSOS)</t>
  </si>
  <si>
    <t>CURSOS — Vista por grupo</t>
  </si>
  <si>
    <t>Seleccione un programa y un grupo. % asistencia calculado sobre clases dictadas (ver GRUPOS). Estudiantes ordenados de menor a mayor asistencia.</t>
  </si>
  <si>
    <t>Programa (curso)</t>
  </si>
  <si>
    <t>(Todos)</t>
  </si>
  <si>
    <t>Total asistencias</t>
  </si>
  <si>
    <t>Total inasistencias</t>
  </si>
  <si>
    <t>Nivel del grupo</t>
  </si>
  <si>
    <t>% estudiantes en riesgo</t>
  </si>
  <si>
    <t>ESTUDIANTES DEL GRUPO</t>
  </si>
  <si>
    <t>% Asistencia</t>
  </si>
  <si>
    <t>RANKING DE GRUPOS (menor asistencia primero) — filtrado por programa</t>
  </si>
  <si>
    <t>Evaluados</t>
  </si>
  <si>
    <t>FICHA DEL ESTUDIANTE</t>
  </si>
  <si>
    <t>Escriba parte del nombre o cédula en BUSCAR. Se muestra la primera coincidencia; para elegir otra, copie su cédula de la lista de coincidencias a CÉDULA.</t>
  </si>
  <si>
    <t>Buscar (nombre o cédula)</t>
  </si>
  <si>
    <t>Cédula (opcional)</t>
  </si>
  <si>
    <t>Cédula mostrada</t>
  </si>
  <si>
    <t>COINCIDENCIAS DE BÚSQUEDA</t>
  </si>
  <si>
    <t>INFORMACIÓN</t>
  </si>
  <si>
    <t>Identificación</t>
  </si>
  <si>
    <t>Grupo(s) activo(s)</t>
  </si>
  <si>
    <t>Curso(s) / programa(s)</t>
  </si>
  <si>
    <t>Docente(s)</t>
  </si>
  <si>
    <t>Correo (Base Estudiantes)</t>
  </si>
  <si>
    <t>Teléfono (Base Estudiantes)</t>
  </si>
  <si>
    <t>INDICADORES (grupos activos)</t>
  </si>
  <si>
    <t>Total clases dictadas</t>
  </si>
  <si>
    <t>Última asistencia registrada</t>
  </si>
  <si>
    <t>Última inasistencia registrada</t>
  </si>
  <si>
    <t>Estado actual</t>
  </si>
  <si>
    <t>Alertas activas</t>
  </si>
  <si>
    <t>MATRÍCULAS DEL ESTUDIANTE (todas, incluye retiros y traslados)</t>
  </si>
  <si>
    <t>HISTORIAL DE ASISTENCIA (desde hoja DATOS)</t>
  </si>
  <si>
    <t>Curso / grupo</t>
  </si>
  <si>
    <t>Datos del gráfico (automático)</t>
  </si>
  <si>
    <t>% acumulado</t>
  </si>
  <si>
    <t>Acción sugerida</t>
  </si>
  <si>
    <t>Contactar al estudiante esta semana y notificar a coordinación</t>
  </si>
  <si>
    <t>Contactar al estudiante y acordar compromiso de asistencia</t>
  </si>
  <si>
    <t>Monitorear en las próximas clases; recordatorio al estudiante</t>
  </si>
  <si>
    <t>Sin acción</t>
  </si>
  <si>
    <t>Tipos de alerta (lista para filtros)</t>
  </si>
  <si>
    <t>⚪ SIN REGISTRO</t>
  </si>
  <si>
    <t>⚠️ AUSENCIAS CONSECUTIVAS</t>
  </si>
  <si>
    <t>📉 TENDENCIA NEGATIVA</t>
  </si>
  <si>
    <t>ALERTAS — Estudiantes que requieren atención</t>
  </si>
  <si>
    <t>Ordenado por nivel de atención (1 = máxima). Una fila por estudiante y grupo. Excluye retirados y usuarios de prueba. Ausencias consecutivas y tendencia se activan al cargar la hoja DATOS.</t>
  </si>
  <si>
    <t>Estudiantes únicos con alerta</t>
  </si>
  <si>
    <t>matrículas (estudiante-grupo) por tipo; una matrícula puede tener varias alertas</t>
  </si>
  <si>
    <t>Prioridad (1 = máx.)</t>
  </si>
  <si>
    <t>Faltas</t>
  </si>
  <si>
    <t>Registros</t>
  </si>
  <si>
    <t>INCONSISTENCIAS DE DATOS — detección automática</t>
  </si>
  <si>
    <t>Ningún dato original fue modificado. Esta hoja solo señala problemas y propone cómo corregirlos en la fuente.</t>
  </si>
  <si>
    <t>Inconsistencia</t>
  </si>
  <si>
    <t>Impacto</t>
  </si>
  <si>
    <t>Solución propuesta</t>
  </si>
  <si>
    <t>No hay fechas de asistencia (solo acumulados tipo 4/45)</t>
  </si>
  <si>
    <t>No se puede calcular historial, faltas consecutivas, tendencia ni evolución</t>
  </si>
  <si>
    <t>Exportar el registro diario de la plataforma y pegarlo en la hoja DATOS</t>
  </si>
  <si>
    <t>No se registran las clases dictadas por grupo</t>
  </si>
  <si>
    <t>El % se calcula sobre una estimación (máx. asistencias del grupo)</t>
  </si>
  <si>
    <t>Escribir el número real en GRUPOS, columna 'Clases dictadas (manual)'</t>
  </si>
  <si>
    <t>Activos sin registro de asistencia (Clases = null/null)</t>
  </si>
  <si>
    <t>No tienen % de asistencia; aparecen como ⚪ SIN REGISTRO en ALERTAS</t>
  </si>
  <si>
    <t>Verificar con el docente (concentrado en IAA-02 e IAA-06)</t>
  </si>
  <si>
    <t>Usuario de prueba en la base</t>
  </si>
  <si>
    <t>Distorsiona conteos si no se excluye (ya se excluye de indicadores)</t>
  </si>
  <si>
    <t>Eliminar de la plataforma de origen</t>
  </si>
  <si>
    <t>Clases acumuladas por traslado (planeadas &gt; planeadas del grupo)</t>
  </si>
  <si>
    <t>Asistencias del grupo de origen se suman al de destino</t>
  </si>
  <si>
    <t>Ya se ajusta el denominador; idealmente separar asistencias por grupo en origen</t>
  </si>
  <si>
    <t>…de ellos, sin observación de traslado</t>
  </si>
  <si>
    <t>No se sabe el grupo de origen; se estima proporcionalmente</t>
  </si>
  <si>
    <t>Registrar 'Traslado desde X' en la observación</t>
  </si>
  <si>
    <t>Asistencias mayores que clases dictadas estimadas</t>
  </si>
  <si>
    <t>% limitado a 100%</t>
  </si>
  <si>
    <t>Cargar clases dictadas reales en GRUPOS</t>
  </si>
  <si>
    <t>Matrículas activas que no están en Base Estudiantes</t>
  </si>
  <si>
    <t>Base Estudiantes no refleja traslados recientes</t>
  </si>
  <si>
    <t>Actualizar Base Estudiantes (ver lista abajo)</t>
  </si>
  <si>
    <t>Registros de Base Estudiantes que no están en Estudiantes</t>
  </si>
  <si>
    <t>Estudiante figura en un grupo en el que ya no está</t>
  </si>
  <si>
    <t>Actualizar el grupo en Base Estudiantes (ver lista abajo)</t>
  </si>
  <si>
    <t>Nombres con espacios dobles o sobrantes</t>
  </si>
  <si>
    <t>Dificulta búsquedas exactas (la búsqueda de la ficha tolera esto parcialmente)</t>
  </si>
  <si>
    <t>Limpiar en la plataforma de origen (no se modificó aquí)</t>
  </si>
  <si>
    <t>Resumen por grupo' contiene valores fijos</t>
  </si>
  <si>
    <t>No se actualiza al cambiar los datos</t>
  </si>
  <si>
    <t>Usar GRUPOS/CURSOS, que son dinámicos</t>
  </si>
  <si>
    <t>A. Matrículas activas en Estudiantes que NO están en Base Estudiantes</t>
  </si>
  <si>
    <t>Grupo(s) en Base</t>
  </si>
  <si>
    <t>B. Registros de Base Estudiantes que NO están en Estudiantes</t>
  </si>
  <si>
    <t>Grupo en Base</t>
  </si>
  <si>
    <t>Grupo(s) activos en Estudiantes</t>
  </si>
  <si>
    <t>C. Activos sin registro de asistencia (null/null) y usuarios de prueba</t>
  </si>
  <si>
    <t>CALC — cálculos de apoyo para INICIO (no editar)</t>
  </si>
  <si>
    <t>Crit. programa</t>
  </si>
  <si>
    <t>Crit. grupo</t>
  </si>
  <si>
    <t>Crit. docente</t>
  </si>
  <si>
    <t>Máscara matrículas (filas)</t>
  </si>
  <si>
    <t>KPI</t>
  </si>
  <si>
    <t>Total cursos (programas)</t>
  </si>
  <si>
    <t>Total grupos</t>
  </si>
  <si>
    <t>Estudiantes activos (únicos)</t>
  </si>
  <si>
    <t>Clases dictadas (sesiones)</t>
  </si>
  <si>
    <t>Asistencias registradas</t>
  </si>
  <si>
    <t>En riesgo (Seguimiento + Alerta)</t>
  </si>
  <si>
    <t>Distribución por nivel</t>
  </si>
  <si>
    <t>Matrículas</t>
  </si>
  <si>
    <t>Asistencia vs inasistencia</t>
  </si>
  <si>
    <t>Concepto</t>
  </si>
  <si>
    <t>Asistencia por curso</t>
  </si>
  <si>
    <t>Curso</t>
  </si>
  <si>
    <t>Programa completo</t>
  </si>
  <si>
    <t>SEGUIMIENTO DE ASISTENCIA ACADÉMICA — ESTUD-IA</t>
  </si>
  <si>
    <t>▸ CURSOS</t>
  </si>
  <si>
    <t>▸ FICHA ESTUDIANTE</t>
  </si>
  <si>
    <t>▸ ALERTAS</t>
  </si>
  <si>
    <t>▸ INCONSISTENCIAS</t>
  </si>
  <si>
    <t>▸ GRUPOS</t>
  </si>
  <si>
    <t>▸ DATOS</t>
  </si>
  <si>
    <t>▸ PARÁMETROS</t>
  </si>
  <si>
    <t>Curso (programa)</t>
  </si>
  <si>
    <t>Cursos</t>
  </si>
  <si>
    <t>Estudiantes activos</t>
  </si>
  <si>
    <t>En riesgo (🟡+🟠)</t>
  </si>
  <si>
    <t>🔴 Críticos</t>
  </si>
  <si>
    <t>GRUPOS CON MENOR ASISTENCIA</t>
  </si>
  <si>
    <t>% asist.</t>
  </si>
  <si>
    <t>% riesgo</t>
  </si>
  <si>
    <t>Ver estudiantes del grupo en CURSOS →</t>
  </si>
  <si>
    <t>Hasta (% asistencia, incluido)</t>
  </si>
  <si>
    <t>0% de asistencia (no ha asistido a ninguna clase)</t>
  </si>
  <si>
    <t>Más de 0% y hasta 3.3%</t>
  </si>
  <si>
    <t>Más de 3.3% y hasta 6.7%</t>
  </si>
  <si>
    <t>Más de 6.7%</t>
  </si>
  <si>
    <t>Semáforo sobre el % de asistencia original (columna G de Estudiantes = asistidas / clases planeadas).</t>
  </si>
  <si>
    <t>=IF($C$6="","—",IF(H12="",IF(COUNTIFS(tblMatriculas[Cédula],$C$6,tblMatriculas[Estado],"activa")=0,"Retirado","⚪ SIN REGISTRO"),XLOOKUP(ROUND(H12,3),tblNiveles[Hasta (% asistencia, incluido)],tblNiveles[Nivel],,1)))</t>
  </si>
  <si>
    <t>Asistencia promedio (sobre clases planeadas)</t>
  </si>
  <si>
    <t>Inasistencia (sobre clases dictadas)</t>
  </si>
  <si>
    <t>Asistencia promedio (sobre plan)</t>
  </si>
  <si>
    <t>Docentes del programa (ALERTAS)</t>
  </si>
  <si>
    <t>📅 EVOLUCIÓN POR FECHA
El archivo actual no trae fechas de asistencia (solo acumulados como 4/45), por lo que no se puede graficar la evolución en el tiempo.</t>
  </si>
  <si>
    <t>¿POR QUÉ ESTÁ VACÍA?
Esta hoja es la plantilla para el REGISTRO DIARIO de asistencia. El archivo original no trae la fecha de cada clase (solo acumulados como 4/45), y no se inventan datos.
CÓMO USARLA: exporte de la plataforma el detalle por clase y pegue desde la fila 4:
Fecha | Código grupo (ej. DAT-01) | Cédula | Estudiante | Estado (Presente / Ausente / Justificada / Tarde)
Al pegarlo se activan solos: faltas consecutivas y tendencia en ALERTAS, e historial en FICHA ESTUDIANTE.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</si>
</sst>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dd/mm/yyyy"/>
    <numFmt numFmtId="167" formatCode="dd/mm"/>
    <numFmt numFmtId="168" formatCode="0.#"/>
  </numFmts>
  <fonts count="4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sz val="12"/>
      <color rgb="FF0000FF"/>
      <name val="Calibri"/>
      <family val="2"/>
      <scheme val="minor"/>
    </font>
    <font>
      <b/>
      <sz val="16"/>
      <color rgb="FF1F386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3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8"/>
      <color rgb="FF808080"/>
      <name val="Calibri"/>
      <family val="2"/>
      <scheme val="minor"/>
    </font>
    <font>
      <i/>
      <sz val="8"/>
      <color rgb="FF808080"/>
      <name val="Calibri"/>
      <family val="2"/>
      <scheme val="minor"/>
    </font>
    <font>
      <b/>
      <sz val="9"/>
      <color rgb="FF9C0006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9"/>
      <color rgb="FF833C0B"/>
      <name val="Calibri"/>
      <family val="2"/>
      <scheme val="minor"/>
    </font>
    <font>
      <b/>
      <sz val="18"/>
      <color rgb="FF833C0B"/>
      <name val="Calibri"/>
      <family val="2"/>
      <scheme val="minor"/>
    </font>
    <font>
      <b/>
      <sz val="9"/>
      <color rgb="FF7F6000"/>
      <name val="Calibri"/>
      <family val="2"/>
      <scheme val="minor"/>
    </font>
    <font>
      <b/>
      <sz val="18"/>
      <color rgb="FF7F6000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18"/>
      <color rgb="FF595959"/>
      <name val="Calibri"/>
      <family val="2"/>
      <scheme val="minor"/>
    </font>
    <font>
      <b/>
      <sz val="9"/>
      <color rgb="FF1F3864"/>
      <name val="Calibri"/>
      <family val="2"/>
      <scheme val="minor"/>
    </font>
    <font>
      <b/>
      <sz val="20"/>
      <color rgb="FF1F3864"/>
      <name val="Calibri"/>
      <family val="2"/>
      <scheme val="minor"/>
    </font>
    <font>
      <b/>
      <u/>
      <sz val="9"/>
      <color rgb="FF1F3864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22"/>
      <color rgb="FF1F3864"/>
      <name val="Calibri"/>
      <family val="2"/>
      <scheme val="minor"/>
    </font>
    <font>
      <sz val="8"/>
      <color rgb="FF7F7F7F"/>
      <name val="Calibri"/>
      <family val="2"/>
      <scheme val="minor"/>
    </font>
    <font>
      <b/>
      <sz val="22"/>
      <color rgb="FF833C0B"/>
      <name val="Calibri"/>
      <family val="2"/>
      <scheme val="minor"/>
    </font>
    <font>
      <b/>
      <sz val="22"/>
      <color rgb="FF9C0006"/>
      <name val="Calibri"/>
      <family val="2"/>
      <scheme val="minor"/>
    </font>
    <font>
      <sz val="10"/>
      <color rgb="FF404040"/>
      <name val="Calibri"/>
      <family val="2"/>
      <scheme val="minor"/>
    </font>
    <font>
      <b/>
      <i/>
      <sz val="9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rgb="FFBF9000"/>
      </top>
      <bottom/>
      <diagonal/>
    </border>
    <border>
      <left/>
      <right/>
      <top style="thin">
        <color rgb="FFBF9000"/>
      </top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 style="thin">
        <color rgb="FFBF9000"/>
      </left>
      <right/>
      <top style="thin">
        <color rgb="FFBF9000"/>
      </top>
      <bottom style="thin">
        <color rgb="FFBF9000"/>
      </bottom>
      <diagonal/>
    </border>
    <border>
      <left style="thin">
        <color rgb="FFBF9000"/>
      </left>
      <right/>
      <top style="thin">
        <color rgb="FFBF9000"/>
      </top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/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 style="thick">
        <color rgb="FFFFFFFF"/>
      </right>
      <top style="thick">
        <color rgb="FF1F3864"/>
      </top>
      <bottom/>
      <diagonal/>
    </border>
    <border>
      <left style="thick">
        <color rgb="FFFFFFFF"/>
      </left>
      <right style="thick">
        <color rgb="FFFFFFFF"/>
      </right>
      <top style="thick">
        <color rgb="FF1F3864"/>
      </top>
      <bottom/>
      <diagonal/>
    </border>
    <border>
      <left style="thick">
        <color rgb="FFFFFFFF"/>
      </left>
      <right/>
      <top style="thick">
        <color rgb="FF1F3864"/>
      </top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27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0" applyFont="1"/>
    <xf numFmtId="49" fontId="0" fillId="0" borderId="0" xfId="0" applyNumberFormat="1"/>
    <xf numFmtId="16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0" fontId="5" fillId="2" borderId="0" xfId="2" applyFont="1" applyFill="1" applyAlignment="1">
      <alignment horizontal="center" vertical="center" wrapText="1"/>
    </xf>
    <xf numFmtId="0" fontId="4" fillId="0" borderId="0" xfId="2"/>
    <xf numFmtId="0" fontId="6" fillId="0" borderId="0" xfId="2" applyFont="1"/>
    <xf numFmtId="49" fontId="6" fillId="0" borderId="0" xfId="2" applyNumberFormat="1" applyFont="1"/>
    <xf numFmtId="165" fontId="6" fillId="0" borderId="0" xfId="2" applyNumberFormat="1" applyFont="1"/>
    <xf numFmtId="9" fontId="0" fillId="0" borderId="0" xfId="0" applyNumberFormat="1"/>
    <xf numFmtId="1" fontId="0" fillId="0" borderId="0" xfId="0" applyNumberFormat="1"/>
    <xf numFmtId="0" fontId="1" fillId="3" borderId="0" xfId="0" applyFont="1" applyFill="1"/>
    <xf numFmtId="9" fontId="7" fillId="0" borderId="0" xfId="0" applyNumberFormat="1" applyFont="1"/>
    <xf numFmtId="0" fontId="8" fillId="0" borderId="0" xfId="0" applyFont="1"/>
    <xf numFmtId="0" fontId="11" fillId="0" borderId="0" xfId="0" applyFont="1"/>
    <xf numFmtId="0" fontId="7" fillId="0" borderId="0" xfId="0" applyFont="1"/>
    <xf numFmtId="0" fontId="13" fillId="7" borderId="0" xfId="0" applyFont="1" applyFill="1"/>
    <xf numFmtId="0" fontId="14" fillId="0" borderId="0" xfId="0" applyFont="1"/>
    <xf numFmtId="0" fontId="15" fillId="0" borderId="0" xfId="0" applyFont="1"/>
    <xf numFmtId="166" fontId="0" fillId="0" borderId="0" xfId="0" applyNumberFormat="1"/>
    <xf numFmtId="0" fontId="14" fillId="8" borderId="0" xfId="0" applyFont="1" applyFill="1" applyAlignment="1">
      <alignment wrapText="1"/>
    </xf>
    <xf numFmtId="0" fontId="12" fillId="7" borderId="0" xfId="0" applyFont="1" applyFill="1"/>
    <xf numFmtId="49" fontId="17" fillId="0" borderId="0" xfId="0" applyNumberFormat="1" applyFont="1"/>
    <xf numFmtId="1" fontId="8" fillId="10" borderId="13" xfId="0" applyNumberFormat="1" applyFont="1" applyFill="1" applyBorder="1" applyAlignment="1">
      <alignment horizontal="center"/>
    </xf>
    <xf numFmtId="1" fontId="8" fillId="10" borderId="14" xfId="0" applyNumberFormat="1" applyFont="1" applyFill="1" applyBorder="1" applyAlignment="1">
      <alignment horizontal="center"/>
    </xf>
    <xf numFmtId="3" fontId="8" fillId="10" borderId="14" xfId="0" applyNumberFormat="1" applyFont="1" applyFill="1" applyBorder="1" applyAlignment="1">
      <alignment horizontal="center"/>
    </xf>
    <xf numFmtId="164" fontId="8" fillId="10" borderId="14" xfId="0" applyNumberFormat="1" applyFont="1" applyFill="1" applyBorder="1" applyAlignment="1">
      <alignment horizontal="center"/>
    </xf>
    <xf numFmtId="49" fontId="14" fillId="10" borderId="15" xfId="0" applyNumberFormat="1" applyFont="1" applyFill="1" applyBorder="1" applyAlignment="1">
      <alignment horizontal="center"/>
    </xf>
    <xf numFmtId="0" fontId="14" fillId="3" borderId="0" xfId="0" applyFont="1" applyFill="1" applyAlignment="1">
      <alignment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7" fontId="27" fillId="0" borderId="0" xfId="0" applyNumberFormat="1" applyFont="1"/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1" fillId="0" borderId="19" xfId="0" applyNumberFormat="1" applyFont="1" applyBorder="1" applyAlignment="1">
      <alignment horizontal="center" vertical="center" wrapText="1"/>
    </xf>
    <xf numFmtId="1" fontId="41" fillId="10" borderId="13" xfId="0" applyNumberFormat="1" applyFont="1" applyFill="1" applyBorder="1" applyAlignment="1">
      <alignment horizontal="center"/>
    </xf>
    <xf numFmtId="1" fontId="41" fillId="10" borderId="14" xfId="0" applyNumberFormat="1" applyFont="1" applyFill="1" applyBorder="1" applyAlignment="1">
      <alignment horizontal="center"/>
    </xf>
    <xf numFmtId="3" fontId="41" fillId="10" borderId="14" xfId="0" applyNumberFormat="1" applyFont="1" applyFill="1" applyBorder="1" applyAlignment="1">
      <alignment horizontal="center"/>
    </xf>
    <xf numFmtId="164" fontId="41" fillId="10" borderId="14" xfId="0" applyNumberFormat="1" applyFont="1" applyFill="1" applyBorder="1" applyAlignment="1">
      <alignment horizontal="center"/>
    </xf>
    <xf numFmtId="3" fontId="43" fillId="10" borderId="14" xfId="0" applyNumberFormat="1" applyFont="1" applyFill="1" applyBorder="1" applyAlignment="1">
      <alignment horizontal="center"/>
    </xf>
    <xf numFmtId="3" fontId="44" fillId="10" borderId="15" xfId="0" applyNumberFormat="1" applyFont="1" applyFill="1" applyBorder="1" applyAlignment="1">
      <alignment horizontal="center"/>
    </xf>
    <xf numFmtId="164" fontId="7" fillId="0" borderId="0" xfId="0" applyNumberFormat="1" applyFont="1"/>
    <xf numFmtId="0" fontId="38" fillId="0" borderId="0" xfId="0" applyFont="1"/>
    <xf numFmtId="0" fontId="37" fillId="3" borderId="0" xfId="1" applyNumberFormat="1" applyFont="1" applyFill="1" applyAlignment="1">
      <alignment horizontal="center"/>
    </xf>
    <xf numFmtId="0" fontId="14" fillId="3" borderId="0" xfId="0" applyFont="1" applyFill="1"/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5" fillId="10" borderId="10" xfId="0" applyFont="1" applyFill="1" applyBorder="1" applyAlignment="1">
      <alignment horizontal="center" wrapText="1"/>
    </xf>
    <xf numFmtId="0" fontId="10" fillId="10" borderId="11" xfId="0" applyFont="1" applyFill="1" applyBorder="1" applyAlignment="1">
      <alignment horizontal="center" wrapText="1"/>
    </xf>
    <xf numFmtId="0" fontId="10" fillId="10" borderId="12" xfId="0" applyFont="1" applyFill="1" applyBorder="1" applyAlignment="1">
      <alignment horizontal="center" wrapText="1"/>
    </xf>
    <xf numFmtId="0" fontId="42" fillId="10" borderId="13" xfId="0" applyFont="1" applyFill="1" applyBorder="1" applyAlignment="1">
      <alignment horizontal="center"/>
    </xf>
    <xf numFmtId="0" fontId="42" fillId="10" borderId="14" xfId="0" applyFont="1" applyFill="1" applyBorder="1" applyAlignment="1">
      <alignment horizontal="center"/>
    </xf>
    <xf numFmtId="0" fontId="42" fillId="10" borderId="15" xfId="0" applyFont="1" applyFill="1" applyBorder="1" applyAlignment="1">
      <alignment horizontal="center"/>
    </xf>
    <xf numFmtId="0" fontId="39" fillId="0" borderId="0" xfId="1" applyNumberFormat="1" applyFont="1"/>
    <xf numFmtId="0" fontId="19" fillId="0" borderId="0" xfId="0" applyFont="1"/>
    <xf numFmtId="0" fontId="16" fillId="0" borderId="0" xfId="0" applyFont="1"/>
    <xf numFmtId="0" fontId="10" fillId="0" borderId="0" xfId="0" applyFont="1"/>
    <xf numFmtId="0" fontId="10" fillId="10" borderId="10" xfId="0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26" fillId="0" borderId="0" xfId="0" applyFont="1"/>
    <xf numFmtId="0" fontId="27" fillId="0" borderId="0" xfId="0" applyFont="1"/>
    <xf numFmtId="164" fontId="27" fillId="0" borderId="0" xfId="0" applyNumberFormat="1" applyFont="1"/>
    <xf numFmtId="0" fontId="22" fillId="0" borderId="0" xfId="0" applyFont="1"/>
    <xf numFmtId="0" fontId="24" fillId="0" borderId="0" xfId="0" applyFont="1"/>
    <xf numFmtId="0" fontId="13" fillId="7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29" fillId="5" borderId="13" xfId="0" applyFont="1" applyFill="1" applyBorder="1" applyAlignment="1">
      <alignment horizontal="center" wrapText="1"/>
    </xf>
    <xf numFmtId="0" fontId="31" fillId="9" borderId="14" xfId="0" applyFont="1" applyFill="1" applyBorder="1" applyAlignment="1">
      <alignment horizontal="center" wrapText="1"/>
    </xf>
    <xf numFmtId="0" fontId="33" fillId="4" borderId="14" xfId="0" applyFont="1" applyFill="1" applyBorder="1" applyAlignment="1">
      <alignment horizontal="center" wrapText="1"/>
    </xf>
    <xf numFmtId="0" fontId="35" fillId="6" borderId="14" xfId="0" applyFont="1" applyFill="1" applyBorder="1" applyAlignment="1">
      <alignment horizontal="center" wrapText="1"/>
    </xf>
    <xf numFmtId="0" fontId="31" fillId="12" borderId="14" xfId="0" applyFont="1" applyFill="1" applyBorder="1" applyAlignment="1">
      <alignment horizontal="center" wrapText="1"/>
    </xf>
    <xf numFmtId="0" fontId="37" fillId="10" borderId="15" xfId="0" applyFont="1" applyFill="1" applyBorder="1" applyAlignment="1">
      <alignment horizontal="center" wrapText="1"/>
    </xf>
    <xf numFmtId="0" fontId="30" fillId="5" borderId="13" xfId="0" applyFont="1" applyFill="1" applyBorder="1" applyAlignment="1">
      <alignment horizontal="center"/>
    </xf>
    <xf numFmtId="0" fontId="32" fillId="9" borderId="14" xfId="0" applyFont="1" applyFill="1" applyBorder="1" applyAlignment="1">
      <alignment horizontal="center"/>
    </xf>
    <xf numFmtId="0" fontId="34" fillId="4" borderId="14" xfId="0" applyFont="1" applyFill="1" applyBorder="1" applyAlignment="1">
      <alignment horizontal="center"/>
    </xf>
    <xf numFmtId="0" fontId="36" fillId="6" borderId="14" xfId="0" applyFont="1" applyFill="1" applyBorder="1" applyAlignment="1">
      <alignment horizontal="center"/>
    </xf>
    <xf numFmtId="0" fontId="32" fillId="12" borderId="14" xfId="0" applyFont="1" applyFill="1" applyBorder="1" applyAlignment="1">
      <alignment horizontal="center"/>
    </xf>
    <xf numFmtId="0" fontId="19" fillId="10" borderId="15" xfId="0" applyFont="1" applyFill="1" applyBorder="1" applyAlignment="1">
      <alignment horizontal="center"/>
    </xf>
    <xf numFmtId="0" fontId="28" fillId="0" borderId="0" xfId="0" applyFont="1"/>
    <xf numFmtId="0" fontId="17" fillId="0" borderId="0" xfId="0" applyFont="1" applyAlignment="1">
      <alignment wrapText="1"/>
    </xf>
    <xf numFmtId="0" fontId="17" fillId="0" borderId="0" xfId="0" applyFont="1"/>
    <xf numFmtId="0" fontId="18" fillId="11" borderId="0" xfId="0" applyFont="1" applyFill="1"/>
    <xf numFmtId="164" fontId="17" fillId="0" borderId="0" xfId="0" applyNumberFormat="1" applyFont="1"/>
    <xf numFmtId="0" fontId="0" fillId="0" borderId="18" xfId="0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9" xfId="0" quotePrefix="1" applyBorder="1" applyAlignment="1">
      <alignment vertical="center" wrapText="1"/>
    </xf>
    <xf numFmtId="0" fontId="2" fillId="3" borderId="0" xfId="1" applyNumberFormat="1" applyFill="1" applyAlignment="1">
      <alignment horizontal="center"/>
    </xf>
    <xf numFmtId="0" fontId="20" fillId="11" borderId="4" xfId="0" applyFont="1" applyFill="1" applyBorder="1"/>
    <xf numFmtId="0" fontId="20" fillId="11" borderId="2" xfId="0" applyFont="1" applyFill="1" applyBorder="1"/>
    <xf numFmtId="0" fontId="20" fillId="11" borderId="9" xfId="0" applyFont="1" applyFill="1" applyBorder="1"/>
    <xf numFmtId="0" fontId="40" fillId="0" borderId="16" xfId="0" applyFont="1" applyBorder="1" applyAlignment="1">
      <alignment vertical="center" wrapText="1"/>
    </xf>
    <xf numFmtId="0" fontId="0" fillId="0" borderId="0" xfId="0"/>
    <xf numFmtId="0" fontId="0" fillId="0" borderId="16" xfId="0" applyBorder="1"/>
    <xf numFmtId="0" fontId="45" fillId="10" borderId="22" xfId="0" applyFont="1" applyFill="1" applyBorder="1" applyAlignment="1">
      <alignment vertical="top" wrapText="1"/>
    </xf>
    <xf numFmtId="0" fontId="45" fillId="10" borderId="20" xfId="0" applyFont="1" applyFill="1" applyBorder="1" applyAlignment="1">
      <alignment vertical="top" wrapText="1"/>
    </xf>
    <xf numFmtId="0" fontId="45" fillId="10" borderId="25" xfId="0" applyFont="1" applyFill="1" applyBorder="1" applyAlignment="1">
      <alignment vertical="top" wrapText="1"/>
    </xf>
    <xf numFmtId="0" fontId="45" fillId="10" borderId="23" xfId="0" applyFont="1" applyFill="1" applyBorder="1" applyAlignment="1">
      <alignment vertical="top" wrapText="1"/>
    </xf>
    <xf numFmtId="0" fontId="45" fillId="10" borderId="0" xfId="0" applyFont="1" applyFill="1" applyAlignment="1">
      <alignment vertical="top" wrapText="1"/>
    </xf>
    <xf numFmtId="0" fontId="45" fillId="10" borderId="26" xfId="0" applyFont="1" applyFill="1" applyBorder="1" applyAlignment="1">
      <alignment vertical="top" wrapText="1"/>
    </xf>
    <xf numFmtId="0" fontId="45" fillId="10" borderId="24" xfId="0" applyFont="1" applyFill="1" applyBorder="1" applyAlignment="1">
      <alignment vertical="top" wrapText="1"/>
    </xf>
    <xf numFmtId="0" fontId="45" fillId="10" borderId="21" xfId="0" applyFont="1" applyFill="1" applyBorder="1" applyAlignment="1">
      <alignment vertical="top" wrapText="1"/>
    </xf>
    <xf numFmtId="0" fontId="45" fillId="10" borderId="27" xfId="0" applyFont="1" applyFill="1" applyBorder="1" applyAlignment="1">
      <alignment vertical="top" wrapText="1"/>
    </xf>
    <xf numFmtId="0" fontId="46" fillId="11" borderId="9" xfId="0" applyFont="1" applyFill="1" applyBorder="1"/>
    <xf numFmtId="166" fontId="21" fillId="0" borderId="0" xfId="0" applyNumberFormat="1" applyFont="1" applyAlignment="1">
      <alignment horizontal="left"/>
    </xf>
    <xf numFmtId="49" fontId="21" fillId="0" borderId="0" xfId="0" applyNumberFormat="1" applyFont="1" applyAlignment="1">
      <alignment horizontal="left"/>
    </xf>
    <xf numFmtId="0" fontId="21" fillId="0" borderId="0" xfId="0" applyFont="1"/>
    <xf numFmtId="1" fontId="21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/>
    </xf>
    <xf numFmtId="49" fontId="20" fillId="11" borderId="4" xfId="0" applyNumberFormat="1" applyFont="1" applyFill="1" applyBorder="1"/>
    <xf numFmtId="0" fontId="23" fillId="0" borderId="0" xfId="0" applyFont="1"/>
    <xf numFmtId="0" fontId="46" fillId="11" borderId="2" xfId="0" applyFont="1" applyFill="1" applyBorder="1"/>
    <xf numFmtId="0" fontId="45" fillId="11" borderId="5" xfId="0" applyFont="1" applyFill="1" applyBorder="1" applyAlignment="1">
      <alignment vertical="top" wrapText="1"/>
    </xf>
    <xf numFmtId="0" fontId="45" fillId="11" borderId="1" xfId="0" applyFont="1" applyFill="1" applyBorder="1" applyAlignment="1">
      <alignment vertical="top" wrapText="1"/>
    </xf>
    <xf numFmtId="0" fontId="45" fillId="11" borderId="7" xfId="0" applyFont="1" applyFill="1" applyBorder="1" applyAlignment="1">
      <alignment vertical="top" wrapText="1"/>
    </xf>
    <xf numFmtId="0" fontId="45" fillId="11" borderId="16" xfId="0" applyFont="1" applyFill="1" applyBorder="1" applyAlignment="1">
      <alignment vertical="top" wrapText="1"/>
    </xf>
    <xf numFmtId="0" fontId="45" fillId="11" borderId="0" xfId="0" applyFont="1" applyFill="1" applyAlignment="1">
      <alignment vertical="top" wrapText="1"/>
    </xf>
    <xf numFmtId="0" fontId="45" fillId="11" borderId="17" xfId="0" applyFont="1" applyFill="1" applyBorder="1" applyAlignment="1">
      <alignment vertical="top" wrapText="1"/>
    </xf>
    <xf numFmtId="0" fontId="45" fillId="11" borderId="6" xfId="0" applyFont="1" applyFill="1" applyBorder="1" applyAlignment="1">
      <alignment vertical="top" wrapText="1"/>
    </xf>
    <xf numFmtId="0" fontId="45" fillId="11" borderId="3" xfId="0" applyFont="1" applyFill="1" applyBorder="1" applyAlignment="1">
      <alignment vertical="top" wrapText="1"/>
    </xf>
    <xf numFmtId="0" fontId="45" fillId="11" borderId="8" xfId="0" applyFont="1" applyFill="1" applyBorder="1" applyAlignment="1">
      <alignment vertical="top" wrapText="1"/>
    </xf>
  </cellXfs>
  <cellStyles count="3">
    <cellStyle name="Hipervínculo" xfId="1" builtinId="8"/>
    <cellStyle name="Normal" xfId="0" builtinId="0"/>
    <cellStyle name="Normal 2" xfId="2" xr:uid="{0BE12444-3E30-C049-9301-773BD17575DA}"/>
  </cellStyles>
  <dxfs count="156"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A6A6A6"/>
      </font>
      <fill>
        <patternFill patternType="solid">
          <fgColor indexed="64"/>
          <bgColor rgb="FFF2F2F2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833C0B"/>
      </font>
      <fill>
        <patternFill patternType="solid">
          <fgColor indexed="64"/>
          <bgColor rgb="FFFCE4D6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border>
        <bottom style="thin">
          <color rgb="FFD9D9D9"/>
        </bottom>
      </border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FFFFFF"/>
      </font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border>
        <bottom style="thin">
          <color rgb="FFD9D9D9"/>
        </bottom>
      </border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border>
        <bottom style="thin">
          <color rgb="FFD9D9D9"/>
        </bottom>
      </border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7F6000"/>
      </font>
      <fill>
        <patternFill patternType="solid">
          <fgColor indexed="64"/>
          <bgColor rgb="FFFFEB9C"/>
        </patternFill>
      </fill>
    </dxf>
    <dxf>
      <font>
        <color rgb="FF833C0B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00FF"/>
      </font>
    </dxf>
    <dxf>
      <numFmt numFmtId="164" formatCode="0.0%"/>
    </dxf>
    <dxf>
      <font>
        <sz val="10"/>
      </font>
      <numFmt numFmtId="0" formatCode="General"/>
    </dxf>
    <dxf>
      <font>
        <sz val="10"/>
      </font>
      <numFmt numFmtId="13" formatCode="0%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13" formatCode="0%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  <color rgb="FF0000FF"/>
      </font>
      <fill>
        <patternFill patternType="solid">
          <fgColor indexed="64"/>
          <bgColor rgb="FFFFF2CC"/>
        </patternFill>
      </fill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0" formatCode="General"/>
    </dxf>
    <dxf>
      <font>
        <sz val="10"/>
      </font>
      <numFmt numFmtId="30" formatCode="@"/>
    </dxf>
    <dxf>
      <font>
        <sz val="10"/>
      </font>
    </dxf>
    <dxf>
      <font>
        <sz val="10"/>
      </font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1" formatCode="0"/>
    </dxf>
    <dxf>
      <numFmt numFmtId="164" formatCode="0.0%"/>
    </dxf>
    <dxf>
      <numFmt numFmtId="30" formatCode="@"/>
    </dxf>
    <dxf>
      <numFmt numFmtId="166" formatCode="dd/mm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Asistencia vs. inasistencia (clases)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CALC!$C$27</c:f>
              <c:strCache>
                <c:ptCount val="1"/>
                <c:pt idx="0">
                  <c:v>Clases</c:v>
                </c:pt>
              </c:strCache>
            </c:strRef>
          </c:tx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29-8D41-A8F5-72930E0F6760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329-8D41-A8F5-72930E0F6760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CALC!$B$28:$B$29</c:f>
              <c:strCache>
                <c:ptCount val="2"/>
                <c:pt idx="0">
                  <c:v>Asistencias</c:v>
                </c:pt>
                <c:pt idx="1">
                  <c:v>Inasistencias</c:v>
                </c:pt>
              </c:strCache>
            </c:strRef>
          </c:cat>
          <c:val>
            <c:numRef>
              <c:f>CALC!$C$28:$C$29</c:f>
              <c:numCache>
                <c:formatCode>General</c:formatCode>
                <c:ptCount val="2"/>
                <c:pt idx="0">
                  <c:v>150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9-8D41-A8F5-72930E0F6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 matrículas por nivel de asistencia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CALC!$C$20</c:f>
              <c:strCache>
                <c:ptCount val="1"/>
                <c:pt idx="0">
                  <c:v>Matrículas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C2-6A4B-822D-EB821531CE55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C2-6A4B-822D-EB821531CE5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C2-6A4B-822D-EB821531CE55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7C2-6A4B-822D-EB821531CE55}"/>
              </c:ext>
            </c:extLst>
          </c:dPt>
          <c:dPt>
            <c:idx val="4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7C2-6A4B-822D-EB821531CE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CALC!$B$21:$B$25</c:f>
              <c:strCache>
                <c:ptCount val="5"/>
                <c:pt idx="0">
                  <c:v>🔴 CRÍTICO</c:v>
                </c:pt>
                <c:pt idx="1">
                  <c:v>🟠 ALERTA</c:v>
                </c:pt>
                <c:pt idx="2">
                  <c:v>🟡 SEGUIMIENTO</c:v>
                </c:pt>
                <c:pt idx="3">
                  <c:v>🟢 NORMAL</c:v>
                </c:pt>
                <c:pt idx="4">
                  <c:v>⚪ SIN REGISTRO</c:v>
                </c:pt>
              </c:strCache>
            </c:strRef>
          </c:cat>
          <c:val>
            <c:numRef>
              <c:f>CALC!$C$21:$C$25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2-6A4B-822D-EB821531C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903872"/>
        <c:axId val="2088897152"/>
      </c:barChart>
      <c:catAx>
        <c:axId val="208890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8897152"/>
        <c:crosses val="autoZero"/>
        <c:auto val="1"/>
        <c:lblAlgn val="ctr"/>
        <c:lblOffset val="100"/>
        <c:noMultiLvlLbl val="0"/>
      </c:catAx>
      <c:valAx>
        <c:axId val="20888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890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Asistencia promedio por curso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CALC!$C$31</c:f>
              <c:strCache>
                <c:ptCount val="1"/>
                <c:pt idx="0">
                  <c:v>% asistencia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numFmt formatCode="#,#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CALC!$B$32:$B$38</c:f>
              <c:strCache>
                <c:ptCount val="7"/>
                <c:pt idx="0">
                  <c:v>ANÁLISIS Y VISUALIZACIÓN DE DATOS PA…</c:v>
                </c:pt>
                <c:pt idx="1">
                  <c:v>CLOUD COMPUTING, REDES Y CIBERSEGURI…</c:v>
                </c:pt>
                <c:pt idx="2">
                  <c:v>CREACIÓN Y PRODUCCIÓN ESTRATÉGICA DE…</c:v>
                </c:pt>
                <c:pt idx="3">
                  <c:v>DESARROLLO WEB Y APLICACIONES CON JA…</c:v>
                </c:pt>
                <c:pt idx="4">
                  <c:v>E-COMMERCE, EMPRENDIMIENTO E INNOVAC…</c:v>
                </c:pt>
                <c:pt idx="5">
                  <c:v>IA APLICADA Y AUTOMATIZACIÓN DE PROC…</c:v>
                </c:pt>
                <c:pt idx="6">
                  <c:v>MARKETING DIGITAL INTEGRAL Y GESTIÓN…</c:v>
                </c:pt>
              </c:strCache>
            </c:strRef>
          </c:cat>
          <c:val>
            <c:numRef>
              <c:f>CALC!$C$32:$C$38</c:f>
              <c:numCache>
                <c:formatCode>0.0%</c:formatCode>
                <c:ptCount val="7"/>
                <c:pt idx="0">
                  <c:v>0.10730769230769285</c:v>
                </c:pt>
                <c:pt idx="1">
                  <c:v>9.5829457364341009E-2</c:v>
                </c:pt>
                <c:pt idx="2">
                  <c:v>0.11239072847682118</c:v>
                </c:pt>
                <c:pt idx="3">
                  <c:v>0.10789447236180896</c:v>
                </c:pt>
                <c:pt idx="4">
                  <c:v>0.12704516129032248</c:v>
                </c:pt>
                <c:pt idx="5">
                  <c:v>9.7540229885057728E-2</c:v>
                </c:pt>
                <c:pt idx="6">
                  <c:v>0.10664874551971322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A-354D-8900-0FE35C90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8948992"/>
        <c:axId val="2088950784"/>
      </c:barChart>
      <c:catAx>
        <c:axId val="2088948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8950784"/>
        <c:crosses val="autoZero"/>
        <c:auto val="1"/>
        <c:lblAlgn val="ctr"/>
        <c:lblOffset val="100"/>
        <c:noMultiLvlLbl val="0"/>
      </c:catAx>
      <c:valAx>
        <c:axId val="2088950784"/>
        <c:scaling>
          <c:orientation val="minMax"/>
          <c:max val="0.16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894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asistencia del estudiante (% acumulado)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'FICHA ESTUDIANTE'!$P$5</c:f>
              <c:strCache>
                <c:ptCount val="1"/>
                <c:pt idx="0">
                  <c:v>Fecha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'FICHA ESTUDIANTE'!$P$6:$P$65</c:f>
              <c:numCache>
                <c:formatCode>dd/mm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B3-1B4F-A6B3-0326D901E5D1}"/>
            </c:ext>
          </c:extLst>
        </c:ser>
        <c:ser>
          <c:idx val="1"/>
          <c:order val="1"/>
          <c:tx>
            <c:strRef>
              <c:f>'FICHA ESTUDIANTE'!$Q$5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'FICHA ESTUDIANTE'!$Q$6:$Q$65</c:f>
              <c:numCache>
                <c:formatCode>0.0%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B3-1B4F-A6B3-0326D901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21311"/>
        <c:axId val="22370879"/>
      </c:lineChart>
      <c:catAx>
        <c:axId val="2282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370879"/>
        <c:crosses val="autoZero"/>
        <c:auto val="1"/>
        <c:lblAlgn val="ctr"/>
        <c:lblOffset val="100"/>
        <c:noMultiLvlLbl val="0"/>
      </c:catAx>
      <c:valAx>
        <c:axId val="223708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2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2" name="chAsisVsInasis">
          <a:extLst>
            <a:ext uri="{FF2B5EF4-FFF2-40B4-BE49-F238E27FC236}">
              <a16:creationId xmlns:a16="http://schemas.microsoft.com/office/drawing/2014/main" id="{CF9F28E2-9445-6969-DADD-DF8E830F5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3" name="chDistribucion">
          <a:extLst>
            <a:ext uri="{FF2B5EF4-FFF2-40B4-BE49-F238E27FC236}">
              <a16:creationId xmlns:a16="http://schemas.microsoft.com/office/drawing/2014/main" id="{CA880F50-FF53-BD4E-90D2-B3B3FEBD9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4" name="chPorCurso">
          <a:extLst>
            <a:ext uri="{FF2B5EF4-FFF2-40B4-BE49-F238E27FC236}">
              <a16:creationId xmlns:a16="http://schemas.microsoft.com/office/drawing/2014/main" id="{AEE40B8B-DBA3-F2B3-0042-B68D00C46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31</xdr:row>
      <xdr:rowOff>0</xdr:rowOff>
    </xdr:from>
    <xdr:to>
      <xdr:col>10</xdr:col>
      <xdr:colOff>0</xdr:colOff>
      <xdr:row>48</xdr:row>
      <xdr:rowOff>0</xdr:rowOff>
    </xdr:to>
    <xdr:graphicFrame macro="">
      <xdr:nvGraphicFramePr>
        <xdr:cNvPr id="2" name="chFichaEvolucion">
          <a:extLst>
            <a:ext uri="{FF2B5EF4-FFF2-40B4-BE49-F238E27FC236}">
              <a16:creationId xmlns:a16="http://schemas.microsoft.com/office/drawing/2014/main" id="{F74D43B9-F465-3206-4CC0-1DBC9E347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.santamaria/Downloads/Base_Consolidada_Estudiantes_ESUMER.xlsx" TargetMode="External"/><Relationship Id="rId1" Type="http://schemas.openxmlformats.org/officeDocument/2006/relationships/externalLinkPath" Target="Base_Consolidada_Estudiantes_E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Estudiantes"/>
      <sheetName val="Programas"/>
      <sheetName val="Resumen por grupo"/>
    </sheetNames>
    <sheetDataSet>
      <sheetData sheetId="0"/>
      <sheetData sheetId="1">
        <row r="2">
          <cell r="A2" t="str">
            <v>DAT</v>
          </cell>
          <cell r="B2" t="str">
            <v>Análisis y Visualización de Datos</v>
          </cell>
        </row>
        <row r="3">
          <cell r="A3" t="str">
            <v>RED</v>
          </cell>
          <cell r="B3" t="str">
            <v>Cloud Computing, Redes</v>
          </cell>
        </row>
        <row r="4">
          <cell r="A4" t="str">
            <v>PRO</v>
          </cell>
          <cell r="B4" t="str">
            <v>Creación y Producción</v>
          </cell>
        </row>
        <row r="5">
          <cell r="A5" t="str">
            <v>WEB</v>
          </cell>
          <cell r="B5" t="str">
            <v>Desarrollo Web y Aplic</v>
          </cell>
        </row>
        <row r="6">
          <cell r="A6" t="str">
            <v>MAR</v>
          </cell>
          <cell r="B6" t="str">
            <v>Marketing Digital y Ge</v>
          </cell>
        </row>
        <row r="7">
          <cell r="A7" t="str">
            <v>COM</v>
          </cell>
          <cell r="B7" t="str">
            <v>E-Commerce, Emprendimi</v>
          </cell>
        </row>
        <row r="8">
          <cell r="A8" t="str">
            <v>IAA</v>
          </cell>
          <cell r="B8" t="str">
            <v>IA Aplicada y Automati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862E4E-DFE6-AF46-B16A-2B96B4A33900}" name="tblAsistenciaDiaria" displayName="tblAsistenciaDiaria" ref="A3:F4" totalsRowShown="0">
  <autoFilter ref="A3:F4" xr:uid="{1D862E4E-DFE6-AF46-B16A-2B96B4A33900}"/>
  <tableColumns count="6">
    <tableColumn id="1" xr3:uid="{DD60911C-F580-2F4F-BFD7-496135D6555F}" name="Fecha" dataDxfId="155"/>
    <tableColumn id="2" xr3:uid="{95FC6043-499A-BE4B-868A-CAC6355E0FE4}" name="Código grupo"/>
    <tableColumn id="3" xr3:uid="{A82F95DD-02AB-4746-AB57-713CAE123F87}" name="Cédula" dataDxfId="154"/>
    <tableColumn id="4" xr3:uid="{DE760247-1BAE-0447-85E0-A71F97FFD966}" name="Estudiante"/>
    <tableColumn id="5" xr3:uid="{87048931-C28F-ED45-8AF4-CD4831FBAA94}" name="Estado"/>
    <tableColumn id="6" xr3:uid="{B79903C8-8174-F347-98B0-B85C66B513B2}" name="Observ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22AAC-1229-7D4F-A185-576A5A14A440}" name="tblMatriculas" displayName="tblMatriculas" ref="A1:Z2128" totalsRowShown="0">
  <tableColumns count="26">
    <tableColumn id="1" xr3:uid="{1FD85377-EFE0-484D-8522-232FCFA0097C}" name="Cédula"/>
    <tableColumn id="2" xr3:uid="{234D222D-41D3-C941-BAD4-6B752D64FF1D}" name="Nombre"/>
    <tableColumn id="3" xr3:uid="{7FDB8A7D-C637-D746-9744-F0DB09E725BA}" name="Estado"/>
    <tableColumn id="4" xr3:uid="{226726B8-D3A2-1C4F-9260-EC8C1735CB3A}" name="Grupo"/>
    <tableColumn id="5" xr3:uid="{E9C90A57-12B6-2247-872A-F54059958142}" name="Código"/>
    <tableColumn id="6" xr3:uid="{D1189A72-CAC0-9649-8DFF-83383CE0B6F8}" name="Horario"/>
    <tableColumn id="7" xr3:uid="{D66E5F60-B897-CD42-BF72-63130337EE2E}" name="Asistencia" dataDxfId="153"/>
    <tableColumn id="8" xr3:uid="{9FE7CBB2-E738-DA4C-A985-CA94A8D97819}" name="Clases"/>
    <tableColumn id="9" xr3:uid="{3F9F3928-CF05-B247-87AB-7B3527F8EF15}" name="Programa"/>
    <tableColumn id="10" xr3:uid="{EB5CB54A-0DD7-FA43-BBC7-61DB5B493345}" name="Docente"/>
    <tableColumn id="11" xr3:uid="{D9CEF963-F54E-1140-860E-D74AFA7014DE}" name="Observación"/>
    <tableColumn id="12" xr3:uid="{103D65A4-5D9E-F24F-8669-C5DE055E36A3}" name="Asistidas" dataDxfId="152">
      <calculatedColumnFormula>IFERROR(VALUE(LEFT(tblMatriculas[[#This Row],[Clases]],FIND("/",tblMatriculas[[#This Row],[Clases]])-1)),"")</calculatedColumnFormula>
    </tableColumn>
    <tableColumn id="13" xr3:uid="{46A7A8B8-F18E-FD49-8FC5-2247F086714D}" name="Clases planeadas" dataDxfId="151">
      <calculatedColumnFormula>IFERROR(VALUE(MID(tblMatriculas[[#This Row],[Clases]],FIND("/",tblMatriculas[[#This Row],[Clases]])+1,5)),"")</calculatedColumnFormula>
    </tableColumn>
    <tableColumn id="14" xr3:uid="{F6003AC2-F4DE-4E4C-970E-5DCBCFB0E7D0}" name="Clases dictadas" dataDxfId="150">
      <calculatedColumnFormula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calculatedColumnFormula>
    </tableColumn>
    <tableColumn id="15" xr3:uid="{FF36E844-53F4-7E4B-9360-5402DF25EAFF}" name="Inasistencias" dataDxfId="149">
      <calculatedColumnFormula>IF(OR(tblMatriculas[[#This Row],[Estado]]&lt;&gt;"activa",tblMatriculas[[#This Row],[Clases dictadas]]=""),"",MAX(0,tblMatriculas[[#This Row],[Clases dictadas]]-tblMatriculas[[#This Row],[Asistidas]]))</calculatedColumnFormula>
    </tableColumn>
    <tableColumn id="16" xr3:uid="{E397FA4E-5E9D-1048-AAF9-DC753E0D61AC}" name="% asistencia" dataDxfId="148">
      <calculatedColumnFormula>IF(OR(tblMatriculas[[#This Row],[Estado]]&lt;&gt;"activa",tblMatriculas[[#This Row],[Clases dictadas]]="",N(tblMatriculas[[#This Row],[Clases dictadas]])=0),"",MIN(1,tblMatriculas[[#This Row],[Asistidas]]/tblMatriculas[[#This Row],[Clases dictadas]]))</calculatedColumnFormula>
    </tableColumn>
    <tableColumn id="17" xr3:uid="{4D2651E5-7954-4644-8DFB-BBDD88B8E8A8}" name="Incluir" dataDxfId="147">
      <calculatedColumnFormula>AND(tblMatriculas[[#This Row],[Estado]]="activa",ISNUMBER(tblMatriculas[[#This Row],[% asistencia]]),NOT(ISNUMBER(SEARCH(pPrueba,tblMatriculas[[#This Row],[Nombre]]))))</calculatedColumnFormula>
    </tableColumn>
    <tableColumn id="18" xr3:uid="{B86EDE10-96DB-5E44-9613-3868F45EE939}" name="Nivel" dataDxfId="146">
      <calculatedColumnFormula>IF(tblMatriculas[[#This Row],[Estado]]&lt;&gt;"activa","Retirado",IF(ISNUMBER(SEARCH(pPrueba,tblMatriculas[[#This Row],[Nombre]])),"Prueba",IF(tblMatriculas[[#This Row],[% asistencia]]="","⚪ SIN REGISTRO",_xlfn.XLOOKUP(tblMatriculas[[#This Row],[% asistencia]],tblNiveles[Hasta (% asistencia, incluido)],tblNiveles[Nivel],,-1))))</calculatedColumnFormula>
    </tableColumn>
    <tableColumn id="19" xr3:uid="{6C26284E-30FE-1342-8869-885D0CAC7F1C}" name="Última asistencia" dataDxfId="145">
      <calculatedColumnFormula array="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calculatedColumnFormula>
    </tableColumn>
    <tableColumn id="20" xr3:uid="{38C524ED-058B-884D-9764-64846407F4DA}" name="Última inasistencia" dataDxfId="144">
      <calculatedColumnFormula array="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calculatedColumnFormula>
    </tableColumn>
    <tableColumn id="21" xr3:uid="{97B7FC3F-21F6-6648-8CBB-B6D12D275284}" name="Faltas consecutivas" dataDxfId="143">
      <calculatedColumnFormula array="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calculatedColumnFormula>
    </tableColumn>
    <tableColumn id="22" xr3:uid="{7DE682D5-73AA-6849-9FE2-65AA75D8494F}" name="Tendencia" dataDxfId="142">
      <calculatedColumnFormula array="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calculatedColumnFormula>
    </tableColumn>
    <tableColumn id="23" xr3:uid="{8ABDCA93-C432-2D46-B6CB-AB48D8BF33B5}" name="Tipo de alerta" dataDxfId="141">
      <calculatedColumnFormula array="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calculatedColumnFormula>
    </tableColumn>
    <tableColumn id="24" xr3:uid="{B702DEDB-CBFB-E048-B4A8-99F46F5FBACC}" name="Prioridad" dataDxfId="140">
      <calculatedColumnFormula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calculatedColumnFormula>
    </tableColumn>
    <tableColumn id="25" xr3:uid="{0D9EA7FB-7882-224A-B0E2-7A4C6BD0277E}" name="En Base Estudiantes" dataDxfId="139">
      <calculatedColumnFormula>IF(COUNTIFS('Base Estudiantes'!$C:$C,tblMatriculas[[#This Row],[Cédula]],'Base Estudiantes'!$I:$I,tblMatriculas[[#This Row],[Código]])&gt;0,"Sí","No")</calculatedColumnFormula>
    </tableColumn>
    <tableColumn id="26" xr3:uid="{4B65B2D8-A5D5-FD42-BBDE-A273A4586665}" name="Fecha matrícula" dataDxfId="1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635E8-64DE-5F44-A08A-35947D7A93AF}" name="tblBase" displayName="tblBase" ref="A1:K2042" totalsRowShown="0" headerRowDxfId="137" dataDxfId="136" headerRowCellStyle="Normal 2" dataCellStyle="Normal 2">
  <autoFilter ref="A1:K2042" xr:uid="{00000000-0009-0000-0000-000000000000}"/>
  <tableColumns count="11">
    <tableColumn id="1" xr3:uid="{88EA9B74-AC47-9E45-9BDF-887CF3AC3A0C}" name="#" dataDxfId="135" dataCellStyle="Normal 2"/>
    <tableColumn id="2" xr3:uid="{138E72EA-CBCC-5E4A-85FA-76BCF763CAE0}" name="Nombre" dataDxfId="134" dataCellStyle="Normal 2"/>
    <tableColumn id="3" xr3:uid="{AC7EF7DB-2A1B-B840-9563-77A0C9FA1B49}" name="Documento" dataDxfId="133" dataCellStyle="Normal 2"/>
    <tableColumn id="4" xr3:uid="{2333A923-01E6-4C42-B40D-78A013A1D953}" name="Tipo Doc." dataDxfId="132" dataCellStyle="Normal 2"/>
    <tableColumn id="5" xr3:uid="{A46380F7-DDE0-F348-B2D6-433645E5E3A3}" name="Correo" dataDxfId="131" dataCellStyle="Normal 2"/>
    <tableColumn id="6" xr3:uid="{A0D8E5BD-5949-5342-B7B8-A9625D56CEF7}" name="Teléfono" dataDxfId="130" dataCellStyle="Normal 2"/>
    <tableColumn id="7" xr3:uid="{18392374-66E6-B844-8146-0255CC12E132}" name="Estado matrícula" dataDxfId="129" dataCellStyle="Normal 2"/>
    <tableColumn id="8" xr3:uid="{A864477E-522A-124D-84EB-3DB9DA0B15B6}" name="Fecha matrícula" dataDxfId="128" dataCellStyle="Normal 2"/>
    <tableColumn id="9" xr3:uid="{AF5EBB86-E4F9-1145-B727-1EC2C80A0E69}" name="Código grupo" dataDxfId="127" dataCellStyle="Normal 2"/>
    <tableColumn id="10" xr3:uid="{DDFF35CB-8790-0B47-B646-E42E23695E2C}" name="Nombre grupo" dataDxfId="126" dataCellStyle="Normal 2">
      <calculatedColumnFormula>IFERROR(INDEX([1]Programas!$B$2:$B$50,MATCH(LEFT(I2,3),[1]Programas!$A$2:$A$50,0)),"")</calculatedColumnFormula>
    </tableColumn>
    <tableColumn id="11" xr3:uid="{802FC3B4-EA0C-6A4C-B66B-9B6326F846D0}" name="Horario" dataDxfId="125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92F064-07DC-6141-BFB1-3E11CBAFC2C1}" name="tblGrupos" displayName="tblGrupos" ref="A3:U60" totalsRowShown="0" headerRowDxfId="124" dataDxfId="123">
  <autoFilter ref="A3:U60" xr:uid="{6392F064-07DC-6141-BFB1-3E11CBAFC2C1}"/>
  <tableColumns count="21">
    <tableColumn id="1" xr3:uid="{259A772D-27D1-FD4F-A62A-F9C4B9B754CE}" name="Código" dataDxfId="122"/>
    <tableColumn id="2" xr3:uid="{9240A2DD-E154-A24A-B04D-215E42FAD5FA}" name="Programa" dataDxfId="121">
      <calculatedColumnFormula>_xlfn.XLOOKUP(tblGrupos[[#This Row],[Código]],tblMatriculas[Código],tblMatriculas[Programa])</calculatedColumnFormula>
    </tableColumn>
    <tableColumn id="3" xr3:uid="{B1002E9C-4276-2C49-9586-24EB523A2346}" name="Grupo" dataDxfId="120">
      <calculatedColumnFormula>_xlfn.XLOOKUP(tblGrupos[[#This Row],[Código]],tblMatriculas[Código],tblMatriculas[Grupo])</calculatedColumnFormula>
    </tableColumn>
    <tableColumn id="4" xr3:uid="{53FFBDAE-E928-5644-A1A0-06B079EF2845}" name="Docente" dataDxfId="119">
      <calculatedColumnFormula>_xlfn.XLOOKUP(tblGrupos[[#This Row],[Código]],tblMatriculas[Código],tblMatriculas[Docente])</calculatedColumnFormula>
    </tableColumn>
    <tableColumn id="5" xr3:uid="{917790B3-8764-4648-B13B-E69A30333238}" name="Horario" dataDxfId="118">
      <calculatedColumnFormula>_xlfn.XLOOKUP(tblGrupos[[#This Row],[Código]],tblMatriculas[Código],tblMatriculas[Horario])</calculatedColumnFormula>
    </tableColumn>
    <tableColumn id="6" xr3:uid="{C873824A-AEBE-DD41-A217-0F91E40E710D}" name="Clases planeadas" dataDxfId="117">
      <calculatedColumnFormula>_xlfn.MINIFS(tblMatriculas[Clases planeadas],tblMatriculas[Código],tblGrupos[[#This Row],[Código]])</calculatedColumnFormula>
    </tableColumn>
    <tableColumn id="7" xr3:uid="{CE6C6B6B-0455-494D-AC6E-B3BFFB45D7B1}" name="Clases dictadas (est.)" dataDxfId="116">
      <calculatedColumnFormula>_xlfn.MAXIFS(tblMatriculas[Asistidas],tblMatriculas[Código],tblGrupos[[#This Row],[Código]],tblMatriculas[Clases planeadas],tblGrupos[[#This Row],[Clases planeadas]],tblMatriculas[Estado],"activa")</calculatedColumnFormula>
    </tableColumn>
    <tableColumn id="8" xr3:uid="{C5F9640F-FE21-A944-9DD5-2F7775A33A86}" name="Clases dictadas (manual)" dataDxfId="115"/>
    <tableColumn id="9" xr3:uid="{DBC436D1-FAB9-D14B-8415-F946923526CA}" name="Clases dictadas" dataDxfId="114">
      <calculatedColumnFormula>IF(tblGrupos[[#This Row],[Clases dictadas (manual)]]&lt;&gt;"",tblGrupos[[#This Row],[Clases dictadas (manual)]],tblGrupos[[#This Row],[Clases dictadas (est.)]])</calculatedColumnFormula>
    </tableColumn>
    <tableColumn id="10" xr3:uid="{58F49AF4-EF9D-1745-9245-63051E3A820E}" name="Matrículas activas" dataDxfId="113">
      <calculatedColumnFormula>COUNTIFS(tblMatriculas[Código],tblGrupos[[#This Row],[Código]],tblMatriculas[Estado],"activa")</calculatedColumnFormula>
    </tableColumn>
    <tableColumn id="11" xr3:uid="{C9DA7EC9-BC50-F54B-A271-32E7F6162073}" name="Estudiantes evaluados" dataDxfId="112">
      <calculatedColumnFormula>COUNTIFS(tblMatriculas[Código],tblGrupos[[#This Row],[Código]],tblMatriculas[Incluir],TRUE)</calculatedColumnFormula>
    </tableColumn>
    <tableColumn id="12" xr3:uid="{3A6A893B-3D92-874C-A6D9-83FECE109F67}" name="Asistencias" dataDxfId="111">
      <calculatedColumnFormula>SUMIFS(tblMatriculas[Asistidas],tblMatriculas[Código],tblGrupos[[#This Row],[Código]],tblMatriculas[Incluir],TRUE)</calculatedColumnFormula>
    </tableColumn>
    <tableColumn id="13" xr3:uid="{52981B93-C50F-CA49-8F49-7D191C1BD337}" name="Inasistencias" dataDxfId="110">
      <calculatedColumnFormula>SUMIFS(tblMatriculas[Inasistencias],tblMatriculas[Código],tblGrupos[[#This Row],[Código]],tblMatriculas[Incluir],TRUE)</calculatedColumnFormula>
    </tableColumn>
    <tableColumn id="14" xr3:uid="{4D5F8973-6DE2-6445-A147-8AEF62F00F5F}" name="% asistencia" dataDxfId="109">
      <calculatedColumnFormula>IFERROR(AVERAGEIFS(tblMatriculas[% asistencia],tblMatriculas[Código],tblGrupos[[#This Row],[Código]],tblMatriculas[Incluir],TRUE),"")</calculatedColumnFormula>
    </tableColumn>
    <tableColumn id="15" xr3:uid="{BAC45B5E-1233-2640-9EE0-72A93C7EC2CC}" name="Críticos" dataDxfId="108">
      <calculatedColumnFormula>COUNTIFS(tblMatriculas[Código],tblGrupos[[#This Row],[Código]],tblMatriculas[Nivel],INDEX(tblNiveles[Nivel],1))</calculatedColumnFormula>
    </tableColumn>
    <tableColumn id="16" xr3:uid="{723ECA77-264F-1D41-9FC4-4FB5BA4FD2BD}" name="Alerta" dataDxfId="107">
      <calculatedColumnFormula>COUNTIFS(tblMatriculas[Código],tblGrupos[[#This Row],[Código]],tblMatriculas[Nivel],INDEX(tblNiveles[Nivel],2))</calculatedColumnFormula>
    </tableColumn>
    <tableColumn id="17" xr3:uid="{A01FEF3E-DB6E-254A-BD72-C901EA42591E}" name="Seguimiento" dataDxfId="106">
      <calculatedColumnFormula>COUNTIFS(tblMatriculas[Código],tblGrupos[[#This Row],[Código]],tblMatriculas[Nivel],INDEX(tblNiveles[Nivel],3))</calculatedColumnFormula>
    </tableColumn>
    <tableColumn id="18" xr3:uid="{94F9942E-03F1-3240-8502-C9F6D5A03672}" name="Normal" dataDxfId="105">
      <calculatedColumnFormula>COUNTIFS(tblMatriculas[Código],tblGrupos[[#This Row],[Código]],tblMatriculas[Nivel],INDEX(tblNiveles[Nivel],4))</calculatedColumnFormula>
    </tableColumn>
    <tableColumn id="19" xr3:uid="{0D030149-BD28-494A-BA3F-E88B19B656BD}" name="Sin registro" dataDxfId="104">
      <calculatedColumnFormula>COUNTIFS(tblMatriculas[Código],tblGrupos[[#This Row],[Código]],tblMatriculas[Nivel],"⚪ SIN REGISTRO")</calculatedColumnFormula>
    </tableColumn>
    <tableColumn id="20" xr3:uid="{6EB3A4D5-6683-F84E-953F-BCC07FA962D2}" name="% en riesgo" dataDxfId="103">
      <calculatedColumnFormula>IF(tblGrupos[[#This Row],[Estudiantes evaluados]]=0,"",(tblGrupos[[#This Row],[Críticos]]+tblGrupos[[#This Row],[Alerta]]+tblGrupos[[#This Row],[Seguimiento]])/tblGrupos[[#This Row],[Estudiantes evaluados]])</calculatedColumnFormula>
    </tableColumn>
    <tableColumn id="21" xr3:uid="{4E1DFA44-50DD-6E4F-9C02-E64BBD1D92D0}" name="Nivel grupo" dataDxfId="102">
      <calculatedColumnFormula>IF(tblGrupos[[#This Row],[% asistencia]]="","⚪ SIN REGISTRO",_xlfn.XLOOKUP(ROUND(tblGrupos[[#This Row],[% asistencia]],3),tblNiveles[Hasta (% asistencia, incluido)],tblNiveles[Nivel],,1))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6BB89-48A9-7447-BA25-A4DE95483A81}" name="tblNiveles" displayName="tblNiveles" ref="A4:E8" totalsRowShown="0">
  <autoFilter ref="A4:E8" xr:uid="{9096BB89-48A9-7447-BA25-A4DE95483A81}"/>
  <tableColumns count="5">
    <tableColumn id="1" xr3:uid="{47363ECA-4979-A840-82EC-70CB297F4675}" name="Nivel"/>
    <tableColumn id="2" xr3:uid="{04F520E7-5732-2C4C-8F35-2B457CBB5C49}" name="Hasta (% asistencia, incluido)" dataDxfId="101"/>
    <tableColumn id="3" xr3:uid="{4097D8D5-747A-0D4B-9CC8-D063CA55CAC9}" name="Prioridad"/>
    <tableColumn id="4" xr3:uid="{46C7B14C-080B-6F4E-950B-3C51023B8BA5}" name="Descripción"/>
    <tableColumn id="5" xr3:uid="{C29BD518-8089-9849-B271-7070CD842011}" name="Acción sugerida" dataDxfId="10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6A87F4-5B5D-E947-A583-927B2B521FAD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eadfcf8a-0091-4649-9232-97ffd4508b9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FA23-EA70-8344-A2A5-35DFAB359E36}">
  <sheetPr>
    <tabColor rgb="FF1F3864"/>
  </sheetPr>
  <dimension ref="B1:P34"/>
  <sheetViews>
    <sheetView showGridLines="0" workbookViewId="0">
      <selection activeCell="C5" sqref="C5:E5"/>
    </sheetView>
  </sheetViews>
  <sheetFormatPr baseColWidth="10" defaultRowHeight="16" x14ac:dyDescent="0.2"/>
  <cols>
    <col min="1" max="1" width="2" customWidth="1"/>
    <col min="2" max="9" width="19.6640625" customWidth="1"/>
    <col min="10" max="10" width="3.33203125" customWidth="1"/>
    <col min="11" max="11" width="10.33203125" customWidth="1"/>
    <col min="12" max="12" width="21.6640625" customWidth="1"/>
    <col min="13" max="14" width="12.5" customWidth="1"/>
    <col min="15" max="15" width="11.6640625" customWidth="1"/>
    <col min="16" max="16" width="18.33203125" customWidth="1"/>
  </cols>
  <sheetData>
    <row r="1" spans="2:16" ht="26" x14ac:dyDescent="0.3">
      <c r="B1" s="46" t="s">
        <v>9237</v>
      </c>
    </row>
    <row r="2" spans="2:16" x14ac:dyDescent="0.2">
      <c r="B2" s="18" t="str">
        <f>"Asistencia calculada sobre clases dictadas · Fuente: hoja Estudiantes ("&amp;ROWS(tblMatriculas[Cédula])&amp;" matrículas) · Umbrales en PARAMETROS"</f>
        <v>Asistencia calculada sobre clases dictadas · Fuente: hoja Estudiantes (2127 matrículas) · Umbrales en PARAMETROS</v>
      </c>
    </row>
    <row r="3" spans="2:16" x14ac:dyDescent="0.2">
      <c r="B3" s="93" t="s">
        <v>9238</v>
      </c>
      <c r="C3" s="93" t="s">
        <v>9239</v>
      </c>
      <c r="D3" s="93" t="s">
        <v>9240</v>
      </c>
      <c r="E3" s="93" t="s">
        <v>9241</v>
      </c>
      <c r="F3" s="93" t="s">
        <v>9242</v>
      </c>
      <c r="G3" s="93" t="s">
        <v>9243</v>
      </c>
      <c r="H3" s="93" t="s">
        <v>9244</v>
      </c>
      <c r="I3" s="47"/>
    </row>
    <row r="5" spans="2:16" x14ac:dyDescent="0.2">
      <c r="B5" s="21" t="s">
        <v>9245</v>
      </c>
      <c r="C5" s="94" t="s">
        <v>18</v>
      </c>
      <c r="D5" s="95"/>
      <c r="E5" s="96"/>
      <c r="F5" s="97" t="str">
        <f>"Periodo / Fecha: "&amp;IF(COUNT(tblAsistenciaDiaria[Fecha])=0,"no disponibles — el archivo no trae fechas de asistencia. Al cargar la hoja DATOS, use los filtros de fecha en ANÁLISIS FECHA.","use los filtros Desde/Hasta en ANÁLISIS FECHA ("&amp;DAY(MIN(tblAsistenciaDiaria[Fecha]))&amp;"/"&amp;MONTH(MIN(tblAsistenciaDiaria[Fecha]))&amp;"/"&amp;YEAR(MIN(tblAsistenciaDiaria[Fecha]))&amp;" – "&amp;DAY(MAX(tblAsistenciaDiaria[Fecha]))&amp;"/"&amp;MONTH(MAX(tblAsistenciaDiaria[Fecha]))&amp;"/"&amp;YEAR(MAX(tblAsistenciaDiaria[Fecha]))&amp;").")</f>
        <v>Periodo / Fecha: no disponibles — el archivo no trae fechas de asistencia. Al cargar la hoja DATOS, use los filtros de fecha en ANÁLISIS FECHA.</v>
      </c>
      <c r="G5" s="98"/>
      <c r="H5" s="98"/>
      <c r="I5" s="98"/>
      <c r="K5" s="20" t="s">
        <v>9250</v>
      </c>
      <c r="L5" s="20"/>
      <c r="M5" s="20"/>
      <c r="N5" s="20"/>
      <c r="O5" s="20"/>
      <c r="P5" s="20"/>
    </row>
    <row r="6" spans="2:16" x14ac:dyDescent="0.2">
      <c r="B6" s="21" t="s">
        <v>3</v>
      </c>
      <c r="C6" s="94" t="s">
        <v>430</v>
      </c>
      <c r="D6" s="95"/>
      <c r="E6" s="96"/>
      <c r="F6" s="99"/>
      <c r="G6" s="98"/>
      <c r="H6" s="98"/>
      <c r="I6" s="98"/>
      <c r="K6" s="48" t="s">
        <v>3</v>
      </c>
      <c r="L6" s="48" t="s">
        <v>9</v>
      </c>
      <c r="M6" s="48" t="s">
        <v>9251</v>
      </c>
      <c r="N6" s="48" t="s">
        <v>9103</v>
      </c>
      <c r="O6" s="48" t="s">
        <v>9252</v>
      </c>
      <c r="P6" s="48" t="s">
        <v>9060</v>
      </c>
    </row>
    <row r="7" spans="2:16" x14ac:dyDescent="0.2">
      <c r="B7" s="21" t="s">
        <v>9</v>
      </c>
      <c r="C7" s="94" t="s">
        <v>9125</v>
      </c>
      <c r="D7" s="95"/>
      <c r="E7" s="96"/>
      <c r="F7" s="99"/>
      <c r="G7" s="98"/>
      <c r="H7" s="98"/>
      <c r="I7" s="98"/>
      <c r="K7" s="49" t="str" cm="1">
        <f t="array" ref="K7:P7">_xlfn.LET(_xlpm.k,COUNTIFS(tblGrupos[Código],tblGrupos[Código],tblGrupos[Programa],CALC!$B$3,tblGrupos[Código],CALC!$B$4,tblGrupos[Docente],CALC!$B$5)*(tblGrupos[Estudiantes evaluados]&gt;0),_xlpm.res,_xlfn._xlws.FILTER(_xlfn.HSTACK(tblGrupos[Código],tblGrupos[Docente],tblGrupos[% asistencia],tblGrupos[Críticos],tblGrupos[% en riesgo],tblGrupos[Nivel grupo]),_xlpm.k,"Sin grupos"),_xlfn.TAKE(_xlfn.SORTBY(_xlpm.res,_xlfn.CHOOSECOLS(_xlpm.res,3),1),MIN(12,ROWS(_xlpm.res))))</f>
        <v>DAT-05</v>
      </c>
      <c r="L7" s="49" t="str">
        <v>Johan Muriel</v>
      </c>
      <c r="M7" s="50">
        <v>0.12576923076923072</v>
      </c>
      <c r="N7" s="51">
        <v>7</v>
      </c>
      <c r="O7" s="50">
        <v>0.17948717948717949</v>
      </c>
      <c r="P7" s="49" t="str">
        <v>🟢 NORMAL</v>
      </c>
    </row>
    <row r="8" spans="2:16" ht="17" thickBot="1" x14ac:dyDescent="0.25">
      <c r="K8" s="49"/>
      <c r="L8" s="49"/>
      <c r="M8" s="50"/>
      <c r="N8" s="51"/>
      <c r="O8" s="50"/>
      <c r="P8" s="49"/>
    </row>
    <row r="9" spans="2:16" ht="28" thickTop="1" x14ac:dyDescent="0.2">
      <c r="B9" s="52" t="s">
        <v>9246</v>
      </c>
      <c r="C9" s="53" t="s">
        <v>9120</v>
      </c>
      <c r="D9" s="53" t="s">
        <v>9247</v>
      </c>
      <c r="E9" s="53" t="s">
        <v>9227</v>
      </c>
      <c r="F9" s="53" t="s">
        <v>9263</v>
      </c>
      <c r="G9" s="53" t="s">
        <v>9262</v>
      </c>
      <c r="H9" s="53" t="s">
        <v>9248</v>
      </c>
      <c r="I9" s="54" t="s">
        <v>9249</v>
      </c>
      <c r="K9" s="49"/>
      <c r="L9" s="49"/>
      <c r="M9" s="50"/>
      <c r="N9" s="51"/>
      <c r="O9" s="50"/>
      <c r="P9" s="49"/>
    </row>
    <row r="10" spans="2:16" ht="34" customHeight="1" x14ac:dyDescent="0.35">
      <c r="B10" s="39">
        <f>CALC!B9</f>
        <v>1</v>
      </c>
      <c r="C10" s="40">
        <f>CALC!B10</f>
        <v>1</v>
      </c>
      <c r="D10" s="41">
        <f>CALC!B11</f>
        <v>39</v>
      </c>
      <c r="E10" s="41">
        <f>CALC!B13</f>
        <v>5</v>
      </c>
      <c r="F10" s="42">
        <f>CALC!B16</f>
        <v>0.12576923076923072</v>
      </c>
      <c r="G10" s="42">
        <f>CALC!B17</f>
        <v>0.25</v>
      </c>
      <c r="H10" s="43">
        <f>CALC!B18</f>
        <v>0</v>
      </c>
      <c r="I10" s="44">
        <f>CALC!B19</f>
        <v>7</v>
      </c>
      <c r="K10" s="49"/>
      <c r="L10" s="49"/>
      <c r="M10" s="50"/>
      <c r="N10" s="51"/>
      <c r="O10" s="50"/>
      <c r="P10" s="49"/>
    </row>
    <row r="11" spans="2:16" x14ac:dyDescent="0.2">
      <c r="B11" s="55" t="str">
        <f>CALC!B12&amp;" matrículas"</f>
        <v>39 matrículas</v>
      </c>
      <c r="C11" s="56"/>
      <c r="D11" s="56"/>
      <c r="E11" s="56" t="str">
        <f>CALC!B14&amp;" asistencias"</f>
        <v>150 asistencias</v>
      </c>
      <c r="F11" s="56" t="str">
        <f>IF(CALC!B16="","",_xlfn.XLOOKUP(ROUND(CALC!B16,3),tblNiveles[Hasta (% asistencia, incluido)],tblNiveles[Nivel],,1))</f>
        <v>🟢 NORMAL</v>
      </c>
      <c r="G11" s="56"/>
      <c r="H11" s="56" t="str">
        <f>IFERROR(ROUND(CALC!B18/CALC!B12*100,0)&amp;"% de matrículas","")</f>
        <v>0% de matrículas</v>
      </c>
      <c r="I11" s="57" t="str">
        <f>IFERROR(ROUND(CALC!B19/CALC!B12*100,0)&amp;"% · "&amp;CALC!C25&amp;" sin registro","")</f>
        <v>18% · 0 sin registro</v>
      </c>
      <c r="K11" s="49"/>
      <c r="L11" s="49"/>
      <c r="M11" s="50"/>
      <c r="N11" s="51"/>
      <c r="O11" s="50"/>
      <c r="P11" s="49"/>
    </row>
    <row r="12" spans="2:16" x14ac:dyDescent="0.2">
      <c r="K12" s="49"/>
      <c r="L12" s="49"/>
      <c r="M12" s="50"/>
      <c r="N12" s="51"/>
      <c r="O12" s="50"/>
      <c r="P12" s="49"/>
    </row>
    <row r="13" spans="2:16" x14ac:dyDescent="0.2">
      <c r="K13" s="49"/>
      <c r="L13" s="49"/>
      <c r="M13" s="50"/>
      <c r="N13" s="51"/>
      <c r="O13" s="50"/>
      <c r="P13" s="49"/>
    </row>
    <row r="14" spans="2:16" x14ac:dyDescent="0.2">
      <c r="K14" s="49"/>
      <c r="L14" s="49"/>
      <c r="M14" s="50"/>
      <c r="N14" s="51"/>
      <c r="O14" s="50"/>
      <c r="P14" s="49"/>
    </row>
    <row r="15" spans="2:16" x14ac:dyDescent="0.2">
      <c r="K15" s="49"/>
      <c r="L15" s="49"/>
      <c r="M15" s="50"/>
      <c r="N15" s="51"/>
      <c r="O15" s="50"/>
      <c r="P15" s="49"/>
    </row>
    <row r="16" spans="2:16" x14ac:dyDescent="0.2">
      <c r="K16" s="49"/>
      <c r="L16" s="49"/>
      <c r="M16" s="50"/>
      <c r="N16" s="51"/>
      <c r="O16" s="50"/>
      <c r="P16" s="49"/>
    </row>
    <row r="17" spans="7:16" x14ac:dyDescent="0.2">
      <c r="K17" s="49"/>
      <c r="L17" s="49"/>
      <c r="M17" s="50"/>
      <c r="N17" s="51"/>
      <c r="O17" s="50"/>
      <c r="P17" s="49"/>
    </row>
    <row r="18" spans="7:16" x14ac:dyDescent="0.2">
      <c r="K18" s="49"/>
      <c r="L18" s="49"/>
      <c r="M18" s="50"/>
      <c r="N18" s="51"/>
      <c r="O18" s="50"/>
      <c r="P18" s="49"/>
    </row>
    <row r="19" spans="7:16" x14ac:dyDescent="0.2">
      <c r="K19" s="58" t="s">
        <v>9253</v>
      </c>
    </row>
    <row r="30" spans="7:16" ht="30" customHeight="1" x14ac:dyDescent="0.2">
      <c r="G30" s="100" t="s">
        <v>9265</v>
      </c>
      <c r="H30" s="101"/>
      <c r="I30" s="102"/>
    </row>
    <row r="31" spans="7:16" ht="30" customHeight="1" x14ac:dyDescent="0.2">
      <c r="G31" s="103"/>
      <c r="H31" s="104"/>
      <c r="I31" s="105"/>
    </row>
    <row r="32" spans="7:16" ht="30" customHeight="1" x14ac:dyDescent="0.2">
      <c r="G32" s="103"/>
      <c r="H32" s="104"/>
      <c r="I32" s="105"/>
    </row>
    <row r="33" spans="7:9" ht="30" customHeight="1" x14ac:dyDescent="0.2">
      <c r="G33" s="103"/>
      <c r="H33" s="104"/>
      <c r="I33" s="105"/>
    </row>
    <row r="34" spans="7:9" ht="30" customHeight="1" x14ac:dyDescent="0.2">
      <c r="G34" s="106"/>
      <c r="H34" s="107"/>
      <c r="I34" s="108"/>
    </row>
  </sheetData>
  <mergeCells count="5">
    <mergeCell ref="C5:E5"/>
    <mergeCell ref="C6:E6"/>
    <mergeCell ref="C7:E7"/>
    <mergeCell ref="F5:I7"/>
    <mergeCell ref="G30:I34"/>
  </mergeCells>
  <conditionalFormatting sqref="F10:F11">
    <cfRule type="expression" dxfId="99" priority="1">
      <formula>$F$11="🔴 CRÍTICO"</formula>
    </cfRule>
    <cfRule type="expression" dxfId="98" priority="2">
      <formula>$F$11="🟠 ALERTA"</formula>
    </cfRule>
    <cfRule type="expression" dxfId="97" priority="3">
      <formula>$F$11="🟡 SEGUIMIENTO"</formula>
    </cfRule>
    <cfRule type="expression" dxfId="96" priority="4">
      <formula>$F$11="🟢 NORMAL"</formula>
    </cfRule>
  </conditionalFormatting>
  <conditionalFormatting sqref="M7:M18">
    <cfRule type="expression" dxfId="95" priority="5">
      <formula>$P7="🔴 CRÍTICO"</formula>
    </cfRule>
    <cfRule type="expression" dxfId="94" priority="6">
      <formula>$P7="🟠 ALERTA"</formula>
    </cfRule>
    <cfRule type="expression" dxfId="93" priority="7">
      <formula>$P7="🟡 SEGUIMIENTO"</formula>
    </cfRule>
    <cfRule type="expression" dxfId="92" priority="8">
      <formula>$P7="🟢 NORMAL"</formula>
    </cfRule>
  </conditionalFormatting>
  <conditionalFormatting sqref="P7:P18">
    <cfRule type="expression" dxfId="91" priority="9">
      <formula>$P7="🔴 CRÍTICO"</formula>
    </cfRule>
    <cfRule type="expression" dxfId="90" priority="10">
      <formula>$P7="🟠 ALERTA"</formula>
    </cfRule>
    <cfRule type="expression" dxfId="89" priority="11">
      <formula>$P7="🟡 SEGUIMIENTO"</formula>
    </cfRule>
    <cfRule type="expression" dxfId="88" priority="12">
      <formula>$P7="🟢 NORMAL"</formula>
    </cfRule>
  </conditionalFormatting>
  <dataValidations count="3">
    <dataValidation type="list" allowBlank="1" showInputMessage="1" showErrorMessage="1" sqref="C5" xr:uid="{EF05D839-BEC8-DB43-8DE2-B00AE7D57FFB}">
      <formula1>lstProgramas</formula1>
    </dataValidation>
    <dataValidation type="list" allowBlank="1" showInputMessage="1" showErrorMessage="1" sqref="C6" xr:uid="{E23965CB-4058-4545-9B67-F73506889F50}">
      <formula1>lstGrupos</formula1>
    </dataValidation>
    <dataValidation type="list" allowBlank="1" showInputMessage="1" showErrorMessage="1" sqref="C7" xr:uid="{DB540259-FF9D-9249-8351-73882008C1DA}">
      <formula1>lstDocentes</formula1>
    </dataValidation>
  </dataValidations>
  <hyperlinks>
    <hyperlink ref="K19" location="'CURSOS'!C5" display="Ver estudiantes del grupo en CURSOS →" xr:uid="{873EFDF5-8EE1-054C-A383-8EBBB93AE038}"/>
    <hyperlink ref="B3" location="'CURSOS'!A1" tooltip="Ir a CURSOS" display="▸ CURSOS" xr:uid="{B63CA363-DCA9-5A49-8A8C-BC028A4CFBAB}"/>
    <hyperlink ref="C3" location="'FICHA ESTUDIANTE'!A1" tooltip="Ir a FICHA ESTUDIANTE" display="▸ FICHA ESTUDIANTE" xr:uid="{F18CEF8C-DF35-754E-98C3-331298167B0A}"/>
    <hyperlink ref="D3" location="'ALERTAS'!A1" tooltip="Ir a ALERTAS" display="▸ ALERTAS" xr:uid="{07571107-C35B-BA4C-86C7-FFCAE6E96707}"/>
    <hyperlink ref="E3" location="'INCONSISTENCIAS'!A1" tooltip="Ir a INCONSISTENCIAS" display="▸ INCONSISTENCIAS" xr:uid="{A5EA3F85-2BA5-F845-9F77-43D540D28E98}"/>
    <hyperlink ref="F3" location="'GRUPOS'!A1" tooltip="Ir a GRUPOS" display="▸ GRUPOS" xr:uid="{650986BA-4C19-3441-9111-39BDB5D3E612}"/>
    <hyperlink ref="G3" location="'DATOS'!A1" tooltip="Ir a DATOS" display="▸ DATOS" xr:uid="{0FC7F736-33AB-1549-8C87-176304012E71}"/>
    <hyperlink ref="H3" location="'PARAMETROS'!A1" tooltip="Ir a PARAMETROS" display="▸ PARÁMETROS" xr:uid="{DA4144A2-2BAF-1641-9271-0AD0EF376E8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B5D7-8339-6541-89B0-4F70608B05DA}">
  <sheetPr>
    <tabColor rgb="FF1F3864"/>
  </sheetPr>
  <dimension ref="B1:S400"/>
  <sheetViews>
    <sheetView showGridLines="0" workbookViewId="0">
      <pane ySplit="13" topLeftCell="A14" activePane="bottomLeft" state="frozen"/>
      <selection pane="bottomLeft" activeCell="C5" sqref="C5:D5"/>
    </sheetView>
  </sheetViews>
  <sheetFormatPr baseColWidth="10" defaultRowHeight="16" x14ac:dyDescent="0.2"/>
  <cols>
    <col min="1" max="1" width="2" customWidth="1"/>
    <col min="2" max="2" width="38.33203125" customWidth="1"/>
    <col min="3" max="3" width="15.83203125" customWidth="1"/>
    <col min="4" max="5" width="13.33203125" customWidth="1"/>
    <col min="6" max="6" width="14.1640625" customWidth="1"/>
    <col min="7" max="7" width="13.33203125" customWidth="1"/>
    <col min="8" max="8" width="20" customWidth="1"/>
    <col min="9" max="9" width="33.33203125" customWidth="1"/>
    <col min="10" max="10" width="28.33203125" customWidth="1"/>
    <col min="11" max="11" width="3.33203125" customWidth="1"/>
    <col min="12" max="12" width="10" customWidth="1"/>
    <col min="13" max="13" width="20" customWidth="1"/>
    <col min="15" max="15" width="12.5" customWidth="1"/>
    <col min="16" max="16" width="13.33203125" customWidth="1"/>
    <col min="17" max="17" width="10" customWidth="1"/>
    <col min="18" max="18" width="11.6640625" customWidth="1"/>
    <col min="19" max="19" width="19.1640625" customWidth="1"/>
  </cols>
  <sheetData>
    <row r="1" spans="2:19" ht="24" x14ac:dyDescent="0.3">
      <c r="B1" s="59" t="s">
        <v>9122</v>
      </c>
    </row>
    <row r="2" spans="2:19" x14ac:dyDescent="0.2">
      <c r="B2" s="18" t="s">
        <v>9123</v>
      </c>
    </row>
    <row r="4" spans="2:19" ht="17" x14ac:dyDescent="0.2">
      <c r="B4" s="21" t="s">
        <v>9124</v>
      </c>
      <c r="C4" s="94" t="s">
        <v>18</v>
      </c>
      <c r="D4" s="96"/>
      <c r="F4" s="60" t="str">
        <f>IFERROR(_xlfn.XLOOKUP($C$5,tblGrupos[Código],tblGrupos[Grupo]),"Grupo no encontrado")</f>
        <v>DAT-02 - Análisis y Visualización de Datos</v>
      </c>
    </row>
    <row r="5" spans="2:19" x14ac:dyDescent="0.2">
      <c r="B5" s="21" t="s">
        <v>3</v>
      </c>
      <c r="C5" s="94" t="s">
        <v>110</v>
      </c>
      <c r="D5" s="109"/>
      <c r="F5" s="61" t="str">
        <f>IFERROR("Docente: "&amp;_xlfn.XLOOKUP($C$5,tblGrupos[Código],tblGrupos[Docente])&amp;"   |   "&amp;_xlfn.XLOOKUP($C$5,tblGrupos[Código],tblGrupos[Horario]),"")</f>
        <v>Docente: César Diaz   |   Martes 18:30-21:30 | Jueves 18:30-21:30</v>
      </c>
    </row>
    <row r="6" spans="2:19" x14ac:dyDescent="0.2">
      <c r="F6" s="61" t="str">
        <f>IFERROR(_xlfn.XLOOKUP($C$5,tblGrupos[Código],tblGrupos[Programa]),"")</f>
        <v>ANÁLISIS Y VISUALIZACIÓN DE DATOS PARA LA TOMA DE DECISIONES</v>
      </c>
    </row>
    <row r="7" spans="2:19" ht="17" thickBot="1" x14ac:dyDescent="0.25"/>
    <row r="8" spans="2:19" ht="17" thickTop="1" x14ac:dyDescent="0.2">
      <c r="B8" s="62" t="s">
        <v>9099</v>
      </c>
      <c r="C8" s="53" t="s">
        <v>9093</v>
      </c>
      <c r="D8" s="53" t="s">
        <v>9094</v>
      </c>
      <c r="E8" s="53" t="s">
        <v>9126</v>
      </c>
      <c r="F8" s="53" t="s">
        <v>9127</v>
      </c>
      <c r="G8" s="53" t="s">
        <v>9102</v>
      </c>
      <c r="H8" s="53" t="s">
        <v>9129</v>
      </c>
      <c r="I8" s="54" t="s">
        <v>9128</v>
      </c>
    </row>
    <row r="9" spans="2:19" ht="21" x14ac:dyDescent="0.25">
      <c r="B9" s="27">
        <f>IFERROR(_xlfn.XLOOKUP($C$5,tblGrupos[Código],tblGrupos[Estudiantes evaluados]),"")</f>
        <v>51</v>
      </c>
      <c r="C9" s="28">
        <f>IFERROR(_xlfn.XLOOKUP($C$5,tblGrupos[Código],tblGrupos[Clases planeadas]),"")</f>
        <v>30</v>
      </c>
      <c r="D9" s="28">
        <f>IFERROR(_xlfn.XLOOKUP($C$5,tblGrupos[Código],tblGrupos[Clases dictadas]),"")</f>
        <v>4</v>
      </c>
      <c r="E9" s="29">
        <f>IFERROR(_xlfn.XLOOKUP($C$5,tblGrupos[Código],tblGrupos[Asistencias]),"")</f>
        <v>173</v>
      </c>
      <c r="F9" s="29">
        <f>IFERROR(_xlfn.XLOOKUP($C$5,tblGrupos[Código],tblGrupos[Inasistencias]),"")</f>
        <v>31</v>
      </c>
      <c r="G9" s="30">
        <f>IFERROR(_xlfn.XLOOKUP($C$5,tblGrupos[Código],tblGrupos[% asistencia]),"")</f>
        <v>0.11294117647058821</v>
      </c>
      <c r="H9" s="30">
        <f>IFERROR(_xlfn.XLOOKUP($C$5,tblGrupos[Código],tblGrupos[% en riesgo]),"")</f>
        <v>3.9215686274509803E-2</v>
      </c>
      <c r="I9" s="31" t="str">
        <f>IFERROR(_xlfn.XLOOKUP($C$5,tblGrupos[Código],tblGrupos[Nivel grupo]),"")</f>
        <v>🟢 NORMAL</v>
      </c>
    </row>
    <row r="10" spans="2:19" x14ac:dyDescent="0.2">
      <c r="B10" s="61" t="str">
        <f>IFERROR("Críticos: "&amp;_xlfn.XLOOKUP($C$5,tblGrupos[Código],tblGrupos[Críticos])&amp;"   ·   Alerta: "&amp;_xlfn.XLOOKUP($C$5,tblGrupos[Código],tblGrupos[Alerta])&amp;"   ·   Seguimiento: "&amp;_xlfn.XLOOKUP($C$5,tblGrupos[Código],tblGrupos[Seguimiento])&amp;"   ·   Normal: "&amp;_xlfn.XLOOKUP($C$5,tblGrupos[Código],tblGrupos[Normal])&amp;"   ·   Sin registro: "&amp;_xlfn.XLOOKUP($C$5,tblGrupos[Código],tblGrupos[Sin registro]),"")</f>
        <v>Críticos: 0   ·   Alerta: 0   ·   Seguimiento: 2   ·   Normal: 49   ·   Sin registro: 0</v>
      </c>
    </row>
    <row r="12" spans="2:19" x14ac:dyDescent="0.2">
      <c r="B12" s="20" t="s">
        <v>9130</v>
      </c>
      <c r="C12" s="20"/>
      <c r="D12" s="20"/>
      <c r="E12" s="20"/>
      <c r="F12" s="20"/>
      <c r="G12" s="20"/>
      <c r="H12" s="20"/>
      <c r="I12" s="20"/>
      <c r="J12" s="20"/>
      <c r="L12" s="20" t="s">
        <v>9132</v>
      </c>
      <c r="M12" s="20"/>
      <c r="N12" s="20"/>
      <c r="O12" s="20"/>
      <c r="P12" s="20"/>
      <c r="Q12" s="20"/>
      <c r="R12" s="20"/>
      <c r="S12" s="20"/>
    </row>
    <row r="13" spans="2:19" ht="34" x14ac:dyDescent="0.2">
      <c r="B13" s="32" t="s">
        <v>9092</v>
      </c>
      <c r="C13" s="32" t="s">
        <v>0</v>
      </c>
      <c r="D13" s="32" t="s">
        <v>9094</v>
      </c>
      <c r="E13" s="32" t="s">
        <v>9100</v>
      </c>
      <c r="F13" s="32" t="s">
        <v>9101</v>
      </c>
      <c r="G13" s="32" t="s">
        <v>9131</v>
      </c>
      <c r="H13" s="32" t="s">
        <v>2</v>
      </c>
      <c r="I13" s="32" t="s">
        <v>9115</v>
      </c>
      <c r="J13" s="32" t="s">
        <v>10</v>
      </c>
      <c r="L13" s="32" t="s">
        <v>4</v>
      </c>
      <c r="M13" s="32" t="s">
        <v>9</v>
      </c>
      <c r="N13" s="32" t="s">
        <v>9133</v>
      </c>
      <c r="O13" s="32" t="s">
        <v>9102</v>
      </c>
      <c r="P13" s="32" t="s">
        <v>9101</v>
      </c>
      <c r="Q13" s="32" t="s">
        <v>9103</v>
      </c>
      <c r="R13" s="32" t="s">
        <v>9108</v>
      </c>
      <c r="S13" s="32" t="s">
        <v>9060</v>
      </c>
    </row>
    <row r="14" spans="2:19" x14ac:dyDescent="0.2">
      <c r="B14" t="str" cm="1">
        <f t="array" ref="B14:J64">_xlfn.LET(_xlpm.k,(tblMatriculas[Código]=$C$5)*(tblMatriculas[Estado]="activa"),_xlpm.d,_xlfn.HSTACK(tblMatriculas[Nombre],tblMatriculas[Cédula],tblMatriculas[Clases dictadas],tblMatriculas[Asistidas],tblMatriculas[Inasistencias],tblMatriculas[% asistencia],tblMatriculas[Nivel],tblMatriculas[Tipo de alerta],tblMatriculas[Observación]),_xlpm.r,_xlfn._xlws.FILTER(_xlpm.d,_xlpm.k,"Sin estudiantes activos"),IFERROR(_xlfn.SORTBY(_xlpm.r,_xlfn.CHOOSECOLS(_xlpm.r,6),1,_xlfn.CHOOSECOLS(_xlpm.r,1),1),_xlpm.r))</f>
        <v>JULIO CESA JULIO CESA ARAGÓN SANTOS</v>
      </c>
      <c r="C14" t="str">
        <v>1040509268</v>
      </c>
      <c r="D14" s="33">
        <v>4</v>
      </c>
      <c r="E14" s="33">
        <v>2</v>
      </c>
      <c r="F14" s="33">
        <v>2</v>
      </c>
      <c r="G14" s="63">
        <v>6.7000000000000004E-2</v>
      </c>
      <c r="H14" s="33" t="str">
        <v>🟡 SEGUIMIENTO</v>
      </c>
      <c r="I14" t="str">
        <v>🟡 SEGUIMIENTO</v>
      </c>
      <c r="J14" t="str">
        <v/>
      </c>
      <c r="L14" t="str" cm="1">
        <f t="array" ref="L14:S23">_xlfn.LET(_xlpm.k,IF($C$4="(Todos)",tblGrupos[Código]&lt;&gt;"",tblGrupos[Programa]=$C$4),_xlpm.d,_xlfn.HSTACK(tblGrupos[Código],tblGrupos[Docente],tblGrupos[Estudiantes evaluados],tblGrupos[% asistencia],tblGrupos[Inasistencias],tblGrupos[Críticos],tblGrupos[% en riesgo],tblGrupos[Nivel grupo]),_xlpm.r,_xlfn._xlws.FILTER(_xlpm.d,_xlpm.k),_xlfn.SORTBY(_xlpm.r,_xlfn.CHOOSECOLS(_xlpm.r,4),1))</f>
        <v>DAT-06</v>
      </c>
      <c r="M14" t="str">
        <v>Alvaro Viloria</v>
      </c>
      <c r="N14" s="33">
        <v>31</v>
      </c>
      <c r="O14" s="63">
        <v>4.7999999999999973E-2</v>
      </c>
      <c r="P14" s="33">
        <v>21</v>
      </c>
      <c r="Q14" s="33">
        <v>5</v>
      </c>
      <c r="R14" s="63">
        <v>1</v>
      </c>
      <c r="S14" s="33" t="str">
        <v>🟡 SEGUIMIENTO</v>
      </c>
    </row>
    <row r="15" spans="2:19" x14ac:dyDescent="0.2">
      <c r="B15" t="str">
        <v>WILLIAM AUGUSTO GIL ESPINAL</v>
      </c>
      <c r="C15" t="str">
        <v>71791733</v>
      </c>
      <c r="D15" s="33">
        <v>4</v>
      </c>
      <c r="E15" s="33">
        <v>2</v>
      </c>
      <c r="F15" s="33">
        <v>2</v>
      </c>
      <c r="G15" s="63">
        <v>6.7000000000000004E-2</v>
      </c>
      <c r="H15" s="33" t="str">
        <v>🟡 SEGUIMIENTO</v>
      </c>
      <c r="I15" t="str">
        <v>🟡 SEGUIMIENTO</v>
      </c>
      <c r="J15" t="str">
        <v/>
      </c>
      <c r="L15" t="str">
        <v>DAT-09</v>
      </c>
      <c r="M15" t="str">
        <v>Alvaro Viloria</v>
      </c>
      <c r="N15" s="33">
        <v>27</v>
      </c>
      <c r="O15" s="63">
        <v>4.948148148148146E-2</v>
      </c>
      <c r="P15" s="33">
        <v>14</v>
      </c>
      <c r="Q15" s="33">
        <v>3</v>
      </c>
      <c r="R15" s="63">
        <v>1</v>
      </c>
      <c r="S15" s="33" t="str">
        <v>🟡 SEGUIMIENTO</v>
      </c>
    </row>
    <row r="16" spans="2:19" x14ac:dyDescent="0.2">
      <c r="B16" t="str">
        <v>ALEJANDRA  ECHEVERRI GARZÓN</v>
      </c>
      <c r="C16" t="str">
        <v>1152209669</v>
      </c>
      <c r="D16" s="33">
        <v>4</v>
      </c>
      <c r="E16" s="33">
        <v>3</v>
      </c>
      <c r="F16" s="33">
        <v>1</v>
      </c>
      <c r="G16" s="63">
        <v>0.1</v>
      </c>
      <c r="H16" s="33" t="str">
        <v>🟢 NORMAL</v>
      </c>
      <c r="I16" t="str">
        <v/>
      </c>
      <c r="J16" t="str">
        <v/>
      </c>
      <c r="L16" t="str">
        <v>DAT-07</v>
      </c>
      <c r="M16" t="str">
        <v>César Diaz</v>
      </c>
      <c r="N16" s="33">
        <v>31</v>
      </c>
      <c r="O16" s="63">
        <v>5.6096774193548353E-2</v>
      </c>
      <c r="P16" s="33">
        <v>10</v>
      </c>
      <c r="Q16" s="33">
        <v>2</v>
      </c>
      <c r="R16" s="63">
        <v>1</v>
      </c>
      <c r="S16" s="33" t="str">
        <v>🟡 SEGUIMIENTO</v>
      </c>
    </row>
    <row r="17" spans="2:19" x14ac:dyDescent="0.2">
      <c r="B17" t="str">
        <v>ANA CRISTINA CORREA QUINTANA</v>
      </c>
      <c r="C17" t="str">
        <v>1128468627</v>
      </c>
      <c r="D17" s="33">
        <v>4</v>
      </c>
      <c r="E17" s="33">
        <v>3</v>
      </c>
      <c r="F17" s="33">
        <v>1</v>
      </c>
      <c r="G17" s="63">
        <v>0.1</v>
      </c>
      <c r="H17" s="33" t="str">
        <v>🟢 NORMAL</v>
      </c>
      <c r="I17" t="str">
        <v/>
      </c>
      <c r="J17" t="str">
        <v>Traslado desde DAT-04</v>
      </c>
      <c r="L17" t="str">
        <v>DAT-10</v>
      </c>
      <c r="M17" t="str">
        <v>César Diaz</v>
      </c>
      <c r="N17" s="33">
        <v>21</v>
      </c>
      <c r="O17" s="63">
        <v>9.6761904761904757E-2</v>
      </c>
      <c r="P17" s="33">
        <v>23</v>
      </c>
      <c r="Q17" s="33">
        <v>0</v>
      </c>
      <c r="R17" s="63">
        <v>0.42857142857142855</v>
      </c>
      <c r="S17" s="33" t="str">
        <v>🟢 NORMAL</v>
      </c>
    </row>
    <row r="18" spans="2:19" x14ac:dyDescent="0.2">
      <c r="B18" t="str">
        <v>ANDREA  HOYOS ATEHORTUA</v>
      </c>
      <c r="C18" t="str">
        <v>1152448697</v>
      </c>
      <c r="D18" s="33">
        <v>4</v>
      </c>
      <c r="E18" s="33">
        <v>3</v>
      </c>
      <c r="F18" s="33">
        <v>1</v>
      </c>
      <c r="G18" s="63">
        <v>0.1</v>
      </c>
      <c r="H18" s="33" t="str">
        <v>🟢 NORMAL</v>
      </c>
      <c r="I18" t="str">
        <v/>
      </c>
      <c r="J18" t="str">
        <v/>
      </c>
      <c r="L18" t="str">
        <v>DAT-08</v>
      </c>
      <c r="M18" t="str">
        <v>Cristian Jimenez</v>
      </c>
      <c r="N18" s="33">
        <v>47</v>
      </c>
      <c r="O18" s="63">
        <v>0.10976595744680855</v>
      </c>
      <c r="P18" s="33">
        <v>33</v>
      </c>
      <c r="Q18" s="33">
        <v>0</v>
      </c>
      <c r="R18" s="63">
        <v>0.19148936170212766</v>
      </c>
      <c r="S18" s="33" t="str">
        <v>🟢 NORMAL</v>
      </c>
    </row>
    <row r="19" spans="2:19" x14ac:dyDescent="0.2">
      <c r="B19" t="str">
        <v>CRISTIAN DAVID TANGARIFE TORRES</v>
      </c>
      <c r="C19" t="str">
        <v>1045018769</v>
      </c>
      <c r="D19" s="33">
        <v>4</v>
      </c>
      <c r="E19" s="33">
        <v>3</v>
      </c>
      <c r="F19" s="33">
        <v>1</v>
      </c>
      <c r="G19" s="63">
        <v>0.1</v>
      </c>
      <c r="H19" s="33" t="str">
        <v>🟢 NORMAL</v>
      </c>
      <c r="I19" t="str">
        <v/>
      </c>
      <c r="J19" t="str">
        <v/>
      </c>
      <c r="L19" t="str">
        <v>DAT-02</v>
      </c>
      <c r="M19" t="str">
        <v>César Diaz</v>
      </c>
      <c r="N19" s="33">
        <v>51</v>
      </c>
      <c r="O19" s="63">
        <v>0.11294117647058821</v>
      </c>
      <c r="P19" s="33">
        <v>31</v>
      </c>
      <c r="Q19" s="33">
        <v>0</v>
      </c>
      <c r="R19" s="63">
        <v>3.9215686274509803E-2</v>
      </c>
      <c r="S19" s="33" t="str">
        <v>🟢 NORMAL</v>
      </c>
    </row>
    <row r="20" spans="2:19" x14ac:dyDescent="0.2">
      <c r="B20" t="str">
        <v>DIEGO DIEGO ALVAREZ VELEZ</v>
      </c>
      <c r="C20" t="str">
        <v>1000538256</v>
      </c>
      <c r="D20" s="33">
        <v>4</v>
      </c>
      <c r="E20" s="33">
        <v>3</v>
      </c>
      <c r="F20" s="33">
        <v>1</v>
      </c>
      <c r="G20" s="63">
        <v>0.1</v>
      </c>
      <c r="H20" s="33" t="str">
        <v>🟢 NORMAL</v>
      </c>
      <c r="I20" t="str">
        <v/>
      </c>
      <c r="J20" t="str">
        <v/>
      </c>
      <c r="L20" t="str">
        <v>DAT-04</v>
      </c>
      <c r="M20" t="str">
        <v>Alvaro Viloria</v>
      </c>
      <c r="N20" s="33">
        <v>42</v>
      </c>
      <c r="O20" s="63">
        <v>0.12114285714285711</v>
      </c>
      <c r="P20" s="33">
        <v>60</v>
      </c>
      <c r="Q20" s="33">
        <v>5</v>
      </c>
      <c r="R20" s="63">
        <v>0.26190476190476192</v>
      </c>
      <c r="S20" s="33" t="str">
        <v>🟢 NORMAL</v>
      </c>
    </row>
    <row r="21" spans="2:19" x14ac:dyDescent="0.2">
      <c r="B21" t="str">
        <v>JAIME ALBERTO GALLO BLANDÓN</v>
      </c>
      <c r="C21" t="str">
        <v>8060326</v>
      </c>
      <c r="D21" s="33">
        <v>4</v>
      </c>
      <c r="E21" s="33">
        <v>3</v>
      </c>
      <c r="F21" s="33">
        <v>1</v>
      </c>
      <c r="G21" s="63">
        <v>0.1</v>
      </c>
      <c r="H21" s="33" t="str">
        <v>🟢 NORMAL</v>
      </c>
      <c r="I21" t="str">
        <v/>
      </c>
      <c r="J21" t="str">
        <v/>
      </c>
      <c r="L21" t="str">
        <v>DAT-05</v>
      </c>
      <c r="M21" t="str">
        <v>Johan Muriel</v>
      </c>
      <c r="N21" s="33">
        <v>39</v>
      </c>
      <c r="O21" s="63">
        <v>0.12576923076923072</v>
      </c>
      <c r="P21" s="33">
        <v>50</v>
      </c>
      <c r="Q21" s="33">
        <v>7</v>
      </c>
      <c r="R21" s="63">
        <v>0.17948717948717949</v>
      </c>
      <c r="S21" s="33" t="str">
        <v>🟢 NORMAL</v>
      </c>
    </row>
    <row r="22" spans="2:19" x14ac:dyDescent="0.2">
      <c r="B22" t="str">
        <v>JESUS ARMANDO CALVO BARRAZA</v>
      </c>
      <c r="C22" t="str">
        <v>1129566292</v>
      </c>
      <c r="D22" s="33">
        <v>4</v>
      </c>
      <c r="E22" s="33">
        <v>3</v>
      </c>
      <c r="F22" s="33">
        <v>1</v>
      </c>
      <c r="G22" s="63">
        <v>0.1</v>
      </c>
      <c r="H22" s="33" t="str">
        <v>🟢 NORMAL</v>
      </c>
      <c r="I22" t="str">
        <v/>
      </c>
      <c r="J22" t="str">
        <v/>
      </c>
      <c r="L22" t="str">
        <v>DAT-03</v>
      </c>
      <c r="M22" t="str">
        <v>Cristian Jimenez</v>
      </c>
      <c r="N22" s="33">
        <v>50</v>
      </c>
      <c r="O22" s="63">
        <v>0.14474000000000001</v>
      </c>
      <c r="P22" s="33">
        <v>83</v>
      </c>
      <c r="Q22" s="33">
        <v>6</v>
      </c>
      <c r="R22" s="63">
        <v>0.2</v>
      </c>
      <c r="S22" s="33" t="str">
        <v>🟢 NORMAL</v>
      </c>
    </row>
    <row r="23" spans="2:19" x14ac:dyDescent="0.2">
      <c r="B23" t="str">
        <v>JOSE EDUARDO GONZALEZ BERMUDEZ</v>
      </c>
      <c r="C23" t="str">
        <v>1039452612</v>
      </c>
      <c r="D23" s="33">
        <v>4</v>
      </c>
      <c r="E23" s="33">
        <v>3</v>
      </c>
      <c r="F23" s="33">
        <v>1</v>
      </c>
      <c r="G23" s="63">
        <v>0.1</v>
      </c>
      <c r="H23" s="33" t="str">
        <v>🟢 NORMAL</v>
      </c>
      <c r="I23" t="str">
        <v/>
      </c>
      <c r="J23" t="str">
        <v>Traslado desde DAT-05</v>
      </c>
      <c r="L23" t="str">
        <v>DAT-01</v>
      </c>
      <c r="M23" t="str">
        <v>Carlos Duran</v>
      </c>
      <c r="N23" s="33">
        <v>38</v>
      </c>
      <c r="O23" s="63">
        <v>0.15028947368421056</v>
      </c>
      <c r="P23" s="33">
        <v>85</v>
      </c>
      <c r="Q23" s="33">
        <v>0</v>
      </c>
      <c r="R23" s="63">
        <v>0.15789473684210525</v>
      </c>
      <c r="S23" s="33" t="str">
        <v>🟢 NORMAL</v>
      </c>
    </row>
    <row r="24" spans="2:19" x14ac:dyDescent="0.2">
      <c r="B24" t="str">
        <v>JUAN CAMILO ARIAS CARMONA</v>
      </c>
      <c r="C24" t="str">
        <v>1022363737</v>
      </c>
      <c r="D24" s="33">
        <v>4</v>
      </c>
      <c r="E24" s="33">
        <v>3</v>
      </c>
      <c r="F24" s="33">
        <v>1</v>
      </c>
      <c r="G24" s="63">
        <v>0.1</v>
      </c>
      <c r="H24" s="33" t="str">
        <v>🟢 NORMAL</v>
      </c>
      <c r="I24" t="str">
        <v/>
      </c>
      <c r="J24" t="str">
        <v>Traslado desde DAT-09</v>
      </c>
      <c r="N24" s="33"/>
      <c r="O24" s="63"/>
      <c r="P24" s="33"/>
      <c r="Q24" s="33"/>
      <c r="R24" s="63"/>
      <c r="S24" s="33"/>
    </row>
    <row r="25" spans="2:19" x14ac:dyDescent="0.2">
      <c r="B25" t="str">
        <v>JUAN CAMILO RENDON VELEZ</v>
      </c>
      <c r="C25" t="str">
        <v>1036630549</v>
      </c>
      <c r="D25" s="33">
        <v>4</v>
      </c>
      <c r="E25" s="33">
        <v>3</v>
      </c>
      <c r="F25" s="33">
        <v>1</v>
      </c>
      <c r="G25" s="63">
        <v>0.1</v>
      </c>
      <c r="H25" s="33" t="str">
        <v>🟢 NORMAL</v>
      </c>
      <c r="I25" t="str">
        <v/>
      </c>
      <c r="J25" t="str">
        <v/>
      </c>
      <c r="N25" s="33"/>
      <c r="O25" s="63"/>
      <c r="P25" s="33"/>
      <c r="Q25" s="33"/>
      <c r="R25" s="63"/>
      <c r="S25" s="33"/>
    </row>
    <row r="26" spans="2:19" x14ac:dyDescent="0.2">
      <c r="B26" t="str">
        <v>KAATHERINE  LÓPEZ ARBOLEDA</v>
      </c>
      <c r="C26" t="str">
        <v>1017217793</v>
      </c>
      <c r="D26" s="33">
        <v>4</v>
      </c>
      <c r="E26" s="33">
        <v>3</v>
      </c>
      <c r="F26" s="33">
        <v>1</v>
      </c>
      <c r="G26" s="63">
        <v>0.1</v>
      </c>
      <c r="H26" s="33" t="str">
        <v>🟢 NORMAL</v>
      </c>
      <c r="I26" t="str">
        <v/>
      </c>
      <c r="J26" t="str">
        <v/>
      </c>
      <c r="N26" s="33"/>
      <c r="O26" s="63"/>
      <c r="P26" s="33"/>
      <c r="Q26" s="33"/>
      <c r="R26" s="63"/>
      <c r="S26" s="33"/>
    </row>
    <row r="27" spans="2:19" x14ac:dyDescent="0.2">
      <c r="B27" t="str">
        <v>KELLY JOHANA SALGADO SALGADO</v>
      </c>
      <c r="C27" t="str">
        <v>32243764</v>
      </c>
      <c r="D27" s="33">
        <v>4</v>
      </c>
      <c r="E27" s="33">
        <v>3</v>
      </c>
      <c r="F27" s="33">
        <v>1</v>
      </c>
      <c r="G27" s="63">
        <v>0.1</v>
      </c>
      <c r="H27" s="33" t="str">
        <v>🟢 NORMAL</v>
      </c>
      <c r="I27" t="str">
        <v/>
      </c>
      <c r="J27" t="str">
        <v/>
      </c>
      <c r="N27" s="33"/>
      <c r="O27" s="63"/>
      <c r="P27" s="33"/>
      <c r="Q27" s="33"/>
      <c r="R27" s="63"/>
      <c r="S27" s="33"/>
    </row>
    <row r="28" spans="2:19" x14ac:dyDescent="0.2">
      <c r="B28" t="str">
        <v>LAURA  VASCO PEREZ</v>
      </c>
      <c r="C28" t="str">
        <v>1017242197</v>
      </c>
      <c r="D28" s="33">
        <v>4</v>
      </c>
      <c r="E28" s="33">
        <v>3</v>
      </c>
      <c r="F28" s="33">
        <v>1</v>
      </c>
      <c r="G28" s="63">
        <v>0.1</v>
      </c>
      <c r="H28" s="33" t="str">
        <v>🟢 NORMAL</v>
      </c>
      <c r="I28" t="str">
        <v/>
      </c>
      <c r="J28" t="str">
        <v/>
      </c>
      <c r="N28" s="33"/>
      <c r="O28" s="63"/>
      <c r="P28" s="33"/>
      <c r="Q28" s="33"/>
      <c r="R28" s="63"/>
      <c r="S28" s="33"/>
    </row>
    <row r="29" spans="2:19" x14ac:dyDescent="0.2">
      <c r="B29" t="str">
        <v>LINDA DIANELLA MAHECHA BUSTOS</v>
      </c>
      <c r="C29" t="str">
        <v>1002604580</v>
      </c>
      <c r="D29" s="33">
        <v>4</v>
      </c>
      <c r="E29" s="33">
        <v>3</v>
      </c>
      <c r="F29" s="33">
        <v>1</v>
      </c>
      <c r="G29" s="63">
        <v>0.1</v>
      </c>
      <c r="H29" s="33" t="str">
        <v>🟢 NORMAL</v>
      </c>
      <c r="I29" t="str">
        <v/>
      </c>
      <c r="J29" t="str">
        <v/>
      </c>
      <c r="N29" s="33"/>
      <c r="O29" s="63"/>
      <c r="P29" s="33"/>
      <c r="Q29" s="33"/>
      <c r="R29" s="63"/>
      <c r="S29" s="33"/>
    </row>
    <row r="30" spans="2:19" x14ac:dyDescent="0.2">
      <c r="B30" t="str">
        <v>MARCIAL FERNEY TORRES ORTEGA</v>
      </c>
      <c r="C30" t="str">
        <v>1099542769</v>
      </c>
      <c r="D30" s="33">
        <v>4</v>
      </c>
      <c r="E30" s="33">
        <v>3</v>
      </c>
      <c r="F30" s="33">
        <v>1</v>
      </c>
      <c r="G30" s="63">
        <v>0.1</v>
      </c>
      <c r="H30" s="33" t="str">
        <v>🟢 NORMAL</v>
      </c>
      <c r="I30" t="str">
        <v/>
      </c>
      <c r="J30" t="str">
        <v/>
      </c>
      <c r="N30" s="33"/>
      <c r="O30" s="63"/>
      <c r="P30" s="33"/>
      <c r="Q30" s="33"/>
      <c r="R30" s="63"/>
      <c r="S30" s="33"/>
    </row>
    <row r="31" spans="2:19" x14ac:dyDescent="0.2">
      <c r="B31" t="str">
        <v>MARIANA  VILLEGAS BOLIVAR</v>
      </c>
      <c r="C31" t="str">
        <v>1020116853</v>
      </c>
      <c r="D31" s="33">
        <v>4</v>
      </c>
      <c r="E31" s="33">
        <v>3</v>
      </c>
      <c r="F31" s="33">
        <v>1</v>
      </c>
      <c r="G31" s="63">
        <v>0.1</v>
      </c>
      <c r="H31" s="33" t="str">
        <v>🟢 NORMAL</v>
      </c>
      <c r="I31" t="str">
        <v/>
      </c>
      <c r="J31" t="str">
        <v/>
      </c>
      <c r="N31" s="33"/>
      <c r="O31" s="63"/>
      <c r="P31" s="33"/>
      <c r="Q31" s="33"/>
      <c r="R31" s="63"/>
      <c r="S31" s="33"/>
    </row>
    <row r="32" spans="2:19" x14ac:dyDescent="0.2">
      <c r="B32" t="str">
        <v>MARILIN ALEJANDRA ALZATE ZAPATA</v>
      </c>
      <c r="C32" t="str">
        <v>1127954791</v>
      </c>
      <c r="D32" s="33">
        <v>4</v>
      </c>
      <c r="E32" s="33">
        <v>3</v>
      </c>
      <c r="F32" s="33">
        <v>1</v>
      </c>
      <c r="G32" s="63">
        <v>0.1</v>
      </c>
      <c r="H32" s="33" t="str">
        <v>🟢 NORMAL</v>
      </c>
      <c r="I32" t="str">
        <v/>
      </c>
      <c r="J32" t="str">
        <v/>
      </c>
      <c r="N32" s="33"/>
      <c r="O32" s="63"/>
      <c r="P32" s="33"/>
      <c r="Q32" s="33"/>
      <c r="R32" s="63"/>
      <c r="S32" s="33"/>
    </row>
    <row r="33" spans="2:19" x14ac:dyDescent="0.2">
      <c r="B33" t="str">
        <v>MARLIN YULIET BELTRAN VALENCIA</v>
      </c>
      <c r="C33" t="str">
        <v>32207484</v>
      </c>
      <c r="D33" s="33">
        <v>4</v>
      </c>
      <c r="E33" s="33">
        <v>3</v>
      </c>
      <c r="F33" s="33">
        <v>1</v>
      </c>
      <c r="G33" s="63">
        <v>0.1</v>
      </c>
      <c r="H33" s="33" t="str">
        <v>🟢 NORMAL</v>
      </c>
      <c r="I33" t="str">
        <v/>
      </c>
      <c r="J33" t="str">
        <v/>
      </c>
      <c r="N33" s="33"/>
      <c r="O33" s="63"/>
      <c r="P33" s="33"/>
      <c r="Q33" s="33"/>
      <c r="R33" s="63"/>
      <c r="S33" s="33"/>
    </row>
    <row r="34" spans="2:19" x14ac:dyDescent="0.2">
      <c r="B34" t="str">
        <v>SEBASTIÁN  OBREGÓN SILVA</v>
      </c>
      <c r="C34" t="str">
        <v>1007827747</v>
      </c>
      <c r="D34" s="33">
        <v>4</v>
      </c>
      <c r="E34" s="33">
        <v>3</v>
      </c>
      <c r="F34" s="33">
        <v>1</v>
      </c>
      <c r="G34" s="63">
        <v>0.1</v>
      </c>
      <c r="H34" s="33" t="str">
        <v>🟢 NORMAL</v>
      </c>
      <c r="I34" t="str">
        <v/>
      </c>
      <c r="J34" t="str">
        <v>Traslado desde DAT-05</v>
      </c>
      <c r="N34" s="33"/>
      <c r="O34" s="63"/>
      <c r="P34" s="33"/>
      <c r="Q34" s="33"/>
      <c r="R34" s="63"/>
      <c r="S34" s="33"/>
    </row>
    <row r="35" spans="2:19" x14ac:dyDescent="0.2">
      <c r="B35" t="str">
        <v>SIMÓN  PAREDES RIVERA</v>
      </c>
      <c r="C35" t="str">
        <v>1000290485</v>
      </c>
      <c r="D35" s="33">
        <v>4</v>
      </c>
      <c r="E35" s="33">
        <v>3</v>
      </c>
      <c r="F35" s="33">
        <v>1</v>
      </c>
      <c r="G35" s="63">
        <v>0.1</v>
      </c>
      <c r="H35" s="33" t="str">
        <v>🟢 NORMAL</v>
      </c>
      <c r="I35" t="str">
        <v/>
      </c>
      <c r="J35" t="str">
        <v/>
      </c>
      <c r="N35" s="33"/>
      <c r="O35" s="63"/>
      <c r="P35" s="33"/>
      <c r="Q35" s="33"/>
      <c r="R35" s="63"/>
      <c r="S35" s="33"/>
    </row>
    <row r="36" spans="2:19" x14ac:dyDescent="0.2">
      <c r="B36" t="str">
        <v>STEPHANY STEPHANY CEBALLOS DIEZ</v>
      </c>
      <c r="C36" t="str">
        <v>1216713555</v>
      </c>
      <c r="D36" s="33">
        <v>4</v>
      </c>
      <c r="E36" s="33">
        <v>3</v>
      </c>
      <c r="F36" s="33">
        <v>1</v>
      </c>
      <c r="G36" s="63">
        <v>0.1</v>
      </c>
      <c r="H36" s="33" t="str">
        <v>🟢 NORMAL</v>
      </c>
      <c r="I36" t="str">
        <v/>
      </c>
      <c r="J36" t="str">
        <v/>
      </c>
      <c r="N36" s="33"/>
      <c r="O36" s="63"/>
      <c r="P36" s="33"/>
      <c r="Q36" s="33"/>
      <c r="R36" s="63"/>
      <c r="S36" s="33"/>
    </row>
    <row r="37" spans="2:19" x14ac:dyDescent="0.2">
      <c r="B37" t="str">
        <v>WILLIAM RAFAEL CASTRO AGUAS</v>
      </c>
      <c r="C37" t="str">
        <v>1100392465</v>
      </c>
      <c r="D37" s="33">
        <v>4</v>
      </c>
      <c r="E37" s="33">
        <v>3</v>
      </c>
      <c r="F37" s="33">
        <v>1</v>
      </c>
      <c r="G37" s="63">
        <v>0.1</v>
      </c>
      <c r="H37" s="33" t="str">
        <v>🟢 NORMAL</v>
      </c>
      <c r="I37" t="str">
        <v/>
      </c>
      <c r="J37" t="str">
        <v/>
      </c>
      <c r="N37" s="33"/>
      <c r="O37" s="63"/>
      <c r="P37" s="33"/>
      <c r="Q37" s="33"/>
      <c r="R37" s="63"/>
      <c r="S37" s="33"/>
    </row>
    <row r="38" spans="2:19" x14ac:dyDescent="0.2">
      <c r="B38" t="str">
        <v>YENERIS ANDREA DE LA OSSA RAMOS</v>
      </c>
      <c r="C38" t="str">
        <v>1038100957</v>
      </c>
      <c r="D38" s="33">
        <v>4</v>
      </c>
      <c r="E38" s="33">
        <v>3</v>
      </c>
      <c r="F38" s="33">
        <v>1</v>
      </c>
      <c r="G38" s="63">
        <v>0.1</v>
      </c>
      <c r="H38" s="33" t="str">
        <v>🟢 NORMAL</v>
      </c>
      <c r="I38" t="str">
        <v/>
      </c>
      <c r="J38" t="str">
        <v/>
      </c>
      <c r="N38" s="33"/>
      <c r="O38" s="63"/>
      <c r="P38" s="33"/>
      <c r="Q38" s="33"/>
      <c r="R38" s="63"/>
      <c r="S38" s="33"/>
    </row>
    <row r="39" spans="2:19" x14ac:dyDescent="0.2">
      <c r="B39" t="str">
        <v>YESID FARID JIMENEZ RIVERO</v>
      </c>
      <c r="C39" t="str">
        <v>1214742749</v>
      </c>
      <c r="D39" s="33">
        <v>4</v>
      </c>
      <c r="E39" s="33">
        <v>3</v>
      </c>
      <c r="F39" s="33">
        <v>1</v>
      </c>
      <c r="G39" s="63">
        <v>0.1</v>
      </c>
      <c r="H39" s="33" t="str">
        <v>🟢 NORMAL</v>
      </c>
      <c r="I39" t="str">
        <v/>
      </c>
      <c r="J39" t="str">
        <v/>
      </c>
      <c r="N39" s="33"/>
      <c r="O39" s="63"/>
      <c r="P39" s="33"/>
      <c r="Q39" s="33"/>
      <c r="R39" s="63"/>
      <c r="S39" s="33"/>
    </row>
    <row r="40" spans="2:19" x14ac:dyDescent="0.2">
      <c r="B40" t="str">
        <v>YICELY  DIAZ TAPIAS</v>
      </c>
      <c r="C40" t="str">
        <v>1146434324</v>
      </c>
      <c r="D40" s="33">
        <v>4</v>
      </c>
      <c r="E40" s="33">
        <v>3</v>
      </c>
      <c r="F40" s="33">
        <v>1</v>
      </c>
      <c r="G40" s="63">
        <v>0.1</v>
      </c>
      <c r="H40" s="33" t="str">
        <v>🟢 NORMAL</v>
      </c>
      <c r="I40" t="str">
        <v/>
      </c>
      <c r="J40" t="str">
        <v>Traslado desde DAT-04</v>
      </c>
      <c r="N40" s="33"/>
      <c r="O40" s="63"/>
      <c r="P40" s="33"/>
      <c r="Q40" s="33"/>
      <c r="R40" s="63"/>
      <c r="S40" s="33"/>
    </row>
    <row r="41" spans="2:19" x14ac:dyDescent="0.2">
      <c r="B41" t="str">
        <v>YINA MARCE YINA MARCE ZULUAGA JIMÉNEZ</v>
      </c>
      <c r="C41" t="str">
        <v>1037632496</v>
      </c>
      <c r="D41" s="33">
        <v>4</v>
      </c>
      <c r="E41" s="33">
        <v>3</v>
      </c>
      <c r="F41" s="33">
        <v>1</v>
      </c>
      <c r="G41" s="63">
        <v>0.1</v>
      </c>
      <c r="H41" s="33" t="str">
        <v>🟢 NORMAL</v>
      </c>
      <c r="I41" t="str">
        <v/>
      </c>
      <c r="J41" t="str">
        <v/>
      </c>
      <c r="N41" s="33"/>
      <c r="O41" s="63"/>
      <c r="P41" s="33"/>
      <c r="Q41" s="33"/>
      <c r="R41" s="63"/>
      <c r="S41" s="33"/>
    </row>
    <row r="42" spans="2:19" x14ac:dyDescent="0.2">
      <c r="B42" t="str">
        <v>YOHIDE MARYORY PIEDRAHITA</v>
      </c>
      <c r="C42" t="str">
        <v>32351188</v>
      </c>
      <c r="D42" s="33">
        <v>4</v>
      </c>
      <c r="E42" s="33">
        <v>3</v>
      </c>
      <c r="F42" s="33">
        <v>1</v>
      </c>
      <c r="G42" s="63">
        <v>0.1</v>
      </c>
      <c r="H42" s="33" t="str">
        <v>🟢 NORMAL</v>
      </c>
      <c r="I42" t="str">
        <v/>
      </c>
      <c r="J42" t="str">
        <v>Traslado desde DAT-04</v>
      </c>
      <c r="N42" s="33"/>
      <c r="O42" s="63"/>
      <c r="P42" s="33"/>
      <c r="Q42" s="33"/>
      <c r="R42" s="63"/>
      <c r="S42" s="33"/>
    </row>
    <row r="43" spans="2:19" x14ac:dyDescent="0.2">
      <c r="B43" t="str">
        <v>ALBANY  ROJAS LÓPEZ</v>
      </c>
      <c r="C43" t="str">
        <v>44001943</v>
      </c>
      <c r="D43" s="33">
        <v>4</v>
      </c>
      <c r="E43" s="33">
        <v>4</v>
      </c>
      <c r="F43" s="33">
        <v>0</v>
      </c>
      <c r="G43" s="63">
        <v>0.13300000000000001</v>
      </c>
      <c r="H43" s="33" t="str">
        <v>🟢 NORMAL</v>
      </c>
      <c r="I43" t="str">
        <v/>
      </c>
      <c r="J43" t="str">
        <v/>
      </c>
      <c r="N43" s="33"/>
      <c r="O43" s="63"/>
      <c r="P43" s="33"/>
      <c r="Q43" s="33"/>
      <c r="R43" s="63"/>
      <c r="S43" s="33"/>
    </row>
    <row r="44" spans="2:19" x14ac:dyDescent="0.2">
      <c r="B44" t="str">
        <v>BRAYAN MATEO GONZALEZ MONSALVE</v>
      </c>
      <c r="C44" t="str">
        <v>1017253319</v>
      </c>
      <c r="D44" s="33">
        <v>4</v>
      </c>
      <c r="E44" s="33">
        <v>4</v>
      </c>
      <c r="F44" s="33">
        <v>0</v>
      </c>
      <c r="G44" s="63">
        <v>0.13300000000000001</v>
      </c>
      <c r="H44" s="33" t="str">
        <v>🟢 NORMAL</v>
      </c>
      <c r="I44" t="str">
        <v/>
      </c>
      <c r="J44" t="str">
        <v>Traslado desde DAT-10</v>
      </c>
      <c r="N44" s="33"/>
      <c r="O44" s="63"/>
      <c r="P44" s="33"/>
      <c r="Q44" s="33"/>
      <c r="R44" s="63"/>
      <c r="S44" s="33"/>
    </row>
    <row r="45" spans="2:19" x14ac:dyDescent="0.2">
      <c r="B45" t="str">
        <v>CAROLINA  MUÑOZ CORREA</v>
      </c>
      <c r="C45" t="str">
        <v>1017145451</v>
      </c>
      <c r="D45" s="33">
        <v>4</v>
      </c>
      <c r="E45" s="33">
        <v>4</v>
      </c>
      <c r="F45" s="33">
        <v>0</v>
      </c>
      <c r="G45" s="63">
        <v>0.13300000000000001</v>
      </c>
      <c r="H45" s="33" t="str">
        <v>🟢 NORMAL</v>
      </c>
      <c r="I45" t="str">
        <v/>
      </c>
      <c r="J45" t="str">
        <v/>
      </c>
      <c r="N45" s="33"/>
      <c r="O45" s="63"/>
      <c r="P45" s="33"/>
      <c r="Q45" s="33"/>
      <c r="R45" s="63"/>
      <c r="S45" s="33"/>
    </row>
    <row r="46" spans="2:19" x14ac:dyDescent="0.2">
      <c r="B46" t="str">
        <v>DEICY ESTEFANIA MONTOYA MEJIA</v>
      </c>
      <c r="C46" t="str">
        <v>1152213564</v>
      </c>
      <c r="D46" s="33">
        <v>4</v>
      </c>
      <c r="E46" s="33">
        <v>4</v>
      </c>
      <c r="F46" s="33">
        <v>0</v>
      </c>
      <c r="G46" s="63">
        <v>0.13300000000000001</v>
      </c>
      <c r="H46" s="33" t="str">
        <v>🟢 NORMAL</v>
      </c>
      <c r="I46" t="str">
        <v/>
      </c>
      <c r="J46" t="str">
        <v/>
      </c>
      <c r="N46" s="33"/>
      <c r="O46" s="63"/>
      <c r="P46" s="33"/>
      <c r="Q46" s="33"/>
      <c r="R46" s="63"/>
      <c r="S46" s="33"/>
    </row>
    <row r="47" spans="2:19" x14ac:dyDescent="0.2">
      <c r="B47" t="str">
        <v>GERMAN GERMAN MENESES HERNANDEZ</v>
      </c>
      <c r="C47" t="str">
        <v>79797321</v>
      </c>
      <c r="D47" s="33">
        <v>4</v>
      </c>
      <c r="E47" s="33">
        <v>4</v>
      </c>
      <c r="F47" s="33">
        <v>0</v>
      </c>
      <c r="G47" s="63">
        <v>0.13300000000000001</v>
      </c>
      <c r="H47" s="33" t="str">
        <v>🟢 NORMAL</v>
      </c>
      <c r="I47" t="str">
        <v/>
      </c>
      <c r="J47" t="str">
        <v/>
      </c>
      <c r="N47" s="33"/>
      <c r="O47" s="63"/>
      <c r="P47" s="33"/>
      <c r="Q47" s="33"/>
      <c r="R47" s="63"/>
      <c r="S47" s="33"/>
    </row>
    <row r="48" spans="2:19" x14ac:dyDescent="0.2">
      <c r="B48" t="str">
        <v>HUGO ALBERTO PEREZ MUÑOZ</v>
      </c>
      <c r="C48" t="str">
        <v>1214723840</v>
      </c>
      <c r="D48" s="33">
        <v>4</v>
      </c>
      <c r="E48" s="33">
        <v>4</v>
      </c>
      <c r="F48" s="33">
        <v>0</v>
      </c>
      <c r="G48" s="63">
        <v>0.13300000000000001</v>
      </c>
      <c r="H48" s="33" t="str">
        <v>🟢 NORMAL</v>
      </c>
      <c r="I48" t="str">
        <v/>
      </c>
      <c r="J48" t="str">
        <v/>
      </c>
      <c r="N48" s="33"/>
      <c r="O48" s="63"/>
      <c r="P48" s="33"/>
      <c r="Q48" s="33"/>
      <c r="R48" s="63"/>
      <c r="S48" s="33"/>
    </row>
    <row r="49" spans="2:19" x14ac:dyDescent="0.2">
      <c r="B49" t="str">
        <v>HUMBERTO DE JESUS PUERTA GAVIRIA</v>
      </c>
      <c r="C49" t="str">
        <v>70116756</v>
      </c>
      <c r="D49" s="33">
        <v>4</v>
      </c>
      <c r="E49" s="33">
        <v>4</v>
      </c>
      <c r="F49" s="33">
        <v>0</v>
      </c>
      <c r="G49" s="63">
        <v>0.13300000000000001</v>
      </c>
      <c r="H49" s="33" t="str">
        <v>🟢 NORMAL</v>
      </c>
      <c r="I49" t="str">
        <v/>
      </c>
      <c r="J49" t="str">
        <v/>
      </c>
      <c r="N49" s="33"/>
      <c r="O49" s="63"/>
      <c r="P49" s="33"/>
      <c r="Q49" s="33"/>
      <c r="R49" s="63"/>
      <c r="S49" s="33"/>
    </row>
    <row r="50" spans="2:19" x14ac:dyDescent="0.2">
      <c r="B50" t="str">
        <v>JENNY ALEJANDRA QUIJANO</v>
      </c>
      <c r="C50" t="str">
        <v>1152443794</v>
      </c>
      <c r="D50" s="33">
        <v>4</v>
      </c>
      <c r="E50" s="33">
        <v>4</v>
      </c>
      <c r="F50" s="33">
        <v>0</v>
      </c>
      <c r="G50" s="63">
        <v>0.13300000000000001</v>
      </c>
      <c r="H50" s="33" t="str">
        <v>🟢 NORMAL</v>
      </c>
      <c r="I50" t="str">
        <v/>
      </c>
      <c r="J50" t="str">
        <v/>
      </c>
      <c r="N50" s="33"/>
      <c r="O50" s="63"/>
      <c r="P50" s="33"/>
      <c r="Q50" s="33"/>
      <c r="R50" s="63"/>
      <c r="S50" s="33"/>
    </row>
    <row r="51" spans="2:19" x14ac:dyDescent="0.2">
      <c r="B51" t="str">
        <v>JOHN DANIEL LONDOÑO MARTÍNEZ</v>
      </c>
      <c r="C51" t="str">
        <v>1152460011</v>
      </c>
      <c r="D51" s="33">
        <v>4</v>
      </c>
      <c r="E51" s="33">
        <v>4</v>
      </c>
      <c r="F51" s="33">
        <v>0</v>
      </c>
      <c r="G51" s="63">
        <v>0.13300000000000001</v>
      </c>
      <c r="H51" s="33" t="str">
        <v>🟢 NORMAL</v>
      </c>
      <c r="I51" t="str">
        <v/>
      </c>
      <c r="J51" t="str">
        <v/>
      </c>
      <c r="N51" s="33"/>
      <c r="O51" s="63"/>
      <c r="P51" s="33"/>
      <c r="Q51" s="33"/>
      <c r="R51" s="63"/>
      <c r="S51" s="33"/>
    </row>
    <row r="52" spans="2:19" x14ac:dyDescent="0.2">
      <c r="B52" t="str">
        <v>JOHNATAN STEVEN PEREZ AGUDELO</v>
      </c>
      <c r="C52" t="str">
        <v>1146435795</v>
      </c>
      <c r="D52" s="33">
        <v>4</v>
      </c>
      <c r="E52" s="33">
        <v>4</v>
      </c>
      <c r="F52" s="33">
        <v>0</v>
      </c>
      <c r="G52" s="63">
        <v>0.13300000000000001</v>
      </c>
      <c r="H52" s="33" t="str">
        <v>🟢 NORMAL</v>
      </c>
      <c r="I52" t="str">
        <v/>
      </c>
      <c r="J52" t="str">
        <v/>
      </c>
      <c r="N52" s="33"/>
      <c r="O52" s="63"/>
      <c r="P52" s="33"/>
      <c r="Q52" s="33"/>
      <c r="R52" s="63"/>
      <c r="S52" s="33"/>
    </row>
    <row r="53" spans="2:19" x14ac:dyDescent="0.2">
      <c r="B53" t="str">
        <v>JUAN CAMILO BARRIENTOS SANCHEZ</v>
      </c>
      <c r="C53" t="str">
        <v>1128442321</v>
      </c>
      <c r="D53" s="33">
        <v>4</v>
      </c>
      <c r="E53" s="33">
        <v>4</v>
      </c>
      <c r="F53" s="33">
        <v>0</v>
      </c>
      <c r="G53" s="63">
        <v>0.13300000000000001</v>
      </c>
      <c r="H53" s="33" t="str">
        <v>🟢 NORMAL</v>
      </c>
      <c r="I53" t="str">
        <v/>
      </c>
      <c r="J53" t="str">
        <v/>
      </c>
      <c r="N53" s="33"/>
      <c r="O53" s="63"/>
      <c r="P53" s="33"/>
      <c r="Q53" s="33"/>
      <c r="R53" s="63"/>
      <c r="S53" s="33"/>
    </row>
    <row r="54" spans="2:19" x14ac:dyDescent="0.2">
      <c r="B54" t="str">
        <v>JUAN SEBASTIAN SERNA SALGADO</v>
      </c>
      <c r="C54" t="str">
        <v>1037631436</v>
      </c>
      <c r="D54" s="33">
        <v>4</v>
      </c>
      <c r="E54" s="33">
        <v>4</v>
      </c>
      <c r="F54" s="33">
        <v>0</v>
      </c>
      <c r="G54" s="63">
        <v>0.13300000000000001</v>
      </c>
      <c r="H54" s="33" t="str">
        <v>🟢 NORMAL</v>
      </c>
      <c r="I54" t="str">
        <v/>
      </c>
      <c r="J54" t="str">
        <v/>
      </c>
      <c r="N54" s="33"/>
      <c r="O54" s="63"/>
      <c r="P54" s="33"/>
      <c r="Q54" s="33"/>
      <c r="R54" s="63"/>
      <c r="S54" s="33"/>
    </row>
    <row r="55" spans="2:19" x14ac:dyDescent="0.2">
      <c r="B55" t="str">
        <v>KAREN VIVIANA GOMEZ RODRIGUEZ</v>
      </c>
      <c r="C55" t="str">
        <v>43985280</v>
      </c>
      <c r="D55" s="33">
        <v>4</v>
      </c>
      <c r="E55" s="33">
        <v>4</v>
      </c>
      <c r="F55" s="33">
        <v>0</v>
      </c>
      <c r="G55" s="63">
        <v>0.13300000000000001</v>
      </c>
      <c r="H55" s="33" t="str">
        <v>🟢 NORMAL</v>
      </c>
      <c r="I55" t="str">
        <v/>
      </c>
      <c r="J55" t="str">
        <v/>
      </c>
      <c r="N55" s="33"/>
      <c r="O55" s="63"/>
      <c r="P55" s="33"/>
      <c r="Q55" s="33"/>
      <c r="R55" s="63"/>
      <c r="S55" s="33"/>
    </row>
    <row r="56" spans="2:19" x14ac:dyDescent="0.2">
      <c r="B56" t="str">
        <v>LAURA MARIA HOYOS CASTAÑEDA</v>
      </c>
      <c r="C56" t="str">
        <v>1152438752</v>
      </c>
      <c r="D56" s="33">
        <v>4</v>
      </c>
      <c r="E56" s="33">
        <v>4</v>
      </c>
      <c r="F56" s="33">
        <v>0</v>
      </c>
      <c r="G56" s="63">
        <v>0.13300000000000001</v>
      </c>
      <c r="H56" s="33" t="str">
        <v>🟢 NORMAL</v>
      </c>
      <c r="I56" t="str">
        <v/>
      </c>
      <c r="J56" t="str">
        <v/>
      </c>
      <c r="N56" s="33"/>
      <c r="O56" s="63"/>
      <c r="P56" s="33"/>
      <c r="Q56" s="33"/>
      <c r="R56" s="63"/>
      <c r="S56" s="33"/>
    </row>
    <row r="57" spans="2:19" x14ac:dyDescent="0.2">
      <c r="B57" t="str">
        <v>LUZ ADRIANA SANCHEZ VARGAS</v>
      </c>
      <c r="C57" t="str">
        <v>1088002078</v>
      </c>
      <c r="D57" s="33">
        <v>4</v>
      </c>
      <c r="E57" s="33">
        <v>4</v>
      </c>
      <c r="F57" s="33">
        <v>0</v>
      </c>
      <c r="G57" s="63">
        <v>0.13300000000000001</v>
      </c>
      <c r="H57" s="33" t="str">
        <v>🟢 NORMAL</v>
      </c>
      <c r="I57" t="str">
        <v/>
      </c>
      <c r="J57" t="str">
        <v/>
      </c>
      <c r="N57" s="33"/>
      <c r="O57" s="63"/>
      <c r="P57" s="33"/>
      <c r="Q57" s="33"/>
      <c r="R57" s="63"/>
      <c r="S57" s="33"/>
    </row>
    <row r="58" spans="2:19" x14ac:dyDescent="0.2">
      <c r="B58" t="str">
        <v>MARIA CAMILA SANCHEZ CORTES</v>
      </c>
      <c r="C58" t="str">
        <v>1152703509</v>
      </c>
      <c r="D58" s="33">
        <v>4</v>
      </c>
      <c r="E58" s="33">
        <v>4</v>
      </c>
      <c r="F58" s="33">
        <v>0</v>
      </c>
      <c r="G58" s="63">
        <v>0.13300000000000001</v>
      </c>
      <c r="H58" s="33" t="str">
        <v>🟢 NORMAL</v>
      </c>
      <c r="I58" t="str">
        <v/>
      </c>
      <c r="J58" t="str">
        <v/>
      </c>
      <c r="N58" s="33"/>
      <c r="O58" s="63"/>
      <c r="P58" s="33"/>
      <c r="Q58" s="33"/>
      <c r="R58" s="63"/>
      <c r="S58" s="33"/>
    </row>
    <row r="59" spans="2:19" x14ac:dyDescent="0.2">
      <c r="B59" t="str">
        <v>NATALIA  BOHORQUEZ YEPES</v>
      </c>
      <c r="C59" t="str">
        <v>43908666</v>
      </c>
      <c r="D59" s="33">
        <v>4</v>
      </c>
      <c r="E59" s="33">
        <v>4</v>
      </c>
      <c r="F59" s="33">
        <v>0</v>
      </c>
      <c r="G59" s="63">
        <v>0.13300000000000001</v>
      </c>
      <c r="H59" s="33" t="str">
        <v>🟢 NORMAL</v>
      </c>
      <c r="I59" t="str">
        <v/>
      </c>
      <c r="J59" t="str">
        <v/>
      </c>
      <c r="N59" s="33"/>
      <c r="O59" s="63"/>
      <c r="P59" s="33"/>
      <c r="Q59" s="33"/>
      <c r="R59" s="63"/>
      <c r="S59" s="33"/>
    </row>
    <row r="60" spans="2:19" x14ac:dyDescent="0.2">
      <c r="B60" t="str">
        <v>SAMUEL SAMUEL ORREGO RODRIGUEZ</v>
      </c>
      <c r="C60" t="str">
        <v>1020431956</v>
      </c>
      <c r="D60" s="33">
        <v>4</v>
      </c>
      <c r="E60" s="33">
        <v>4</v>
      </c>
      <c r="F60" s="33">
        <v>0</v>
      </c>
      <c r="G60" s="63">
        <v>0.13300000000000001</v>
      </c>
      <c r="H60" s="33" t="str">
        <v>🟢 NORMAL</v>
      </c>
      <c r="I60" t="str">
        <v/>
      </c>
      <c r="J60" t="str">
        <v/>
      </c>
      <c r="N60" s="33"/>
      <c r="O60" s="63"/>
      <c r="P60" s="33"/>
      <c r="Q60" s="33"/>
      <c r="R60" s="63"/>
      <c r="S60" s="33"/>
    </row>
    <row r="61" spans="2:19" x14ac:dyDescent="0.2">
      <c r="B61" t="str">
        <v>SARA  RAMIREZ HINCAPIE</v>
      </c>
      <c r="C61" t="str">
        <v>1126744781</v>
      </c>
      <c r="D61" s="33">
        <v>4</v>
      </c>
      <c r="E61" s="33">
        <v>4</v>
      </c>
      <c r="F61" s="33">
        <v>0</v>
      </c>
      <c r="G61" s="63">
        <v>0.13300000000000001</v>
      </c>
      <c r="H61" s="33" t="str">
        <v>🟢 NORMAL</v>
      </c>
      <c r="I61" t="str">
        <v/>
      </c>
      <c r="J61" t="str">
        <v/>
      </c>
      <c r="N61" s="33"/>
      <c r="O61" s="63"/>
      <c r="P61" s="33"/>
      <c r="Q61" s="33"/>
      <c r="R61" s="63"/>
      <c r="S61" s="33"/>
    </row>
    <row r="62" spans="2:19" x14ac:dyDescent="0.2">
      <c r="B62" t="str">
        <v>SEBASTIAN  URIBE ARBOLEDA</v>
      </c>
      <c r="C62" t="str">
        <v>1040740766</v>
      </c>
      <c r="D62" s="33">
        <v>4</v>
      </c>
      <c r="E62" s="33">
        <v>4</v>
      </c>
      <c r="F62" s="33">
        <v>0</v>
      </c>
      <c r="G62" s="63">
        <v>0.13300000000000001</v>
      </c>
      <c r="H62" s="33" t="str">
        <v>🟢 NORMAL</v>
      </c>
      <c r="I62" t="str">
        <v/>
      </c>
      <c r="J62" t="str">
        <v/>
      </c>
      <c r="N62" s="33"/>
      <c r="O62" s="63"/>
      <c r="P62" s="33"/>
      <c r="Q62" s="33"/>
      <c r="R62" s="63"/>
      <c r="S62" s="33"/>
    </row>
    <row r="63" spans="2:19" x14ac:dyDescent="0.2">
      <c r="B63" t="str">
        <v>STEPHANIE  CORONADO LUJAN</v>
      </c>
      <c r="C63" t="str">
        <v>1035862476</v>
      </c>
      <c r="D63" s="33">
        <v>4</v>
      </c>
      <c r="E63" s="33">
        <v>4</v>
      </c>
      <c r="F63" s="33">
        <v>0</v>
      </c>
      <c r="G63" s="63">
        <v>0.13300000000000001</v>
      </c>
      <c r="H63" s="33" t="str">
        <v>🟢 NORMAL</v>
      </c>
      <c r="I63" t="str">
        <v/>
      </c>
      <c r="J63" t="str">
        <v/>
      </c>
      <c r="N63" s="33"/>
      <c r="O63" s="63"/>
      <c r="P63" s="33"/>
      <c r="Q63" s="33"/>
      <c r="R63" s="63"/>
      <c r="S63" s="33"/>
    </row>
    <row r="64" spans="2:19" x14ac:dyDescent="0.2">
      <c r="B64" t="str">
        <v>STEVEN  CASAS SERNA</v>
      </c>
      <c r="C64" t="str">
        <v>1128403760</v>
      </c>
      <c r="D64" s="33">
        <v>4</v>
      </c>
      <c r="E64" s="33">
        <v>4</v>
      </c>
      <c r="F64" s="33">
        <v>0</v>
      </c>
      <c r="G64" s="63">
        <v>0.13300000000000001</v>
      </c>
      <c r="H64" s="33" t="str">
        <v>🟢 NORMAL</v>
      </c>
      <c r="I64" t="str">
        <v/>
      </c>
      <c r="J64" t="str">
        <v/>
      </c>
      <c r="N64" s="33"/>
      <c r="O64" s="63"/>
      <c r="P64" s="33"/>
      <c r="Q64" s="33"/>
      <c r="R64" s="63"/>
      <c r="S64" s="33"/>
    </row>
    <row r="65" spans="4:19" x14ac:dyDescent="0.2">
      <c r="D65" s="33"/>
      <c r="E65" s="33"/>
      <c r="F65" s="33"/>
      <c r="G65" s="63"/>
      <c r="H65" s="33"/>
      <c r="N65" s="33"/>
      <c r="O65" s="63"/>
      <c r="P65" s="33"/>
      <c r="Q65" s="33"/>
      <c r="R65" s="63"/>
      <c r="S65" s="33"/>
    </row>
    <row r="66" spans="4:19" x14ac:dyDescent="0.2">
      <c r="D66" s="33"/>
      <c r="E66" s="33"/>
      <c r="F66" s="33"/>
      <c r="G66" s="63"/>
      <c r="H66" s="33"/>
      <c r="N66" s="33"/>
      <c r="O66" s="63"/>
      <c r="P66" s="33"/>
      <c r="Q66" s="33"/>
      <c r="R66" s="63"/>
      <c r="S66" s="33"/>
    </row>
    <row r="67" spans="4:19" x14ac:dyDescent="0.2">
      <c r="D67" s="33"/>
      <c r="E67" s="33"/>
      <c r="F67" s="33"/>
      <c r="G67" s="63"/>
      <c r="H67" s="33"/>
      <c r="N67" s="33"/>
      <c r="O67" s="63"/>
      <c r="P67" s="33"/>
      <c r="Q67" s="33"/>
      <c r="R67" s="63"/>
      <c r="S67" s="33"/>
    </row>
    <row r="68" spans="4:19" x14ac:dyDescent="0.2">
      <c r="D68" s="33"/>
      <c r="E68" s="33"/>
      <c r="F68" s="33"/>
      <c r="G68" s="63"/>
      <c r="H68" s="33"/>
      <c r="N68" s="33"/>
      <c r="O68" s="63"/>
      <c r="P68" s="33"/>
      <c r="Q68" s="33"/>
      <c r="R68" s="63"/>
      <c r="S68" s="33"/>
    </row>
    <row r="69" spans="4:19" x14ac:dyDescent="0.2">
      <c r="D69" s="33"/>
      <c r="E69" s="33"/>
      <c r="F69" s="33"/>
      <c r="G69" s="63"/>
      <c r="H69" s="33"/>
      <c r="N69" s="33"/>
      <c r="O69" s="63"/>
      <c r="P69" s="33"/>
      <c r="Q69" s="33"/>
      <c r="R69" s="63"/>
      <c r="S69" s="33"/>
    </row>
    <row r="70" spans="4:19" x14ac:dyDescent="0.2">
      <c r="D70" s="33"/>
      <c r="E70" s="33"/>
      <c r="F70" s="33"/>
      <c r="G70" s="63"/>
      <c r="H70" s="33"/>
      <c r="N70" s="33"/>
      <c r="O70" s="63"/>
      <c r="P70" s="33"/>
      <c r="Q70" s="33"/>
      <c r="R70" s="63"/>
      <c r="S70" s="33"/>
    </row>
    <row r="71" spans="4:19" x14ac:dyDescent="0.2">
      <c r="D71" s="33"/>
      <c r="E71" s="33"/>
      <c r="F71" s="33"/>
      <c r="G71" s="34"/>
      <c r="H71" s="33"/>
      <c r="N71" s="33"/>
      <c r="O71" s="34"/>
      <c r="P71" s="33"/>
      <c r="Q71" s="33"/>
      <c r="R71" s="34"/>
      <c r="S71" s="33"/>
    </row>
    <row r="72" spans="4:19" x14ac:dyDescent="0.2">
      <c r="D72" s="33"/>
      <c r="E72" s="33"/>
      <c r="F72" s="33"/>
      <c r="G72" s="34"/>
      <c r="H72" s="33"/>
      <c r="N72" s="33"/>
      <c r="O72" s="34"/>
      <c r="P72" s="33"/>
      <c r="Q72" s="33"/>
      <c r="R72" s="34"/>
      <c r="S72" s="33"/>
    </row>
    <row r="73" spans="4:19" x14ac:dyDescent="0.2">
      <c r="D73" s="33"/>
      <c r="E73" s="33"/>
      <c r="F73" s="33"/>
      <c r="G73" s="34"/>
      <c r="H73" s="33"/>
      <c r="N73" s="33"/>
      <c r="O73" s="34"/>
      <c r="P73" s="33"/>
      <c r="Q73" s="33"/>
      <c r="R73" s="34"/>
      <c r="S73" s="33"/>
    </row>
    <row r="74" spans="4:19" x14ac:dyDescent="0.2">
      <c r="D74" s="33"/>
      <c r="E74" s="33"/>
      <c r="F74" s="33"/>
      <c r="G74" s="34"/>
      <c r="H74" s="33"/>
      <c r="N74" s="33"/>
      <c r="O74" s="34"/>
      <c r="P74" s="33"/>
      <c r="Q74" s="33"/>
      <c r="R74" s="34"/>
      <c r="S74" s="33"/>
    </row>
    <row r="75" spans="4:19" x14ac:dyDescent="0.2">
      <c r="D75" s="33"/>
      <c r="E75" s="33"/>
      <c r="F75" s="33"/>
      <c r="G75" s="34"/>
      <c r="H75" s="33"/>
      <c r="N75" s="33"/>
      <c r="O75" s="34"/>
      <c r="P75" s="33"/>
      <c r="Q75" s="33"/>
      <c r="R75" s="34"/>
      <c r="S75" s="33"/>
    </row>
    <row r="76" spans="4:19" x14ac:dyDescent="0.2">
      <c r="D76" s="33"/>
      <c r="E76" s="33"/>
      <c r="F76" s="33"/>
      <c r="G76" s="34"/>
      <c r="H76" s="33"/>
      <c r="N76" s="33"/>
      <c r="O76" s="34"/>
      <c r="P76" s="33"/>
      <c r="Q76" s="33"/>
      <c r="R76" s="34"/>
      <c r="S76" s="33"/>
    </row>
    <row r="77" spans="4:19" x14ac:dyDescent="0.2">
      <c r="D77" s="33"/>
      <c r="E77" s="33"/>
      <c r="F77" s="33"/>
      <c r="G77" s="34"/>
      <c r="H77" s="33"/>
      <c r="N77" s="33"/>
      <c r="O77" s="34"/>
      <c r="P77" s="33"/>
      <c r="Q77" s="33"/>
      <c r="R77" s="34"/>
      <c r="S77" s="33"/>
    </row>
    <row r="78" spans="4:19" x14ac:dyDescent="0.2">
      <c r="D78" s="33"/>
      <c r="E78" s="33"/>
      <c r="F78" s="33"/>
      <c r="G78" s="34"/>
      <c r="H78" s="33"/>
      <c r="N78" s="33"/>
      <c r="O78" s="34"/>
      <c r="P78" s="33"/>
      <c r="Q78" s="33"/>
      <c r="R78" s="34"/>
      <c r="S78" s="33"/>
    </row>
    <row r="79" spans="4:19" x14ac:dyDescent="0.2">
      <c r="D79" s="33"/>
      <c r="E79" s="33"/>
      <c r="F79" s="33"/>
      <c r="G79" s="34"/>
      <c r="H79" s="33"/>
      <c r="N79" s="33"/>
      <c r="O79" s="34"/>
      <c r="P79" s="33"/>
      <c r="Q79" s="33"/>
      <c r="R79" s="34"/>
      <c r="S79" s="33"/>
    </row>
    <row r="80" spans="4:19" x14ac:dyDescent="0.2">
      <c r="D80" s="33"/>
      <c r="E80" s="33"/>
      <c r="F80" s="33"/>
      <c r="G80" s="34"/>
      <c r="H80" s="33"/>
      <c r="N80" s="33"/>
      <c r="O80" s="34"/>
      <c r="P80" s="33"/>
      <c r="Q80" s="33"/>
      <c r="R80" s="34"/>
      <c r="S80" s="33"/>
    </row>
    <row r="81" spans="4:8" x14ac:dyDescent="0.2">
      <c r="D81" s="33"/>
      <c r="E81" s="33"/>
      <c r="F81" s="33"/>
      <c r="G81" s="34"/>
      <c r="H81" s="33"/>
    </row>
    <row r="82" spans="4:8" x14ac:dyDescent="0.2">
      <c r="D82" s="33"/>
      <c r="E82" s="33"/>
      <c r="F82" s="33"/>
      <c r="G82" s="34"/>
      <c r="H82" s="33"/>
    </row>
    <row r="83" spans="4:8" x14ac:dyDescent="0.2">
      <c r="D83" s="33"/>
      <c r="E83" s="33"/>
      <c r="F83" s="33"/>
      <c r="G83" s="34"/>
      <c r="H83" s="33"/>
    </row>
    <row r="84" spans="4:8" x14ac:dyDescent="0.2">
      <c r="D84" s="33"/>
      <c r="E84" s="33"/>
      <c r="F84" s="33"/>
      <c r="G84" s="34"/>
      <c r="H84" s="33"/>
    </row>
    <row r="85" spans="4:8" x14ac:dyDescent="0.2">
      <c r="D85" s="33"/>
      <c r="E85" s="33"/>
      <c r="F85" s="33"/>
      <c r="G85" s="34"/>
      <c r="H85" s="33"/>
    </row>
    <row r="86" spans="4:8" x14ac:dyDescent="0.2">
      <c r="D86" s="33"/>
      <c r="E86" s="33"/>
      <c r="F86" s="33"/>
      <c r="G86" s="34"/>
      <c r="H86" s="33"/>
    </row>
    <row r="87" spans="4:8" x14ac:dyDescent="0.2">
      <c r="D87" s="33"/>
      <c r="E87" s="33"/>
      <c r="F87" s="33"/>
      <c r="G87" s="34"/>
      <c r="H87" s="33"/>
    </row>
    <row r="88" spans="4:8" x14ac:dyDescent="0.2">
      <c r="D88" s="33"/>
      <c r="E88" s="33"/>
      <c r="F88" s="33"/>
      <c r="G88" s="34"/>
      <c r="H88" s="33"/>
    </row>
    <row r="89" spans="4:8" x14ac:dyDescent="0.2">
      <c r="D89" s="33"/>
      <c r="E89" s="33"/>
      <c r="F89" s="33"/>
      <c r="G89" s="34"/>
      <c r="H89" s="33"/>
    </row>
    <row r="90" spans="4:8" x14ac:dyDescent="0.2">
      <c r="D90" s="33"/>
      <c r="E90" s="33"/>
      <c r="F90" s="33"/>
      <c r="G90" s="34"/>
      <c r="H90" s="33"/>
    </row>
    <row r="91" spans="4:8" x14ac:dyDescent="0.2">
      <c r="D91" s="33"/>
      <c r="E91" s="33"/>
      <c r="F91" s="33"/>
      <c r="G91" s="34"/>
      <c r="H91" s="33"/>
    </row>
    <row r="92" spans="4:8" x14ac:dyDescent="0.2">
      <c r="D92" s="33"/>
      <c r="E92" s="33"/>
      <c r="F92" s="33"/>
      <c r="G92" s="34"/>
      <c r="H92" s="33"/>
    </row>
    <row r="93" spans="4:8" x14ac:dyDescent="0.2">
      <c r="D93" s="33"/>
      <c r="E93" s="33"/>
      <c r="F93" s="33"/>
      <c r="G93" s="34"/>
      <c r="H93" s="33"/>
    </row>
    <row r="94" spans="4:8" x14ac:dyDescent="0.2">
      <c r="D94" s="33"/>
      <c r="E94" s="33"/>
      <c r="F94" s="33"/>
      <c r="G94" s="34"/>
      <c r="H94" s="33"/>
    </row>
    <row r="95" spans="4:8" x14ac:dyDescent="0.2">
      <c r="D95" s="33"/>
      <c r="E95" s="33"/>
      <c r="F95" s="33"/>
      <c r="G95" s="34"/>
      <c r="H95" s="33"/>
    </row>
    <row r="96" spans="4:8" x14ac:dyDescent="0.2">
      <c r="D96" s="33"/>
      <c r="E96" s="33"/>
      <c r="F96" s="33"/>
      <c r="G96" s="34"/>
      <c r="H96" s="33"/>
    </row>
    <row r="97" spans="4:8" x14ac:dyDescent="0.2">
      <c r="D97" s="33"/>
      <c r="E97" s="33"/>
      <c r="F97" s="33"/>
      <c r="G97" s="34"/>
      <c r="H97" s="33"/>
    </row>
    <row r="98" spans="4:8" x14ac:dyDescent="0.2">
      <c r="D98" s="33"/>
      <c r="E98" s="33"/>
      <c r="F98" s="33"/>
      <c r="G98" s="34"/>
      <c r="H98" s="33"/>
    </row>
    <row r="99" spans="4:8" x14ac:dyDescent="0.2">
      <c r="D99" s="33"/>
      <c r="E99" s="33"/>
      <c r="F99" s="33"/>
      <c r="G99" s="34"/>
      <c r="H99" s="33"/>
    </row>
    <row r="100" spans="4:8" x14ac:dyDescent="0.2">
      <c r="D100" s="33"/>
      <c r="E100" s="33"/>
      <c r="F100" s="33"/>
      <c r="G100" s="34"/>
      <c r="H100" s="33"/>
    </row>
    <row r="101" spans="4:8" x14ac:dyDescent="0.2">
      <c r="D101" s="33"/>
      <c r="E101" s="33"/>
      <c r="F101" s="33"/>
      <c r="G101" s="34"/>
      <c r="H101" s="33"/>
    </row>
    <row r="102" spans="4:8" x14ac:dyDescent="0.2">
      <c r="D102" s="33"/>
      <c r="E102" s="33"/>
      <c r="F102" s="33"/>
      <c r="G102" s="34"/>
      <c r="H102" s="33"/>
    </row>
    <row r="103" spans="4:8" x14ac:dyDescent="0.2">
      <c r="D103" s="33"/>
      <c r="E103" s="33"/>
      <c r="F103" s="33"/>
      <c r="G103" s="34"/>
      <c r="H103" s="33"/>
    </row>
    <row r="104" spans="4:8" x14ac:dyDescent="0.2">
      <c r="D104" s="33"/>
      <c r="E104" s="33"/>
      <c r="F104" s="33"/>
      <c r="G104" s="34"/>
      <c r="H104" s="33"/>
    </row>
    <row r="105" spans="4:8" x14ac:dyDescent="0.2">
      <c r="D105" s="33"/>
      <c r="E105" s="33"/>
      <c r="F105" s="33"/>
      <c r="G105" s="34"/>
      <c r="H105" s="33"/>
    </row>
    <row r="106" spans="4:8" x14ac:dyDescent="0.2">
      <c r="D106" s="33"/>
      <c r="E106" s="33"/>
      <c r="F106" s="33"/>
      <c r="G106" s="34"/>
      <c r="H106" s="33"/>
    </row>
    <row r="107" spans="4:8" x14ac:dyDescent="0.2">
      <c r="D107" s="33"/>
      <c r="E107" s="33"/>
      <c r="F107" s="33"/>
      <c r="G107" s="34"/>
      <c r="H107" s="33"/>
    </row>
    <row r="108" spans="4:8" x14ac:dyDescent="0.2">
      <c r="D108" s="33"/>
      <c r="E108" s="33"/>
      <c r="F108" s="33"/>
      <c r="G108" s="34"/>
      <c r="H108" s="33"/>
    </row>
    <row r="109" spans="4:8" x14ac:dyDescent="0.2">
      <c r="D109" s="33"/>
      <c r="E109" s="33"/>
      <c r="F109" s="33"/>
      <c r="G109" s="34"/>
      <c r="H109" s="33"/>
    </row>
    <row r="110" spans="4:8" x14ac:dyDescent="0.2">
      <c r="D110" s="33"/>
      <c r="E110" s="33"/>
      <c r="F110" s="33"/>
      <c r="G110" s="34"/>
      <c r="H110" s="33"/>
    </row>
    <row r="111" spans="4:8" x14ac:dyDescent="0.2">
      <c r="D111" s="33"/>
      <c r="E111" s="33"/>
      <c r="F111" s="33"/>
      <c r="G111" s="34"/>
      <c r="H111" s="33"/>
    </row>
    <row r="112" spans="4:8" x14ac:dyDescent="0.2">
      <c r="D112" s="33"/>
      <c r="E112" s="33"/>
      <c r="F112" s="33"/>
      <c r="G112" s="34"/>
      <c r="H112" s="33"/>
    </row>
    <row r="113" spans="4:8" x14ac:dyDescent="0.2">
      <c r="D113" s="33"/>
      <c r="E113" s="33"/>
      <c r="F113" s="33"/>
      <c r="G113" s="34"/>
      <c r="H113" s="33"/>
    </row>
    <row r="114" spans="4:8" x14ac:dyDescent="0.2">
      <c r="D114" s="33"/>
      <c r="E114" s="33"/>
      <c r="F114" s="33"/>
      <c r="G114" s="34"/>
      <c r="H114" s="33"/>
    </row>
    <row r="115" spans="4:8" x14ac:dyDescent="0.2">
      <c r="D115" s="33"/>
      <c r="E115" s="33"/>
      <c r="F115" s="33"/>
      <c r="G115" s="34"/>
      <c r="H115" s="33"/>
    </row>
    <row r="116" spans="4:8" x14ac:dyDescent="0.2">
      <c r="D116" s="33"/>
      <c r="E116" s="33"/>
      <c r="F116" s="33"/>
      <c r="G116" s="34"/>
      <c r="H116" s="33"/>
    </row>
    <row r="117" spans="4:8" x14ac:dyDescent="0.2">
      <c r="D117" s="33"/>
      <c r="E117" s="33"/>
      <c r="F117" s="33"/>
      <c r="G117" s="34"/>
      <c r="H117" s="33"/>
    </row>
    <row r="118" spans="4:8" x14ac:dyDescent="0.2">
      <c r="D118" s="33"/>
      <c r="E118" s="33"/>
      <c r="F118" s="33"/>
      <c r="G118" s="34"/>
      <c r="H118" s="33"/>
    </row>
    <row r="119" spans="4:8" x14ac:dyDescent="0.2">
      <c r="D119" s="33"/>
      <c r="E119" s="33"/>
      <c r="F119" s="33"/>
      <c r="G119" s="34"/>
      <c r="H119" s="33"/>
    </row>
    <row r="120" spans="4:8" x14ac:dyDescent="0.2">
      <c r="D120" s="33"/>
      <c r="E120" s="33"/>
      <c r="F120" s="33"/>
      <c r="G120" s="34"/>
      <c r="H120" s="33"/>
    </row>
    <row r="121" spans="4:8" x14ac:dyDescent="0.2">
      <c r="D121" s="33"/>
      <c r="E121" s="33"/>
      <c r="F121" s="33"/>
      <c r="G121" s="34"/>
      <c r="H121" s="33"/>
    </row>
    <row r="122" spans="4:8" x14ac:dyDescent="0.2">
      <c r="D122" s="33"/>
      <c r="E122" s="33"/>
      <c r="F122" s="33"/>
      <c r="G122" s="34"/>
      <c r="H122" s="33"/>
    </row>
    <row r="123" spans="4:8" x14ac:dyDescent="0.2">
      <c r="D123" s="33"/>
      <c r="E123" s="33"/>
      <c r="F123" s="33"/>
      <c r="G123" s="34"/>
      <c r="H123" s="33"/>
    </row>
    <row r="124" spans="4:8" x14ac:dyDescent="0.2">
      <c r="D124" s="33"/>
      <c r="E124" s="33"/>
      <c r="F124" s="33"/>
      <c r="G124" s="34"/>
      <c r="H124" s="33"/>
    </row>
    <row r="125" spans="4:8" x14ac:dyDescent="0.2">
      <c r="D125" s="33"/>
      <c r="E125" s="33"/>
      <c r="F125" s="33"/>
      <c r="G125" s="34"/>
      <c r="H125" s="33"/>
    </row>
    <row r="126" spans="4:8" x14ac:dyDescent="0.2">
      <c r="D126" s="33"/>
      <c r="E126" s="33"/>
      <c r="F126" s="33"/>
      <c r="G126" s="34"/>
      <c r="H126" s="33"/>
    </row>
    <row r="127" spans="4:8" x14ac:dyDescent="0.2">
      <c r="D127" s="33"/>
      <c r="E127" s="33"/>
      <c r="F127" s="33"/>
      <c r="G127" s="34"/>
      <c r="H127" s="33"/>
    </row>
    <row r="128" spans="4:8" x14ac:dyDescent="0.2">
      <c r="D128" s="33"/>
      <c r="E128" s="33"/>
      <c r="F128" s="33"/>
      <c r="G128" s="34"/>
      <c r="H128" s="33"/>
    </row>
    <row r="129" spans="4:8" x14ac:dyDescent="0.2">
      <c r="D129" s="33"/>
      <c r="E129" s="33"/>
      <c r="F129" s="33"/>
      <c r="G129" s="34"/>
      <c r="H129" s="33"/>
    </row>
    <row r="130" spans="4:8" x14ac:dyDescent="0.2">
      <c r="D130" s="33"/>
      <c r="E130" s="33"/>
      <c r="F130" s="33"/>
      <c r="G130" s="34"/>
      <c r="H130" s="33"/>
    </row>
    <row r="131" spans="4:8" x14ac:dyDescent="0.2">
      <c r="D131" s="33"/>
      <c r="E131" s="33"/>
      <c r="F131" s="33"/>
      <c r="G131" s="34"/>
      <c r="H131" s="33"/>
    </row>
    <row r="132" spans="4:8" x14ac:dyDescent="0.2">
      <c r="D132" s="33"/>
      <c r="E132" s="33"/>
      <c r="F132" s="33"/>
      <c r="G132" s="34"/>
      <c r="H132" s="33"/>
    </row>
    <row r="133" spans="4:8" x14ac:dyDescent="0.2">
      <c r="D133" s="33"/>
      <c r="E133" s="33"/>
      <c r="F133" s="33"/>
      <c r="G133" s="34"/>
      <c r="H133" s="33"/>
    </row>
    <row r="134" spans="4:8" x14ac:dyDescent="0.2">
      <c r="D134" s="33"/>
      <c r="E134" s="33"/>
      <c r="F134" s="33"/>
      <c r="G134" s="34"/>
      <c r="H134" s="33"/>
    </row>
    <row r="135" spans="4:8" x14ac:dyDescent="0.2">
      <c r="D135" s="33"/>
      <c r="E135" s="33"/>
      <c r="F135" s="33"/>
      <c r="G135" s="34"/>
      <c r="H135" s="33"/>
    </row>
    <row r="136" spans="4:8" x14ac:dyDescent="0.2">
      <c r="D136" s="33"/>
      <c r="E136" s="33"/>
      <c r="F136" s="33"/>
      <c r="G136" s="34"/>
      <c r="H136" s="33"/>
    </row>
    <row r="137" spans="4:8" x14ac:dyDescent="0.2">
      <c r="D137" s="33"/>
      <c r="E137" s="33"/>
      <c r="F137" s="33"/>
      <c r="G137" s="34"/>
      <c r="H137" s="33"/>
    </row>
    <row r="138" spans="4:8" x14ac:dyDescent="0.2">
      <c r="D138" s="33"/>
      <c r="E138" s="33"/>
      <c r="F138" s="33"/>
      <c r="G138" s="34"/>
      <c r="H138" s="33"/>
    </row>
    <row r="139" spans="4:8" x14ac:dyDescent="0.2">
      <c r="D139" s="33"/>
      <c r="E139" s="33"/>
      <c r="F139" s="33"/>
      <c r="G139" s="34"/>
      <c r="H139" s="33"/>
    </row>
    <row r="140" spans="4:8" x14ac:dyDescent="0.2">
      <c r="D140" s="33"/>
      <c r="E140" s="33"/>
      <c r="F140" s="33"/>
      <c r="G140" s="34"/>
      <c r="H140" s="33"/>
    </row>
    <row r="141" spans="4:8" x14ac:dyDescent="0.2">
      <c r="D141" s="33"/>
      <c r="E141" s="33"/>
      <c r="F141" s="33"/>
      <c r="G141" s="34"/>
      <c r="H141" s="33"/>
    </row>
    <row r="142" spans="4:8" x14ac:dyDescent="0.2">
      <c r="D142" s="33"/>
      <c r="E142" s="33"/>
      <c r="F142" s="33"/>
      <c r="G142" s="34"/>
      <c r="H142" s="33"/>
    </row>
    <row r="143" spans="4:8" x14ac:dyDescent="0.2">
      <c r="D143" s="33"/>
      <c r="E143" s="33"/>
      <c r="F143" s="33"/>
      <c r="G143" s="34"/>
      <c r="H143" s="33"/>
    </row>
    <row r="144" spans="4:8" x14ac:dyDescent="0.2">
      <c r="D144" s="33"/>
      <c r="E144" s="33"/>
      <c r="F144" s="33"/>
      <c r="G144" s="34"/>
      <c r="H144" s="33"/>
    </row>
    <row r="145" spans="4:8" x14ac:dyDescent="0.2">
      <c r="D145" s="33"/>
      <c r="E145" s="33"/>
      <c r="F145" s="33"/>
      <c r="G145" s="34"/>
      <c r="H145" s="33"/>
    </row>
    <row r="146" spans="4:8" x14ac:dyDescent="0.2">
      <c r="D146" s="33"/>
      <c r="E146" s="33"/>
      <c r="F146" s="33"/>
      <c r="G146" s="34"/>
      <c r="H146" s="33"/>
    </row>
    <row r="147" spans="4:8" x14ac:dyDescent="0.2">
      <c r="D147" s="33"/>
      <c r="E147" s="33"/>
      <c r="F147" s="33"/>
      <c r="G147" s="34"/>
      <c r="H147" s="33"/>
    </row>
    <row r="148" spans="4:8" x14ac:dyDescent="0.2">
      <c r="D148" s="33"/>
      <c r="E148" s="33"/>
      <c r="F148" s="33"/>
      <c r="G148" s="34"/>
      <c r="H148" s="33"/>
    </row>
    <row r="149" spans="4:8" x14ac:dyDescent="0.2">
      <c r="D149" s="33"/>
      <c r="E149" s="33"/>
      <c r="F149" s="33"/>
      <c r="G149" s="34"/>
      <c r="H149" s="33"/>
    </row>
    <row r="150" spans="4:8" x14ac:dyDescent="0.2">
      <c r="D150" s="33"/>
      <c r="E150" s="33"/>
      <c r="F150" s="33"/>
      <c r="G150" s="34"/>
      <c r="H150" s="33"/>
    </row>
    <row r="151" spans="4:8" x14ac:dyDescent="0.2">
      <c r="D151" s="33"/>
      <c r="E151" s="33"/>
      <c r="F151" s="33"/>
      <c r="G151" s="34"/>
      <c r="H151" s="33"/>
    </row>
    <row r="152" spans="4:8" x14ac:dyDescent="0.2">
      <c r="D152" s="33"/>
      <c r="E152" s="33"/>
      <c r="F152" s="33"/>
      <c r="G152" s="34"/>
      <c r="H152" s="33"/>
    </row>
    <row r="153" spans="4:8" x14ac:dyDescent="0.2">
      <c r="D153" s="33"/>
      <c r="E153" s="33"/>
      <c r="F153" s="33"/>
      <c r="G153" s="34"/>
      <c r="H153" s="33"/>
    </row>
    <row r="154" spans="4:8" x14ac:dyDescent="0.2">
      <c r="D154" s="33"/>
      <c r="E154" s="33"/>
      <c r="F154" s="33"/>
      <c r="G154" s="34"/>
      <c r="H154" s="33"/>
    </row>
    <row r="155" spans="4:8" x14ac:dyDescent="0.2">
      <c r="D155" s="33"/>
      <c r="E155" s="33"/>
      <c r="F155" s="33"/>
      <c r="G155" s="34"/>
      <c r="H155" s="33"/>
    </row>
    <row r="156" spans="4:8" x14ac:dyDescent="0.2">
      <c r="D156" s="33"/>
      <c r="E156" s="33"/>
      <c r="F156" s="33"/>
      <c r="G156" s="34"/>
      <c r="H156" s="33"/>
    </row>
    <row r="157" spans="4:8" x14ac:dyDescent="0.2">
      <c r="D157" s="33"/>
      <c r="E157" s="33"/>
      <c r="F157" s="33"/>
      <c r="G157" s="34"/>
      <c r="H157" s="33"/>
    </row>
    <row r="158" spans="4:8" x14ac:dyDescent="0.2">
      <c r="D158" s="33"/>
      <c r="E158" s="33"/>
      <c r="F158" s="33"/>
      <c r="G158" s="34"/>
      <c r="H158" s="33"/>
    </row>
    <row r="159" spans="4:8" x14ac:dyDescent="0.2">
      <c r="D159" s="33"/>
      <c r="E159" s="33"/>
      <c r="F159" s="33"/>
      <c r="G159" s="34"/>
      <c r="H159" s="33"/>
    </row>
    <row r="160" spans="4:8" x14ac:dyDescent="0.2">
      <c r="D160" s="33"/>
      <c r="E160" s="33"/>
      <c r="F160" s="33"/>
      <c r="G160" s="34"/>
      <c r="H160" s="33"/>
    </row>
    <row r="161" spans="4:8" x14ac:dyDescent="0.2">
      <c r="D161" s="33"/>
      <c r="E161" s="33"/>
      <c r="F161" s="33"/>
      <c r="G161" s="34"/>
      <c r="H161" s="33"/>
    </row>
    <row r="162" spans="4:8" x14ac:dyDescent="0.2">
      <c r="D162" s="33"/>
      <c r="E162" s="33"/>
      <c r="F162" s="33"/>
      <c r="G162" s="34"/>
      <c r="H162" s="33"/>
    </row>
    <row r="163" spans="4:8" x14ac:dyDescent="0.2">
      <c r="D163" s="33"/>
      <c r="E163" s="33"/>
      <c r="F163" s="33"/>
      <c r="G163" s="34"/>
      <c r="H163" s="33"/>
    </row>
    <row r="164" spans="4:8" x14ac:dyDescent="0.2">
      <c r="D164" s="33"/>
      <c r="E164" s="33"/>
      <c r="F164" s="33"/>
      <c r="G164" s="34"/>
      <c r="H164" s="33"/>
    </row>
    <row r="165" spans="4:8" x14ac:dyDescent="0.2">
      <c r="D165" s="33"/>
      <c r="E165" s="33"/>
      <c r="F165" s="33"/>
      <c r="G165" s="34"/>
      <c r="H165" s="33"/>
    </row>
    <row r="166" spans="4:8" x14ac:dyDescent="0.2">
      <c r="D166" s="33"/>
      <c r="E166" s="33"/>
      <c r="F166" s="33"/>
      <c r="G166" s="34"/>
      <c r="H166" s="33"/>
    </row>
    <row r="167" spans="4:8" x14ac:dyDescent="0.2">
      <c r="D167" s="33"/>
      <c r="E167" s="33"/>
      <c r="F167" s="33"/>
      <c r="G167" s="34"/>
      <c r="H167" s="33"/>
    </row>
    <row r="168" spans="4:8" x14ac:dyDescent="0.2">
      <c r="D168" s="33"/>
      <c r="E168" s="33"/>
      <c r="F168" s="33"/>
      <c r="G168" s="34"/>
      <c r="H168" s="33"/>
    </row>
    <row r="169" spans="4:8" x14ac:dyDescent="0.2">
      <c r="D169" s="33"/>
      <c r="E169" s="33"/>
      <c r="F169" s="33"/>
      <c r="G169" s="34"/>
      <c r="H169" s="33"/>
    </row>
    <row r="170" spans="4:8" x14ac:dyDescent="0.2">
      <c r="D170" s="33"/>
      <c r="E170" s="33"/>
      <c r="F170" s="33"/>
      <c r="G170" s="34"/>
      <c r="H170" s="33"/>
    </row>
    <row r="171" spans="4:8" x14ac:dyDescent="0.2">
      <c r="D171" s="33"/>
      <c r="E171" s="33"/>
      <c r="F171" s="33"/>
      <c r="G171" s="34"/>
      <c r="H171" s="33"/>
    </row>
    <row r="172" spans="4:8" x14ac:dyDescent="0.2">
      <c r="D172" s="33"/>
      <c r="E172" s="33"/>
      <c r="F172" s="33"/>
      <c r="G172" s="34"/>
      <c r="H172" s="33"/>
    </row>
    <row r="173" spans="4:8" x14ac:dyDescent="0.2">
      <c r="D173" s="33"/>
      <c r="E173" s="33"/>
      <c r="F173" s="33"/>
      <c r="G173" s="34"/>
      <c r="H173" s="33"/>
    </row>
    <row r="174" spans="4:8" x14ac:dyDescent="0.2">
      <c r="D174" s="33"/>
      <c r="E174" s="33"/>
      <c r="F174" s="33"/>
      <c r="G174" s="34"/>
      <c r="H174" s="33"/>
    </row>
    <row r="175" spans="4:8" x14ac:dyDescent="0.2">
      <c r="D175" s="33"/>
      <c r="E175" s="33"/>
      <c r="F175" s="33"/>
      <c r="G175" s="34"/>
      <c r="H175" s="33"/>
    </row>
    <row r="176" spans="4:8" x14ac:dyDescent="0.2">
      <c r="D176" s="33"/>
      <c r="E176" s="33"/>
      <c r="F176" s="33"/>
      <c r="G176" s="34"/>
      <c r="H176" s="33"/>
    </row>
    <row r="177" spans="4:8" x14ac:dyDescent="0.2">
      <c r="D177" s="33"/>
      <c r="E177" s="33"/>
      <c r="F177" s="33"/>
      <c r="G177" s="34"/>
      <c r="H177" s="33"/>
    </row>
    <row r="178" spans="4:8" x14ac:dyDescent="0.2">
      <c r="D178" s="33"/>
      <c r="E178" s="33"/>
      <c r="F178" s="33"/>
      <c r="G178" s="34"/>
      <c r="H178" s="33"/>
    </row>
    <row r="179" spans="4:8" x14ac:dyDescent="0.2">
      <c r="D179" s="33"/>
      <c r="E179" s="33"/>
      <c r="F179" s="33"/>
      <c r="G179" s="34"/>
      <c r="H179" s="33"/>
    </row>
    <row r="180" spans="4:8" x14ac:dyDescent="0.2">
      <c r="D180" s="33"/>
      <c r="E180" s="33"/>
      <c r="F180" s="33"/>
      <c r="G180" s="34"/>
      <c r="H180" s="33"/>
    </row>
    <row r="181" spans="4:8" x14ac:dyDescent="0.2">
      <c r="D181" s="33"/>
      <c r="E181" s="33"/>
      <c r="F181" s="33"/>
      <c r="G181" s="34"/>
      <c r="H181" s="33"/>
    </row>
    <row r="182" spans="4:8" x14ac:dyDescent="0.2">
      <c r="D182" s="33"/>
      <c r="E182" s="33"/>
      <c r="F182" s="33"/>
      <c r="G182" s="34"/>
      <c r="H182" s="33"/>
    </row>
    <row r="183" spans="4:8" x14ac:dyDescent="0.2">
      <c r="D183" s="33"/>
      <c r="E183" s="33"/>
      <c r="F183" s="33"/>
      <c r="G183" s="34"/>
      <c r="H183" s="33"/>
    </row>
    <row r="184" spans="4:8" x14ac:dyDescent="0.2">
      <c r="D184" s="33"/>
      <c r="E184" s="33"/>
      <c r="F184" s="33"/>
      <c r="G184" s="34"/>
      <c r="H184" s="33"/>
    </row>
    <row r="185" spans="4:8" x14ac:dyDescent="0.2">
      <c r="D185" s="33"/>
      <c r="E185" s="33"/>
      <c r="F185" s="33"/>
      <c r="G185" s="34"/>
      <c r="H185" s="33"/>
    </row>
    <row r="186" spans="4:8" x14ac:dyDescent="0.2">
      <c r="D186" s="33"/>
      <c r="E186" s="33"/>
      <c r="F186" s="33"/>
      <c r="G186" s="34"/>
      <c r="H186" s="33"/>
    </row>
    <row r="187" spans="4:8" x14ac:dyDescent="0.2">
      <c r="D187" s="33"/>
      <c r="E187" s="33"/>
      <c r="F187" s="33"/>
      <c r="G187" s="34"/>
      <c r="H187" s="33"/>
    </row>
    <row r="188" spans="4:8" x14ac:dyDescent="0.2">
      <c r="D188" s="33"/>
      <c r="E188" s="33"/>
      <c r="F188" s="33"/>
      <c r="G188" s="34"/>
      <c r="H188" s="33"/>
    </row>
    <row r="189" spans="4:8" x14ac:dyDescent="0.2">
      <c r="D189" s="33"/>
      <c r="E189" s="33"/>
      <c r="F189" s="33"/>
      <c r="G189" s="34"/>
      <c r="H189" s="33"/>
    </row>
    <row r="190" spans="4:8" x14ac:dyDescent="0.2">
      <c r="D190" s="33"/>
      <c r="E190" s="33"/>
      <c r="F190" s="33"/>
      <c r="G190" s="34"/>
      <c r="H190" s="33"/>
    </row>
    <row r="191" spans="4:8" x14ac:dyDescent="0.2">
      <c r="D191" s="33"/>
      <c r="E191" s="33"/>
      <c r="F191" s="33"/>
      <c r="G191" s="34"/>
      <c r="H191" s="33"/>
    </row>
    <row r="192" spans="4:8" x14ac:dyDescent="0.2">
      <c r="D192" s="33"/>
      <c r="E192" s="33"/>
      <c r="F192" s="33"/>
      <c r="G192" s="34"/>
      <c r="H192" s="33"/>
    </row>
    <row r="193" spans="4:8" x14ac:dyDescent="0.2">
      <c r="D193" s="33"/>
      <c r="E193" s="33"/>
      <c r="F193" s="33"/>
      <c r="G193" s="34"/>
      <c r="H193" s="33"/>
    </row>
    <row r="194" spans="4:8" x14ac:dyDescent="0.2">
      <c r="D194" s="33"/>
      <c r="E194" s="33"/>
      <c r="F194" s="33"/>
      <c r="G194" s="34"/>
      <c r="H194" s="33"/>
    </row>
    <row r="195" spans="4:8" x14ac:dyDescent="0.2">
      <c r="D195" s="33"/>
      <c r="E195" s="33"/>
      <c r="F195" s="33"/>
      <c r="G195" s="34"/>
      <c r="H195" s="33"/>
    </row>
    <row r="196" spans="4:8" x14ac:dyDescent="0.2">
      <c r="D196" s="33"/>
      <c r="E196" s="33"/>
      <c r="F196" s="33"/>
      <c r="G196" s="34"/>
      <c r="H196" s="33"/>
    </row>
    <row r="197" spans="4:8" x14ac:dyDescent="0.2">
      <c r="D197" s="33"/>
      <c r="E197" s="33"/>
      <c r="F197" s="33"/>
      <c r="G197" s="34"/>
      <c r="H197" s="33"/>
    </row>
    <row r="198" spans="4:8" x14ac:dyDescent="0.2">
      <c r="D198" s="33"/>
      <c r="E198" s="33"/>
      <c r="F198" s="33"/>
      <c r="G198" s="34"/>
      <c r="H198" s="33"/>
    </row>
    <row r="199" spans="4:8" x14ac:dyDescent="0.2">
      <c r="D199" s="33"/>
      <c r="E199" s="33"/>
      <c r="F199" s="33"/>
      <c r="G199" s="34"/>
      <c r="H199" s="33"/>
    </row>
    <row r="200" spans="4:8" x14ac:dyDescent="0.2">
      <c r="D200" s="33"/>
      <c r="E200" s="33"/>
      <c r="F200" s="33"/>
      <c r="G200" s="34"/>
      <c r="H200" s="33"/>
    </row>
    <row r="201" spans="4:8" x14ac:dyDescent="0.2">
      <c r="D201" s="33"/>
      <c r="E201" s="33"/>
      <c r="F201" s="33"/>
      <c r="G201" s="34"/>
      <c r="H201" s="33"/>
    </row>
    <row r="202" spans="4:8" x14ac:dyDescent="0.2">
      <c r="D202" s="33"/>
      <c r="E202" s="33"/>
      <c r="F202" s="33"/>
      <c r="G202" s="34"/>
      <c r="H202" s="33"/>
    </row>
    <row r="203" spans="4:8" x14ac:dyDescent="0.2">
      <c r="D203" s="33"/>
      <c r="E203" s="33"/>
      <c r="F203" s="33"/>
      <c r="G203" s="34"/>
      <c r="H203" s="33"/>
    </row>
    <row r="204" spans="4:8" x14ac:dyDescent="0.2">
      <c r="D204" s="33"/>
      <c r="E204" s="33"/>
      <c r="F204" s="33"/>
      <c r="G204" s="34"/>
      <c r="H204" s="33"/>
    </row>
    <row r="205" spans="4:8" x14ac:dyDescent="0.2">
      <c r="D205" s="33"/>
      <c r="E205" s="33"/>
      <c r="F205" s="33"/>
      <c r="G205" s="34"/>
      <c r="H205" s="33"/>
    </row>
    <row r="206" spans="4:8" x14ac:dyDescent="0.2">
      <c r="D206" s="33"/>
      <c r="E206" s="33"/>
      <c r="F206" s="33"/>
      <c r="G206" s="34"/>
      <c r="H206" s="33"/>
    </row>
    <row r="207" spans="4:8" x14ac:dyDescent="0.2">
      <c r="D207" s="33"/>
      <c r="E207" s="33"/>
      <c r="F207" s="33"/>
      <c r="G207" s="34"/>
      <c r="H207" s="33"/>
    </row>
    <row r="208" spans="4:8" x14ac:dyDescent="0.2">
      <c r="D208" s="33"/>
      <c r="E208" s="33"/>
      <c r="F208" s="33"/>
      <c r="G208" s="34"/>
      <c r="H208" s="33"/>
    </row>
    <row r="209" spans="4:8" x14ac:dyDescent="0.2">
      <c r="D209" s="33"/>
      <c r="E209" s="33"/>
      <c r="F209" s="33"/>
      <c r="G209" s="34"/>
      <c r="H209" s="33"/>
    </row>
    <row r="210" spans="4:8" x14ac:dyDescent="0.2">
      <c r="D210" s="33"/>
      <c r="E210" s="33"/>
      <c r="F210" s="33"/>
      <c r="G210" s="34"/>
      <c r="H210" s="33"/>
    </row>
    <row r="211" spans="4:8" x14ac:dyDescent="0.2">
      <c r="D211" s="33"/>
      <c r="E211" s="33"/>
      <c r="F211" s="33"/>
      <c r="G211" s="34"/>
      <c r="H211" s="33"/>
    </row>
    <row r="212" spans="4:8" x14ac:dyDescent="0.2">
      <c r="D212" s="33"/>
      <c r="E212" s="33"/>
      <c r="F212" s="33"/>
      <c r="G212" s="34"/>
      <c r="H212" s="33"/>
    </row>
    <row r="213" spans="4:8" x14ac:dyDescent="0.2">
      <c r="D213" s="33"/>
      <c r="E213" s="33"/>
      <c r="F213" s="33"/>
      <c r="G213" s="34"/>
      <c r="H213" s="33"/>
    </row>
    <row r="214" spans="4:8" x14ac:dyDescent="0.2">
      <c r="D214" s="33"/>
      <c r="E214" s="33"/>
      <c r="F214" s="33"/>
      <c r="G214" s="34"/>
      <c r="H214" s="33"/>
    </row>
    <row r="215" spans="4:8" x14ac:dyDescent="0.2">
      <c r="D215" s="33"/>
      <c r="E215" s="33"/>
      <c r="F215" s="33"/>
      <c r="G215" s="34"/>
      <c r="H215" s="33"/>
    </row>
    <row r="216" spans="4:8" x14ac:dyDescent="0.2">
      <c r="D216" s="33"/>
      <c r="E216" s="33"/>
      <c r="F216" s="33"/>
      <c r="G216" s="34"/>
      <c r="H216" s="33"/>
    </row>
    <row r="217" spans="4:8" x14ac:dyDescent="0.2">
      <c r="D217" s="33"/>
      <c r="E217" s="33"/>
      <c r="F217" s="33"/>
      <c r="G217" s="34"/>
      <c r="H217" s="33"/>
    </row>
    <row r="218" spans="4:8" x14ac:dyDescent="0.2">
      <c r="D218" s="33"/>
      <c r="E218" s="33"/>
      <c r="F218" s="33"/>
      <c r="G218" s="34"/>
      <c r="H218" s="33"/>
    </row>
    <row r="219" spans="4:8" x14ac:dyDescent="0.2">
      <c r="D219" s="33"/>
      <c r="E219" s="33"/>
      <c r="F219" s="33"/>
      <c r="G219" s="34"/>
      <c r="H219" s="33"/>
    </row>
    <row r="220" spans="4:8" x14ac:dyDescent="0.2">
      <c r="D220" s="33"/>
      <c r="E220" s="33"/>
      <c r="F220" s="33"/>
      <c r="G220" s="34"/>
      <c r="H220" s="33"/>
    </row>
    <row r="221" spans="4:8" x14ac:dyDescent="0.2">
      <c r="D221" s="33"/>
      <c r="E221" s="33"/>
      <c r="F221" s="33"/>
      <c r="G221" s="34"/>
      <c r="H221" s="33"/>
    </row>
    <row r="222" spans="4:8" x14ac:dyDescent="0.2">
      <c r="D222" s="33"/>
      <c r="E222" s="33"/>
      <c r="F222" s="33"/>
      <c r="G222" s="34"/>
      <c r="H222" s="33"/>
    </row>
    <row r="223" spans="4:8" x14ac:dyDescent="0.2">
      <c r="D223" s="33"/>
      <c r="E223" s="33"/>
      <c r="F223" s="33"/>
      <c r="G223" s="34"/>
      <c r="H223" s="33"/>
    </row>
    <row r="224" spans="4:8" x14ac:dyDescent="0.2">
      <c r="D224" s="33"/>
      <c r="E224" s="33"/>
      <c r="F224" s="33"/>
      <c r="G224" s="34"/>
      <c r="H224" s="33"/>
    </row>
    <row r="225" spans="4:8" x14ac:dyDescent="0.2">
      <c r="D225" s="33"/>
      <c r="E225" s="33"/>
      <c r="F225" s="33"/>
      <c r="G225" s="34"/>
      <c r="H225" s="33"/>
    </row>
    <row r="226" spans="4:8" x14ac:dyDescent="0.2">
      <c r="D226" s="33"/>
      <c r="E226" s="33"/>
      <c r="F226" s="33"/>
      <c r="G226" s="34"/>
      <c r="H226" s="33"/>
    </row>
    <row r="227" spans="4:8" x14ac:dyDescent="0.2">
      <c r="D227" s="33"/>
      <c r="E227" s="33"/>
      <c r="F227" s="33"/>
      <c r="G227" s="34"/>
      <c r="H227" s="33"/>
    </row>
    <row r="228" spans="4:8" x14ac:dyDescent="0.2">
      <c r="D228" s="33"/>
      <c r="E228" s="33"/>
      <c r="F228" s="33"/>
      <c r="G228" s="34"/>
      <c r="H228" s="33"/>
    </row>
    <row r="229" spans="4:8" x14ac:dyDescent="0.2">
      <c r="D229" s="33"/>
      <c r="E229" s="33"/>
      <c r="F229" s="33"/>
      <c r="G229" s="34"/>
      <c r="H229" s="33"/>
    </row>
    <row r="230" spans="4:8" x14ac:dyDescent="0.2">
      <c r="D230" s="33"/>
      <c r="E230" s="33"/>
      <c r="F230" s="33"/>
      <c r="G230" s="34"/>
      <c r="H230" s="33"/>
    </row>
    <row r="231" spans="4:8" x14ac:dyDescent="0.2">
      <c r="D231" s="33"/>
      <c r="E231" s="33"/>
      <c r="F231" s="33"/>
      <c r="G231" s="34"/>
      <c r="H231" s="33"/>
    </row>
    <row r="232" spans="4:8" x14ac:dyDescent="0.2">
      <c r="D232" s="33"/>
      <c r="E232" s="33"/>
      <c r="F232" s="33"/>
      <c r="G232" s="34"/>
      <c r="H232" s="33"/>
    </row>
    <row r="233" spans="4:8" x14ac:dyDescent="0.2">
      <c r="D233" s="33"/>
      <c r="E233" s="33"/>
      <c r="F233" s="33"/>
      <c r="G233" s="34"/>
      <c r="H233" s="33"/>
    </row>
    <row r="234" spans="4:8" x14ac:dyDescent="0.2">
      <c r="D234" s="33"/>
      <c r="E234" s="33"/>
      <c r="F234" s="33"/>
      <c r="G234" s="34"/>
      <c r="H234" s="33"/>
    </row>
    <row r="235" spans="4:8" x14ac:dyDescent="0.2">
      <c r="D235" s="33"/>
      <c r="E235" s="33"/>
      <c r="F235" s="33"/>
      <c r="G235" s="34"/>
      <c r="H235" s="33"/>
    </row>
    <row r="236" spans="4:8" x14ac:dyDescent="0.2">
      <c r="D236" s="33"/>
      <c r="E236" s="33"/>
      <c r="F236" s="33"/>
      <c r="G236" s="34"/>
      <c r="H236" s="33"/>
    </row>
    <row r="237" spans="4:8" x14ac:dyDescent="0.2">
      <c r="D237" s="33"/>
      <c r="E237" s="33"/>
      <c r="F237" s="33"/>
      <c r="G237" s="34"/>
      <c r="H237" s="33"/>
    </row>
    <row r="238" spans="4:8" x14ac:dyDescent="0.2">
      <c r="D238" s="33"/>
      <c r="E238" s="33"/>
      <c r="F238" s="33"/>
      <c r="G238" s="34"/>
      <c r="H238" s="33"/>
    </row>
    <row r="239" spans="4:8" x14ac:dyDescent="0.2">
      <c r="D239" s="33"/>
      <c r="E239" s="33"/>
      <c r="F239" s="33"/>
      <c r="G239" s="34"/>
      <c r="H239" s="33"/>
    </row>
    <row r="240" spans="4:8" x14ac:dyDescent="0.2">
      <c r="D240" s="33"/>
      <c r="E240" s="33"/>
      <c r="F240" s="33"/>
      <c r="G240" s="34"/>
      <c r="H240" s="33"/>
    </row>
    <row r="241" spans="4:8" x14ac:dyDescent="0.2">
      <c r="D241" s="33"/>
      <c r="E241" s="33"/>
      <c r="F241" s="33"/>
      <c r="G241" s="34"/>
      <c r="H241" s="33"/>
    </row>
    <row r="242" spans="4:8" x14ac:dyDescent="0.2">
      <c r="D242" s="33"/>
      <c r="E242" s="33"/>
      <c r="F242" s="33"/>
      <c r="G242" s="34"/>
      <c r="H242" s="33"/>
    </row>
    <row r="243" spans="4:8" x14ac:dyDescent="0.2">
      <c r="D243" s="33"/>
      <c r="E243" s="33"/>
      <c r="F243" s="33"/>
      <c r="G243" s="34"/>
      <c r="H243" s="33"/>
    </row>
    <row r="244" spans="4:8" x14ac:dyDescent="0.2">
      <c r="D244" s="33"/>
      <c r="E244" s="33"/>
      <c r="F244" s="33"/>
      <c r="G244" s="34"/>
      <c r="H244" s="33"/>
    </row>
    <row r="245" spans="4:8" x14ac:dyDescent="0.2">
      <c r="D245" s="33"/>
      <c r="E245" s="33"/>
      <c r="F245" s="33"/>
      <c r="G245" s="34"/>
      <c r="H245" s="33"/>
    </row>
    <row r="246" spans="4:8" x14ac:dyDescent="0.2">
      <c r="D246" s="33"/>
      <c r="E246" s="33"/>
      <c r="F246" s="33"/>
      <c r="G246" s="34"/>
      <c r="H246" s="33"/>
    </row>
    <row r="247" spans="4:8" x14ac:dyDescent="0.2">
      <c r="D247" s="33"/>
      <c r="E247" s="33"/>
      <c r="F247" s="33"/>
      <c r="G247" s="34"/>
      <c r="H247" s="33"/>
    </row>
    <row r="248" spans="4:8" x14ac:dyDescent="0.2">
      <c r="D248" s="33"/>
      <c r="E248" s="33"/>
      <c r="F248" s="33"/>
      <c r="G248" s="34"/>
      <c r="H248" s="33"/>
    </row>
    <row r="249" spans="4:8" x14ac:dyDescent="0.2">
      <c r="D249" s="33"/>
      <c r="E249" s="33"/>
      <c r="F249" s="33"/>
      <c r="G249" s="34"/>
      <c r="H249" s="33"/>
    </row>
    <row r="250" spans="4:8" x14ac:dyDescent="0.2">
      <c r="D250" s="33"/>
      <c r="E250" s="33"/>
      <c r="F250" s="33"/>
      <c r="G250" s="34"/>
      <c r="H250" s="33"/>
    </row>
    <row r="251" spans="4:8" x14ac:dyDescent="0.2">
      <c r="D251" s="33"/>
      <c r="E251" s="33"/>
      <c r="F251" s="33"/>
      <c r="G251" s="34"/>
      <c r="H251" s="33"/>
    </row>
    <row r="252" spans="4:8" x14ac:dyDescent="0.2">
      <c r="D252" s="33"/>
      <c r="E252" s="33"/>
      <c r="F252" s="33"/>
      <c r="G252" s="34"/>
      <c r="H252" s="33"/>
    </row>
    <row r="253" spans="4:8" x14ac:dyDescent="0.2">
      <c r="D253" s="33"/>
      <c r="E253" s="33"/>
      <c r="F253" s="33"/>
      <c r="G253" s="34"/>
      <c r="H253" s="33"/>
    </row>
    <row r="254" spans="4:8" x14ac:dyDescent="0.2">
      <c r="D254" s="33"/>
      <c r="E254" s="33"/>
      <c r="F254" s="33"/>
      <c r="G254" s="34"/>
      <c r="H254" s="33"/>
    </row>
    <row r="255" spans="4:8" x14ac:dyDescent="0.2">
      <c r="D255" s="33"/>
      <c r="E255" s="33"/>
      <c r="F255" s="33"/>
      <c r="G255" s="34"/>
      <c r="H255" s="33"/>
    </row>
    <row r="256" spans="4:8" x14ac:dyDescent="0.2">
      <c r="D256" s="33"/>
      <c r="E256" s="33"/>
      <c r="F256" s="33"/>
      <c r="G256" s="34"/>
      <c r="H256" s="33"/>
    </row>
    <row r="257" spans="4:8" x14ac:dyDescent="0.2">
      <c r="D257" s="33"/>
      <c r="E257" s="33"/>
      <c r="F257" s="33"/>
      <c r="G257" s="34"/>
      <c r="H257" s="33"/>
    </row>
    <row r="258" spans="4:8" x14ac:dyDescent="0.2">
      <c r="D258" s="33"/>
      <c r="E258" s="33"/>
      <c r="F258" s="33"/>
      <c r="G258" s="34"/>
      <c r="H258" s="33"/>
    </row>
    <row r="259" spans="4:8" x14ac:dyDescent="0.2">
      <c r="D259" s="33"/>
      <c r="E259" s="33"/>
      <c r="F259" s="33"/>
      <c r="G259" s="34"/>
      <c r="H259" s="33"/>
    </row>
    <row r="260" spans="4:8" x14ac:dyDescent="0.2">
      <c r="D260" s="33"/>
      <c r="E260" s="33"/>
      <c r="F260" s="33"/>
      <c r="G260" s="34"/>
      <c r="H260" s="33"/>
    </row>
    <row r="261" spans="4:8" x14ac:dyDescent="0.2">
      <c r="D261" s="33"/>
      <c r="E261" s="33"/>
      <c r="F261" s="33"/>
      <c r="G261" s="34"/>
      <c r="H261" s="33"/>
    </row>
    <row r="262" spans="4:8" x14ac:dyDescent="0.2">
      <c r="D262" s="33"/>
      <c r="E262" s="33"/>
      <c r="F262" s="33"/>
      <c r="G262" s="34"/>
      <c r="H262" s="33"/>
    </row>
    <row r="263" spans="4:8" x14ac:dyDescent="0.2">
      <c r="D263" s="33"/>
      <c r="E263" s="33"/>
      <c r="F263" s="33"/>
      <c r="G263" s="34"/>
      <c r="H263" s="33"/>
    </row>
    <row r="264" spans="4:8" x14ac:dyDescent="0.2">
      <c r="D264" s="33"/>
      <c r="E264" s="33"/>
      <c r="F264" s="33"/>
      <c r="G264" s="34"/>
      <c r="H264" s="33"/>
    </row>
    <row r="265" spans="4:8" x14ac:dyDescent="0.2">
      <c r="D265" s="33"/>
      <c r="E265" s="33"/>
      <c r="F265" s="33"/>
      <c r="G265" s="34"/>
      <c r="H265" s="33"/>
    </row>
    <row r="266" spans="4:8" x14ac:dyDescent="0.2">
      <c r="D266" s="33"/>
      <c r="E266" s="33"/>
      <c r="F266" s="33"/>
      <c r="G266" s="34"/>
      <c r="H266" s="33"/>
    </row>
    <row r="267" spans="4:8" x14ac:dyDescent="0.2">
      <c r="D267" s="33"/>
      <c r="E267" s="33"/>
      <c r="F267" s="33"/>
      <c r="G267" s="34"/>
      <c r="H267" s="33"/>
    </row>
    <row r="268" spans="4:8" x14ac:dyDescent="0.2">
      <c r="D268" s="33"/>
      <c r="E268" s="33"/>
      <c r="F268" s="33"/>
      <c r="G268" s="34"/>
      <c r="H268" s="33"/>
    </row>
    <row r="269" spans="4:8" x14ac:dyDescent="0.2">
      <c r="D269" s="33"/>
      <c r="E269" s="33"/>
      <c r="F269" s="33"/>
      <c r="G269" s="34"/>
      <c r="H269" s="33"/>
    </row>
    <row r="270" spans="4:8" x14ac:dyDescent="0.2">
      <c r="D270" s="33"/>
      <c r="E270" s="33"/>
      <c r="F270" s="33"/>
      <c r="G270" s="34"/>
      <c r="H270" s="33"/>
    </row>
    <row r="271" spans="4:8" x14ac:dyDescent="0.2">
      <c r="D271" s="33"/>
      <c r="E271" s="33"/>
      <c r="F271" s="33"/>
      <c r="G271" s="34"/>
      <c r="H271" s="33"/>
    </row>
    <row r="272" spans="4:8" x14ac:dyDescent="0.2">
      <c r="D272" s="33"/>
      <c r="E272" s="33"/>
      <c r="F272" s="33"/>
      <c r="G272" s="34"/>
      <c r="H272" s="33"/>
    </row>
    <row r="273" spans="4:8" x14ac:dyDescent="0.2">
      <c r="D273" s="33"/>
      <c r="E273" s="33"/>
      <c r="F273" s="33"/>
      <c r="G273" s="34"/>
      <c r="H273" s="33"/>
    </row>
    <row r="274" spans="4:8" x14ac:dyDescent="0.2">
      <c r="D274" s="33"/>
      <c r="E274" s="33"/>
      <c r="F274" s="33"/>
      <c r="G274" s="34"/>
      <c r="H274" s="33"/>
    </row>
    <row r="275" spans="4:8" x14ac:dyDescent="0.2">
      <c r="D275" s="33"/>
      <c r="E275" s="33"/>
      <c r="F275" s="33"/>
      <c r="G275" s="34"/>
      <c r="H275" s="33"/>
    </row>
    <row r="276" spans="4:8" x14ac:dyDescent="0.2">
      <c r="D276" s="33"/>
      <c r="E276" s="33"/>
      <c r="F276" s="33"/>
      <c r="G276" s="34"/>
      <c r="H276" s="33"/>
    </row>
    <row r="277" spans="4:8" x14ac:dyDescent="0.2">
      <c r="D277" s="33"/>
      <c r="E277" s="33"/>
      <c r="F277" s="33"/>
      <c r="G277" s="34"/>
      <c r="H277" s="33"/>
    </row>
    <row r="278" spans="4:8" x14ac:dyDescent="0.2">
      <c r="D278" s="33"/>
      <c r="E278" s="33"/>
      <c r="F278" s="33"/>
      <c r="G278" s="34"/>
      <c r="H278" s="33"/>
    </row>
    <row r="279" spans="4:8" x14ac:dyDescent="0.2">
      <c r="D279" s="33"/>
      <c r="E279" s="33"/>
      <c r="F279" s="33"/>
      <c r="G279" s="34"/>
      <c r="H279" s="33"/>
    </row>
    <row r="280" spans="4:8" x14ac:dyDescent="0.2">
      <c r="D280" s="33"/>
      <c r="E280" s="33"/>
      <c r="F280" s="33"/>
      <c r="G280" s="34"/>
      <c r="H280" s="33"/>
    </row>
    <row r="281" spans="4:8" x14ac:dyDescent="0.2">
      <c r="D281" s="33"/>
      <c r="E281" s="33"/>
      <c r="F281" s="33"/>
      <c r="G281" s="34"/>
      <c r="H281" s="33"/>
    </row>
    <row r="282" spans="4:8" x14ac:dyDescent="0.2">
      <c r="D282" s="33"/>
      <c r="E282" s="33"/>
      <c r="F282" s="33"/>
      <c r="G282" s="34"/>
      <c r="H282" s="33"/>
    </row>
    <row r="283" spans="4:8" x14ac:dyDescent="0.2">
      <c r="D283" s="33"/>
      <c r="E283" s="33"/>
      <c r="F283" s="33"/>
      <c r="G283" s="34"/>
      <c r="H283" s="33"/>
    </row>
    <row r="284" spans="4:8" x14ac:dyDescent="0.2">
      <c r="D284" s="33"/>
      <c r="E284" s="33"/>
      <c r="F284" s="33"/>
      <c r="G284" s="34"/>
      <c r="H284" s="33"/>
    </row>
    <row r="285" spans="4:8" x14ac:dyDescent="0.2">
      <c r="D285" s="33"/>
      <c r="E285" s="33"/>
      <c r="F285" s="33"/>
      <c r="G285" s="34"/>
      <c r="H285" s="33"/>
    </row>
    <row r="286" spans="4:8" x14ac:dyDescent="0.2">
      <c r="D286" s="33"/>
      <c r="E286" s="33"/>
      <c r="F286" s="33"/>
      <c r="G286" s="34"/>
      <c r="H286" s="33"/>
    </row>
    <row r="287" spans="4:8" x14ac:dyDescent="0.2">
      <c r="D287" s="33"/>
      <c r="E287" s="33"/>
      <c r="F287" s="33"/>
      <c r="G287" s="34"/>
      <c r="H287" s="33"/>
    </row>
    <row r="288" spans="4:8" x14ac:dyDescent="0.2">
      <c r="D288" s="33"/>
      <c r="E288" s="33"/>
      <c r="F288" s="33"/>
      <c r="G288" s="34"/>
      <c r="H288" s="33"/>
    </row>
    <row r="289" spans="4:8" x14ac:dyDescent="0.2">
      <c r="D289" s="33"/>
      <c r="E289" s="33"/>
      <c r="F289" s="33"/>
      <c r="G289" s="34"/>
      <c r="H289" s="33"/>
    </row>
    <row r="290" spans="4:8" x14ac:dyDescent="0.2">
      <c r="D290" s="33"/>
      <c r="E290" s="33"/>
      <c r="F290" s="33"/>
      <c r="G290" s="34"/>
      <c r="H290" s="33"/>
    </row>
    <row r="291" spans="4:8" x14ac:dyDescent="0.2">
      <c r="D291" s="33"/>
      <c r="E291" s="33"/>
      <c r="F291" s="33"/>
      <c r="G291" s="34"/>
      <c r="H291" s="33"/>
    </row>
    <row r="292" spans="4:8" x14ac:dyDescent="0.2">
      <c r="D292" s="33"/>
      <c r="E292" s="33"/>
      <c r="F292" s="33"/>
      <c r="G292" s="34"/>
      <c r="H292" s="33"/>
    </row>
    <row r="293" spans="4:8" x14ac:dyDescent="0.2">
      <c r="D293" s="33"/>
      <c r="E293" s="33"/>
      <c r="F293" s="33"/>
      <c r="G293" s="34"/>
      <c r="H293" s="33"/>
    </row>
    <row r="294" spans="4:8" x14ac:dyDescent="0.2">
      <c r="D294" s="33"/>
      <c r="E294" s="33"/>
      <c r="F294" s="33"/>
      <c r="G294" s="34"/>
      <c r="H294" s="33"/>
    </row>
    <row r="295" spans="4:8" x14ac:dyDescent="0.2">
      <c r="D295" s="33"/>
      <c r="E295" s="33"/>
      <c r="F295" s="33"/>
      <c r="G295" s="34"/>
      <c r="H295" s="33"/>
    </row>
    <row r="296" spans="4:8" x14ac:dyDescent="0.2">
      <c r="D296" s="33"/>
      <c r="E296" s="33"/>
      <c r="F296" s="33"/>
      <c r="G296" s="34"/>
      <c r="H296" s="33"/>
    </row>
    <row r="297" spans="4:8" x14ac:dyDescent="0.2">
      <c r="D297" s="33"/>
      <c r="E297" s="33"/>
      <c r="F297" s="33"/>
      <c r="G297" s="34"/>
      <c r="H297" s="33"/>
    </row>
    <row r="298" spans="4:8" x14ac:dyDescent="0.2">
      <c r="D298" s="33"/>
      <c r="E298" s="33"/>
      <c r="F298" s="33"/>
      <c r="G298" s="34"/>
      <c r="H298" s="33"/>
    </row>
    <row r="299" spans="4:8" x14ac:dyDescent="0.2">
      <c r="D299" s="33"/>
      <c r="E299" s="33"/>
      <c r="F299" s="33"/>
      <c r="G299" s="34"/>
      <c r="H299" s="33"/>
    </row>
    <row r="300" spans="4:8" x14ac:dyDescent="0.2">
      <c r="D300" s="33"/>
      <c r="E300" s="33"/>
      <c r="F300" s="33"/>
      <c r="G300" s="34"/>
      <c r="H300" s="33"/>
    </row>
    <row r="301" spans="4:8" x14ac:dyDescent="0.2">
      <c r="D301" s="33"/>
      <c r="E301" s="33"/>
      <c r="F301" s="33"/>
      <c r="G301" s="34"/>
      <c r="H301" s="33"/>
    </row>
    <row r="302" spans="4:8" x14ac:dyDescent="0.2">
      <c r="D302" s="33"/>
      <c r="E302" s="33"/>
      <c r="F302" s="33"/>
      <c r="G302" s="34"/>
      <c r="H302" s="33"/>
    </row>
    <row r="303" spans="4:8" x14ac:dyDescent="0.2">
      <c r="D303" s="33"/>
      <c r="E303" s="33"/>
      <c r="F303" s="33"/>
      <c r="G303" s="34"/>
      <c r="H303" s="33"/>
    </row>
    <row r="304" spans="4:8" x14ac:dyDescent="0.2">
      <c r="D304" s="33"/>
      <c r="E304" s="33"/>
      <c r="F304" s="33"/>
      <c r="G304" s="34"/>
      <c r="H304" s="33"/>
    </row>
    <row r="305" spans="4:8" x14ac:dyDescent="0.2">
      <c r="D305" s="33"/>
      <c r="E305" s="33"/>
      <c r="F305" s="33"/>
      <c r="G305" s="34"/>
      <c r="H305" s="33"/>
    </row>
    <row r="306" spans="4:8" x14ac:dyDescent="0.2">
      <c r="D306" s="33"/>
      <c r="E306" s="33"/>
      <c r="F306" s="33"/>
      <c r="G306" s="34"/>
      <c r="H306" s="33"/>
    </row>
    <row r="307" spans="4:8" x14ac:dyDescent="0.2">
      <c r="D307" s="33"/>
      <c r="E307" s="33"/>
      <c r="F307" s="33"/>
      <c r="G307" s="34"/>
      <c r="H307" s="33"/>
    </row>
    <row r="308" spans="4:8" x14ac:dyDescent="0.2">
      <c r="D308" s="33"/>
      <c r="E308" s="33"/>
      <c r="F308" s="33"/>
      <c r="G308" s="34"/>
      <c r="H308" s="33"/>
    </row>
    <row r="309" spans="4:8" x14ac:dyDescent="0.2">
      <c r="D309" s="33"/>
      <c r="E309" s="33"/>
      <c r="F309" s="33"/>
      <c r="G309" s="34"/>
      <c r="H309" s="33"/>
    </row>
    <row r="310" spans="4:8" x14ac:dyDescent="0.2">
      <c r="D310" s="33"/>
      <c r="E310" s="33"/>
      <c r="F310" s="33"/>
      <c r="G310" s="34"/>
      <c r="H310" s="33"/>
    </row>
    <row r="311" spans="4:8" x14ac:dyDescent="0.2">
      <c r="D311" s="33"/>
      <c r="E311" s="33"/>
      <c r="F311" s="33"/>
      <c r="G311" s="34"/>
      <c r="H311" s="33"/>
    </row>
    <row r="312" spans="4:8" x14ac:dyDescent="0.2">
      <c r="D312" s="33"/>
      <c r="E312" s="33"/>
      <c r="F312" s="33"/>
      <c r="G312" s="34"/>
      <c r="H312" s="33"/>
    </row>
    <row r="313" spans="4:8" x14ac:dyDescent="0.2">
      <c r="D313" s="33"/>
      <c r="E313" s="33"/>
      <c r="F313" s="33"/>
      <c r="G313" s="34"/>
      <c r="H313" s="33"/>
    </row>
    <row r="314" spans="4:8" x14ac:dyDescent="0.2">
      <c r="D314" s="33"/>
      <c r="E314" s="33"/>
      <c r="F314" s="33"/>
      <c r="G314" s="34"/>
      <c r="H314" s="33"/>
    </row>
    <row r="315" spans="4:8" x14ac:dyDescent="0.2">
      <c r="D315" s="33"/>
      <c r="E315" s="33"/>
      <c r="F315" s="33"/>
      <c r="G315" s="34"/>
      <c r="H315" s="33"/>
    </row>
    <row r="316" spans="4:8" x14ac:dyDescent="0.2">
      <c r="D316" s="33"/>
      <c r="E316" s="33"/>
      <c r="F316" s="33"/>
      <c r="G316" s="34"/>
      <c r="H316" s="33"/>
    </row>
    <row r="317" spans="4:8" x14ac:dyDescent="0.2">
      <c r="D317" s="33"/>
      <c r="E317" s="33"/>
      <c r="F317" s="33"/>
      <c r="G317" s="34"/>
      <c r="H317" s="33"/>
    </row>
    <row r="318" spans="4:8" x14ac:dyDescent="0.2">
      <c r="D318" s="33"/>
      <c r="E318" s="33"/>
      <c r="F318" s="33"/>
      <c r="G318" s="34"/>
      <c r="H318" s="33"/>
    </row>
    <row r="319" spans="4:8" x14ac:dyDescent="0.2">
      <c r="D319" s="33"/>
      <c r="E319" s="33"/>
      <c r="F319" s="33"/>
      <c r="G319" s="34"/>
      <c r="H319" s="33"/>
    </row>
    <row r="320" spans="4:8" x14ac:dyDescent="0.2">
      <c r="D320" s="33"/>
      <c r="E320" s="33"/>
      <c r="F320" s="33"/>
      <c r="G320" s="34"/>
      <c r="H320" s="33"/>
    </row>
    <row r="321" spans="4:8" x14ac:dyDescent="0.2">
      <c r="D321" s="33"/>
      <c r="E321" s="33"/>
      <c r="F321" s="33"/>
      <c r="G321" s="34"/>
      <c r="H321" s="33"/>
    </row>
    <row r="322" spans="4:8" x14ac:dyDescent="0.2">
      <c r="D322" s="33"/>
      <c r="E322" s="33"/>
      <c r="F322" s="33"/>
      <c r="G322" s="34"/>
      <c r="H322" s="33"/>
    </row>
    <row r="323" spans="4:8" x14ac:dyDescent="0.2">
      <c r="D323" s="33"/>
      <c r="E323" s="33"/>
      <c r="F323" s="33"/>
      <c r="G323" s="34"/>
      <c r="H323" s="33"/>
    </row>
    <row r="324" spans="4:8" x14ac:dyDescent="0.2">
      <c r="D324" s="33"/>
      <c r="E324" s="33"/>
      <c r="F324" s="33"/>
      <c r="G324" s="34"/>
      <c r="H324" s="33"/>
    </row>
    <row r="325" spans="4:8" x14ac:dyDescent="0.2">
      <c r="D325" s="33"/>
      <c r="E325" s="33"/>
      <c r="F325" s="33"/>
      <c r="G325" s="34"/>
      <c r="H325" s="33"/>
    </row>
    <row r="326" spans="4:8" x14ac:dyDescent="0.2">
      <c r="D326" s="33"/>
      <c r="E326" s="33"/>
      <c r="F326" s="33"/>
      <c r="G326" s="34"/>
      <c r="H326" s="33"/>
    </row>
    <row r="327" spans="4:8" x14ac:dyDescent="0.2">
      <c r="D327" s="33"/>
      <c r="E327" s="33"/>
      <c r="F327" s="33"/>
      <c r="G327" s="34"/>
      <c r="H327" s="33"/>
    </row>
    <row r="328" spans="4:8" x14ac:dyDescent="0.2">
      <c r="D328" s="33"/>
      <c r="E328" s="33"/>
      <c r="F328" s="33"/>
      <c r="G328" s="34"/>
      <c r="H328" s="33"/>
    </row>
    <row r="329" spans="4:8" x14ac:dyDescent="0.2">
      <c r="D329" s="33"/>
      <c r="E329" s="33"/>
      <c r="F329" s="33"/>
      <c r="G329" s="34"/>
      <c r="H329" s="33"/>
    </row>
    <row r="330" spans="4:8" x14ac:dyDescent="0.2">
      <c r="D330" s="33"/>
      <c r="E330" s="33"/>
      <c r="F330" s="33"/>
      <c r="G330" s="34"/>
      <c r="H330" s="33"/>
    </row>
    <row r="331" spans="4:8" x14ac:dyDescent="0.2">
      <c r="D331" s="33"/>
      <c r="E331" s="33"/>
      <c r="F331" s="33"/>
      <c r="G331" s="34"/>
      <c r="H331" s="33"/>
    </row>
    <row r="332" spans="4:8" x14ac:dyDescent="0.2">
      <c r="D332" s="33"/>
      <c r="E332" s="33"/>
      <c r="F332" s="33"/>
      <c r="G332" s="34"/>
      <c r="H332" s="33"/>
    </row>
    <row r="333" spans="4:8" x14ac:dyDescent="0.2">
      <c r="D333" s="33"/>
      <c r="E333" s="33"/>
      <c r="F333" s="33"/>
      <c r="G333" s="34"/>
      <c r="H333" s="33"/>
    </row>
    <row r="334" spans="4:8" x14ac:dyDescent="0.2">
      <c r="D334" s="33"/>
      <c r="E334" s="33"/>
      <c r="F334" s="33"/>
      <c r="G334" s="34"/>
      <c r="H334" s="33"/>
    </row>
    <row r="335" spans="4:8" x14ac:dyDescent="0.2">
      <c r="D335" s="33"/>
      <c r="E335" s="33"/>
      <c r="F335" s="33"/>
      <c r="G335" s="34"/>
      <c r="H335" s="33"/>
    </row>
    <row r="336" spans="4:8" x14ac:dyDescent="0.2">
      <c r="D336" s="33"/>
      <c r="E336" s="33"/>
      <c r="F336" s="33"/>
      <c r="G336" s="34"/>
      <c r="H336" s="33"/>
    </row>
    <row r="337" spans="4:8" x14ac:dyDescent="0.2">
      <c r="D337" s="33"/>
      <c r="E337" s="33"/>
      <c r="F337" s="33"/>
      <c r="G337" s="34"/>
      <c r="H337" s="33"/>
    </row>
    <row r="338" spans="4:8" x14ac:dyDescent="0.2">
      <c r="D338" s="33"/>
      <c r="E338" s="33"/>
      <c r="F338" s="33"/>
      <c r="G338" s="34"/>
      <c r="H338" s="33"/>
    </row>
    <row r="339" spans="4:8" x14ac:dyDescent="0.2">
      <c r="D339" s="33"/>
      <c r="E339" s="33"/>
      <c r="F339" s="33"/>
      <c r="G339" s="34"/>
      <c r="H339" s="33"/>
    </row>
    <row r="340" spans="4:8" x14ac:dyDescent="0.2">
      <c r="D340" s="33"/>
      <c r="E340" s="33"/>
      <c r="F340" s="33"/>
      <c r="G340" s="34"/>
      <c r="H340" s="33"/>
    </row>
    <row r="341" spans="4:8" x14ac:dyDescent="0.2">
      <c r="D341" s="33"/>
      <c r="E341" s="33"/>
      <c r="F341" s="33"/>
      <c r="G341" s="34"/>
      <c r="H341" s="33"/>
    </row>
    <row r="342" spans="4:8" x14ac:dyDescent="0.2">
      <c r="D342" s="33"/>
      <c r="E342" s="33"/>
      <c r="F342" s="33"/>
      <c r="G342" s="34"/>
      <c r="H342" s="33"/>
    </row>
    <row r="343" spans="4:8" x14ac:dyDescent="0.2">
      <c r="D343" s="33"/>
      <c r="E343" s="33"/>
      <c r="F343" s="33"/>
      <c r="G343" s="34"/>
      <c r="H343" s="33"/>
    </row>
    <row r="344" spans="4:8" x14ac:dyDescent="0.2">
      <c r="D344" s="33"/>
      <c r="E344" s="33"/>
      <c r="F344" s="33"/>
      <c r="G344" s="34"/>
      <c r="H344" s="33"/>
    </row>
    <row r="345" spans="4:8" x14ac:dyDescent="0.2">
      <c r="D345" s="33"/>
      <c r="E345" s="33"/>
      <c r="F345" s="33"/>
      <c r="G345" s="34"/>
      <c r="H345" s="33"/>
    </row>
    <row r="346" spans="4:8" x14ac:dyDescent="0.2">
      <c r="D346" s="33"/>
      <c r="E346" s="33"/>
      <c r="F346" s="33"/>
      <c r="G346" s="34"/>
      <c r="H346" s="33"/>
    </row>
    <row r="347" spans="4:8" x14ac:dyDescent="0.2">
      <c r="D347" s="33"/>
      <c r="E347" s="33"/>
      <c r="F347" s="33"/>
      <c r="G347" s="34"/>
      <c r="H347" s="33"/>
    </row>
    <row r="348" spans="4:8" x14ac:dyDescent="0.2">
      <c r="D348" s="33"/>
      <c r="E348" s="33"/>
      <c r="F348" s="33"/>
      <c r="G348" s="34"/>
      <c r="H348" s="33"/>
    </row>
    <row r="349" spans="4:8" x14ac:dyDescent="0.2">
      <c r="D349" s="33"/>
      <c r="E349" s="33"/>
      <c r="F349" s="33"/>
      <c r="G349" s="34"/>
      <c r="H349" s="33"/>
    </row>
    <row r="350" spans="4:8" x14ac:dyDescent="0.2">
      <c r="D350" s="33"/>
      <c r="E350" s="33"/>
      <c r="F350" s="33"/>
      <c r="G350" s="34"/>
      <c r="H350" s="33"/>
    </row>
    <row r="351" spans="4:8" x14ac:dyDescent="0.2">
      <c r="D351" s="33"/>
      <c r="E351" s="33"/>
      <c r="F351" s="33"/>
      <c r="G351" s="34"/>
      <c r="H351" s="33"/>
    </row>
    <row r="352" spans="4:8" x14ac:dyDescent="0.2">
      <c r="D352" s="33"/>
      <c r="E352" s="33"/>
      <c r="F352" s="33"/>
      <c r="G352" s="34"/>
      <c r="H352" s="33"/>
    </row>
    <row r="353" spans="4:8" x14ac:dyDescent="0.2">
      <c r="D353" s="33"/>
      <c r="E353" s="33"/>
      <c r="F353" s="33"/>
      <c r="G353" s="34"/>
      <c r="H353" s="33"/>
    </row>
    <row r="354" spans="4:8" x14ac:dyDescent="0.2">
      <c r="D354" s="33"/>
      <c r="E354" s="33"/>
      <c r="F354" s="33"/>
      <c r="G354" s="34"/>
      <c r="H354" s="33"/>
    </row>
    <row r="355" spans="4:8" x14ac:dyDescent="0.2">
      <c r="D355" s="33"/>
      <c r="E355" s="33"/>
      <c r="F355" s="33"/>
      <c r="G355" s="34"/>
      <c r="H355" s="33"/>
    </row>
    <row r="356" spans="4:8" x14ac:dyDescent="0.2">
      <c r="D356" s="33"/>
      <c r="E356" s="33"/>
      <c r="F356" s="33"/>
      <c r="G356" s="34"/>
      <c r="H356" s="33"/>
    </row>
    <row r="357" spans="4:8" x14ac:dyDescent="0.2">
      <c r="D357" s="33"/>
      <c r="E357" s="33"/>
      <c r="F357" s="33"/>
      <c r="G357" s="34"/>
      <c r="H357" s="33"/>
    </row>
    <row r="358" spans="4:8" x14ac:dyDescent="0.2">
      <c r="D358" s="33"/>
      <c r="E358" s="33"/>
      <c r="F358" s="33"/>
      <c r="G358" s="34"/>
      <c r="H358" s="33"/>
    </row>
    <row r="359" spans="4:8" x14ac:dyDescent="0.2">
      <c r="D359" s="33"/>
      <c r="E359" s="33"/>
      <c r="F359" s="33"/>
      <c r="G359" s="34"/>
      <c r="H359" s="33"/>
    </row>
    <row r="360" spans="4:8" x14ac:dyDescent="0.2">
      <c r="D360" s="33"/>
      <c r="E360" s="33"/>
      <c r="F360" s="33"/>
      <c r="G360" s="34"/>
      <c r="H360" s="33"/>
    </row>
    <row r="361" spans="4:8" x14ac:dyDescent="0.2">
      <c r="D361" s="33"/>
      <c r="E361" s="33"/>
      <c r="F361" s="33"/>
      <c r="G361" s="34"/>
      <c r="H361" s="33"/>
    </row>
    <row r="362" spans="4:8" x14ac:dyDescent="0.2">
      <c r="D362" s="33"/>
      <c r="E362" s="33"/>
      <c r="F362" s="33"/>
      <c r="G362" s="34"/>
      <c r="H362" s="33"/>
    </row>
    <row r="363" spans="4:8" x14ac:dyDescent="0.2">
      <c r="D363" s="33"/>
      <c r="E363" s="33"/>
      <c r="F363" s="33"/>
      <c r="G363" s="34"/>
      <c r="H363" s="33"/>
    </row>
    <row r="364" spans="4:8" x14ac:dyDescent="0.2">
      <c r="D364" s="33"/>
      <c r="E364" s="33"/>
      <c r="F364" s="33"/>
      <c r="G364" s="34"/>
      <c r="H364" s="33"/>
    </row>
    <row r="365" spans="4:8" x14ac:dyDescent="0.2">
      <c r="D365" s="33"/>
      <c r="E365" s="33"/>
      <c r="F365" s="33"/>
      <c r="G365" s="34"/>
      <c r="H365" s="33"/>
    </row>
    <row r="366" spans="4:8" x14ac:dyDescent="0.2">
      <c r="D366" s="33"/>
      <c r="E366" s="33"/>
      <c r="F366" s="33"/>
      <c r="G366" s="34"/>
      <c r="H366" s="33"/>
    </row>
    <row r="367" spans="4:8" x14ac:dyDescent="0.2">
      <c r="D367" s="33"/>
      <c r="E367" s="33"/>
      <c r="F367" s="33"/>
      <c r="G367" s="34"/>
      <c r="H367" s="33"/>
    </row>
    <row r="368" spans="4:8" x14ac:dyDescent="0.2">
      <c r="D368" s="33"/>
      <c r="E368" s="33"/>
      <c r="F368" s="33"/>
      <c r="G368" s="34"/>
      <c r="H368" s="33"/>
    </row>
    <row r="369" spans="4:8" x14ac:dyDescent="0.2">
      <c r="D369" s="33"/>
      <c r="E369" s="33"/>
      <c r="F369" s="33"/>
      <c r="G369" s="34"/>
      <c r="H369" s="33"/>
    </row>
    <row r="370" spans="4:8" x14ac:dyDescent="0.2">
      <c r="D370" s="33"/>
      <c r="E370" s="33"/>
      <c r="F370" s="33"/>
      <c r="G370" s="34"/>
      <c r="H370" s="33"/>
    </row>
    <row r="371" spans="4:8" x14ac:dyDescent="0.2">
      <c r="D371" s="33"/>
      <c r="E371" s="33"/>
      <c r="F371" s="33"/>
      <c r="G371" s="34"/>
      <c r="H371" s="33"/>
    </row>
    <row r="372" spans="4:8" x14ac:dyDescent="0.2">
      <c r="D372" s="33"/>
      <c r="E372" s="33"/>
      <c r="F372" s="33"/>
      <c r="G372" s="34"/>
      <c r="H372" s="33"/>
    </row>
    <row r="373" spans="4:8" x14ac:dyDescent="0.2">
      <c r="D373" s="33"/>
      <c r="E373" s="33"/>
      <c r="F373" s="33"/>
      <c r="G373" s="34"/>
      <c r="H373" s="33"/>
    </row>
    <row r="374" spans="4:8" x14ac:dyDescent="0.2">
      <c r="D374" s="33"/>
      <c r="E374" s="33"/>
      <c r="F374" s="33"/>
      <c r="G374" s="34"/>
      <c r="H374" s="33"/>
    </row>
    <row r="375" spans="4:8" x14ac:dyDescent="0.2">
      <c r="D375" s="33"/>
      <c r="E375" s="33"/>
      <c r="F375" s="33"/>
      <c r="G375" s="34"/>
      <c r="H375" s="33"/>
    </row>
    <row r="376" spans="4:8" x14ac:dyDescent="0.2">
      <c r="D376" s="33"/>
      <c r="E376" s="33"/>
      <c r="F376" s="33"/>
      <c r="G376" s="34"/>
      <c r="H376" s="33"/>
    </row>
    <row r="377" spans="4:8" x14ac:dyDescent="0.2">
      <c r="D377" s="33"/>
      <c r="E377" s="33"/>
      <c r="F377" s="33"/>
      <c r="G377" s="34"/>
      <c r="H377" s="33"/>
    </row>
    <row r="378" spans="4:8" x14ac:dyDescent="0.2">
      <c r="D378" s="33"/>
      <c r="E378" s="33"/>
      <c r="F378" s="33"/>
      <c r="G378" s="34"/>
      <c r="H378" s="33"/>
    </row>
    <row r="379" spans="4:8" x14ac:dyDescent="0.2">
      <c r="D379" s="33"/>
      <c r="E379" s="33"/>
      <c r="F379" s="33"/>
      <c r="G379" s="34"/>
      <c r="H379" s="33"/>
    </row>
    <row r="380" spans="4:8" x14ac:dyDescent="0.2">
      <c r="D380" s="33"/>
      <c r="E380" s="33"/>
      <c r="F380" s="33"/>
      <c r="G380" s="34"/>
      <c r="H380" s="33"/>
    </row>
    <row r="381" spans="4:8" x14ac:dyDescent="0.2">
      <c r="D381" s="33"/>
      <c r="E381" s="33"/>
      <c r="F381" s="33"/>
      <c r="G381" s="34"/>
      <c r="H381" s="33"/>
    </row>
    <row r="382" spans="4:8" x14ac:dyDescent="0.2">
      <c r="D382" s="33"/>
      <c r="E382" s="33"/>
      <c r="F382" s="33"/>
      <c r="G382" s="34"/>
      <c r="H382" s="33"/>
    </row>
    <row r="383" spans="4:8" x14ac:dyDescent="0.2">
      <c r="D383" s="33"/>
      <c r="E383" s="33"/>
      <c r="F383" s="33"/>
      <c r="G383" s="34"/>
      <c r="H383" s="33"/>
    </row>
    <row r="384" spans="4:8" x14ac:dyDescent="0.2">
      <c r="D384" s="33"/>
      <c r="E384" s="33"/>
      <c r="F384" s="33"/>
      <c r="G384" s="34"/>
      <c r="H384" s="33"/>
    </row>
    <row r="385" spans="4:8" x14ac:dyDescent="0.2">
      <c r="D385" s="33"/>
      <c r="E385" s="33"/>
      <c r="F385" s="33"/>
      <c r="G385" s="34"/>
      <c r="H385" s="33"/>
    </row>
    <row r="386" spans="4:8" x14ac:dyDescent="0.2">
      <c r="D386" s="33"/>
      <c r="E386" s="33"/>
      <c r="F386" s="33"/>
      <c r="G386" s="34"/>
      <c r="H386" s="33"/>
    </row>
    <row r="387" spans="4:8" x14ac:dyDescent="0.2">
      <c r="D387" s="33"/>
      <c r="E387" s="33"/>
      <c r="F387" s="33"/>
      <c r="G387" s="34"/>
      <c r="H387" s="33"/>
    </row>
    <row r="388" spans="4:8" x14ac:dyDescent="0.2">
      <c r="D388" s="33"/>
      <c r="E388" s="33"/>
      <c r="F388" s="33"/>
      <c r="G388" s="34"/>
      <c r="H388" s="33"/>
    </row>
    <row r="389" spans="4:8" x14ac:dyDescent="0.2">
      <c r="D389" s="33"/>
      <c r="E389" s="33"/>
      <c r="F389" s="33"/>
      <c r="G389" s="34"/>
      <c r="H389" s="33"/>
    </row>
    <row r="390" spans="4:8" x14ac:dyDescent="0.2">
      <c r="D390" s="33"/>
      <c r="E390" s="33"/>
      <c r="F390" s="33"/>
      <c r="G390" s="34"/>
      <c r="H390" s="33"/>
    </row>
    <row r="391" spans="4:8" x14ac:dyDescent="0.2">
      <c r="D391" s="33"/>
      <c r="E391" s="33"/>
      <c r="F391" s="33"/>
      <c r="G391" s="34"/>
      <c r="H391" s="33"/>
    </row>
    <row r="392" spans="4:8" x14ac:dyDescent="0.2">
      <c r="D392" s="33"/>
      <c r="E392" s="33"/>
      <c r="F392" s="33"/>
      <c r="G392" s="34"/>
      <c r="H392" s="33"/>
    </row>
    <row r="393" spans="4:8" x14ac:dyDescent="0.2">
      <c r="D393" s="33"/>
      <c r="E393" s="33"/>
      <c r="F393" s="33"/>
      <c r="G393" s="34"/>
      <c r="H393" s="33"/>
    </row>
    <row r="394" spans="4:8" x14ac:dyDescent="0.2">
      <c r="D394" s="33"/>
      <c r="E394" s="33"/>
      <c r="F394" s="33"/>
      <c r="G394" s="34"/>
      <c r="H394" s="33"/>
    </row>
    <row r="395" spans="4:8" x14ac:dyDescent="0.2">
      <c r="D395" s="33"/>
      <c r="E395" s="33"/>
      <c r="F395" s="33"/>
      <c r="G395" s="34"/>
      <c r="H395" s="33"/>
    </row>
    <row r="396" spans="4:8" x14ac:dyDescent="0.2">
      <c r="D396" s="33"/>
      <c r="E396" s="33"/>
      <c r="F396" s="33"/>
      <c r="G396" s="34"/>
      <c r="H396" s="33"/>
    </row>
    <row r="397" spans="4:8" x14ac:dyDescent="0.2">
      <c r="D397" s="33"/>
      <c r="E397" s="33"/>
      <c r="F397" s="33"/>
      <c r="G397" s="34"/>
      <c r="H397" s="33"/>
    </row>
    <row r="398" spans="4:8" x14ac:dyDescent="0.2">
      <c r="D398" s="33"/>
      <c r="E398" s="33"/>
      <c r="F398" s="33"/>
      <c r="G398" s="34"/>
      <c r="H398" s="33"/>
    </row>
    <row r="399" spans="4:8" x14ac:dyDescent="0.2">
      <c r="D399" s="33"/>
      <c r="E399" s="33"/>
      <c r="F399" s="33"/>
      <c r="G399" s="34"/>
      <c r="H399" s="33"/>
    </row>
    <row r="400" spans="4:8" x14ac:dyDescent="0.2">
      <c r="D400" s="33"/>
      <c r="E400" s="33"/>
      <c r="F400" s="33"/>
      <c r="G400" s="34"/>
      <c r="H400" s="33"/>
    </row>
  </sheetData>
  <mergeCells count="2">
    <mergeCell ref="C4:D4"/>
    <mergeCell ref="C5:D5"/>
  </mergeCells>
  <conditionalFormatting sqref="B14:J400">
    <cfRule type="expression" dxfId="87" priority="21">
      <formula>$B14&lt;&gt;""</formula>
    </cfRule>
  </conditionalFormatting>
  <conditionalFormatting sqref="G14:H400">
    <cfRule type="expression" dxfId="86" priority="1">
      <formula>$H14="🔴 CRÍTICO"</formula>
    </cfRule>
    <cfRule type="expression" dxfId="85" priority="2">
      <formula>$H14="🟠 ALERTA"</formula>
    </cfRule>
    <cfRule type="expression" dxfId="84" priority="3">
      <formula>$H14="🟡 SEGUIMIENTO"</formula>
    </cfRule>
    <cfRule type="expression" dxfId="83" priority="4">
      <formula>$H14="🟢 NORMAL"</formula>
    </cfRule>
    <cfRule type="expression" dxfId="82" priority="5">
      <formula>$H14="⚪ SIN REGISTRO"</formula>
    </cfRule>
  </conditionalFormatting>
  <conditionalFormatting sqref="I9">
    <cfRule type="expression" dxfId="81" priority="16">
      <formula>$I9="🔴 CRÍTICO"</formula>
    </cfRule>
    <cfRule type="expression" dxfId="80" priority="17">
      <formula>$I9="🟠 ALERTA"</formula>
    </cfRule>
    <cfRule type="expression" dxfId="79" priority="18">
      <formula>$I9="🟡 SEGUIMIENTO"</formula>
    </cfRule>
    <cfRule type="expression" dxfId="78" priority="19">
      <formula>$I9="🟢 NORMAL"</formula>
    </cfRule>
    <cfRule type="expression" dxfId="77" priority="20">
      <formula>$I9="⚪ SIN REGISTRO"</formula>
    </cfRule>
  </conditionalFormatting>
  <conditionalFormatting sqref="L14:S80">
    <cfRule type="expression" dxfId="76" priority="22">
      <formula>$L14&lt;&gt;""</formula>
    </cfRule>
  </conditionalFormatting>
  <conditionalFormatting sqref="O14:O80">
    <cfRule type="expression" dxfId="75" priority="6">
      <formula>$S14="🔴 CRÍTICO"</formula>
    </cfRule>
    <cfRule type="expression" dxfId="74" priority="7">
      <formula>$S14="🟠 ALERTA"</formula>
    </cfRule>
    <cfRule type="expression" dxfId="73" priority="8">
      <formula>$S14="🟡 SEGUIMIENTO"</formula>
    </cfRule>
    <cfRule type="expression" dxfId="72" priority="9">
      <formula>$S14="🟢 NORMAL"</formula>
    </cfRule>
    <cfRule type="expression" dxfId="71" priority="10">
      <formula>$S14="⚪ SIN REGISTRO"</formula>
    </cfRule>
  </conditionalFormatting>
  <conditionalFormatting sqref="S14:S80">
    <cfRule type="expression" dxfId="70" priority="11">
      <formula>$S14="🔴 CRÍTICO"</formula>
    </cfRule>
    <cfRule type="expression" dxfId="69" priority="12">
      <formula>$S14="🟠 ALERTA"</formula>
    </cfRule>
    <cfRule type="expression" dxfId="68" priority="13">
      <formula>$S14="🟡 SEGUIMIENTO"</formula>
    </cfRule>
    <cfRule type="expression" dxfId="67" priority="14">
      <formula>$S14="🟢 NORMAL"</formula>
    </cfRule>
    <cfRule type="expression" dxfId="66" priority="15">
      <formula>$S14="⚪ SIN REGISTRO"</formula>
    </cfRule>
  </conditionalFormatting>
  <dataValidations count="2">
    <dataValidation type="list" allowBlank="1" showInputMessage="1" showErrorMessage="1" sqref="C4" xr:uid="{AB303BF6-D26C-2D48-81DE-1CC8D8D5B5A3}">
      <formula1>lstProgramas</formula1>
    </dataValidation>
    <dataValidation type="list" allowBlank="1" showInputMessage="1" showErrorMessage="1" sqref="C5" xr:uid="{B528B205-EA91-8F46-AE09-AFE26CDC16E8}">
      <formula1>lstGruposCurso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21EF-6707-3149-BABD-8381F08D9CE9}">
  <sheetPr>
    <tabColor rgb="FF1F3864"/>
  </sheetPr>
  <dimension ref="B1:Q200"/>
  <sheetViews>
    <sheetView showGridLines="0" topLeftCell="A3" workbookViewId="0">
      <selection activeCell="C4" sqref="C4:D4"/>
    </sheetView>
  </sheetViews>
  <sheetFormatPr baseColWidth="10" defaultRowHeight="16" x14ac:dyDescent="0.2"/>
  <cols>
    <col min="1" max="1" width="2" customWidth="1"/>
    <col min="2" max="2" width="31.6640625" customWidth="1"/>
    <col min="3" max="3" width="28.33203125" customWidth="1"/>
    <col min="4" max="4" width="18.33203125" customWidth="1"/>
    <col min="5" max="5" width="15.83203125" customWidth="1"/>
    <col min="6" max="6" width="15" customWidth="1"/>
    <col min="7" max="7" width="28.33203125" customWidth="1"/>
    <col min="8" max="8" width="15.83203125" customWidth="1"/>
    <col min="9" max="9" width="18.33203125" customWidth="1"/>
    <col min="10" max="10" width="28.33203125" customWidth="1"/>
    <col min="11" max="11" width="3.33203125" customWidth="1"/>
    <col min="12" max="12" width="15.83203125" customWidth="1"/>
    <col min="13" max="13" width="40" customWidth="1"/>
    <col min="14" max="15" width="3.33203125" customWidth="1"/>
    <col min="16" max="17" width="10" customWidth="1"/>
  </cols>
  <sheetData>
    <row r="1" spans="2:17" ht="24" x14ac:dyDescent="0.3">
      <c r="B1" s="59" t="s">
        <v>9134</v>
      </c>
    </row>
    <row r="2" spans="2:17" x14ac:dyDescent="0.2">
      <c r="B2" s="18" t="s">
        <v>9135</v>
      </c>
    </row>
    <row r="4" spans="2:17" x14ac:dyDescent="0.2">
      <c r="B4" s="21" t="s">
        <v>9136</v>
      </c>
      <c r="C4" s="94" t="s">
        <v>129</v>
      </c>
      <c r="D4" s="96"/>
      <c r="E4" s="61" t="str">
        <f>IFERROR(COUNTA(INDEX(_xlfn.ANCHORARRAY($L$6),0,1))&amp;" coincidencia(s)","")</f>
        <v>1 coincidencia(s)</v>
      </c>
      <c r="L4" s="20" t="s">
        <v>9139</v>
      </c>
      <c r="M4" s="20"/>
      <c r="P4" s="64" t="s">
        <v>9156</v>
      </c>
    </row>
    <row r="5" spans="2:17" x14ac:dyDescent="0.2">
      <c r="B5" s="21" t="s">
        <v>9137</v>
      </c>
      <c r="C5" s="115"/>
      <c r="D5" s="96"/>
      <c r="L5" s="48" t="s">
        <v>0</v>
      </c>
      <c r="M5" s="48" t="s">
        <v>1</v>
      </c>
      <c r="P5" s="65" t="s">
        <v>9091</v>
      </c>
      <c r="Q5" s="65" t="s">
        <v>9157</v>
      </c>
    </row>
    <row r="6" spans="2:17" x14ac:dyDescent="0.2">
      <c r="B6" s="21" t="s">
        <v>9138</v>
      </c>
      <c r="C6" s="112" t="str">
        <f>IF(TRIM($C$5&amp;"")&lt;&gt;"",TRIM($C$5&amp;""),IFERROR(IF(ISNUMBER(MATCH(INDEX(_xlfn.ANCHORARRAY($L$6),1,1),tblMatriculas[Cédula],0)),INDEX(_xlfn.ANCHORARRAY($L$6),1,1),""),""))</f>
        <v>32351188</v>
      </c>
      <c r="D6" s="98"/>
      <c r="L6" t="str" cm="1">
        <f t="array" ref="L6:M6">IF($C$4="","Escriba un texto para buscar",_xlfn.LET(_xlpm.n,tblMatriculas[Nombre],_xlpm.cd,tblMatriculas[Cédula],_xlpm.k,ISNUMBER(SEARCH(TRIM($C$4),_xlpm.n))+ISNUMBER(SEARCH(TRIM($C$4),_xlpm.cd)),_xlfn.UNIQUE(_xlfn._xlws.FILTER(_xlfn.HSTACK(_xlpm.cd,_xlpm.n),_xlpm.k,"Sin coincidencias"))))</f>
        <v>32351188</v>
      </c>
      <c r="M6" t="str">
        <v>YOHIDE MARYORY PIEDRAHITA</v>
      </c>
      <c r="P6" s="35" t="e" cm="1">
        <f t="array" ref="P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" s="66" t="e" cm="1">
        <f t="array" ref="Q6">IFERROR(_xlfn.LET(_xlpm.t,COUNTIFS(tblAsistenciaDiaria[Cédula],$C$6,tblAsistenciaDiaria[Fecha],"&lt;="&amp;P6),SUM(COUNTIFS(tblAsistenciaDiaria[Cédula],$C$6,tblAsistenciaDiaria[Fecha],"&lt;="&amp;P6,tblAsistenciaDiaria[Estado],{"Presente","Tarde"}))/_xlpm.t),NA())</f>
        <v>#N/A</v>
      </c>
    </row>
    <row r="7" spans="2:17" x14ac:dyDescent="0.2">
      <c r="P7" s="35" t="e" cm="1">
        <f t="array" ref="P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7" s="66" t="e" cm="1">
        <f t="array" ref="Q7">IFERROR(_xlfn.LET(_xlpm.t,COUNTIFS(tblAsistenciaDiaria[Cédula],$C$6,tblAsistenciaDiaria[Fecha],"&lt;="&amp;P7),SUM(COUNTIFS(tblAsistenciaDiaria[Cédula],$C$6,tblAsistenciaDiaria[Fecha],"&lt;="&amp;P7,tblAsistenciaDiaria[Estado],{"Presente","Tarde"}))/_xlpm.t),NA())</f>
        <v>#N/A</v>
      </c>
    </row>
    <row r="8" spans="2:17" x14ac:dyDescent="0.2">
      <c r="B8" s="20" t="s">
        <v>9140</v>
      </c>
      <c r="C8" s="20"/>
      <c r="D8" s="20"/>
      <c r="E8" s="20"/>
      <c r="G8" s="20" t="s">
        <v>9147</v>
      </c>
      <c r="H8" s="20"/>
      <c r="I8" s="20"/>
      <c r="J8" s="20"/>
      <c r="P8" s="35" t="e" cm="1">
        <f t="array" ref="P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8" s="66" t="e" cm="1">
        <f t="array" ref="Q8">IFERROR(_xlfn.LET(_xlpm.t,COUNTIFS(tblAsistenciaDiaria[Cédula],$C$6,tblAsistenciaDiaria[Fecha],"&lt;="&amp;P8),SUM(COUNTIFS(tblAsistenciaDiaria[Cédula],$C$6,tblAsistenciaDiaria[Fecha],"&lt;="&amp;P8,tblAsistenciaDiaria[Estado],{"Presente","Tarde"}))/_xlpm.t),NA())</f>
        <v>#N/A</v>
      </c>
    </row>
    <row r="9" spans="2:17" ht="17" x14ac:dyDescent="0.2">
      <c r="B9" s="67" t="s">
        <v>1</v>
      </c>
      <c r="C9" s="116" t="str">
        <f>IFERROR(_xlfn.XLOOKUP($C$6,tblMatriculas[Cédula],tblMatriculas[Nombre]),"—")</f>
        <v>YOHIDE MARYORY PIEDRAHITA</v>
      </c>
      <c r="D9" s="98"/>
      <c r="E9" s="98"/>
      <c r="G9" s="68" t="s">
        <v>9148</v>
      </c>
      <c r="H9" s="113">
        <f>SUMIFS(tblMatriculas[Clases dictadas],tblMatriculas[Cédula],$C$6,tblMatriculas[Incluir],TRUE)</f>
        <v>4</v>
      </c>
      <c r="I9" s="98"/>
      <c r="J9" s="98"/>
      <c r="P9" s="35" t="e" cm="1">
        <f t="array" ref="P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9" s="66" t="e" cm="1">
        <f t="array" ref="Q9">IFERROR(_xlfn.LET(_xlpm.t,COUNTIFS(tblAsistenciaDiaria[Cédula],$C$6,tblAsistenciaDiaria[Fecha],"&lt;="&amp;P9),SUM(COUNTIFS(tblAsistenciaDiaria[Cédula],$C$6,tblAsistenciaDiaria[Fecha],"&lt;="&amp;P9,tblAsistenciaDiaria[Estado],{"Presente","Tarde"}))/_xlpm.t),NA())</f>
        <v>#N/A</v>
      </c>
    </row>
    <row r="10" spans="2:17" x14ac:dyDescent="0.2">
      <c r="B10" s="67" t="s">
        <v>9141</v>
      </c>
      <c r="C10" s="112" t="str">
        <f>IF($C$6="","—",$C$6)</f>
        <v>32351188</v>
      </c>
      <c r="D10" s="98"/>
      <c r="E10" s="98"/>
      <c r="G10" s="68" t="s">
        <v>9100</v>
      </c>
      <c r="H10" s="113">
        <f>SUMIFS(tblMatriculas[Asistidas],tblMatriculas[Cédula],$C$6,tblMatriculas[Incluir],TRUE)</f>
        <v>3</v>
      </c>
      <c r="I10" s="98"/>
      <c r="J10" s="98"/>
      <c r="P10" s="35" t="e" cm="1">
        <f t="array" ref="P1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0" s="66" t="e" cm="1">
        <f t="array" ref="Q10">IFERROR(_xlfn.LET(_xlpm.t,COUNTIFS(tblAsistenciaDiaria[Cédula],$C$6,tblAsistenciaDiaria[Fecha],"&lt;="&amp;P10),SUM(COUNTIFS(tblAsistenciaDiaria[Cédula],$C$6,tblAsistenciaDiaria[Fecha],"&lt;="&amp;P10,tblAsistenciaDiaria[Estado],{"Presente","Tarde"}))/_xlpm.t),NA())</f>
        <v>#N/A</v>
      </c>
    </row>
    <row r="11" spans="2:17" x14ac:dyDescent="0.2">
      <c r="B11" s="67" t="s">
        <v>9142</v>
      </c>
      <c r="C11" s="112" t="str" cm="1">
        <f t="array" ref="C11">IFERROR(_xlfn.TEXTJOIN(", ",TRUE,_xlfn._xlws.FILTER(tblMatriculas[Código],(tblMatriculas[Cédula]=$C$6)*(tblMatriculas[Estado]="activa"))),"Ninguno")</f>
        <v>DAT-02</v>
      </c>
      <c r="D11" s="98"/>
      <c r="E11" s="98"/>
      <c r="G11" s="68" t="s">
        <v>9101</v>
      </c>
      <c r="H11" s="113">
        <f>SUMIFS(tblMatriculas[Inasistencias],tblMatriculas[Cédula],$C$6,tblMatriculas[Incluir],TRUE)</f>
        <v>1</v>
      </c>
      <c r="I11" s="98"/>
      <c r="J11" s="98"/>
      <c r="P11" s="35" t="e" cm="1">
        <f t="array" ref="P1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1" s="66" t="e" cm="1">
        <f t="array" ref="Q11">IFERROR(_xlfn.LET(_xlpm.t,COUNTIFS(tblAsistenciaDiaria[Cédula],$C$6,tblAsistenciaDiaria[Fecha],"&lt;="&amp;P11),SUM(COUNTIFS(tblAsistenciaDiaria[Cédula],$C$6,tblAsistenciaDiaria[Fecha],"&lt;="&amp;P11,tblAsistenciaDiaria[Estado],{"Presente","Tarde"}))/_xlpm.t),NA())</f>
        <v>#N/A</v>
      </c>
    </row>
    <row r="12" spans="2:17" ht="19" x14ac:dyDescent="0.25">
      <c r="B12" s="67" t="s">
        <v>9143</v>
      </c>
      <c r="C12" s="112" t="str" cm="1">
        <f t="array" ref="C12">IFERROR(_xlfn.TEXTJOIN(" | ",TRUE,_xlfn.UNIQUE(_xlfn._xlws.FILTER(tblMatriculas[Programa],(tblMatriculas[Cédula]=$C$6)*(tblMatriculas[Estado]="activa")))),"—")</f>
        <v>ANÁLISIS Y VISUALIZACIÓN DE DATOS PARA LA TOMA DE DECISIONES</v>
      </c>
      <c r="D12" s="98"/>
      <c r="E12" s="98"/>
      <c r="G12" s="68" t="s">
        <v>9102</v>
      </c>
      <c r="H12" s="114">
        <f>IFERROR(AVERAGEIFS(tblMatriculas[% asistencia],tblMatriculas[Cédula],$C$6,tblMatriculas[Incluir],TRUE),"")</f>
        <v>0.1</v>
      </c>
      <c r="I12" s="98"/>
      <c r="J12" s="98"/>
      <c r="P12" s="35" t="e" cm="1">
        <f t="array" ref="P1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2" s="66" t="e" cm="1">
        <f t="array" ref="Q12">IFERROR(_xlfn.LET(_xlpm.t,COUNTIFS(tblAsistenciaDiaria[Cédula],$C$6,tblAsistenciaDiaria[Fecha],"&lt;="&amp;P12),SUM(COUNTIFS(tblAsistenciaDiaria[Cédula],$C$6,tblAsistenciaDiaria[Fecha],"&lt;="&amp;P12,tblAsistenciaDiaria[Estado],{"Presente","Tarde"}))/_xlpm.t),NA())</f>
        <v>#N/A</v>
      </c>
    </row>
    <row r="13" spans="2:17" x14ac:dyDescent="0.2">
      <c r="B13" s="67" t="s">
        <v>9144</v>
      </c>
      <c r="C13" s="112" t="str" cm="1">
        <f t="array" ref="C13">IFERROR(_xlfn.TEXTJOIN(", ",TRUE,_xlfn.UNIQUE(_xlfn._xlws.FILTER(tblMatriculas[Docente],(tblMatriculas[Cédula]=$C$6)*(tblMatriculas[Estado]="activa")))),"—")</f>
        <v>César Diaz</v>
      </c>
      <c r="D13" s="98"/>
      <c r="E13" s="98"/>
      <c r="G13" s="68" t="s">
        <v>9113</v>
      </c>
      <c r="H13" s="113" t="str">
        <f>IF(COUNTA(tblAsistenciaDiaria[Fecha])=0,"Requiere DATOS",_xlfn.MAXIFS(tblMatriculas[Faltas consecutivas],tblMatriculas[Cédula],$C$6))</f>
        <v>Requiere DATOS</v>
      </c>
      <c r="I13" s="98"/>
      <c r="J13" s="98"/>
      <c r="P13" s="35" t="e" cm="1">
        <f t="array" ref="P1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3" s="66" t="e" cm="1">
        <f t="array" ref="Q13">IFERROR(_xlfn.LET(_xlpm.t,COUNTIFS(tblAsistenciaDiaria[Cédula],$C$6,tblAsistenciaDiaria[Fecha],"&lt;="&amp;P13),SUM(COUNTIFS(tblAsistenciaDiaria[Cédula],$C$6,tblAsistenciaDiaria[Fecha],"&lt;="&amp;P13,tblAsistenciaDiaria[Estado],{"Presente","Tarde"}))/_xlpm.t),NA())</f>
        <v>#N/A</v>
      </c>
    </row>
    <row r="14" spans="2:17" x14ac:dyDescent="0.2">
      <c r="B14" s="67" t="s">
        <v>9145</v>
      </c>
      <c r="C14" s="112" t="str">
        <f>IFERROR(_xlfn.XLOOKUP($C$6,'Base Estudiantes'!$C:$C,'Base Estudiantes'!$E:$E),"No está en Base Estudiantes")</f>
        <v>maryorypiedrahita@hotmail.com</v>
      </c>
      <c r="D14" s="98"/>
      <c r="E14" s="98"/>
      <c r="G14" s="68" t="s">
        <v>9149</v>
      </c>
      <c r="H14" s="110" t="str">
        <f>IF(COUNTA(tblAsistenciaDiaria[Fecha])=0,"Requiere DATOS",_xlfn.LET(_xlpm.m,_xlfn.MAXIFS(tblAsistenciaDiaria[Fecha],tblAsistenciaDiaria[Cédula],$C$6,tblAsistenciaDiaria[Estado],"Presente"),IF(_xlpm.m=0,"Sin registro",_xlpm.m)))</f>
        <v>Requiere DATOS</v>
      </c>
      <c r="I14" s="98"/>
      <c r="J14" s="98"/>
      <c r="P14" s="35" t="e" cm="1">
        <f t="array" ref="P1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4" s="66" t="e" cm="1">
        <f t="array" ref="Q14">IFERROR(_xlfn.LET(_xlpm.t,COUNTIFS(tblAsistenciaDiaria[Cédula],$C$6,tblAsistenciaDiaria[Fecha],"&lt;="&amp;P14),SUM(COUNTIFS(tblAsistenciaDiaria[Cédula],$C$6,tblAsistenciaDiaria[Fecha],"&lt;="&amp;P14,tblAsistenciaDiaria[Estado],{"Presente","Tarde"}))/_xlpm.t),NA())</f>
        <v>#N/A</v>
      </c>
    </row>
    <row r="15" spans="2:17" x14ac:dyDescent="0.2">
      <c r="B15" s="67" t="s">
        <v>9146</v>
      </c>
      <c r="C15" s="112" t="str">
        <f>IFERROR(_xlfn.XLOOKUP($C$6,'Base Estudiantes'!$C:$C,'Base Estudiantes'!$F:$F)&amp;"","—")</f>
        <v>3117083744</v>
      </c>
      <c r="D15" s="98"/>
      <c r="E15" s="98"/>
      <c r="G15" s="68" t="s">
        <v>9150</v>
      </c>
      <c r="H15" s="110" t="str">
        <f>IF(COUNTA(tblAsistenciaDiaria[Fecha])=0,"Requiere DATOS",_xlfn.LET(_xlpm.m,_xlfn.MAXIFS(tblAsistenciaDiaria[Fecha],tblAsistenciaDiaria[Cédula],$C$6,tblAsistenciaDiaria[Estado],"Ausente"),IF(_xlpm.m=0,"Sin registro",_xlpm.m)))</f>
        <v>Requiere DATOS</v>
      </c>
      <c r="I15" s="98"/>
      <c r="J15" s="98"/>
      <c r="P15" s="35" t="e" cm="1">
        <f t="array" ref="P1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5" s="66" t="e" cm="1">
        <f t="array" ref="Q15">IFERROR(_xlfn.LET(_xlpm.t,COUNTIFS(tblAsistenciaDiaria[Cédula],$C$6,tblAsistenciaDiaria[Fecha],"&lt;="&amp;P15),SUM(COUNTIFS(tblAsistenciaDiaria[Cédula],$C$6,tblAsistenciaDiaria[Fecha],"&lt;="&amp;P15,tblAsistenciaDiaria[Estado],{"Presente","Tarde"}))/_xlpm.t),NA())</f>
        <v>#N/A</v>
      </c>
    </row>
    <row r="16" spans="2:17" x14ac:dyDescent="0.2">
      <c r="G16" s="68" t="s">
        <v>9151</v>
      </c>
      <c r="H16" s="111" t="s">
        <v>9260</v>
      </c>
      <c r="I16" s="98"/>
      <c r="J16" s="98"/>
      <c r="P16" s="35" t="e" cm="1">
        <f t="array" ref="P1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6" s="66" t="e" cm="1">
        <f t="array" ref="Q16">IFERROR(_xlfn.LET(_xlpm.t,COUNTIFS(tblAsistenciaDiaria[Cédula],$C$6,tblAsistenciaDiaria[Fecha],"&lt;="&amp;P16),SUM(COUNTIFS(tblAsistenciaDiaria[Cédula],$C$6,tblAsistenciaDiaria[Fecha],"&lt;="&amp;P16,tblAsistenciaDiaria[Estado],{"Presente","Tarde"}))/_xlpm.t),NA())</f>
        <v>#N/A</v>
      </c>
    </row>
    <row r="17" spans="2:17" x14ac:dyDescent="0.2">
      <c r="G17" s="68" t="s">
        <v>9152</v>
      </c>
      <c r="H17" s="111" t="str" cm="1">
        <f t="array" ref="H17">IFERROR(_xlfn.TEXTJOIN(" | ",TRUE,_xlfn.UNIQUE(_xlfn._xlws.FILTER(tblMatriculas[Tipo de alerta],(tblMatriculas[Cédula]=$C$6)*(tblMatriculas[Tipo de alerta]&lt;&gt;"")))),"Ninguna")</f>
        <v>Ninguna</v>
      </c>
      <c r="I17" s="98"/>
      <c r="J17" s="98"/>
      <c r="P17" s="35" t="e" cm="1">
        <f t="array" ref="P1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7" s="66" t="e" cm="1">
        <f t="array" ref="Q17">IFERROR(_xlfn.LET(_xlpm.t,COUNTIFS(tblAsistenciaDiaria[Cédula],$C$6,tblAsistenciaDiaria[Fecha],"&lt;="&amp;P17),SUM(COUNTIFS(tblAsistenciaDiaria[Cédula],$C$6,tblAsistenciaDiaria[Fecha],"&lt;="&amp;P17,tblAsistenciaDiaria[Estado],{"Presente","Tarde"}))/_xlpm.t),NA())</f>
        <v>#N/A</v>
      </c>
    </row>
    <row r="18" spans="2:17" x14ac:dyDescent="0.2">
      <c r="P18" s="35" t="e" cm="1">
        <f t="array" ref="P1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8" s="66" t="e" cm="1">
        <f t="array" ref="Q18">IFERROR(_xlfn.LET(_xlpm.t,COUNTIFS(tblAsistenciaDiaria[Cédula],$C$6,tblAsistenciaDiaria[Fecha],"&lt;="&amp;P18),SUM(COUNTIFS(tblAsistenciaDiaria[Cédula],$C$6,tblAsistenciaDiaria[Fecha],"&lt;="&amp;P18,tblAsistenciaDiaria[Estado],{"Presente","Tarde"}))/_xlpm.t),NA())</f>
        <v>#N/A</v>
      </c>
    </row>
    <row r="19" spans="2:17" x14ac:dyDescent="0.2">
      <c r="B19" s="20" t="s">
        <v>9153</v>
      </c>
      <c r="C19" s="20"/>
      <c r="D19" s="20"/>
      <c r="E19" s="20"/>
      <c r="F19" s="20"/>
      <c r="G19" s="20"/>
      <c r="H19" s="20"/>
      <c r="I19" s="20"/>
      <c r="J19" s="20"/>
      <c r="P19" s="35" t="e" cm="1">
        <f t="array" ref="P1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19" s="66" t="e" cm="1">
        <f t="array" ref="Q19">IFERROR(_xlfn.LET(_xlpm.t,COUNTIFS(tblAsistenciaDiaria[Cédula],$C$6,tblAsistenciaDiaria[Fecha],"&lt;="&amp;P19),SUM(COUNTIFS(tblAsistenciaDiaria[Cédula],$C$6,tblAsistenciaDiaria[Fecha],"&lt;="&amp;P19,tblAsistenciaDiaria[Estado],{"Presente","Tarde"}))/_xlpm.t),NA())</f>
        <v>#N/A</v>
      </c>
    </row>
    <row r="20" spans="2:17" x14ac:dyDescent="0.2">
      <c r="B20" s="48" t="s">
        <v>3</v>
      </c>
      <c r="C20" s="48" t="s">
        <v>4415</v>
      </c>
      <c r="D20" s="48" t="s">
        <v>9100</v>
      </c>
      <c r="E20" s="48" t="s">
        <v>9094</v>
      </c>
      <c r="F20" s="48" t="s">
        <v>9101</v>
      </c>
      <c r="G20" s="48" t="s">
        <v>9131</v>
      </c>
      <c r="H20" s="48" t="s">
        <v>9060</v>
      </c>
      <c r="I20" s="48" t="s">
        <v>9115</v>
      </c>
      <c r="J20" s="48" t="s">
        <v>10</v>
      </c>
      <c r="P20" s="35" t="e" cm="1">
        <f t="array" ref="P2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0" s="66" t="e" cm="1">
        <f t="array" ref="Q20">IFERROR(_xlfn.LET(_xlpm.t,COUNTIFS(tblAsistenciaDiaria[Cédula],$C$6,tblAsistenciaDiaria[Fecha],"&lt;="&amp;P20),SUM(COUNTIFS(tblAsistenciaDiaria[Cédula],$C$6,tblAsistenciaDiaria[Fecha],"&lt;="&amp;P20,tblAsistenciaDiaria[Estado],{"Presente","Tarde"}))/_xlpm.t),NA())</f>
        <v>#N/A</v>
      </c>
    </row>
    <row r="21" spans="2:17" x14ac:dyDescent="0.2">
      <c r="B21" t="str" cm="1">
        <f t="array" ref="B21:J21">IF($C$6="","",_xlfn._xlws.FILTER(_xlfn.HSTACK(tblMatriculas[Grupo],tblMatriculas[Estado],tblMatriculas[Asistidas],tblMatriculas[Clases dictadas],tblMatriculas[Inasistencias],tblMatriculas[% asistencia],tblMatriculas[Nivel],tblMatriculas[Tipo de alerta],tblMatriculas[Observación]),tblMatriculas[Cédula]=$C$6,"Sin matrículas"))</f>
        <v>DAT-02 - Análisis y Visualización de Datos</v>
      </c>
      <c r="C21" t="str">
        <v>activa</v>
      </c>
      <c r="D21" s="33">
        <v>3</v>
      </c>
      <c r="E21" s="33">
        <v>4</v>
      </c>
      <c r="F21" s="33">
        <v>1</v>
      </c>
      <c r="G21" s="1">
        <v>0.1</v>
      </c>
      <c r="H21" t="str">
        <v>🟢 NORMAL</v>
      </c>
      <c r="I21" t="str">
        <v/>
      </c>
      <c r="J21" t="str">
        <v>Traslado desde DAT-04</v>
      </c>
      <c r="P21" s="35" t="e" cm="1">
        <f t="array" ref="P2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1" s="66" t="e" cm="1">
        <f t="array" ref="Q21">IFERROR(_xlfn.LET(_xlpm.t,COUNTIFS(tblAsistenciaDiaria[Cédula],$C$6,tblAsistenciaDiaria[Fecha],"&lt;="&amp;P21),SUM(COUNTIFS(tblAsistenciaDiaria[Cédula],$C$6,tblAsistenciaDiaria[Fecha],"&lt;="&amp;P21,tblAsistenciaDiaria[Estado],{"Presente","Tarde"}))/_xlpm.t),NA())</f>
        <v>#N/A</v>
      </c>
    </row>
    <row r="22" spans="2:17" x14ac:dyDescent="0.2">
      <c r="D22" s="33"/>
      <c r="E22" s="33"/>
      <c r="F22" s="33"/>
      <c r="G22" s="1"/>
      <c r="P22" s="35" t="e" cm="1">
        <f t="array" ref="P2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2" s="66" t="e" cm="1">
        <f t="array" ref="Q22">IFERROR(_xlfn.LET(_xlpm.t,COUNTIFS(tblAsistenciaDiaria[Cédula],$C$6,tblAsistenciaDiaria[Fecha],"&lt;="&amp;P22),SUM(COUNTIFS(tblAsistenciaDiaria[Cédula],$C$6,tblAsistenciaDiaria[Fecha],"&lt;="&amp;P22,tblAsistenciaDiaria[Estado],{"Presente","Tarde"}))/_xlpm.t),NA())</f>
        <v>#N/A</v>
      </c>
    </row>
    <row r="23" spans="2:17" x14ac:dyDescent="0.2">
      <c r="D23" s="33"/>
      <c r="E23" s="33"/>
      <c r="F23" s="33"/>
      <c r="G23" s="1"/>
      <c r="P23" s="35" t="e" cm="1">
        <f t="array" ref="P2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3" s="66" t="e" cm="1">
        <f t="array" ref="Q23">IFERROR(_xlfn.LET(_xlpm.t,COUNTIFS(tblAsistenciaDiaria[Cédula],$C$6,tblAsistenciaDiaria[Fecha],"&lt;="&amp;P23),SUM(COUNTIFS(tblAsistenciaDiaria[Cédula],$C$6,tblAsistenciaDiaria[Fecha],"&lt;="&amp;P23,tblAsistenciaDiaria[Estado],{"Presente","Tarde"}))/_xlpm.t),NA())</f>
        <v>#N/A</v>
      </c>
    </row>
    <row r="24" spans="2:17" x14ac:dyDescent="0.2">
      <c r="D24" s="33"/>
      <c r="E24" s="33"/>
      <c r="F24" s="33"/>
      <c r="G24" s="1"/>
      <c r="P24" s="35" t="e" cm="1">
        <f t="array" ref="P2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4" s="66" t="e" cm="1">
        <f t="array" ref="Q24">IFERROR(_xlfn.LET(_xlpm.t,COUNTIFS(tblAsistenciaDiaria[Cédula],$C$6,tblAsistenciaDiaria[Fecha],"&lt;="&amp;P24),SUM(COUNTIFS(tblAsistenciaDiaria[Cédula],$C$6,tblAsistenciaDiaria[Fecha],"&lt;="&amp;P24,tblAsistenciaDiaria[Estado],{"Presente","Tarde"}))/_xlpm.t),NA())</f>
        <v>#N/A</v>
      </c>
    </row>
    <row r="25" spans="2:17" x14ac:dyDescent="0.2">
      <c r="D25" s="33"/>
      <c r="E25" s="33"/>
      <c r="F25" s="33"/>
      <c r="G25" s="1"/>
      <c r="P25" s="35" t="e" cm="1">
        <f t="array" ref="P2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5" s="66" t="e" cm="1">
        <f t="array" ref="Q25">IFERROR(_xlfn.LET(_xlpm.t,COUNTIFS(tblAsistenciaDiaria[Cédula],$C$6,tblAsistenciaDiaria[Fecha],"&lt;="&amp;P25),SUM(COUNTIFS(tblAsistenciaDiaria[Cédula],$C$6,tblAsistenciaDiaria[Fecha],"&lt;="&amp;P25,tblAsistenciaDiaria[Estado],{"Presente","Tarde"}))/_xlpm.t),NA())</f>
        <v>#N/A</v>
      </c>
    </row>
    <row r="26" spans="2:17" x14ac:dyDescent="0.2">
      <c r="D26" s="33"/>
      <c r="E26" s="33"/>
      <c r="F26" s="33"/>
      <c r="G26" s="1"/>
      <c r="P26" s="35" t="e" cm="1">
        <f t="array" ref="P2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6" s="66" t="e" cm="1">
        <f t="array" ref="Q26">IFERROR(_xlfn.LET(_xlpm.t,COUNTIFS(tblAsistenciaDiaria[Cédula],$C$6,tblAsistenciaDiaria[Fecha],"&lt;="&amp;P26),SUM(COUNTIFS(tblAsistenciaDiaria[Cédula],$C$6,tblAsistenciaDiaria[Fecha],"&lt;="&amp;P26,tblAsistenciaDiaria[Estado],{"Presente","Tarde"}))/_xlpm.t),NA())</f>
        <v>#N/A</v>
      </c>
    </row>
    <row r="27" spans="2:17" x14ac:dyDescent="0.2">
      <c r="D27" s="33"/>
      <c r="E27" s="33"/>
      <c r="F27" s="33"/>
      <c r="G27" s="1"/>
      <c r="P27" s="35" t="e" cm="1">
        <f t="array" ref="P2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7" s="66" t="e" cm="1">
        <f t="array" ref="Q27">IFERROR(_xlfn.LET(_xlpm.t,COUNTIFS(tblAsistenciaDiaria[Cédula],$C$6,tblAsistenciaDiaria[Fecha],"&lt;="&amp;P27),SUM(COUNTIFS(tblAsistenciaDiaria[Cédula],$C$6,tblAsistenciaDiaria[Fecha],"&lt;="&amp;P27,tblAsistenciaDiaria[Estado],{"Presente","Tarde"}))/_xlpm.t),NA())</f>
        <v>#N/A</v>
      </c>
    </row>
    <row r="28" spans="2:17" x14ac:dyDescent="0.2">
      <c r="D28" s="33"/>
      <c r="E28" s="33"/>
      <c r="F28" s="33"/>
      <c r="G28" s="1"/>
      <c r="P28" s="35" t="e" cm="1">
        <f t="array" ref="P2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8" s="66" t="e" cm="1">
        <f t="array" ref="Q28">IFERROR(_xlfn.LET(_xlpm.t,COUNTIFS(tblAsistenciaDiaria[Cédula],$C$6,tblAsistenciaDiaria[Fecha],"&lt;="&amp;P28),SUM(COUNTIFS(tblAsistenciaDiaria[Cédula],$C$6,tblAsistenciaDiaria[Fecha],"&lt;="&amp;P28,tblAsistenciaDiaria[Estado],{"Presente","Tarde"}))/_xlpm.t),NA())</f>
        <v>#N/A</v>
      </c>
    </row>
    <row r="29" spans="2:17" x14ac:dyDescent="0.2">
      <c r="D29" s="33"/>
      <c r="E29" s="33"/>
      <c r="F29" s="33"/>
      <c r="G29" s="1"/>
      <c r="P29" s="35" t="e" cm="1">
        <f t="array" ref="P2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29" s="66" t="e" cm="1">
        <f t="array" ref="Q29">IFERROR(_xlfn.LET(_xlpm.t,COUNTIFS(tblAsistenciaDiaria[Cédula],$C$6,tblAsistenciaDiaria[Fecha],"&lt;="&amp;P29),SUM(COUNTIFS(tblAsistenciaDiaria[Cédula],$C$6,tblAsistenciaDiaria[Fecha],"&lt;="&amp;P29,tblAsistenciaDiaria[Estado],{"Presente","Tarde"}))/_xlpm.t),NA())</f>
        <v>#N/A</v>
      </c>
    </row>
    <row r="30" spans="2:17" x14ac:dyDescent="0.2">
      <c r="D30" s="33"/>
      <c r="E30" s="33"/>
      <c r="F30" s="33"/>
      <c r="G30" s="1"/>
      <c r="P30" s="35" t="e" cm="1">
        <f t="array" ref="P3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0" s="66" t="e" cm="1">
        <f t="array" ref="Q30">IFERROR(_xlfn.LET(_xlpm.t,COUNTIFS(tblAsistenciaDiaria[Cédula],$C$6,tblAsistenciaDiaria[Fecha],"&lt;="&amp;P30),SUM(COUNTIFS(tblAsistenciaDiaria[Cédula],$C$6,tblAsistenciaDiaria[Fecha],"&lt;="&amp;P30,tblAsistenciaDiaria[Estado],{"Presente","Tarde"}))/_xlpm.t),NA())</f>
        <v>#N/A</v>
      </c>
    </row>
    <row r="31" spans="2:17" x14ac:dyDescent="0.2">
      <c r="D31" s="33"/>
      <c r="E31" s="33"/>
      <c r="F31" s="33"/>
      <c r="P31" s="35" t="e" cm="1">
        <f t="array" ref="P3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1" s="66" t="e" cm="1">
        <f t="array" ref="Q31">IFERROR(_xlfn.LET(_xlpm.t,COUNTIFS(tblAsistenciaDiaria[Cédula],$C$6,tblAsistenciaDiaria[Fecha],"&lt;="&amp;P31),SUM(COUNTIFS(tblAsistenciaDiaria[Cédula],$C$6,tblAsistenciaDiaria[Fecha],"&lt;="&amp;P31,tblAsistenciaDiaria[Estado],{"Presente","Tarde"}))/_xlpm.t),NA())</f>
        <v>#N/A</v>
      </c>
    </row>
    <row r="32" spans="2:17" x14ac:dyDescent="0.2">
      <c r="B32" s="20" t="s">
        <v>9154</v>
      </c>
      <c r="C32" s="20"/>
      <c r="D32" s="69"/>
      <c r="E32" s="69"/>
      <c r="F32" s="33"/>
      <c r="P32" s="35" t="e" cm="1">
        <f t="array" ref="P3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2" s="66" t="e" cm="1">
        <f t="array" ref="Q32">IFERROR(_xlfn.LET(_xlpm.t,COUNTIFS(tblAsistenciaDiaria[Cédula],$C$6,tblAsistenciaDiaria[Fecha],"&lt;="&amp;P32),SUM(COUNTIFS(tblAsistenciaDiaria[Cédula],$C$6,tblAsistenciaDiaria[Fecha],"&lt;="&amp;P32,tblAsistenciaDiaria[Estado],{"Presente","Tarde"}))/_xlpm.t),NA())</f>
        <v>#N/A</v>
      </c>
    </row>
    <row r="33" spans="2:17" x14ac:dyDescent="0.2">
      <c r="B33" s="48" t="s">
        <v>9091</v>
      </c>
      <c r="C33" s="48" t="s">
        <v>9155</v>
      </c>
      <c r="D33" s="70" t="s">
        <v>2</v>
      </c>
      <c r="E33" s="33"/>
      <c r="F33" s="33"/>
      <c r="P33" s="35" t="e" cm="1">
        <f t="array" ref="P3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3" s="66" t="e" cm="1">
        <f t="array" ref="Q33">IFERROR(_xlfn.LET(_xlpm.t,COUNTIFS(tblAsistenciaDiaria[Cédula],$C$6,tblAsistenciaDiaria[Fecha],"&lt;="&amp;P33),SUM(COUNTIFS(tblAsistenciaDiaria[Cédula],$C$6,tblAsistenciaDiaria[Fecha],"&lt;="&amp;P33,tblAsistenciaDiaria[Estado],{"Presente","Tarde"}))/_xlpm.t),NA())</f>
        <v>#N/A</v>
      </c>
    </row>
    <row r="34" spans="2:17" x14ac:dyDescent="0.2">
      <c r="B34" s="23" t="str" cm="1">
        <f t="array" ref="B34">IF($C$6="","",IFERROR(_xlfn._xlws.SORT(_xlfn._xlws.FILTER(_xlfn.HSTACK(tblAsistenciaDiaria[Fecha],tblAsistenciaDiaria[Código grupo],tblAsistenciaDiaria[Estado]),tblAsistenciaDiaria[Cédula]=$C$6),1,-1),"Sin registros diarios: el archivo original no tiene fechas. Cargue la hoja DATOS."))</f>
        <v>Sin registros diarios: el archivo original no tiene fechas. Cargue la hoja DATOS.</v>
      </c>
      <c r="D34" s="33"/>
      <c r="E34" s="33"/>
      <c r="F34" s="33"/>
      <c r="P34" s="35" t="e" cm="1">
        <f t="array" ref="P3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4" s="66" t="e" cm="1">
        <f t="array" ref="Q34">IFERROR(_xlfn.LET(_xlpm.t,COUNTIFS(tblAsistenciaDiaria[Cédula],$C$6,tblAsistenciaDiaria[Fecha],"&lt;="&amp;P34),SUM(COUNTIFS(tblAsistenciaDiaria[Cédula],$C$6,tblAsistenciaDiaria[Fecha],"&lt;="&amp;P34,tblAsistenciaDiaria[Estado],{"Presente","Tarde"}))/_xlpm.t),NA())</f>
        <v>#N/A</v>
      </c>
    </row>
    <row r="35" spans="2:17" x14ac:dyDescent="0.2">
      <c r="B35" s="23"/>
      <c r="D35" s="33"/>
      <c r="E35" s="33"/>
      <c r="F35" s="33"/>
      <c r="P35" s="35" t="e" cm="1">
        <f t="array" ref="P3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5" s="66" t="e" cm="1">
        <f t="array" ref="Q35">IFERROR(_xlfn.LET(_xlpm.t,COUNTIFS(tblAsistenciaDiaria[Cédula],$C$6,tblAsistenciaDiaria[Fecha],"&lt;="&amp;P35),SUM(COUNTIFS(tblAsistenciaDiaria[Cédula],$C$6,tblAsistenciaDiaria[Fecha],"&lt;="&amp;P35,tblAsistenciaDiaria[Estado],{"Presente","Tarde"}))/_xlpm.t),NA())</f>
        <v>#N/A</v>
      </c>
    </row>
    <row r="36" spans="2:17" x14ac:dyDescent="0.2">
      <c r="B36" s="23"/>
      <c r="D36" s="33"/>
      <c r="E36" s="33"/>
      <c r="F36" s="33"/>
      <c r="P36" s="35" t="e" cm="1">
        <f t="array" ref="P3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6" s="66" t="e" cm="1">
        <f t="array" ref="Q36">IFERROR(_xlfn.LET(_xlpm.t,COUNTIFS(tblAsistenciaDiaria[Cédula],$C$6,tblAsistenciaDiaria[Fecha],"&lt;="&amp;P36),SUM(COUNTIFS(tblAsistenciaDiaria[Cédula],$C$6,tblAsistenciaDiaria[Fecha],"&lt;="&amp;P36,tblAsistenciaDiaria[Estado],{"Presente","Tarde"}))/_xlpm.t),NA())</f>
        <v>#N/A</v>
      </c>
    </row>
    <row r="37" spans="2:17" x14ac:dyDescent="0.2">
      <c r="B37" s="23"/>
      <c r="D37" s="33"/>
      <c r="E37" s="33"/>
      <c r="F37" s="33"/>
      <c r="P37" s="35" t="e" cm="1">
        <f t="array" ref="P3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7" s="66" t="e" cm="1">
        <f t="array" ref="Q37">IFERROR(_xlfn.LET(_xlpm.t,COUNTIFS(tblAsistenciaDiaria[Cédula],$C$6,tblAsistenciaDiaria[Fecha],"&lt;="&amp;P37),SUM(COUNTIFS(tblAsistenciaDiaria[Cédula],$C$6,tblAsistenciaDiaria[Fecha],"&lt;="&amp;P37,tblAsistenciaDiaria[Estado],{"Presente","Tarde"}))/_xlpm.t),NA())</f>
        <v>#N/A</v>
      </c>
    </row>
    <row r="38" spans="2:17" x14ac:dyDescent="0.2">
      <c r="B38" s="23"/>
      <c r="D38" s="33"/>
      <c r="E38" s="33"/>
      <c r="F38" s="33"/>
      <c r="P38" s="35" t="e" cm="1">
        <f t="array" ref="P3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8" s="66" t="e" cm="1">
        <f t="array" ref="Q38">IFERROR(_xlfn.LET(_xlpm.t,COUNTIFS(tblAsistenciaDiaria[Cédula],$C$6,tblAsistenciaDiaria[Fecha],"&lt;="&amp;P38),SUM(COUNTIFS(tblAsistenciaDiaria[Cédula],$C$6,tblAsistenciaDiaria[Fecha],"&lt;="&amp;P38,tblAsistenciaDiaria[Estado],{"Presente","Tarde"}))/_xlpm.t),NA())</f>
        <v>#N/A</v>
      </c>
    </row>
    <row r="39" spans="2:17" x14ac:dyDescent="0.2">
      <c r="B39" s="23"/>
      <c r="D39" s="33"/>
      <c r="E39" s="33"/>
      <c r="F39" s="33"/>
      <c r="P39" s="35" t="e" cm="1">
        <f t="array" ref="P3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39" s="66" t="e" cm="1">
        <f t="array" ref="Q39">IFERROR(_xlfn.LET(_xlpm.t,COUNTIFS(tblAsistenciaDiaria[Cédula],$C$6,tblAsistenciaDiaria[Fecha],"&lt;="&amp;P39),SUM(COUNTIFS(tblAsistenciaDiaria[Cédula],$C$6,tblAsistenciaDiaria[Fecha],"&lt;="&amp;P39,tblAsistenciaDiaria[Estado],{"Presente","Tarde"}))/_xlpm.t),NA())</f>
        <v>#N/A</v>
      </c>
    </row>
    <row r="40" spans="2:17" x14ac:dyDescent="0.2">
      <c r="B40" s="23"/>
      <c r="D40" s="33"/>
      <c r="E40" s="33"/>
      <c r="F40" s="33"/>
      <c r="P40" s="35" t="e" cm="1">
        <f t="array" ref="P4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0" s="66" t="e" cm="1">
        <f t="array" ref="Q40">IFERROR(_xlfn.LET(_xlpm.t,COUNTIFS(tblAsistenciaDiaria[Cédula],$C$6,tblAsistenciaDiaria[Fecha],"&lt;="&amp;P40),SUM(COUNTIFS(tblAsistenciaDiaria[Cédula],$C$6,tblAsistenciaDiaria[Fecha],"&lt;="&amp;P40,tblAsistenciaDiaria[Estado],{"Presente","Tarde"}))/_xlpm.t),NA())</f>
        <v>#N/A</v>
      </c>
    </row>
    <row r="41" spans="2:17" x14ac:dyDescent="0.2">
      <c r="B41" s="23"/>
      <c r="D41" s="33"/>
      <c r="E41" s="33"/>
      <c r="F41" s="33"/>
      <c r="P41" s="35" t="e" cm="1">
        <f t="array" ref="P4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1" s="66" t="e" cm="1">
        <f t="array" ref="Q41">IFERROR(_xlfn.LET(_xlpm.t,COUNTIFS(tblAsistenciaDiaria[Cédula],$C$6,tblAsistenciaDiaria[Fecha],"&lt;="&amp;P41),SUM(COUNTIFS(tblAsistenciaDiaria[Cédula],$C$6,tblAsistenciaDiaria[Fecha],"&lt;="&amp;P41,tblAsistenciaDiaria[Estado],{"Presente","Tarde"}))/_xlpm.t),NA())</f>
        <v>#N/A</v>
      </c>
    </row>
    <row r="42" spans="2:17" x14ac:dyDescent="0.2">
      <c r="B42" s="23"/>
      <c r="D42" s="33"/>
      <c r="E42" s="33"/>
      <c r="F42" s="33"/>
      <c r="P42" s="35" t="e" cm="1">
        <f t="array" ref="P4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2" s="66" t="e" cm="1">
        <f t="array" ref="Q42">IFERROR(_xlfn.LET(_xlpm.t,COUNTIFS(tblAsistenciaDiaria[Cédula],$C$6,tblAsistenciaDiaria[Fecha],"&lt;="&amp;P42),SUM(COUNTIFS(tblAsistenciaDiaria[Cédula],$C$6,tblAsistenciaDiaria[Fecha],"&lt;="&amp;P42,tblAsistenciaDiaria[Estado],{"Presente","Tarde"}))/_xlpm.t),NA())</f>
        <v>#N/A</v>
      </c>
    </row>
    <row r="43" spans="2:17" x14ac:dyDescent="0.2">
      <c r="B43" s="23"/>
      <c r="D43" s="33"/>
      <c r="E43" s="33"/>
      <c r="F43" s="33"/>
      <c r="P43" s="35" t="e" cm="1">
        <f t="array" ref="P4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3" s="66" t="e" cm="1">
        <f t="array" ref="Q43">IFERROR(_xlfn.LET(_xlpm.t,COUNTIFS(tblAsistenciaDiaria[Cédula],$C$6,tblAsistenciaDiaria[Fecha],"&lt;="&amp;P43),SUM(COUNTIFS(tblAsistenciaDiaria[Cédula],$C$6,tblAsistenciaDiaria[Fecha],"&lt;="&amp;P43,tblAsistenciaDiaria[Estado],{"Presente","Tarde"}))/_xlpm.t),NA())</f>
        <v>#N/A</v>
      </c>
    </row>
    <row r="44" spans="2:17" x14ac:dyDescent="0.2">
      <c r="B44" s="23"/>
      <c r="D44" s="33"/>
      <c r="E44" s="33"/>
      <c r="F44" s="33"/>
      <c r="P44" s="35" t="e" cm="1">
        <f t="array" ref="P4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4" s="66" t="e" cm="1">
        <f t="array" ref="Q44">IFERROR(_xlfn.LET(_xlpm.t,COUNTIFS(tblAsistenciaDiaria[Cédula],$C$6,tblAsistenciaDiaria[Fecha],"&lt;="&amp;P44),SUM(COUNTIFS(tblAsistenciaDiaria[Cédula],$C$6,tblAsistenciaDiaria[Fecha],"&lt;="&amp;P44,tblAsistenciaDiaria[Estado],{"Presente","Tarde"}))/_xlpm.t),NA())</f>
        <v>#N/A</v>
      </c>
    </row>
    <row r="45" spans="2:17" x14ac:dyDescent="0.2">
      <c r="B45" s="23"/>
      <c r="D45" s="33"/>
      <c r="E45" s="33"/>
      <c r="F45" s="33"/>
      <c r="P45" s="35" t="e" cm="1">
        <f t="array" ref="P4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5" s="66" t="e" cm="1">
        <f t="array" ref="Q45">IFERROR(_xlfn.LET(_xlpm.t,COUNTIFS(tblAsistenciaDiaria[Cédula],$C$6,tblAsistenciaDiaria[Fecha],"&lt;="&amp;P45),SUM(COUNTIFS(tblAsistenciaDiaria[Cédula],$C$6,tblAsistenciaDiaria[Fecha],"&lt;="&amp;P45,tblAsistenciaDiaria[Estado],{"Presente","Tarde"}))/_xlpm.t),NA())</f>
        <v>#N/A</v>
      </c>
    </row>
    <row r="46" spans="2:17" x14ac:dyDescent="0.2">
      <c r="B46" s="23"/>
      <c r="D46" s="33"/>
      <c r="E46" s="33"/>
      <c r="F46" s="33"/>
      <c r="P46" s="35" t="e" cm="1">
        <f t="array" ref="P4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6" s="66" t="e" cm="1">
        <f t="array" ref="Q46">IFERROR(_xlfn.LET(_xlpm.t,COUNTIFS(tblAsistenciaDiaria[Cédula],$C$6,tblAsistenciaDiaria[Fecha],"&lt;="&amp;P46),SUM(COUNTIFS(tblAsistenciaDiaria[Cédula],$C$6,tblAsistenciaDiaria[Fecha],"&lt;="&amp;P46,tblAsistenciaDiaria[Estado],{"Presente","Tarde"}))/_xlpm.t),NA())</f>
        <v>#N/A</v>
      </c>
    </row>
    <row r="47" spans="2:17" x14ac:dyDescent="0.2">
      <c r="B47" s="23"/>
      <c r="D47" s="33"/>
      <c r="E47" s="33"/>
      <c r="F47" s="33"/>
      <c r="P47" s="35" t="e" cm="1">
        <f t="array" ref="P4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7" s="66" t="e" cm="1">
        <f t="array" ref="Q47">IFERROR(_xlfn.LET(_xlpm.t,COUNTIFS(tblAsistenciaDiaria[Cédula],$C$6,tblAsistenciaDiaria[Fecha],"&lt;="&amp;P47),SUM(COUNTIFS(tblAsistenciaDiaria[Cédula],$C$6,tblAsistenciaDiaria[Fecha],"&lt;="&amp;P47,tblAsistenciaDiaria[Estado],{"Presente","Tarde"}))/_xlpm.t),NA())</f>
        <v>#N/A</v>
      </c>
    </row>
    <row r="48" spans="2:17" x14ac:dyDescent="0.2">
      <c r="B48" s="23"/>
      <c r="D48" s="33"/>
      <c r="E48" s="33"/>
      <c r="F48" s="33"/>
      <c r="P48" s="35" t="e" cm="1">
        <f t="array" ref="P4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8" s="66" t="e" cm="1">
        <f t="array" ref="Q48">IFERROR(_xlfn.LET(_xlpm.t,COUNTIFS(tblAsistenciaDiaria[Cédula],$C$6,tblAsistenciaDiaria[Fecha],"&lt;="&amp;P48),SUM(COUNTIFS(tblAsistenciaDiaria[Cédula],$C$6,tblAsistenciaDiaria[Fecha],"&lt;="&amp;P48,tblAsistenciaDiaria[Estado],{"Presente","Tarde"}))/_xlpm.t),NA())</f>
        <v>#N/A</v>
      </c>
    </row>
    <row r="49" spans="2:17" x14ac:dyDescent="0.2">
      <c r="B49" s="23"/>
      <c r="D49" s="33"/>
      <c r="E49" s="33"/>
      <c r="F49" s="33"/>
      <c r="P49" s="35" t="e" cm="1">
        <f t="array" ref="P4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49" s="66" t="e" cm="1">
        <f t="array" ref="Q49">IFERROR(_xlfn.LET(_xlpm.t,COUNTIFS(tblAsistenciaDiaria[Cédula],$C$6,tblAsistenciaDiaria[Fecha],"&lt;="&amp;P49),SUM(COUNTIFS(tblAsistenciaDiaria[Cédula],$C$6,tblAsistenciaDiaria[Fecha],"&lt;="&amp;P49,tblAsistenciaDiaria[Estado],{"Presente","Tarde"}))/_xlpm.t),NA())</f>
        <v>#N/A</v>
      </c>
    </row>
    <row r="50" spans="2:17" x14ac:dyDescent="0.2">
      <c r="B50" s="23"/>
      <c r="D50" s="33"/>
      <c r="E50" s="33"/>
      <c r="F50" s="33"/>
      <c r="P50" s="35" t="e" cm="1">
        <f t="array" ref="P5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0" s="66" t="e" cm="1">
        <f t="array" ref="Q50">IFERROR(_xlfn.LET(_xlpm.t,COUNTIFS(tblAsistenciaDiaria[Cédula],$C$6,tblAsistenciaDiaria[Fecha],"&lt;="&amp;P50),SUM(COUNTIFS(tblAsistenciaDiaria[Cédula],$C$6,tblAsistenciaDiaria[Fecha],"&lt;="&amp;P50,tblAsistenciaDiaria[Estado],{"Presente","Tarde"}))/_xlpm.t),NA())</f>
        <v>#N/A</v>
      </c>
    </row>
    <row r="51" spans="2:17" x14ac:dyDescent="0.2">
      <c r="B51" s="23"/>
      <c r="D51" s="33"/>
      <c r="E51" s="33"/>
      <c r="F51" s="33"/>
      <c r="P51" s="35" t="e" cm="1">
        <f t="array" ref="P5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1" s="66" t="e" cm="1">
        <f t="array" ref="Q51">IFERROR(_xlfn.LET(_xlpm.t,COUNTIFS(tblAsistenciaDiaria[Cédula],$C$6,tblAsistenciaDiaria[Fecha],"&lt;="&amp;P51),SUM(COUNTIFS(tblAsistenciaDiaria[Cédula],$C$6,tblAsistenciaDiaria[Fecha],"&lt;="&amp;P51,tblAsistenciaDiaria[Estado],{"Presente","Tarde"}))/_xlpm.t),NA())</f>
        <v>#N/A</v>
      </c>
    </row>
    <row r="52" spans="2:17" x14ac:dyDescent="0.2">
      <c r="B52" s="23"/>
      <c r="D52" s="33"/>
      <c r="E52" s="33"/>
      <c r="F52" s="33"/>
      <c r="P52" s="35" t="e" cm="1">
        <f t="array" ref="P5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2" s="66" t="e" cm="1">
        <f t="array" ref="Q52">IFERROR(_xlfn.LET(_xlpm.t,COUNTIFS(tblAsistenciaDiaria[Cédula],$C$6,tblAsistenciaDiaria[Fecha],"&lt;="&amp;P52),SUM(COUNTIFS(tblAsistenciaDiaria[Cédula],$C$6,tblAsistenciaDiaria[Fecha],"&lt;="&amp;P52,tblAsistenciaDiaria[Estado],{"Presente","Tarde"}))/_xlpm.t),NA())</f>
        <v>#N/A</v>
      </c>
    </row>
    <row r="53" spans="2:17" x14ac:dyDescent="0.2">
      <c r="B53" s="23"/>
      <c r="D53" s="33"/>
      <c r="E53" s="33"/>
      <c r="F53" s="33"/>
      <c r="P53" s="35" t="e" cm="1">
        <f t="array" ref="P5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3" s="66" t="e" cm="1">
        <f t="array" ref="Q53">IFERROR(_xlfn.LET(_xlpm.t,COUNTIFS(tblAsistenciaDiaria[Cédula],$C$6,tblAsistenciaDiaria[Fecha],"&lt;="&amp;P53),SUM(COUNTIFS(tblAsistenciaDiaria[Cédula],$C$6,tblAsistenciaDiaria[Fecha],"&lt;="&amp;P53,tblAsistenciaDiaria[Estado],{"Presente","Tarde"}))/_xlpm.t),NA())</f>
        <v>#N/A</v>
      </c>
    </row>
    <row r="54" spans="2:17" x14ac:dyDescent="0.2">
      <c r="B54" s="23"/>
      <c r="D54" s="33"/>
      <c r="E54" s="33"/>
      <c r="F54" s="33"/>
      <c r="P54" s="35" t="e" cm="1">
        <f t="array" ref="P5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4" s="66" t="e" cm="1">
        <f t="array" ref="Q54">IFERROR(_xlfn.LET(_xlpm.t,COUNTIFS(tblAsistenciaDiaria[Cédula],$C$6,tblAsistenciaDiaria[Fecha],"&lt;="&amp;P54),SUM(COUNTIFS(tblAsistenciaDiaria[Cédula],$C$6,tblAsistenciaDiaria[Fecha],"&lt;="&amp;P54,tblAsistenciaDiaria[Estado],{"Presente","Tarde"}))/_xlpm.t),NA())</f>
        <v>#N/A</v>
      </c>
    </row>
    <row r="55" spans="2:17" x14ac:dyDescent="0.2">
      <c r="B55" s="23"/>
      <c r="D55" s="33"/>
      <c r="E55" s="33"/>
      <c r="F55" s="33"/>
      <c r="P55" s="35" t="e" cm="1">
        <f t="array" ref="P5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5" s="66" t="e" cm="1">
        <f t="array" ref="Q55">IFERROR(_xlfn.LET(_xlpm.t,COUNTIFS(tblAsistenciaDiaria[Cédula],$C$6,tblAsistenciaDiaria[Fecha],"&lt;="&amp;P55),SUM(COUNTIFS(tblAsistenciaDiaria[Cédula],$C$6,tblAsistenciaDiaria[Fecha],"&lt;="&amp;P55,tblAsistenciaDiaria[Estado],{"Presente","Tarde"}))/_xlpm.t),NA())</f>
        <v>#N/A</v>
      </c>
    </row>
    <row r="56" spans="2:17" x14ac:dyDescent="0.2">
      <c r="B56" s="23"/>
      <c r="D56" s="33"/>
      <c r="E56" s="33"/>
      <c r="F56" s="33"/>
      <c r="P56" s="35" t="e" cm="1">
        <f t="array" ref="P56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6" s="66" t="e" cm="1">
        <f t="array" ref="Q56">IFERROR(_xlfn.LET(_xlpm.t,COUNTIFS(tblAsistenciaDiaria[Cédula],$C$6,tblAsistenciaDiaria[Fecha],"&lt;="&amp;P56),SUM(COUNTIFS(tblAsistenciaDiaria[Cédula],$C$6,tblAsistenciaDiaria[Fecha],"&lt;="&amp;P56,tblAsistenciaDiaria[Estado],{"Presente","Tarde"}))/_xlpm.t),NA())</f>
        <v>#N/A</v>
      </c>
    </row>
    <row r="57" spans="2:17" x14ac:dyDescent="0.2">
      <c r="B57" s="23"/>
      <c r="D57" s="33"/>
      <c r="E57" s="33"/>
      <c r="F57" s="33"/>
      <c r="P57" s="35" t="e" cm="1">
        <f t="array" ref="P57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7" s="66" t="e" cm="1">
        <f t="array" ref="Q57">IFERROR(_xlfn.LET(_xlpm.t,COUNTIFS(tblAsistenciaDiaria[Cédula],$C$6,tblAsistenciaDiaria[Fecha],"&lt;="&amp;P57),SUM(COUNTIFS(tblAsistenciaDiaria[Cédula],$C$6,tblAsistenciaDiaria[Fecha],"&lt;="&amp;P57,tblAsistenciaDiaria[Estado],{"Presente","Tarde"}))/_xlpm.t),NA())</f>
        <v>#N/A</v>
      </c>
    </row>
    <row r="58" spans="2:17" x14ac:dyDescent="0.2">
      <c r="B58" s="23"/>
      <c r="D58" s="33"/>
      <c r="E58" s="33"/>
      <c r="F58" s="33"/>
      <c r="P58" s="35" t="e" cm="1">
        <f t="array" ref="P58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8" s="66" t="e" cm="1">
        <f t="array" ref="Q58">IFERROR(_xlfn.LET(_xlpm.t,COUNTIFS(tblAsistenciaDiaria[Cédula],$C$6,tblAsistenciaDiaria[Fecha],"&lt;="&amp;P58),SUM(COUNTIFS(tblAsistenciaDiaria[Cédula],$C$6,tblAsistenciaDiaria[Fecha],"&lt;="&amp;P58,tblAsistenciaDiaria[Estado],{"Presente","Tarde"}))/_xlpm.t),NA())</f>
        <v>#N/A</v>
      </c>
    </row>
    <row r="59" spans="2:17" x14ac:dyDescent="0.2">
      <c r="B59" s="23"/>
      <c r="D59" s="33"/>
      <c r="E59" s="33"/>
      <c r="F59" s="33"/>
      <c r="P59" s="35" t="e" cm="1">
        <f t="array" ref="P59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59" s="66" t="e" cm="1">
        <f t="array" ref="Q59">IFERROR(_xlfn.LET(_xlpm.t,COUNTIFS(tblAsistenciaDiaria[Cédula],$C$6,tblAsistenciaDiaria[Fecha],"&lt;="&amp;P59),SUM(COUNTIFS(tblAsistenciaDiaria[Cédula],$C$6,tblAsistenciaDiaria[Fecha],"&lt;="&amp;P59,tblAsistenciaDiaria[Estado],{"Presente","Tarde"}))/_xlpm.t),NA())</f>
        <v>#N/A</v>
      </c>
    </row>
    <row r="60" spans="2:17" x14ac:dyDescent="0.2">
      <c r="B60" s="23"/>
      <c r="D60" s="33"/>
      <c r="E60" s="33"/>
      <c r="F60" s="33"/>
      <c r="P60" s="35" t="e" cm="1">
        <f t="array" ref="P60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0" s="66" t="e" cm="1">
        <f t="array" ref="Q60">IFERROR(_xlfn.LET(_xlpm.t,COUNTIFS(tblAsistenciaDiaria[Cédula],$C$6,tblAsistenciaDiaria[Fecha],"&lt;="&amp;P60),SUM(COUNTIFS(tblAsistenciaDiaria[Cédula],$C$6,tblAsistenciaDiaria[Fecha],"&lt;="&amp;P60,tblAsistenciaDiaria[Estado],{"Presente","Tarde"}))/_xlpm.t),NA())</f>
        <v>#N/A</v>
      </c>
    </row>
    <row r="61" spans="2:17" x14ac:dyDescent="0.2">
      <c r="B61" s="23"/>
      <c r="P61" s="35" t="e" cm="1">
        <f t="array" ref="P61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1" s="66" t="e" cm="1">
        <f t="array" ref="Q61">IFERROR(_xlfn.LET(_xlpm.t,COUNTIFS(tblAsistenciaDiaria[Cédula],$C$6,tblAsistenciaDiaria[Fecha],"&lt;="&amp;P61),SUM(COUNTIFS(tblAsistenciaDiaria[Cédula],$C$6,tblAsistenciaDiaria[Fecha],"&lt;="&amp;P61,tblAsistenciaDiaria[Estado],{"Presente","Tarde"}))/_xlpm.t),NA())</f>
        <v>#N/A</v>
      </c>
    </row>
    <row r="62" spans="2:17" x14ac:dyDescent="0.2">
      <c r="B62" s="23"/>
      <c r="P62" s="35" t="e" cm="1">
        <f t="array" ref="P62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2" s="66" t="e" cm="1">
        <f t="array" ref="Q62">IFERROR(_xlfn.LET(_xlpm.t,COUNTIFS(tblAsistenciaDiaria[Cédula],$C$6,tblAsistenciaDiaria[Fecha],"&lt;="&amp;P62),SUM(COUNTIFS(tblAsistenciaDiaria[Cédula],$C$6,tblAsistenciaDiaria[Fecha],"&lt;="&amp;P62,tblAsistenciaDiaria[Estado],{"Presente","Tarde"}))/_xlpm.t),NA())</f>
        <v>#N/A</v>
      </c>
    </row>
    <row r="63" spans="2:17" x14ac:dyDescent="0.2">
      <c r="B63" s="23"/>
      <c r="P63" s="35" t="e" cm="1">
        <f t="array" ref="P63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3" s="66" t="e" cm="1">
        <f t="array" ref="Q63">IFERROR(_xlfn.LET(_xlpm.t,COUNTIFS(tblAsistenciaDiaria[Cédula],$C$6,tblAsistenciaDiaria[Fecha],"&lt;="&amp;P63),SUM(COUNTIFS(tblAsistenciaDiaria[Cédula],$C$6,tblAsistenciaDiaria[Fecha],"&lt;="&amp;P63,tblAsistenciaDiaria[Estado],{"Presente","Tarde"}))/_xlpm.t),NA())</f>
        <v>#N/A</v>
      </c>
    </row>
    <row r="64" spans="2:17" x14ac:dyDescent="0.2">
      <c r="B64" s="23"/>
      <c r="P64" s="35" t="e" cm="1">
        <f t="array" ref="P64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4" s="66" t="e" cm="1">
        <f t="array" ref="Q64">IFERROR(_xlfn.LET(_xlpm.t,COUNTIFS(tblAsistenciaDiaria[Cédula],$C$6,tblAsistenciaDiaria[Fecha],"&lt;="&amp;P64),SUM(COUNTIFS(tblAsistenciaDiaria[Cédula],$C$6,tblAsistenciaDiaria[Fecha],"&lt;="&amp;P64,tblAsistenciaDiaria[Estado],{"Presente","Tarde"}))/_xlpm.t),NA())</f>
        <v>#N/A</v>
      </c>
    </row>
    <row r="65" spans="2:17" x14ac:dyDescent="0.2">
      <c r="B65" s="23"/>
      <c r="P65" s="35" t="e" cm="1">
        <f t="array" ref="P65">_xlfn.LET(_xlpm.d,_xlfn._xlws.SORT(_xlfn.UNIQUE(_xlfn._xlws.FILTER(tblAsistenciaDiaria[Fecha],(tblAsistenciaDiaria[Cédula]=$C$6)*(tblAsistenciaDiaria[Fecha]&lt;&gt;""),""))),_xlpm.i,ROW()-5,IFERROR(IF(INDEX(_xlpm.d,_xlpm.i)="",NA(),INDEX(_xlpm.d,_xlpm.i)),NA()))</f>
        <v>#N/A</v>
      </c>
      <c r="Q65" s="66" t="e" cm="1">
        <f t="array" ref="Q65">IFERROR(_xlfn.LET(_xlpm.t,COUNTIFS(tblAsistenciaDiaria[Cédula],$C$6,tblAsistenciaDiaria[Fecha],"&lt;="&amp;P65),SUM(COUNTIFS(tblAsistenciaDiaria[Cédula],$C$6,tblAsistenciaDiaria[Fecha],"&lt;="&amp;P65,tblAsistenciaDiaria[Estado],{"Presente","Tarde"}))/_xlpm.t),NA())</f>
        <v>#N/A</v>
      </c>
    </row>
    <row r="66" spans="2:17" x14ac:dyDescent="0.2">
      <c r="B66" s="23"/>
    </row>
    <row r="67" spans="2:17" x14ac:dyDescent="0.2">
      <c r="B67" s="23"/>
    </row>
    <row r="68" spans="2:17" x14ac:dyDescent="0.2">
      <c r="B68" s="23"/>
    </row>
    <row r="69" spans="2:17" x14ac:dyDescent="0.2">
      <c r="B69" s="23"/>
    </row>
    <row r="70" spans="2:17" x14ac:dyDescent="0.2">
      <c r="B70" s="23"/>
    </row>
    <row r="71" spans="2:17" x14ac:dyDescent="0.2">
      <c r="B71" s="23"/>
    </row>
    <row r="72" spans="2:17" x14ac:dyDescent="0.2">
      <c r="B72" s="23"/>
    </row>
    <row r="73" spans="2:17" x14ac:dyDescent="0.2">
      <c r="B73" s="23"/>
    </row>
    <row r="74" spans="2:17" x14ac:dyDescent="0.2">
      <c r="B74" s="23"/>
    </row>
    <row r="75" spans="2:17" x14ac:dyDescent="0.2">
      <c r="B75" s="23"/>
    </row>
    <row r="76" spans="2:17" x14ac:dyDescent="0.2">
      <c r="B76" s="23"/>
    </row>
    <row r="77" spans="2:17" x14ac:dyDescent="0.2">
      <c r="B77" s="23"/>
    </row>
    <row r="78" spans="2:17" x14ac:dyDescent="0.2">
      <c r="B78" s="23"/>
    </row>
    <row r="79" spans="2:17" x14ac:dyDescent="0.2">
      <c r="B79" s="23"/>
    </row>
    <row r="80" spans="2:17" x14ac:dyDescent="0.2">
      <c r="B80" s="23"/>
    </row>
    <row r="81" spans="2:2" x14ac:dyDescent="0.2">
      <c r="B81" s="23"/>
    </row>
    <row r="82" spans="2:2" x14ac:dyDescent="0.2">
      <c r="B82" s="23"/>
    </row>
    <row r="83" spans="2:2" x14ac:dyDescent="0.2">
      <c r="B83" s="23"/>
    </row>
    <row r="84" spans="2:2" x14ac:dyDescent="0.2">
      <c r="B84" s="23"/>
    </row>
    <row r="85" spans="2:2" x14ac:dyDescent="0.2">
      <c r="B85" s="23"/>
    </row>
    <row r="86" spans="2:2" x14ac:dyDescent="0.2">
      <c r="B86" s="23"/>
    </row>
    <row r="87" spans="2:2" x14ac:dyDescent="0.2">
      <c r="B87" s="23"/>
    </row>
    <row r="88" spans="2:2" x14ac:dyDescent="0.2">
      <c r="B88" s="23"/>
    </row>
    <row r="89" spans="2:2" x14ac:dyDescent="0.2">
      <c r="B89" s="23"/>
    </row>
    <row r="90" spans="2:2" x14ac:dyDescent="0.2">
      <c r="B90" s="23"/>
    </row>
    <row r="91" spans="2:2" x14ac:dyDescent="0.2">
      <c r="B91" s="23"/>
    </row>
    <row r="92" spans="2:2" x14ac:dyDescent="0.2">
      <c r="B92" s="23"/>
    </row>
    <row r="93" spans="2:2" x14ac:dyDescent="0.2">
      <c r="B93" s="23"/>
    </row>
    <row r="94" spans="2:2" x14ac:dyDescent="0.2">
      <c r="B94" s="23"/>
    </row>
    <row r="95" spans="2:2" x14ac:dyDescent="0.2">
      <c r="B95" s="23"/>
    </row>
    <row r="96" spans="2:2" x14ac:dyDescent="0.2">
      <c r="B96" s="23"/>
    </row>
    <row r="97" spans="2:2" x14ac:dyDescent="0.2">
      <c r="B97" s="23"/>
    </row>
    <row r="98" spans="2:2" x14ac:dyDescent="0.2">
      <c r="B98" s="23"/>
    </row>
    <row r="99" spans="2:2" x14ac:dyDescent="0.2">
      <c r="B99" s="23"/>
    </row>
    <row r="100" spans="2:2" x14ac:dyDescent="0.2">
      <c r="B100" s="23"/>
    </row>
    <row r="101" spans="2:2" x14ac:dyDescent="0.2">
      <c r="B101" s="23"/>
    </row>
    <row r="102" spans="2:2" x14ac:dyDescent="0.2">
      <c r="B102" s="23"/>
    </row>
    <row r="103" spans="2:2" x14ac:dyDescent="0.2">
      <c r="B103" s="23"/>
    </row>
    <row r="104" spans="2:2" x14ac:dyDescent="0.2">
      <c r="B104" s="23"/>
    </row>
    <row r="105" spans="2:2" x14ac:dyDescent="0.2">
      <c r="B105" s="23"/>
    </row>
    <row r="106" spans="2:2" x14ac:dyDescent="0.2">
      <c r="B106" s="23"/>
    </row>
    <row r="107" spans="2:2" x14ac:dyDescent="0.2">
      <c r="B107" s="23"/>
    </row>
    <row r="108" spans="2:2" x14ac:dyDescent="0.2">
      <c r="B108" s="23"/>
    </row>
    <row r="109" spans="2:2" x14ac:dyDescent="0.2">
      <c r="B109" s="23"/>
    </row>
    <row r="110" spans="2:2" x14ac:dyDescent="0.2">
      <c r="B110" s="23"/>
    </row>
    <row r="111" spans="2:2" x14ac:dyDescent="0.2">
      <c r="B111" s="23"/>
    </row>
    <row r="112" spans="2:2" x14ac:dyDescent="0.2">
      <c r="B112" s="23"/>
    </row>
    <row r="113" spans="2:2" x14ac:dyDescent="0.2">
      <c r="B113" s="23"/>
    </row>
    <row r="114" spans="2:2" x14ac:dyDescent="0.2">
      <c r="B114" s="23"/>
    </row>
    <row r="115" spans="2:2" x14ac:dyDescent="0.2">
      <c r="B115" s="23"/>
    </row>
    <row r="116" spans="2:2" x14ac:dyDescent="0.2">
      <c r="B116" s="23"/>
    </row>
    <row r="117" spans="2:2" x14ac:dyDescent="0.2">
      <c r="B117" s="23"/>
    </row>
    <row r="118" spans="2:2" x14ac:dyDescent="0.2">
      <c r="B118" s="23"/>
    </row>
    <row r="119" spans="2:2" x14ac:dyDescent="0.2">
      <c r="B119" s="23"/>
    </row>
    <row r="120" spans="2:2" x14ac:dyDescent="0.2">
      <c r="B120" s="23"/>
    </row>
    <row r="121" spans="2:2" x14ac:dyDescent="0.2">
      <c r="B121" s="23"/>
    </row>
    <row r="122" spans="2:2" x14ac:dyDescent="0.2">
      <c r="B122" s="23"/>
    </row>
    <row r="123" spans="2:2" x14ac:dyDescent="0.2">
      <c r="B123" s="23"/>
    </row>
    <row r="124" spans="2:2" x14ac:dyDescent="0.2">
      <c r="B124" s="23"/>
    </row>
    <row r="125" spans="2:2" x14ac:dyDescent="0.2">
      <c r="B125" s="23"/>
    </row>
    <row r="126" spans="2:2" x14ac:dyDescent="0.2">
      <c r="B126" s="23"/>
    </row>
    <row r="127" spans="2:2" x14ac:dyDescent="0.2">
      <c r="B127" s="23"/>
    </row>
    <row r="128" spans="2:2" x14ac:dyDescent="0.2">
      <c r="B128" s="23"/>
    </row>
    <row r="129" spans="2:2" x14ac:dyDescent="0.2">
      <c r="B129" s="23"/>
    </row>
    <row r="130" spans="2:2" x14ac:dyDescent="0.2">
      <c r="B130" s="23"/>
    </row>
    <row r="131" spans="2:2" x14ac:dyDescent="0.2">
      <c r="B131" s="23"/>
    </row>
    <row r="132" spans="2:2" x14ac:dyDescent="0.2">
      <c r="B132" s="23"/>
    </row>
    <row r="133" spans="2:2" x14ac:dyDescent="0.2">
      <c r="B133" s="23"/>
    </row>
    <row r="134" spans="2:2" x14ac:dyDescent="0.2">
      <c r="B134" s="23"/>
    </row>
    <row r="135" spans="2:2" x14ac:dyDescent="0.2">
      <c r="B135" s="23"/>
    </row>
    <row r="136" spans="2:2" x14ac:dyDescent="0.2">
      <c r="B136" s="23"/>
    </row>
    <row r="137" spans="2:2" x14ac:dyDescent="0.2">
      <c r="B137" s="23"/>
    </row>
    <row r="138" spans="2:2" x14ac:dyDescent="0.2">
      <c r="B138" s="23"/>
    </row>
    <row r="139" spans="2:2" x14ac:dyDescent="0.2">
      <c r="B139" s="23"/>
    </row>
    <row r="140" spans="2:2" x14ac:dyDescent="0.2">
      <c r="B140" s="23"/>
    </row>
    <row r="141" spans="2:2" x14ac:dyDescent="0.2">
      <c r="B141" s="23"/>
    </row>
    <row r="142" spans="2:2" x14ac:dyDescent="0.2">
      <c r="B142" s="23"/>
    </row>
    <row r="143" spans="2:2" x14ac:dyDescent="0.2">
      <c r="B143" s="23"/>
    </row>
    <row r="144" spans="2:2" x14ac:dyDescent="0.2">
      <c r="B144" s="23"/>
    </row>
    <row r="145" spans="2:2" x14ac:dyDescent="0.2">
      <c r="B145" s="23"/>
    </row>
    <row r="146" spans="2:2" x14ac:dyDescent="0.2">
      <c r="B146" s="23"/>
    </row>
    <row r="147" spans="2:2" x14ac:dyDescent="0.2">
      <c r="B147" s="23"/>
    </row>
    <row r="148" spans="2:2" x14ac:dyDescent="0.2">
      <c r="B148" s="23"/>
    </row>
    <row r="149" spans="2:2" x14ac:dyDescent="0.2">
      <c r="B149" s="23"/>
    </row>
    <row r="150" spans="2:2" x14ac:dyDescent="0.2">
      <c r="B150" s="23"/>
    </row>
    <row r="151" spans="2:2" x14ac:dyDescent="0.2">
      <c r="B151" s="23"/>
    </row>
    <row r="152" spans="2:2" x14ac:dyDescent="0.2">
      <c r="B152" s="23"/>
    </row>
    <row r="153" spans="2:2" x14ac:dyDescent="0.2">
      <c r="B153" s="23"/>
    </row>
    <row r="154" spans="2:2" x14ac:dyDescent="0.2">
      <c r="B154" s="23"/>
    </row>
    <row r="155" spans="2:2" x14ac:dyDescent="0.2">
      <c r="B155" s="23"/>
    </row>
    <row r="156" spans="2:2" x14ac:dyDescent="0.2">
      <c r="B156" s="23"/>
    </row>
    <row r="157" spans="2:2" x14ac:dyDescent="0.2">
      <c r="B157" s="23"/>
    </row>
    <row r="158" spans="2:2" x14ac:dyDescent="0.2">
      <c r="B158" s="23"/>
    </row>
    <row r="159" spans="2:2" x14ac:dyDescent="0.2">
      <c r="B159" s="23"/>
    </row>
    <row r="160" spans="2:2" x14ac:dyDescent="0.2">
      <c r="B160" s="23"/>
    </row>
    <row r="161" spans="2:2" x14ac:dyDescent="0.2">
      <c r="B161" s="23"/>
    </row>
    <row r="162" spans="2:2" x14ac:dyDescent="0.2">
      <c r="B162" s="23"/>
    </row>
    <row r="163" spans="2:2" x14ac:dyDescent="0.2">
      <c r="B163" s="23"/>
    </row>
    <row r="164" spans="2:2" x14ac:dyDescent="0.2">
      <c r="B164" s="23"/>
    </row>
    <row r="165" spans="2:2" x14ac:dyDescent="0.2">
      <c r="B165" s="23"/>
    </row>
    <row r="166" spans="2:2" x14ac:dyDescent="0.2">
      <c r="B166" s="23"/>
    </row>
    <row r="167" spans="2:2" x14ac:dyDescent="0.2">
      <c r="B167" s="23"/>
    </row>
    <row r="168" spans="2:2" x14ac:dyDescent="0.2">
      <c r="B168" s="23"/>
    </row>
    <row r="169" spans="2:2" x14ac:dyDescent="0.2">
      <c r="B169" s="23"/>
    </row>
    <row r="170" spans="2:2" x14ac:dyDescent="0.2">
      <c r="B170" s="23"/>
    </row>
    <row r="171" spans="2:2" x14ac:dyDescent="0.2">
      <c r="B171" s="23"/>
    </row>
    <row r="172" spans="2:2" x14ac:dyDescent="0.2">
      <c r="B172" s="23"/>
    </row>
    <row r="173" spans="2:2" x14ac:dyDescent="0.2">
      <c r="B173" s="23"/>
    </row>
    <row r="174" spans="2:2" x14ac:dyDescent="0.2">
      <c r="B174" s="23"/>
    </row>
    <row r="175" spans="2:2" x14ac:dyDescent="0.2">
      <c r="B175" s="23"/>
    </row>
    <row r="176" spans="2:2" x14ac:dyDescent="0.2">
      <c r="B176" s="23"/>
    </row>
    <row r="177" spans="2:2" x14ac:dyDescent="0.2">
      <c r="B177" s="23"/>
    </row>
    <row r="178" spans="2:2" x14ac:dyDescent="0.2">
      <c r="B178" s="23"/>
    </row>
    <row r="179" spans="2:2" x14ac:dyDescent="0.2">
      <c r="B179" s="23"/>
    </row>
    <row r="180" spans="2:2" x14ac:dyDescent="0.2">
      <c r="B180" s="23"/>
    </row>
    <row r="181" spans="2:2" x14ac:dyDescent="0.2">
      <c r="B181" s="23"/>
    </row>
    <row r="182" spans="2:2" x14ac:dyDescent="0.2">
      <c r="B182" s="23"/>
    </row>
    <row r="183" spans="2:2" x14ac:dyDescent="0.2">
      <c r="B183" s="23"/>
    </row>
    <row r="184" spans="2:2" x14ac:dyDescent="0.2">
      <c r="B184" s="23"/>
    </row>
    <row r="185" spans="2:2" x14ac:dyDescent="0.2">
      <c r="B185" s="23"/>
    </row>
    <row r="186" spans="2:2" x14ac:dyDescent="0.2">
      <c r="B186" s="23"/>
    </row>
    <row r="187" spans="2:2" x14ac:dyDescent="0.2">
      <c r="B187" s="23"/>
    </row>
    <row r="188" spans="2:2" x14ac:dyDescent="0.2">
      <c r="B188" s="23"/>
    </row>
    <row r="189" spans="2:2" x14ac:dyDescent="0.2">
      <c r="B189" s="23"/>
    </row>
    <row r="190" spans="2:2" x14ac:dyDescent="0.2">
      <c r="B190" s="23"/>
    </row>
    <row r="191" spans="2:2" x14ac:dyDescent="0.2">
      <c r="B191" s="23"/>
    </row>
    <row r="192" spans="2:2" x14ac:dyDescent="0.2">
      <c r="B192" s="23"/>
    </row>
    <row r="193" spans="2:2" x14ac:dyDescent="0.2">
      <c r="B193" s="23"/>
    </row>
    <row r="194" spans="2:2" x14ac:dyDescent="0.2">
      <c r="B194" s="23"/>
    </row>
    <row r="195" spans="2:2" x14ac:dyDescent="0.2">
      <c r="B195" s="23"/>
    </row>
    <row r="196" spans="2:2" x14ac:dyDescent="0.2">
      <c r="B196" s="23"/>
    </row>
    <row r="197" spans="2:2" x14ac:dyDescent="0.2">
      <c r="B197" s="23"/>
    </row>
    <row r="198" spans="2:2" x14ac:dyDescent="0.2">
      <c r="B198" s="23"/>
    </row>
    <row r="199" spans="2:2" x14ac:dyDescent="0.2">
      <c r="B199" s="23"/>
    </row>
    <row r="200" spans="2:2" x14ac:dyDescent="0.2">
      <c r="B200" s="23"/>
    </row>
  </sheetData>
  <mergeCells count="19">
    <mergeCell ref="C11:E11"/>
    <mergeCell ref="C4:D4"/>
    <mergeCell ref="C5:D5"/>
    <mergeCell ref="C6:D6"/>
    <mergeCell ref="C9:E9"/>
    <mergeCell ref="C10:E10"/>
    <mergeCell ref="H9:J9"/>
    <mergeCell ref="H10:J10"/>
    <mergeCell ref="H11:J11"/>
    <mergeCell ref="H12:J12"/>
    <mergeCell ref="H13:J13"/>
    <mergeCell ref="H15:J15"/>
    <mergeCell ref="H16:J16"/>
    <mergeCell ref="H17:J17"/>
    <mergeCell ref="C12:E12"/>
    <mergeCell ref="C13:E13"/>
    <mergeCell ref="C14:E14"/>
    <mergeCell ref="C15:E15"/>
    <mergeCell ref="H14:J14"/>
  </mergeCells>
  <conditionalFormatting sqref="D34:D200">
    <cfRule type="expression" dxfId="65" priority="16">
      <formula>OR($D34="Ausente",$D34="Justificada")</formula>
    </cfRule>
  </conditionalFormatting>
  <conditionalFormatting sqref="G21:H30">
    <cfRule type="expression" dxfId="64" priority="11">
      <formula>$H21="🔴 CRÍTICO"</formula>
    </cfRule>
    <cfRule type="expression" dxfId="63" priority="12">
      <formula>$H21="🟠 ALERTA"</formula>
    </cfRule>
    <cfRule type="expression" dxfId="62" priority="13">
      <formula>$H21="🟡 SEGUIMIENTO"</formula>
    </cfRule>
    <cfRule type="expression" dxfId="61" priority="14">
      <formula>$H21="🟢 NORMAL"</formula>
    </cfRule>
    <cfRule type="expression" dxfId="60" priority="15">
      <formula>$H21="⚪ SIN REGISTRO"</formula>
    </cfRule>
  </conditionalFormatting>
  <conditionalFormatting sqref="H12">
    <cfRule type="expression" dxfId="59" priority="6">
      <formula>$H$16="🔴 CRÍTICO"</formula>
    </cfRule>
    <cfRule type="expression" dxfId="58" priority="7">
      <formula>$H$16="🟠 ALERTA"</formula>
    </cfRule>
    <cfRule type="expression" dxfId="57" priority="8">
      <formula>$H$16="🟡 SEGUIMIENTO"</formula>
    </cfRule>
    <cfRule type="expression" dxfId="56" priority="9">
      <formula>$H$16="🟢 NORMAL"</formula>
    </cfRule>
    <cfRule type="expression" dxfId="55" priority="10">
      <formula>$H$16="⚪ SIN REGISTRO"</formula>
    </cfRule>
  </conditionalFormatting>
  <conditionalFormatting sqref="H16">
    <cfRule type="expression" dxfId="54" priority="1">
      <formula>$H$16="🔴 CRÍTICO"</formula>
    </cfRule>
    <cfRule type="expression" dxfId="53" priority="2">
      <formula>$H$16="🟠 ALERTA"</formula>
    </cfRule>
    <cfRule type="expression" dxfId="52" priority="3">
      <formula>$H$16="🟡 SEGUIMIENTO"</formula>
    </cfRule>
    <cfRule type="expression" dxfId="51" priority="4">
      <formula>$H$16="🟢 NORMAL"</formula>
    </cfRule>
    <cfRule type="expression" dxfId="50" priority="5">
      <formula>$H$16="⚪ SIN REGISTRO"</formula>
    </cfRule>
  </conditionalFormatting>
  <conditionalFormatting sqref="P6:Q65">
    <cfRule type="expression" dxfId="49" priority="17">
      <formula>ISNA(P6)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E723-60AE-4149-89E3-92C1143DCB39}">
  <sheetPr>
    <tabColor rgb="FFC00000"/>
  </sheetPr>
  <dimension ref="B1:N3000"/>
  <sheetViews>
    <sheetView showGridLines="0" workbookViewId="0">
      <pane ySplit="9" topLeftCell="A10" activePane="bottomLeft" state="frozen"/>
      <selection pane="bottomLeft" activeCell="C4" sqref="C4:E4"/>
    </sheetView>
  </sheetViews>
  <sheetFormatPr baseColWidth="10" defaultRowHeight="16" x14ac:dyDescent="0.2"/>
  <cols>
    <col min="1" max="1" width="2" customWidth="1"/>
    <col min="2" max="2" width="11.6640625" customWidth="1"/>
    <col min="3" max="3" width="40" customWidth="1"/>
    <col min="4" max="4" width="15.83203125" customWidth="1"/>
    <col min="6" max="6" width="21.6640625" customWidth="1"/>
    <col min="7" max="8" width="13.33203125" customWidth="1"/>
    <col min="10" max="10" width="14.1640625" customWidth="1"/>
    <col min="11" max="11" width="15" customWidth="1"/>
    <col min="12" max="12" width="15.83203125" customWidth="1"/>
    <col min="13" max="13" width="33.33203125" customWidth="1"/>
    <col min="14" max="14" width="55" customWidth="1"/>
  </cols>
  <sheetData>
    <row r="1" spans="2:14" ht="24" x14ac:dyDescent="0.3">
      <c r="B1" s="59" t="s">
        <v>9167</v>
      </c>
    </row>
    <row r="2" spans="2:14" x14ac:dyDescent="0.2">
      <c r="B2" s="18" t="s">
        <v>9168</v>
      </c>
    </row>
    <row r="4" spans="2:14" ht="30" customHeight="1" x14ac:dyDescent="0.2">
      <c r="B4" s="21" t="s">
        <v>8</v>
      </c>
      <c r="C4" s="94" t="s">
        <v>1145</v>
      </c>
      <c r="D4" s="95"/>
      <c r="E4" s="96"/>
      <c r="G4" s="71" t="s">
        <v>9063</v>
      </c>
      <c r="H4" s="72" t="s">
        <v>9064</v>
      </c>
      <c r="I4" s="73" t="s">
        <v>9065</v>
      </c>
      <c r="J4" s="74" t="s">
        <v>9164</v>
      </c>
      <c r="K4" s="75" t="s">
        <v>9165</v>
      </c>
      <c r="L4" s="75" t="s">
        <v>9166</v>
      </c>
      <c r="M4" s="76" t="s">
        <v>9169</v>
      </c>
    </row>
    <row r="5" spans="2:14" ht="24" x14ac:dyDescent="0.3">
      <c r="B5" s="21" t="s">
        <v>9</v>
      </c>
      <c r="C5" s="94" t="s">
        <v>1219</v>
      </c>
      <c r="D5" s="117"/>
      <c r="E5" s="96"/>
      <c r="G5" s="77">
        <f>COUNTIFS(tblMatriculas[Tipo de alerta],"*"&amp;G$4&amp;"*",tblMatriculas[Programa],IF($C$4="(Todos)","*",$C$4),tblMatriculas[Docente],IF($C$5="(Todos)","*",$C$5))</f>
        <v>7</v>
      </c>
      <c r="H5" s="78">
        <f>COUNTIFS(tblMatriculas[Tipo de alerta],"*"&amp;H$4&amp;"*",tblMatriculas[Programa],IF($C$4="(Todos)","*",$C$4),tblMatriculas[Docente],IF($C$5="(Todos)","*",$C$5))</f>
        <v>9</v>
      </c>
      <c r="I5" s="79">
        <f>COUNTIFS(tblMatriculas[Tipo de alerta],"*"&amp;I$4&amp;"*",tblMatriculas[Programa],IF($C$4="(Todos)","*",$C$4),tblMatriculas[Docente],IF($C$5="(Todos)","*",$C$5))</f>
        <v>7</v>
      </c>
      <c r="J5" s="80">
        <f>COUNTIFS(tblMatriculas[Tipo de alerta],"*"&amp;J$4&amp;"*",tblMatriculas[Programa],IF($C$4="(Todos)","*",$C$4),tblMatriculas[Docente],IF($C$5="(Todos)","*",$C$5))</f>
        <v>0</v>
      </c>
      <c r="K5" s="81">
        <f>COUNTIFS(tblMatriculas[Tipo de alerta],"*"&amp;K$4&amp;"*",tblMatriculas[Programa],IF($C$4="(Todos)","*",$C$4),tblMatriculas[Docente],IF($C$5="(Todos)","*",$C$5))</f>
        <v>0</v>
      </c>
      <c r="L5" s="81">
        <f>COUNTIFS(tblMatriculas[Tipo de alerta],"*"&amp;L$4&amp;"*",tblMatriculas[Programa],IF($C$4="(Todos)","*",$C$4),tblMatriculas[Docente],IF($C$5="(Todos)","*",$C$5))</f>
        <v>0</v>
      </c>
      <c r="M5" s="82" cm="1">
        <f t="array" ref="M5">IFERROR(ROWS(_xlfn.UNIQUE(_xlfn._xlws.FILTER(tblMatriculas[Cédula],(tblMatriculas[Tipo de alerta]&lt;&gt;"")*IF($C$4="(Todos)",1,tblMatriculas[Programa]=$C$4)*IF($C$5="(Todos)",1,tblMatriculas[Docente]=$C$5)))),0)</f>
        <v>23</v>
      </c>
    </row>
    <row r="6" spans="2:14" x14ac:dyDescent="0.2">
      <c r="B6" s="21" t="s">
        <v>9115</v>
      </c>
      <c r="C6" s="94" t="s">
        <v>9125</v>
      </c>
      <c r="D6" s="95"/>
      <c r="E6" s="96"/>
      <c r="G6" s="83" t="s">
        <v>9170</v>
      </c>
    </row>
    <row r="8" spans="2:14" x14ac:dyDescent="0.2">
      <c r="B8" s="20" t="str" cm="1">
        <f t="array" ref="B8">"LISTADO DE ALERTAS — "&amp;IFERROR(ROWS(_xlfn._xlws.FILTER(B10:B3000,B10:B3000&lt;&gt;"")),0)&amp;" registros"</f>
        <v>LISTADO DE ALERTAS — 23 registros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2:14" ht="30" customHeight="1" x14ac:dyDescent="0.2">
      <c r="B9" s="32" t="s">
        <v>9171</v>
      </c>
      <c r="C9" s="32" t="s">
        <v>9092</v>
      </c>
      <c r="D9" s="32" t="s">
        <v>0</v>
      </c>
      <c r="E9" s="32" t="s">
        <v>3</v>
      </c>
      <c r="F9" s="32" t="s">
        <v>9</v>
      </c>
      <c r="G9" s="32" t="s">
        <v>9102</v>
      </c>
      <c r="H9" s="32" t="s">
        <v>9100</v>
      </c>
      <c r="I9" s="32" t="s">
        <v>9172</v>
      </c>
      <c r="J9" s="32" t="s">
        <v>9113</v>
      </c>
      <c r="K9" s="32" t="s">
        <v>9111</v>
      </c>
      <c r="L9" s="32" t="s">
        <v>9112</v>
      </c>
      <c r="M9" s="32" t="s">
        <v>9115</v>
      </c>
      <c r="N9" s="32" t="s">
        <v>9158</v>
      </c>
    </row>
    <row r="10" spans="2:14" x14ac:dyDescent="0.2">
      <c r="B10" s="36" cm="1">
        <f t="array" ref="B10:N32">_xlfn.LET(_xlpm.k,(tblMatriculas[Tipo de alerta]&lt;&gt;"")*IF($C$4="(Todos)",1,tblMatriculas[Programa]=$C$4)*IF($C$5="(Todos)",1,tblMatriculas[Docente]=$C$5)*IF($C$6="(Todos)",1,ISNUMBER(SEARCH($C$6,tblMatriculas[Tipo de alerta]))),_xlpm.d,_xlfn.HSTACK(tblMatriculas[Prioridad],tblMatriculas[Nombre],tblMatriculas[Cédula],tblMatriculas[Código],tblMatriculas[Docente],tblMatriculas[% asistencia],tblMatriculas[Asistidas],tblMatriculas[Inasistencias],tblMatriculas[Faltas consecutivas],tblMatriculas[Última asistencia],tblMatriculas[Última inasistencia],tblMatriculas[Tipo de alerta],_xlfn.XLOOKUP(tblMatriculas[Nivel],tblNiveles[Nivel],tblNiveles[Acción sugerida],"Verificar el registro de asistencia con el docente")),_xlpm.r,_xlfn._xlws.FILTER(_xlpm.d,_xlpm.k,"Sin alertas con estos filtros"),IFERROR(_xlfn.SORTBY(_xlpm.r,_xlfn.CHOOSECOLS(_xlpm.r,1),1,_xlfn.CHOOSECOLS(_xlpm.r,6),1,_xlfn.CHOOSECOLS(_xlpm.r,8),-1),_xlpm.r))</f>
        <v>1</v>
      </c>
      <c r="C10" t="str">
        <v>BRAYAN ALEXIS ADRADA ZAPATA</v>
      </c>
      <c r="D10" t="str">
        <v>1017255853</v>
      </c>
      <c r="E10" t="str">
        <v>WEB-03</v>
      </c>
      <c r="F10" t="str">
        <v>Brahiam Acosta</v>
      </c>
      <c r="G10" s="63">
        <v>0</v>
      </c>
      <c r="H10" s="33">
        <v>0</v>
      </c>
      <c r="I10" s="33">
        <v>6</v>
      </c>
      <c r="J10" s="33" t="str">
        <v/>
      </c>
      <c r="K10" s="37" t="str">
        <v/>
      </c>
      <c r="L10" s="37" t="str">
        <v/>
      </c>
      <c r="M10" t="str">
        <v>🔴 CRÍTICO</v>
      </c>
      <c r="N10" t="str">
        <v>Contactar al estudiante esta semana y notificar a coordinación</v>
      </c>
    </row>
    <row r="11" spans="2:14" x14ac:dyDescent="0.2">
      <c r="B11" s="36">
        <v>1</v>
      </c>
      <c r="C11" t="str">
        <v>DAHIANA ANDREA BUSTAMANTE JARAMILLO</v>
      </c>
      <c r="D11" t="str">
        <v>1000396193</v>
      </c>
      <c r="E11" t="str">
        <v>WEB-03</v>
      </c>
      <c r="F11" t="str">
        <v>Brahiam Acosta</v>
      </c>
      <c r="G11" s="63">
        <v>0</v>
      </c>
      <c r="H11" s="33">
        <v>0</v>
      </c>
      <c r="I11" s="33">
        <v>6</v>
      </c>
      <c r="J11" s="33" t="str">
        <v/>
      </c>
      <c r="K11" s="37" t="str">
        <v/>
      </c>
      <c r="L11" s="37" t="str">
        <v/>
      </c>
      <c r="M11" t="str">
        <v>🔴 CRÍTICO</v>
      </c>
      <c r="N11" t="str">
        <v>Contactar al estudiante esta semana y notificar a coordinación</v>
      </c>
    </row>
    <row r="12" spans="2:14" x14ac:dyDescent="0.2">
      <c r="B12" s="36">
        <v>1</v>
      </c>
      <c r="C12" t="str">
        <v>WILLIAM JOSÉ SAAVEDRA RUEDA</v>
      </c>
      <c r="D12" t="str">
        <v>71749282</v>
      </c>
      <c r="E12" t="str">
        <v>WEB-03</v>
      </c>
      <c r="F12" t="str">
        <v>Brahiam Acosta</v>
      </c>
      <c r="G12" s="63">
        <v>0</v>
      </c>
      <c r="H12" s="33">
        <v>0</v>
      </c>
      <c r="I12" s="33">
        <v>6</v>
      </c>
      <c r="J12" s="33" t="str">
        <v/>
      </c>
      <c r="K12" s="37" t="str">
        <v/>
      </c>
      <c r="L12" s="37" t="str">
        <v/>
      </c>
      <c r="M12" t="str">
        <v>🔴 CRÍTICO</v>
      </c>
      <c r="N12" t="str">
        <v>Contactar al estudiante esta semana y notificar a coordinación</v>
      </c>
    </row>
    <row r="13" spans="2:14" x14ac:dyDescent="0.2">
      <c r="B13" s="36">
        <v>1</v>
      </c>
      <c r="C13" t="str">
        <v>DANIEL  ATEHORTUA</v>
      </c>
      <c r="D13" t="str">
        <v>1152693525</v>
      </c>
      <c r="E13" t="str">
        <v>WEB-03</v>
      </c>
      <c r="F13" t="str">
        <v>Brahiam Acosta</v>
      </c>
      <c r="G13" s="63">
        <v>0</v>
      </c>
      <c r="H13" s="33">
        <v>0</v>
      </c>
      <c r="I13" s="33">
        <v>6</v>
      </c>
      <c r="J13" s="33" t="str">
        <v/>
      </c>
      <c r="K13" s="37" t="str">
        <v/>
      </c>
      <c r="L13" s="37" t="str">
        <v/>
      </c>
      <c r="M13" t="str">
        <v>🔴 CRÍTICO</v>
      </c>
      <c r="N13" t="str">
        <v>Contactar al estudiante esta semana y notificar a coordinación</v>
      </c>
    </row>
    <row r="14" spans="2:14" x14ac:dyDescent="0.2">
      <c r="B14" s="36">
        <v>1</v>
      </c>
      <c r="C14" t="str">
        <v>MANUEL ENRIQUE MERA MERA</v>
      </c>
      <c r="D14" t="str">
        <v>1095301447</v>
      </c>
      <c r="E14" t="str">
        <v>WEB-03</v>
      </c>
      <c r="F14" t="str">
        <v>Brahiam Acosta</v>
      </c>
      <c r="G14" s="63">
        <v>0</v>
      </c>
      <c r="H14" s="33">
        <v>0</v>
      </c>
      <c r="I14" s="33">
        <v>6</v>
      </c>
      <c r="J14" s="33" t="str">
        <v/>
      </c>
      <c r="K14" s="37" t="str">
        <v/>
      </c>
      <c r="L14" s="37" t="str">
        <v/>
      </c>
      <c r="M14" t="str">
        <v>🔴 CRÍTICO</v>
      </c>
      <c r="N14" t="str">
        <v>Contactar al estudiante esta semana y notificar a coordinación</v>
      </c>
    </row>
    <row r="15" spans="2:14" x14ac:dyDescent="0.2">
      <c r="B15" s="36">
        <v>1</v>
      </c>
      <c r="C15" t="str">
        <v>CANDY MARCELA HENAO SALDARRIAG</v>
      </c>
      <c r="D15" t="str">
        <v>1214715390</v>
      </c>
      <c r="E15" t="str">
        <v>WEB-05</v>
      </c>
      <c r="F15" t="str">
        <v>Brahiam Acosta</v>
      </c>
      <c r="G15" s="63">
        <v>0</v>
      </c>
      <c r="H15" s="33">
        <v>0</v>
      </c>
      <c r="I15" s="33">
        <v>6</v>
      </c>
      <c r="J15" s="33" t="str">
        <v/>
      </c>
      <c r="K15" s="37" t="str">
        <v/>
      </c>
      <c r="L15" s="37" t="str">
        <v/>
      </c>
      <c r="M15" t="str">
        <v>🔴 CRÍTICO</v>
      </c>
      <c r="N15" t="str">
        <v>Contactar al estudiante esta semana y notificar a coordinación</v>
      </c>
    </row>
    <row r="16" spans="2:14" x14ac:dyDescent="0.2">
      <c r="B16" s="36">
        <v>1</v>
      </c>
      <c r="C16" t="str">
        <v>LUISA FERNANDA VELEZ CARDENAS</v>
      </c>
      <c r="D16" t="str">
        <v>1234991826</v>
      </c>
      <c r="E16" t="str">
        <v>WEB-05</v>
      </c>
      <c r="F16" t="str">
        <v>Brahiam Acosta</v>
      </c>
      <c r="G16" s="63">
        <v>0</v>
      </c>
      <c r="H16" s="33">
        <v>0</v>
      </c>
      <c r="I16" s="33">
        <v>6</v>
      </c>
      <c r="J16" s="33" t="str">
        <v/>
      </c>
      <c r="K16" s="37" t="str">
        <v/>
      </c>
      <c r="L16" s="37" t="str">
        <v/>
      </c>
      <c r="M16" t="str">
        <v>🔴 CRÍTICO</v>
      </c>
      <c r="N16" t="str">
        <v>Contactar al estudiante esta semana y notificar a coordinación</v>
      </c>
    </row>
    <row r="17" spans="2:14" x14ac:dyDescent="0.2">
      <c r="B17" s="36">
        <v>2</v>
      </c>
      <c r="C17" t="str">
        <v>DIEGO ALEXANDER SAENZ BOTERO</v>
      </c>
      <c r="D17" t="str">
        <v>1036934179</v>
      </c>
      <c r="E17" t="str">
        <v>WEB-03</v>
      </c>
      <c r="F17" t="str">
        <v>Brahiam Acosta</v>
      </c>
      <c r="G17" s="63">
        <v>3.3000000000000002E-2</v>
      </c>
      <c r="H17" s="33">
        <v>1</v>
      </c>
      <c r="I17" s="33">
        <v>5</v>
      </c>
      <c r="J17" s="33" t="str">
        <v/>
      </c>
      <c r="K17" s="37" t="str">
        <v/>
      </c>
      <c r="L17" s="37" t="str">
        <v/>
      </c>
      <c r="M17" t="str">
        <v>🟠 ALERTA</v>
      </c>
      <c r="N17" t="str">
        <v>Contactar al estudiante y acordar compromiso de asistencia</v>
      </c>
    </row>
    <row r="18" spans="2:14" x14ac:dyDescent="0.2">
      <c r="B18" s="36">
        <v>2</v>
      </c>
      <c r="C18" t="str">
        <v>ADIMARO  MONTOYA TORO</v>
      </c>
      <c r="D18" t="str">
        <v>71268332</v>
      </c>
      <c r="E18" t="str">
        <v>WEB-05</v>
      </c>
      <c r="F18" t="str">
        <v>Brahiam Acosta</v>
      </c>
      <c r="G18" s="63">
        <v>3.3000000000000002E-2</v>
      </c>
      <c r="H18" s="33">
        <v>1</v>
      </c>
      <c r="I18" s="33">
        <v>5</v>
      </c>
      <c r="J18" s="33" t="str">
        <v/>
      </c>
      <c r="K18" s="37" t="str">
        <v/>
      </c>
      <c r="L18" s="37" t="str">
        <v/>
      </c>
      <c r="M18" t="str">
        <v>🟠 ALERTA</v>
      </c>
      <c r="N18" t="str">
        <v>Contactar al estudiante y acordar compromiso de asistencia</v>
      </c>
    </row>
    <row r="19" spans="2:14" x14ac:dyDescent="0.2">
      <c r="B19" s="36">
        <v>2</v>
      </c>
      <c r="C19" t="str">
        <v>ANGIE MARISELA GARCÍA RÍOS</v>
      </c>
      <c r="D19" t="str">
        <v>1001132520</v>
      </c>
      <c r="E19" t="str">
        <v>WEB-05</v>
      </c>
      <c r="F19" t="str">
        <v>Brahiam Acosta</v>
      </c>
      <c r="G19" s="63">
        <v>3.3000000000000002E-2</v>
      </c>
      <c r="H19" s="33">
        <v>1</v>
      </c>
      <c r="I19" s="33">
        <v>5</v>
      </c>
      <c r="J19" s="33" t="str">
        <v/>
      </c>
      <c r="K19" s="37" t="str">
        <v/>
      </c>
      <c r="L19" s="37" t="str">
        <v/>
      </c>
      <c r="M19" t="str">
        <v>🟠 ALERTA</v>
      </c>
      <c r="N19" t="str">
        <v>Contactar al estudiante y acordar compromiso de asistencia</v>
      </c>
    </row>
    <row r="20" spans="2:14" x14ac:dyDescent="0.2">
      <c r="B20" s="36">
        <v>2</v>
      </c>
      <c r="C20" t="str">
        <v>CRISTIAN  ALVAREZ CIRO</v>
      </c>
      <c r="D20" t="str">
        <v>1152205239</v>
      </c>
      <c r="E20" t="str">
        <v>WEB-05</v>
      </c>
      <c r="F20" t="str">
        <v>Brahiam Acosta</v>
      </c>
      <c r="G20" s="63">
        <v>3.3000000000000002E-2</v>
      </c>
      <c r="H20" s="33">
        <v>1</v>
      </c>
      <c r="I20" s="33">
        <v>5</v>
      </c>
      <c r="J20" s="33" t="str">
        <v/>
      </c>
      <c r="K20" s="37" t="str">
        <v/>
      </c>
      <c r="L20" s="37" t="str">
        <v/>
      </c>
      <c r="M20" t="str">
        <v>🟠 ALERTA</v>
      </c>
      <c r="N20" t="str">
        <v>Contactar al estudiante y acordar compromiso de asistencia</v>
      </c>
    </row>
    <row r="21" spans="2:14" x14ac:dyDescent="0.2">
      <c r="B21" s="36">
        <v>2</v>
      </c>
      <c r="C21" t="str">
        <v>DANIEL EST DANIEL EST SANCHEZ MANCO</v>
      </c>
      <c r="D21" t="str">
        <v>1000305751</v>
      </c>
      <c r="E21" t="str">
        <v>WEB-02</v>
      </c>
      <c r="F21" t="str">
        <v>Brahiam Acosta</v>
      </c>
      <c r="G21" s="63">
        <v>3.3000000000000002E-2</v>
      </c>
      <c r="H21" s="33">
        <v>1</v>
      </c>
      <c r="I21" s="33">
        <v>4</v>
      </c>
      <c r="J21" s="33" t="str">
        <v/>
      </c>
      <c r="K21" s="37" t="str">
        <v/>
      </c>
      <c r="L21" s="37" t="str">
        <v/>
      </c>
      <c r="M21" t="str">
        <v>🟠 ALERTA</v>
      </c>
      <c r="N21" t="str">
        <v>Contactar al estudiante y acordar compromiso de asistencia</v>
      </c>
    </row>
    <row r="22" spans="2:14" x14ac:dyDescent="0.2">
      <c r="B22" s="36">
        <v>2</v>
      </c>
      <c r="C22" t="str">
        <v>JACOB  SUAREZ MUÑOZ</v>
      </c>
      <c r="D22" t="str">
        <v>1033178602</v>
      </c>
      <c r="E22" t="str">
        <v>WEB-02</v>
      </c>
      <c r="F22" t="str">
        <v>Brahiam Acosta</v>
      </c>
      <c r="G22" s="63">
        <v>3.3000000000000002E-2</v>
      </c>
      <c r="H22" s="33">
        <v>1</v>
      </c>
      <c r="I22" s="33">
        <v>4</v>
      </c>
      <c r="J22" s="33" t="str">
        <v/>
      </c>
      <c r="K22" s="37" t="str">
        <v/>
      </c>
      <c r="L22" s="37" t="str">
        <v/>
      </c>
      <c r="M22" t="str">
        <v>🟠 ALERTA</v>
      </c>
      <c r="N22" t="str">
        <v>Contactar al estudiante y acordar compromiso de asistencia</v>
      </c>
    </row>
    <row r="23" spans="2:14" x14ac:dyDescent="0.2">
      <c r="B23" s="36">
        <v>2</v>
      </c>
      <c r="C23" t="str">
        <v>HECTOR JAIME ARDILA VELEZ</v>
      </c>
      <c r="D23" t="str">
        <v>1015278547</v>
      </c>
      <c r="E23" t="str">
        <v>WEB-02</v>
      </c>
      <c r="F23" t="str">
        <v>Brahiam Acosta</v>
      </c>
      <c r="G23" s="63">
        <v>3.3000000000000002E-2</v>
      </c>
      <c r="H23" s="33">
        <v>1</v>
      </c>
      <c r="I23" s="33">
        <v>4</v>
      </c>
      <c r="J23" s="33" t="str">
        <v/>
      </c>
      <c r="K23" s="37" t="str">
        <v/>
      </c>
      <c r="L23" s="37" t="str">
        <v/>
      </c>
      <c r="M23" t="str">
        <v>🟠 ALERTA</v>
      </c>
      <c r="N23" t="str">
        <v>Contactar al estudiante y acordar compromiso de asistencia</v>
      </c>
    </row>
    <row r="24" spans="2:14" x14ac:dyDescent="0.2">
      <c r="B24" s="36">
        <v>2</v>
      </c>
      <c r="C24" t="str">
        <v>DERLINSON STIVEN PRIETO CAÑOLA</v>
      </c>
      <c r="D24" t="str">
        <v>1128400947</v>
      </c>
      <c r="E24" t="str">
        <v>WEB-02</v>
      </c>
      <c r="F24" t="str">
        <v>Brahiam Acosta</v>
      </c>
      <c r="G24" s="63">
        <v>3.3000000000000002E-2</v>
      </c>
      <c r="H24" s="33">
        <v>1</v>
      </c>
      <c r="I24" s="33">
        <v>4</v>
      </c>
      <c r="J24" s="33" t="str">
        <v/>
      </c>
      <c r="K24" s="37" t="str">
        <v/>
      </c>
      <c r="L24" s="37" t="str">
        <v/>
      </c>
      <c r="M24" t="str">
        <v>🟠 ALERTA</v>
      </c>
      <c r="N24" t="str">
        <v>Contactar al estudiante y acordar compromiso de asistencia</v>
      </c>
    </row>
    <row r="25" spans="2:14" x14ac:dyDescent="0.2">
      <c r="B25" s="36">
        <v>2</v>
      </c>
      <c r="C25" t="str">
        <v>JERSON ESTEBAN ARDILA MOLINA</v>
      </c>
      <c r="D25" t="str">
        <v>1020495187</v>
      </c>
      <c r="E25" t="str">
        <v>WEB-02</v>
      </c>
      <c r="F25" t="str">
        <v>Brahiam Acosta</v>
      </c>
      <c r="G25" s="63">
        <v>3.3000000000000002E-2</v>
      </c>
      <c r="H25" s="33">
        <v>1</v>
      </c>
      <c r="I25" s="33">
        <v>4</v>
      </c>
      <c r="J25" s="33" t="str">
        <v/>
      </c>
      <c r="K25" s="37" t="str">
        <v/>
      </c>
      <c r="L25" s="37" t="str">
        <v/>
      </c>
      <c r="M25" t="str">
        <v>🟠 ALERTA</v>
      </c>
      <c r="N25" t="str">
        <v>Contactar al estudiante y acordar compromiso de asistencia</v>
      </c>
    </row>
    <row r="26" spans="2:14" x14ac:dyDescent="0.2">
      <c r="B26" s="36">
        <v>3</v>
      </c>
      <c r="C26" t="str">
        <v>EMMANUEL EMMANUEL SINITAVE PARRA</v>
      </c>
      <c r="D26" t="str">
        <v>1023627211</v>
      </c>
      <c r="E26" t="str">
        <v>WEB-03</v>
      </c>
      <c r="F26" t="str">
        <v>Brahiam Acosta</v>
      </c>
      <c r="G26" s="63">
        <v>0.04</v>
      </c>
      <c r="H26" s="33">
        <v>3</v>
      </c>
      <c r="I26" s="33">
        <v>10</v>
      </c>
      <c r="J26" s="33" t="str">
        <v/>
      </c>
      <c r="K26" s="37" t="str">
        <v/>
      </c>
      <c r="L26" s="37" t="str">
        <v/>
      </c>
      <c r="M26" t="str">
        <v>🟡 SEGUIMIENTO</v>
      </c>
      <c r="N26" t="str">
        <v>Monitorear en las próximas clases; recordatorio al estudiante</v>
      </c>
    </row>
    <row r="27" spans="2:14" x14ac:dyDescent="0.2">
      <c r="B27" s="36">
        <v>3</v>
      </c>
      <c r="C27" t="str">
        <v>YOHNNIER  ROMAÑA CHAVERRA</v>
      </c>
      <c r="D27" t="str">
        <v>1148203620</v>
      </c>
      <c r="E27" t="str">
        <v>WEB-03</v>
      </c>
      <c r="F27" t="str">
        <v>Brahiam Acosta</v>
      </c>
      <c r="G27" s="63">
        <v>6.7000000000000004E-2</v>
      </c>
      <c r="H27" s="33">
        <v>2</v>
      </c>
      <c r="I27" s="33">
        <v>4</v>
      </c>
      <c r="J27" s="33" t="str">
        <v/>
      </c>
      <c r="K27" s="37" t="str">
        <v/>
      </c>
      <c r="L27" s="37" t="str">
        <v/>
      </c>
      <c r="M27" t="str">
        <v>🟡 SEGUIMIENTO</v>
      </c>
      <c r="N27" t="str">
        <v>Monitorear en las próximas clases; recordatorio al estudiante</v>
      </c>
    </row>
    <row r="28" spans="2:14" x14ac:dyDescent="0.2">
      <c r="B28" s="36">
        <v>3</v>
      </c>
      <c r="C28" t="str">
        <v>JONATHAN DARIO CANO BEDOYA</v>
      </c>
      <c r="D28" t="str">
        <v>1128427764</v>
      </c>
      <c r="E28" t="str">
        <v>WEB-03</v>
      </c>
      <c r="F28" t="str">
        <v>Brahiam Acosta</v>
      </c>
      <c r="G28" s="63">
        <v>6.7000000000000004E-2</v>
      </c>
      <c r="H28" s="33">
        <v>2</v>
      </c>
      <c r="I28" s="33">
        <v>4</v>
      </c>
      <c r="J28" s="33" t="str">
        <v/>
      </c>
      <c r="K28" s="37" t="str">
        <v/>
      </c>
      <c r="L28" s="37" t="str">
        <v/>
      </c>
      <c r="M28" t="str">
        <v>🟡 SEGUIMIENTO</v>
      </c>
      <c r="N28" t="str">
        <v>Monitorear en las próximas clases; recordatorio al estudiante</v>
      </c>
    </row>
    <row r="29" spans="2:14" x14ac:dyDescent="0.2">
      <c r="B29" s="36">
        <v>3</v>
      </c>
      <c r="C29" t="str">
        <v>VALERIA VALERIA SANCHEZ VANEGAS</v>
      </c>
      <c r="D29" t="str">
        <v>1025881595</v>
      </c>
      <c r="E29" t="str">
        <v>WEB-03</v>
      </c>
      <c r="F29" t="str">
        <v>Brahiam Acosta</v>
      </c>
      <c r="G29" s="63">
        <v>6.7000000000000004E-2</v>
      </c>
      <c r="H29" s="33">
        <v>2</v>
      </c>
      <c r="I29" s="33">
        <v>4</v>
      </c>
      <c r="J29" s="33" t="str">
        <v/>
      </c>
      <c r="K29" s="37" t="str">
        <v/>
      </c>
      <c r="L29" s="37" t="str">
        <v/>
      </c>
      <c r="M29" t="str">
        <v>🟡 SEGUIMIENTO</v>
      </c>
      <c r="N29" t="str">
        <v>Monitorear en las próximas clases; recordatorio al estudiante</v>
      </c>
    </row>
    <row r="30" spans="2:14" x14ac:dyDescent="0.2">
      <c r="B30" s="36">
        <v>3</v>
      </c>
      <c r="C30" t="str">
        <v>DAVID DAVID SALDARRIAG CUARTAS</v>
      </c>
      <c r="D30" t="str">
        <v>1001361255</v>
      </c>
      <c r="E30" t="str">
        <v>WEB-03</v>
      </c>
      <c r="F30" t="str">
        <v>Brahiam Acosta</v>
      </c>
      <c r="G30" s="63">
        <v>6.7000000000000004E-2</v>
      </c>
      <c r="H30" s="33">
        <v>2</v>
      </c>
      <c r="I30" s="33">
        <v>4</v>
      </c>
      <c r="J30" s="33" t="str">
        <v/>
      </c>
      <c r="K30" s="37" t="str">
        <v/>
      </c>
      <c r="L30" s="37" t="str">
        <v/>
      </c>
      <c r="M30" t="str">
        <v>🟡 SEGUIMIENTO</v>
      </c>
      <c r="N30" t="str">
        <v>Monitorear en las próximas clases; recordatorio al estudiante</v>
      </c>
    </row>
    <row r="31" spans="2:14" x14ac:dyDescent="0.2">
      <c r="B31" s="36">
        <v>3</v>
      </c>
      <c r="C31" t="str">
        <v>ANDREA  MIRANDA LOPEZ</v>
      </c>
      <c r="D31" t="str">
        <v>1078577787</v>
      </c>
      <c r="E31" t="str">
        <v>WEB-05</v>
      </c>
      <c r="F31" t="str">
        <v>Brahiam Acosta</v>
      </c>
      <c r="G31" s="63">
        <v>6.7000000000000004E-2</v>
      </c>
      <c r="H31" s="33">
        <v>2</v>
      </c>
      <c r="I31" s="33">
        <v>4</v>
      </c>
      <c r="J31" s="33" t="str">
        <v/>
      </c>
      <c r="K31" s="37" t="str">
        <v/>
      </c>
      <c r="L31" s="37" t="str">
        <v/>
      </c>
      <c r="M31" t="str">
        <v>🟡 SEGUIMIENTO</v>
      </c>
      <c r="N31" t="str">
        <v>Monitorear en las próximas clases; recordatorio al estudiante</v>
      </c>
    </row>
    <row r="32" spans="2:14" x14ac:dyDescent="0.2">
      <c r="B32" s="36">
        <v>3</v>
      </c>
      <c r="C32" t="str">
        <v>MIGUEL ANGEL IGLESIAS MESA</v>
      </c>
      <c r="D32" t="str">
        <v>1034921959</v>
      </c>
      <c r="E32" t="str">
        <v>WEB-05</v>
      </c>
      <c r="F32" t="str">
        <v>Brahiam Acosta</v>
      </c>
      <c r="G32" s="63">
        <v>6.7000000000000004E-2</v>
      </c>
      <c r="H32" s="33">
        <v>2</v>
      </c>
      <c r="I32" s="33">
        <v>4</v>
      </c>
      <c r="J32" s="33" t="str">
        <v/>
      </c>
      <c r="K32" s="37" t="str">
        <v/>
      </c>
      <c r="L32" s="37" t="str">
        <v/>
      </c>
      <c r="M32" t="str">
        <v>🟡 SEGUIMIENTO</v>
      </c>
      <c r="N32" t="str">
        <v>Monitorear en las próximas clases; recordatorio al estudiante</v>
      </c>
    </row>
    <row r="33" spans="2:12" x14ac:dyDescent="0.2">
      <c r="B33" s="36"/>
      <c r="G33" s="63"/>
      <c r="H33" s="33"/>
      <c r="I33" s="33"/>
      <c r="J33" s="33"/>
      <c r="K33" s="37"/>
      <c r="L33" s="37"/>
    </row>
    <row r="34" spans="2:12" x14ac:dyDescent="0.2">
      <c r="B34" s="36"/>
      <c r="G34" s="63"/>
      <c r="H34" s="33"/>
      <c r="I34" s="33"/>
      <c r="J34" s="33"/>
      <c r="K34" s="37"/>
      <c r="L34" s="37"/>
    </row>
    <row r="35" spans="2:12" x14ac:dyDescent="0.2">
      <c r="B35" s="36"/>
      <c r="G35" s="63"/>
      <c r="H35" s="33"/>
      <c r="I35" s="33"/>
      <c r="J35" s="33"/>
      <c r="K35" s="37"/>
      <c r="L35" s="37"/>
    </row>
    <row r="36" spans="2:12" x14ac:dyDescent="0.2">
      <c r="B36" s="36"/>
      <c r="G36" s="63"/>
      <c r="H36" s="33"/>
      <c r="I36" s="33"/>
      <c r="J36" s="33"/>
      <c r="K36" s="37"/>
      <c r="L36" s="37"/>
    </row>
    <row r="37" spans="2:12" x14ac:dyDescent="0.2">
      <c r="B37" s="36"/>
      <c r="G37" s="63"/>
      <c r="H37" s="33"/>
      <c r="I37" s="33"/>
      <c r="J37" s="33"/>
      <c r="K37" s="37"/>
      <c r="L37" s="37"/>
    </row>
    <row r="38" spans="2:12" x14ac:dyDescent="0.2">
      <c r="B38" s="36"/>
      <c r="G38" s="63"/>
      <c r="H38" s="33"/>
      <c r="I38" s="33"/>
      <c r="J38" s="33"/>
      <c r="K38" s="37"/>
      <c r="L38" s="37"/>
    </row>
    <row r="39" spans="2:12" x14ac:dyDescent="0.2">
      <c r="B39" s="36"/>
      <c r="G39" s="63"/>
      <c r="H39" s="33"/>
      <c r="I39" s="33"/>
      <c r="J39" s="33"/>
      <c r="K39" s="37"/>
      <c r="L39" s="37"/>
    </row>
    <row r="40" spans="2:12" x14ac:dyDescent="0.2">
      <c r="B40" s="36"/>
      <c r="G40" s="63"/>
      <c r="H40" s="33"/>
      <c r="I40" s="33"/>
      <c r="J40" s="33"/>
      <c r="K40" s="37"/>
      <c r="L40" s="37"/>
    </row>
    <row r="41" spans="2:12" x14ac:dyDescent="0.2">
      <c r="B41" s="36"/>
      <c r="G41" s="63"/>
      <c r="H41" s="33"/>
      <c r="I41" s="33"/>
      <c r="J41" s="33"/>
      <c r="K41" s="37"/>
      <c r="L41" s="37"/>
    </row>
    <row r="42" spans="2:12" x14ac:dyDescent="0.2">
      <c r="B42" s="36"/>
      <c r="G42" s="63"/>
      <c r="H42" s="33"/>
      <c r="I42" s="33"/>
      <c r="J42" s="33"/>
      <c r="K42" s="37"/>
      <c r="L42" s="37"/>
    </row>
    <row r="43" spans="2:12" x14ac:dyDescent="0.2">
      <c r="B43" s="36"/>
      <c r="G43" s="63"/>
      <c r="H43" s="33"/>
      <c r="I43" s="33"/>
      <c r="J43" s="33"/>
      <c r="K43" s="37"/>
      <c r="L43" s="37"/>
    </row>
    <row r="44" spans="2:12" x14ac:dyDescent="0.2">
      <c r="B44" s="36"/>
      <c r="G44" s="63"/>
      <c r="H44" s="33"/>
      <c r="I44" s="33"/>
      <c r="J44" s="33"/>
      <c r="K44" s="37"/>
      <c r="L44" s="37"/>
    </row>
    <row r="45" spans="2:12" x14ac:dyDescent="0.2">
      <c r="B45" s="36"/>
      <c r="G45" s="63"/>
      <c r="H45" s="33"/>
      <c r="I45" s="33"/>
      <c r="J45" s="33"/>
      <c r="K45" s="37"/>
      <c r="L45" s="37"/>
    </row>
    <row r="46" spans="2:12" x14ac:dyDescent="0.2">
      <c r="B46" s="36"/>
      <c r="G46" s="63"/>
      <c r="H46" s="33"/>
      <c r="I46" s="33"/>
      <c r="J46" s="33"/>
      <c r="K46" s="37"/>
      <c r="L46" s="37"/>
    </row>
    <row r="47" spans="2:12" x14ac:dyDescent="0.2">
      <c r="B47" s="36"/>
      <c r="G47" s="63"/>
      <c r="H47" s="33"/>
      <c r="I47" s="33"/>
      <c r="J47" s="33"/>
      <c r="K47" s="37"/>
      <c r="L47" s="37"/>
    </row>
    <row r="48" spans="2:12" x14ac:dyDescent="0.2">
      <c r="B48" s="36"/>
      <c r="G48" s="63"/>
      <c r="H48" s="33"/>
      <c r="I48" s="33"/>
      <c r="J48" s="33"/>
      <c r="K48" s="37"/>
      <c r="L48" s="37"/>
    </row>
    <row r="49" spans="2:12" x14ac:dyDescent="0.2">
      <c r="B49" s="36"/>
      <c r="G49" s="63"/>
      <c r="H49" s="33"/>
      <c r="I49" s="33"/>
      <c r="J49" s="33"/>
      <c r="K49" s="37"/>
      <c r="L49" s="37"/>
    </row>
    <row r="50" spans="2:12" x14ac:dyDescent="0.2">
      <c r="B50" s="36"/>
      <c r="G50" s="63"/>
      <c r="H50" s="33"/>
      <c r="I50" s="33"/>
      <c r="J50" s="33"/>
      <c r="K50" s="37"/>
      <c r="L50" s="37"/>
    </row>
    <row r="51" spans="2:12" x14ac:dyDescent="0.2">
      <c r="B51" s="36"/>
      <c r="G51" s="63"/>
      <c r="H51" s="33"/>
      <c r="I51" s="33"/>
      <c r="J51" s="33"/>
      <c r="K51" s="37"/>
      <c r="L51" s="37"/>
    </row>
    <row r="52" spans="2:12" x14ac:dyDescent="0.2">
      <c r="B52" s="36"/>
      <c r="G52" s="63"/>
      <c r="H52" s="33"/>
      <c r="I52" s="33"/>
      <c r="J52" s="33"/>
      <c r="K52" s="37"/>
      <c r="L52" s="37"/>
    </row>
    <row r="53" spans="2:12" x14ac:dyDescent="0.2">
      <c r="B53" s="36"/>
      <c r="G53" s="63"/>
      <c r="H53" s="33"/>
      <c r="I53" s="33"/>
      <c r="J53" s="33"/>
      <c r="K53" s="37"/>
      <c r="L53" s="37"/>
    </row>
    <row r="54" spans="2:12" x14ac:dyDescent="0.2">
      <c r="B54" s="36"/>
      <c r="G54" s="63"/>
      <c r="H54" s="33"/>
      <c r="I54" s="33"/>
      <c r="J54" s="33"/>
      <c r="K54" s="37"/>
      <c r="L54" s="37"/>
    </row>
    <row r="55" spans="2:12" x14ac:dyDescent="0.2">
      <c r="B55" s="36"/>
      <c r="G55" s="63"/>
      <c r="H55" s="33"/>
      <c r="I55" s="33"/>
      <c r="J55" s="33"/>
      <c r="K55" s="37"/>
      <c r="L55" s="37"/>
    </row>
    <row r="56" spans="2:12" x14ac:dyDescent="0.2">
      <c r="B56" s="36"/>
      <c r="G56" s="63"/>
      <c r="H56" s="33"/>
      <c r="I56" s="33"/>
      <c r="J56" s="33"/>
      <c r="K56" s="37"/>
      <c r="L56" s="37"/>
    </row>
    <row r="57" spans="2:12" x14ac:dyDescent="0.2">
      <c r="B57" s="36"/>
      <c r="G57" s="63"/>
      <c r="H57" s="33"/>
      <c r="I57" s="33"/>
      <c r="J57" s="33"/>
      <c r="K57" s="37"/>
      <c r="L57" s="37"/>
    </row>
    <row r="58" spans="2:12" x14ac:dyDescent="0.2">
      <c r="B58" s="36"/>
      <c r="G58" s="63"/>
      <c r="H58" s="33"/>
      <c r="I58" s="33"/>
      <c r="J58" s="33"/>
      <c r="K58" s="37"/>
      <c r="L58" s="37"/>
    </row>
    <row r="59" spans="2:12" x14ac:dyDescent="0.2">
      <c r="B59" s="36"/>
      <c r="G59" s="63"/>
      <c r="H59" s="33"/>
      <c r="I59" s="33"/>
      <c r="J59" s="33"/>
      <c r="K59" s="37"/>
      <c r="L59" s="37"/>
    </row>
    <row r="60" spans="2:12" x14ac:dyDescent="0.2">
      <c r="B60" s="36"/>
      <c r="G60" s="63"/>
      <c r="H60" s="33"/>
      <c r="I60" s="33"/>
      <c r="J60" s="33"/>
      <c r="K60" s="37"/>
      <c r="L60" s="37"/>
    </row>
    <row r="61" spans="2:12" x14ac:dyDescent="0.2">
      <c r="B61" s="36"/>
      <c r="G61" s="63"/>
      <c r="H61" s="33"/>
      <c r="I61" s="33"/>
      <c r="J61" s="33"/>
      <c r="K61" s="37"/>
      <c r="L61" s="37"/>
    </row>
    <row r="62" spans="2:12" x14ac:dyDescent="0.2">
      <c r="B62" s="36"/>
      <c r="G62" s="63"/>
      <c r="H62" s="33"/>
      <c r="I62" s="33"/>
      <c r="J62" s="33"/>
      <c r="K62" s="37"/>
      <c r="L62" s="37"/>
    </row>
    <row r="63" spans="2:12" x14ac:dyDescent="0.2">
      <c r="B63" s="36"/>
      <c r="G63" s="63"/>
      <c r="H63" s="33"/>
      <c r="I63" s="33"/>
      <c r="J63" s="33"/>
      <c r="K63" s="37"/>
      <c r="L63" s="37"/>
    </row>
    <row r="64" spans="2:12" x14ac:dyDescent="0.2">
      <c r="B64" s="36"/>
      <c r="G64" s="63"/>
      <c r="H64" s="33"/>
      <c r="I64" s="33"/>
      <c r="J64" s="33"/>
      <c r="K64" s="37"/>
      <c r="L64" s="37"/>
    </row>
    <row r="65" spans="2:12" x14ac:dyDescent="0.2">
      <c r="B65" s="36"/>
      <c r="G65" s="63"/>
      <c r="H65" s="33"/>
      <c r="I65" s="33"/>
      <c r="J65" s="33"/>
      <c r="K65" s="37"/>
      <c r="L65" s="37"/>
    </row>
    <row r="66" spans="2:12" x14ac:dyDescent="0.2">
      <c r="B66" s="36"/>
      <c r="G66" s="63"/>
      <c r="H66" s="33"/>
      <c r="I66" s="33"/>
      <c r="J66" s="33"/>
      <c r="K66" s="37"/>
      <c r="L66" s="37"/>
    </row>
    <row r="67" spans="2:12" x14ac:dyDescent="0.2">
      <c r="B67" s="36"/>
      <c r="G67" s="63"/>
      <c r="H67" s="33"/>
      <c r="I67" s="33"/>
      <c r="J67" s="33"/>
      <c r="K67" s="37"/>
      <c r="L67" s="37"/>
    </row>
    <row r="68" spans="2:12" x14ac:dyDescent="0.2">
      <c r="B68" s="36"/>
      <c r="G68" s="63"/>
      <c r="H68" s="33"/>
      <c r="I68" s="33"/>
      <c r="J68" s="33"/>
      <c r="K68" s="37"/>
      <c r="L68" s="37"/>
    </row>
    <row r="69" spans="2:12" x14ac:dyDescent="0.2">
      <c r="B69" s="36"/>
      <c r="G69" s="63"/>
      <c r="H69" s="33"/>
      <c r="I69" s="33"/>
      <c r="J69" s="33"/>
      <c r="K69" s="37"/>
      <c r="L69" s="37"/>
    </row>
    <row r="70" spans="2:12" x14ac:dyDescent="0.2">
      <c r="B70" s="36"/>
      <c r="G70" s="63"/>
      <c r="H70" s="33"/>
      <c r="I70" s="33"/>
      <c r="J70" s="33"/>
      <c r="K70" s="37"/>
      <c r="L70" s="37"/>
    </row>
    <row r="71" spans="2:12" x14ac:dyDescent="0.2">
      <c r="B71" s="36"/>
      <c r="G71" s="63"/>
      <c r="H71" s="33"/>
      <c r="I71" s="33"/>
      <c r="J71" s="33"/>
      <c r="K71" s="37"/>
      <c r="L71" s="37"/>
    </row>
    <row r="72" spans="2:12" x14ac:dyDescent="0.2">
      <c r="B72" s="36"/>
      <c r="G72" s="63"/>
      <c r="H72" s="33"/>
      <c r="I72" s="33"/>
      <c r="J72" s="33"/>
      <c r="K72" s="37"/>
      <c r="L72" s="37"/>
    </row>
    <row r="73" spans="2:12" x14ac:dyDescent="0.2">
      <c r="B73" s="36"/>
      <c r="G73" s="63"/>
      <c r="H73" s="33"/>
      <c r="I73" s="33"/>
      <c r="J73" s="33"/>
      <c r="K73" s="37"/>
      <c r="L73" s="37"/>
    </row>
    <row r="74" spans="2:12" x14ac:dyDescent="0.2">
      <c r="B74" s="36"/>
      <c r="G74" s="63"/>
      <c r="H74" s="33"/>
      <c r="I74" s="33"/>
      <c r="J74" s="33"/>
      <c r="K74" s="37"/>
      <c r="L74" s="37"/>
    </row>
    <row r="75" spans="2:12" x14ac:dyDescent="0.2">
      <c r="B75" s="36"/>
      <c r="G75" s="63"/>
      <c r="H75" s="33"/>
      <c r="I75" s="33"/>
      <c r="J75" s="33"/>
      <c r="K75" s="37"/>
      <c r="L75" s="37"/>
    </row>
    <row r="76" spans="2:12" x14ac:dyDescent="0.2">
      <c r="B76" s="36"/>
      <c r="G76" s="63"/>
      <c r="H76" s="33"/>
      <c r="I76" s="33"/>
      <c r="J76" s="33"/>
      <c r="K76" s="37"/>
      <c r="L76" s="37"/>
    </row>
    <row r="77" spans="2:12" x14ac:dyDescent="0.2">
      <c r="B77" s="36"/>
      <c r="G77" s="63"/>
      <c r="H77" s="33"/>
      <c r="I77" s="33"/>
      <c r="J77" s="33"/>
      <c r="K77" s="37"/>
      <c r="L77" s="37"/>
    </row>
    <row r="78" spans="2:12" x14ac:dyDescent="0.2">
      <c r="B78" s="36"/>
      <c r="G78" s="63"/>
      <c r="H78" s="33"/>
      <c r="I78" s="33"/>
      <c r="J78" s="33"/>
      <c r="K78" s="37"/>
      <c r="L78" s="37"/>
    </row>
    <row r="79" spans="2:12" x14ac:dyDescent="0.2">
      <c r="B79" s="36"/>
      <c r="G79" s="63"/>
      <c r="H79" s="33"/>
      <c r="I79" s="33"/>
      <c r="J79" s="33"/>
      <c r="K79" s="37"/>
      <c r="L79" s="37"/>
    </row>
    <row r="80" spans="2:12" x14ac:dyDescent="0.2">
      <c r="B80" s="36"/>
      <c r="G80" s="63"/>
      <c r="H80" s="33"/>
      <c r="I80" s="33"/>
      <c r="J80" s="33"/>
      <c r="K80" s="37"/>
      <c r="L80" s="37"/>
    </row>
    <row r="81" spans="2:12" x14ac:dyDescent="0.2">
      <c r="B81" s="36"/>
      <c r="G81" s="63"/>
      <c r="H81" s="33"/>
      <c r="I81" s="33"/>
      <c r="J81" s="33"/>
      <c r="K81" s="37"/>
      <c r="L81" s="37"/>
    </row>
    <row r="82" spans="2:12" x14ac:dyDescent="0.2">
      <c r="B82" s="36"/>
      <c r="G82" s="63"/>
      <c r="H82" s="33"/>
      <c r="I82" s="33"/>
      <c r="J82" s="33"/>
      <c r="K82" s="37"/>
      <c r="L82" s="37"/>
    </row>
    <row r="83" spans="2:12" x14ac:dyDescent="0.2">
      <c r="B83" s="36"/>
      <c r="G83" s="63"/>
      <c r="H83" s="33"/>
      <c r="I83" s="33"/>
      <c r="J83" s="33"/>
      <c r="K83" s="37"/>
      <c r="L83" s="37"/>
    </row>
    <row r="84" spans="2:12" x14ac:dyDescent="0.2">
      <c r="B84" s="36"/>
      <c r="G84" s="63"/>
      <c r="H84" s="33"/>
      <c r="I84" s="33"/>
      <c r="J84" s="33"/>
      <c r="K84" s="37"/>
      <c r="L84" s="37"/>
    </row>
    <row r="85" spans="2:12" x14ac:dyDescent="0.2">
      <c r="B85" s="36"/>
      <c r="G85" s="63"/>
      <c r="H85" s="33"/>
      <c r="I85" s="33"/>
      <c r="J85" s="33"/>
      <c r="K85" s="37"/>
      <c r="L85" s="37"/>
    </row>
    <row r="86" spans="2:12" x14ac:dyDescent="0.2">
      <c r="B86" s="36"/>
      <c r="G86" s="63"/>
      <c r="H86" s="33"/>
      <c r="I86" s="33"/>
      <c r="J86" s="33"/>
      <c r="K86" s="37"/>
      <c r="L86" s="37"/>
    </row>
    <row r="87" spans="2:12" x14ac:dyDescent="0.2">
      <c r="B87" s="36"/>
      <c r="G87" s="63"/>
      <c r="H87" s="33"/>
      <c r="I87" s="33"/>
      <c r="J87" s="33"/>
      <c r="K87" s="37"/>
      <c r="L87" s="37"/>
    </row>
    <row r="88" spans="2:12" x14ac:dyDescent="0.2">
      <c r="B88" s="36"/>
      <c r="G88" s="63"/>
      <c r="H88" s="33"/>
      <c r="I88" s="33"/>
      <c r="J88" s="33"/>
      <c r="K88" s="37"/>
      <c r="L88" s="37"/>
    </row>
    <row r="89" spans="2:12" x14ac:dyDescent="0.2">
      <c r="B89" s="36"/>
      <c r="G89" s="63"/>
      <c r="H89" s="33"/>
      <c r="I89" s="33"/>
      <c r="J89" s="33"/>
      <c r="K89" s="37"/>
      <c r="L89" s="37"/>
    </row>
    <row r="90" spans="2:12" x14ac:dyDescent="0.2">
      <c r="B90" s="36"/>
      <c r="G90" s="63"/>
      <c r="H90" s="33"/>
      <c r="I90" s="33"/>
      <c r="J90" s="33"/>
      <c r="K90" s="37"/>
      <c r="L90" s="37"/>
    </row>
    <row r="91" spans="2:12" x14ac:dyDescent="0.2">
      <c r="B91" s="36"/>
      <c r="G91" s="63"/>
      <c r="H91" s="33"/>
      <c r="I91" s="33"/>
      <c r="J91" s="33"/>
      <c r="K91" s="37"/>
      <c r="L91" s="37"/>
    </row>
    <row r="92" spans="2:12" x14ac:dyDescent="0.2">
      <c r="B92" s="36"/>
      <c r="G92" s="63"/>
      <c r="H92" s="33"/>
      <c r="I92" s="33"/>
      <c r="J92" s="33"/>
      <c r="K92" s="37"/>
      <c r="L92" s="37"/>
    </row>
    <row r="93" spans="2:12" x14ac:dyDescent="0.2">
      <c r="B93" s="36"/>
      <c r="G93" s="63"/>
      <c r="H93" s="33"/>
      <c r="I93" s="33"/>
      <c r="J93" s="33"/>
      <c r="K93" s="37"/>
      <c r="L93" s="37"/>
    </row>
    <row r="94" spans="2:12" x14ac:dyDescent="0.2">
      <c r="B94" s="36"/>
      <c r="G94" s="63"/>
      <c r="H94" s="33"/>
      <c r="I94" s="33"/>
      <c r="J94" s="33"/>
      <c r="K94" s="37"/>
      <c r="L94" s="37"/>
    </row>
    <row r="95" spans="2:12" x14ac:dyDescent="0.2">
      <c r="B95" s="36"/>
      <c r="G95" s="63"/>
      <c r="H95" s="33"/>
      <c r="I95" s="33"/>
      <c r="J95" s="33"/>
      <c r="K95" s="37"/>
      <c r="L95" s="37"/>
    </row>
    <row r="96" spans="2:12" x14ac:dyDescent="0.2">
      <c r="B96" s="36"/>
      <c r="G96" s="63"/>
      <c r="H96" s="33"/>
      <c r="I96" s="33"/>
      <c r="J96" s="33"/>
      <c r="K96" s="37"/>
      <c r="L96" s="37"/>
    </row>
    <row r="97" spans="2:12" x14ac:dyDescent="0.2">
      <c r="B97" s="36"/>
      <c r="G97" s="63"/>
      <c r="H97" s="33"/>
      <c r="I97" s="33"/>
      <c r="J97" s="33"/>
      <c r="K97" s="37"/>
      <c r="L97" s="37"/>
    </row>
    <row r="98" spans="2:12" x14ac:dyDescent="0.2">
      <c r="B98" s="36"/>
      <c r="G98" s="63"/>
      <c r="H98" s="33"/>
      <c r="I98" s="33"/>
      <c r="J98" s="33"/>
      <c r="K98" s="37"/>
      <c r="L98" s="37"/>
    </row>
    <row r="99" spans="2:12" x14ac:dyDescent="0.2">
      <c r="B99" s="36"/>
      <c r="G99" s="63"/>
      <c r="H99" s="33"/>
      <c r="I99" s="33"/>
      <c r="J99" s="33"/>
      <c r="K99" s="37"/>
      <c r="L99" s="37"/>
    </row>
    <row r="100" spans="2:12" x14ac:dyDescent="0.2">
      <c r="B100" s="36"/>
      <c r="G100" s="63"/>
      <c r="H100" s="33"/>
      <c r="I100" s="33"/>
      <c r="J100" s="33"/>
      <c r="K100" s="37"/>
      <c r="L100" s="37"/>
    </row>
    <row r="101" spans="2:12" x14ac:dyDescent="0.2">
      <c r="B101" s="36"/>
      <c r="G101" s="63"/>
      <c r="H101" s="33"/>
      <c r="I101" s="33"/>
      <c r="J101" s="33"/>
      <c r="K101" s="37"/>
      <c r="L101" s="37"/>
    </row>
    <row r="102" spans="2:12" x14ac:dyDescent="0.2">
      <c r="B102" s="36"/>
      <c r="G102" s="63"/>
      <c r="H102" s="33"/>
      <c r="I102" s="33"/>
      <c r="J102" s="33"/>
      <c r="K102" s="37"/>
      <c r="L102" s="37"/>
    </row>
    <row r="103" spans="2:12" x14ac:dyDescent="0.2">
      <c r="B103" s="36"/>
      <c r="G103" s="63"/>
      <c r="H103" s="33"/>
      <c r="I103" s="33"/>
      <c r="J103" s="33"/>
      <c r="K103" s="37"/>
      <c r="L103" s="37"/>
    </row>
    <row r="104" spans="2:12" x14ac:dyDescent="0.2">
      <c r="B104" s="36"/>
      <c r="G104" s="63"/>
      <c r="H104" s="33"/>
      <c r="I104" s="33"/>
      <c r="J104" s="33"/>
      <c r="K104" s="37"/>
      <c r="L104" s="37"/>
    </row>
    <row r="105" spans="2:12" x14ac:dyDescent="0.2">
      <c r="B105" s="36"/>
      <c r="G105" s="63"/>
      <c r="H105" s="33"/>
      <c r="I105" s="33"/>
      <c r="J105" s="33"/>
      <c r="K105" s="37"/>
      <c r="L105" s="37"/>
    </row>
    <row r="106" spans="2:12" x14ac:dyDescent="0.2">
      <c r="B106" s="36"/>
      <c r="G106" s="63"/>
      <c r="H106" s="33"/>
      <c r="I106" s="33"/>
      <c r="J106" s="33"/>
      <c r="K106" s="37"/>
      <c r="L106" s="37"/>
    </row>
    <row r="107" spans="2:12" x14ac:dyDescent="0.2">
      <c r="B107" s="36"/>
      <c r="G107" s="63"/>
      <c r="H107" s="33"/>
      <c r="I107" s="33"/>
      <c r="J107" s="33"/>
      <c r="K107" s="37"/>
      <c r="L107" s="37"/>
    </row>
    <row r="108" spans="2:12" x14ac:dyDescent="0.2">
      <c r="B108" s="36"/>
      <c r="G108" s="63"/>
      <c r="H108" s="33"/>
      <c r="I108" s="33"/>
      <c r="J108" s="33"/>
      <c r="K108" s="37"/>
      <c r="L108" s="37"/>
    </row>
    <row r="109" spans="2:12" x14ac:dyDescent="0.2">
      <c r="B109" s="36"/>
      <c r="G109" s="63"/>
      <c r="H109" s="33"/>
      <c r="I109" s="33"/>
      <c r="J109" s="33"/>
      <c r="K109" s="37"/>
      <c r="L109" s="37"/>
    </row>
    <row r="110" spans="2:12" x14ac:dyDescent="0.2">
      <c r="B110" s="36"/>
      <c r="G110" s="63"/>
      <c r="H110" s="33"/>
      <c r="I110" s="33"/>
      <c r="J110" s="33"/>
      <c r="K110" s="37"/>
      <c r="L110" s="37"/>
    </row>
    <row r="111" spans="2:12" x14ac:dyDescent="0.2">
      <c r="B111" s="36"/>
      <c r="G111" s="63"/>
      <c r="H111" s="33"/>
      <c r="I111" s="33"/>
      <c r="J111" s="33"/>
      <c r="K111" s="37"/>
      <c r="L111" s="37"/>
    </row>
    <row r="112" spans="2:12" x14ac:dyDescent="0.2">
      <c r="B112" s="36"/>
      <c r="G112" s="63"/>
      <c r="H112" s="33"/>
      <c r="I112" s="33"/>
      <c r="J112" s="33"/>
      <c r="K112" s="37"/>
      <c r="L112" s="37"/>
    </row>
    <row r="113" spans="2:12" x14ac:dyDescent="0.2">
      <c r="B113" s="36"/>
      <c r="G113" s="63"/>
      <c r="H113" s="33"/>
      <c r="I113" s="33"/>
      <c r="J113" s="33"/>
      <c r="K113" s="37"/>
      <c r="L113" s="37"/>
    </row>
    <row r="114" spans="2:12" x14ac:dyDescent="0.2">
      <c r="B114" s="36"/>
      <c r="G114" s="63"/>
      <c r="H114" s="33"/>
      <c r="I114" s="33"/>
      <c r="J114" s="33"/>
      <c r="K114" s="37"/>
      <c r="L114" s="37"/>
    </row>
    <row r="115" spans="2:12" x14ac:dyDescent="0.2">
      <c r="B115" s="36"/>
      <c r="G115" s="63"/>
      <c r="H115" s="33"/>
      <c r="I115" s="33"/>
      <c r="J115" s="33"/>
      <c r="K115" s="37"/>
      <c r="L115" s="37"/>
    </row>
    <row r="116" spans="2:12" x14ac:dyDescent="0.2">
      <c r="B116" s="36"/>
      <c r="G116" s="63"/>
      <c r="H116" s="33"/>
      <c r="I116" s="33"/>
      <c r="J116" s="33"/>
      <c r="K116" s="37"/>
      <c r="L116" s="37"/>
    </row>
    <row r="117" spans="2:12" x14ac:dyDescent="0.2">
      <c r="B117" s="36"/>
      <c r="G117" s="63"/>
      <c r="H117" s="33"/>
      <c r="I117" s="33"/>
      <c r="J117" s="33"/>
      <c r="K117" s="37"/>
      <c r="L117" s="37"/>
    </row>
    <row r="118" spans="2:12" x14ac:dyDescent="0.2">
      <c r="B118" s="36"/>
      <c r="G118" s="63"/>
      <c r="H118" s="33"/>
      <c r="I118" s="33"/>
      <c r="J118" s="33"/>
      <c r="K118" s="37"/>
      <c r="L118" s="37"/>
    </row>
    <row r="119" spans="2:12" x14ac:dyDescent="0.2">
      <c r="B119" s="36"/>
      <c r="G119" s="63"/>
      <c r="H119" s="33"/>
      <c r="I119" s="33"/>
      <c r="J119" s="33"/>
      <c r="K119" s="37"/>
      <c r="L119" s="37"/>
    </row>
    <row r="120" spans="2:12" x14ac:dyDescent="0.2">
      <c r="B120" s="36"/>
      <c r="G120" s="63"/>
      <c r="H120" s="33"/>
      <c r="I120" s="33"/>
      <c r="J120" s="33"/>
      <c r="K120" s="37"/>
      <c r="L120" s="37"/>
    </row>
    <row r="121" spans="2:12" x14ac:dyDescent="0.2">
      <c r="B121" s="36"/>
      <c r="G121" s="63"/>
      <c r="H121" s="33"/>
      <c r="I121" s="33"/>
      <c r="J121" s="33"/>
      <c r="K121" s="37"/>
      <c r="L121" s="37"/>
    </row>
    <row r="122" spans="2:12" x14ac:dyDescent="0.2">
      <c r="B122" s="36"/>
      <c r="G122" s="63"/>
      <c r="H122" s="33"/>
      <c r="I122" s="33"/>
      <c r="J122" s="33"/>
      <c r="K122" s="37"/>
      <c r="L122" s="37"/>
    </row>
    <row r="123" spans="2:12" x14ac:dyDescent="0.2">
      <c r="B123" s="36"/>
      <c r="G123" s="63"/>
      <c r="H123" s="33"/>
      <c r="I123" s="33"/>
      <c r="J123" s="33"/>
      <c r="K123" s="37"/>
      <c r="L123" s="37"/>
    </row>
    <row r="124" spans="2:12" x14ac:dyDescent="0.2">
      <c r="B124" s="36"/>
      <c r="G124" s="63"/>
      <c r="H124" s="33"/>
      <c r="I124" s="33"/>
      <c r="J124" s="33"/>
      <c r="K124" s="37"/>
      <c r="L124" s="37"/>
    </row>
    <row r="125" spans="2:12" x14ac:dyDescent="0.2">
      <c r="B125" s="36"/>
      <c r="G125" s="63"/>
      <c r="H125" s="33"/>
      <c r="I125" s="33"/>
      <c r="J125" s="33"/>
      <c r="K125" s="37"/>
      <c r="L125" s="37"/>
    </row>
    <row r="126" spans="2:12" x14ac:dyDescent="0.2">
      <c r="B126" s="36"/>
      <c r="G126" s="63"/>
      <c r="H126" s="33"/>
      <c r="I126" s="33"/>
      <c r="J126" s="33"/>
      <c r="K126" s="37"/>
      <c r="L126" s="37"/>
    </row>
    <row r="127" spans="2:12" x14ac:dyDescent="0.2">
      <c r="B127" s="36"/>
      <c r="G127" s="63"/>
      <c r="H127" s="33"/>
      <c r="I127" s="33"/>
      <c r="J127" s="33"/>
      <c r="K127" s="37"/>
      <c r="L127" s="37"/>
    </row>
    <row r="128" spans="2:12" x14ac:dyDescent="0.2">
      <c r="B128" s="36"/>
      <c r="G128" s="63"/>
      <c r="H128" s="33"/>
      <c r="I128" s="33"/>
      <c r="J128" s="33"/>
      <c r="K128" s="37"/>
      <c r="L128" s="37"/>
    </row>
    <row r="129" spans="2:12" x14ac:dyDescent="0.2">
      <c r="B129" s="36"/>
      <c r="G129" s="63"/>
      <c r="H129" s="33"/>
      <c r="I129" s="33"/>
      <c r="J129" s="33"/>
      <c r="K129" s="37"/>
      <c r="L129" s="37"/>
    </row>
    <row r="130" spans="2:12" x14ac:dyDescent="0.2">
      <c r="B130" s="36"/>
      <c r="G130" s="63"/>
      <c r="H130" s="33"/>
      <c r="I130" s="33"/>
      <c r="J130" s="33"/>
      <c r="K130" s="37"/>
      <c r="L130" s="37"/>
    </row>
    <row r="131" spans="2:12" x14ac:dyDescent="0.2">
      <c r="B131" s="36"/>
      <c r="G131" s="63"/>
      <c r="H131" s="33"/>
      <c r="I131" s="33"/>
      <c r="J131" s="33"/>
      <c r="K131" s="37"/>
      <c r="L131" s="37"/>
    </row>
    <row r="132" spans="2:12" x14ac:dyDescent="0.2">
      <c r="B132" s="36"/>
      <c r="G132" s="63"/>
      <c r="H132" s="33"/>
      <c r="I132" s="33"/>
      <c r="J132" s="33"/>
      <c r="K132" s="37"/>
      <c r="L132" s="37"/>
    </row>
    <row r="133" spans="2:12" x14ac:dyDescent="0.2">
      <c r="B133" s="36"/>
      <c r="G133" s="63"/>
      <c r="H133" s="33"/>
      <c r="I133" s="33"/>
      <c r="J133" s="33"/>
      <c r="K133" s="37"/>
      <c r="L133" s="37"/>
    </row>
    <row r="134" spans="2:12" x14ac:dyDescent="0.2">
      <c r="B134" s="36"/>
      <c r="G134" s="63"/>
      <c r="H134" s="33"/>
      <c r="I134" s="33"/>
      <c r="J134" s="33"/>
      <c r="K134" s="37"/>
      <c r="L134" s="37"/>
    </row>
    <row r="135" spans="2:12" x14ac:dyDescent="0.2">
      <c r="B135" s="36"/>
      <c r="G135" s="63"/>
      <c r="H135" s="33"/>
      <c r="I135" s="33"/>
      <c r="J135" s="33"/>
      <c r="K135" s="37"/>
      <c r="L135" s="37"/>
    </row>
    <row r="136" spans="2:12" x14ac:dyDescent="0.2">
      <c r="B136" s="36"/>
      <c r="G136" s="63"/>
      <c r="H136" s="33"/>
      <c r="I136" s="33"/>
      <c r="J136" s="33"/>
      <c r="K136" s="37"/>
      <c r="L136" s="37"/>
    </row>
    <row r="137" spans="2:12" x14ac:dyDescent="0.2">
      <c r="B137" s="36"/>
      <c r="G137" s="63"/>
      <c r="H137" s="33"/>
      <c r="I137" s="33"/>
      <c r="J137" s="33"/>
      <c r="K137" s="37"/>
      <c r="L137" s="37"/>
    </row>
    <row r="138" spans="2:12" x14ac:dyDescent="0.2">
      <c r="B138" s="36"/>
      <c r="G138" s="63"/>
      <c r="H138" s="33"/>
      <c r="I138" s="33"/>
      <c r="J138" s="33"/>
      <c r="K138" s="37"/>
      <c r="L138" s="37"/>
    </row>
    <row r="139" spans="2:12" x14ac:dyDescent="0.2">
      <c r="B139" s="36"/>
      <c r="G139" s="63"/>
      <c r="H139" s="33"/>
      <c r="I139" s="33"/>
      <c r="J139" s="33"/>
      <c r="K139" s="37"/>
      <c r="L139" s="37"/>
    </row>
    <row r="140" spans="2:12" x14ac:dyDescent="0.2">
      <c r="B140" s="36"/>
      <c r="G140" s="63"/>
      <c r="H140" s="33"/>
      <c r="I140" s="33"/>
      <c r="J140" s="33"/>
      <c r="K140" s="37"/>
      <c r="L140" s="37"/>
    </row>
    <row r="141" spans="2:12" x14ac:dyDescent="0.2">
      <c r="B141" s="36"/>
      <c r="G141" s="63"/>
      <c r="H141" s="33"/>
      <c r="I141" s="33"/>
      <c r="J141" s="33"/>
      <c r="K141" s="37"/>
      <c r="L141" s="37"/>
    </row>
    <row r="142" spans="2:12" x14ac:dyDescent="0.2">
      <c r="B142" s="36"/>
      <c r="G142" s="63"/>
      <c r="H142" s="33"/>
      <c r="I142" s="33"/>
      <c r="J142" s="33"/>
      <c r="K142" s="37"/>
      <c r="L142" s="37"/>
    </row>
    <row r="143" spans="2:12" x14ac:dyDescent="0.2">
      <c r="B143" s="36"/>
      <c r="G143" s="63"/>
      <c r="H143" s="33"/>
      <c r="I143" s="33"/>
      <c r="J143" s="33"/>
      <c r="K143" s="37"/>
      <c r="L143" s="37"/>
    </row>
    <row r="144" spans="2:12" x14ac:dyDescent="0.2">
      <c r="B144" s="36"/>
      <c r="G144" s="63"/>
      <c r="H144" s="33"/>
      <c r="I144" s="33"/>
      <c r="J144" s="33"/>
      <c r="K144" s="37"/>
      <c r="L144" s="37"/>
    </row>
    <row r="145" spans="2:12" x14ac:dyDescent="0.2">
      <c r="B145" s="36"/>
      <c r="G145" s="63"/>
      <c r="H145" s="33"/>
      <c r="I145" s="33"/>
      <c r="J145" s="33"/>
      <c r="K145" s="37"/>
      <c r="L145" s="37"/>
    </row>
    <row r="146" spans="2:12" x14ac:dyDescent="0.2">
      <c r="B146" s="36"/>
      <c r="G146" s="63"/>
      <c r="H146" s="33"/>
      <c r="I146" s="33"/>
      <c r="J146" s="33"/>
      <c r="K146" s="37"/>
      <c r="L146" s="37"/>
    </row>
    <row r="147" spans="2:12" x14ac:dyDescent="0.2">
      <c r="B147" s="36"/>
      <c r="G147" s="63"/>
      <c r="H147" s="33"/>
      <c r="I147" s="33"/>
      <c r="J147" s="33"/>
      <c r="K147" s="37"/>
      <c r="L147" s="37"/>
    </row>
    <row r="148" spans="2:12" x14ac:dyDescent="0.2">
      <c r="B148" s="36"/>
      <c r="G148" s="63"/>
      <c r="H148" s="33"/>
      <c r="I148" s="33"/>
      <c r="J148" s="33"/>
      <c r="K148" s="37"/>
      <c r="L148" s="37"/>
    </row>
    <row r="149" spans="2:12" x14ac:dyDescent="0.2">
      <c r="B149" s="36"/>
      <c r="G149" s="63"/>
      <c r="H149" s="33"/>
      <c r="I149" s="33"/>
      <c r="J149" s="33"/>
      <c r="K149" s="37"/>
      <c r="L149" s="37"/>
    </row>
    <row r="150" spans="2:12" x14ac:dyDescent="0.2">
      <c r="B150" s="36"/>
      <c r="G150" s="63"/>
      <c r="H150" s="33"/>
      <c r="I150" s="33"/>
      <c r="J150" s="33"/>
      <c r="K150" s="37"/>
      <c r="L150" s="37"/>
    </row>
    <row r="151" spans="2:12" x14ac:dyDescent="0.2">
      <c r="B151" s="36"/>
      <c r="G151" s="63"/>
      <c r="H151" s="33"/>
      <c r="I151" s="33"/>
      <c r="J151" s="33"/>
      <c r="K151" s="37"/>
      <c r="L151" s="37"/>
    </row>
    <row r="152" spans="2:12" x14ac:dyDescent="0.2">
      <c r="B152" s="36"/>
      <c r="G152" s="63"/>
      <c r="H152" s="33"/>
      <c r="I152" s="33"/>
      <c r="J152" s="33"/>
      <c r="K152" s="37"/>
      <c r="L152" s="37"/>
    </row>
    <row r="153" spans="2:12" x14ac:dyDescent="0.2">
      <c r="B153" s="36"/>
      <c r="G153" s="63"/>
      <c r="H153" s="33"/>
      <c r="I153" s="33"/>
      <c r="J153" s="33"/>
      <c r="K153" s="37"/>
      <c r="L153" s="37"/>
    </row>
    <row r="154" spans="2:12" x14ac:dyDescent="0.2">
      <c r="B154" s="36"/>
      <c r="G154" s="63"/>
      <c r="H154" s="33"/>
      <c r="I154" s="33"/>
      <c r="J154" s="33"/>
      <c r="K154" s="37"/>
      <c r="L154" s="37"/>
    </row>
    <row r="155" spans="2:12" x14ac:dyDescent="0.2">
      <c r="B155" s="36"/>
      <c r="G155" s="63"/>
      <c r="H155" s="33"/>
      <c r="I155" s="33"/>
      <c r="J155" s="33"/>
      <c r="K155" s="37"/>
      <c r="L155" s="37"/>
    </row>
    <row r="156" spans="2:12" x14ac:dyDescent="0.2">
      <c r="B156" s="36"/>
      <c r="G156" s="63"/>
      <c r="H156" s="33"/>
      <c r="I156" s="33"/>
      <c r="J156" s="33"/>
      <c r="K156" s="37"/>
      <c r="L156" s="37"/>
    </row>
    <row r="157" spans="2:12" x14ac:dyDescent="0.2">
      <c r="B157" s="36"/>
      <c r="G157" s="63"/>
      <c r="H157" s="33"/>
      <c r="I157" s="33"/>
      <c r="J157" s="33"/>
      <c r="K157" s="37"/>
      <c r="L157" s="37"/>
    </row>
    <row r="158" spans="2:12" x14ac:dyDescent="0.2">
      <c r="B158" s="36"/>
      <c r="G158" s="63"/>
      <c r="H158" s="33"/>
      <c r="I158" s="33"/>
      <c r="J158" s="33"/>
      <c r="K158" s="37"/>
      <c r="L158" s="37"/>
    </row>
    <row r="159" spans="2:12" x14ac:dyDescent="0.2">
      <c r="B159" s="36"/>
      <c r="G159" s="63"/>
      <c r="H159" s="33"/>
      <c r="I159" s="33"/>
      <c r="J159" s="33"/>
      <c r="K159" s="37"/>
      <c r="L159" s="37"/>
    </row>
    <row r="160" spans="2:12" x14ac:dyDescent="0.2">
      <c r="B160" s="36"/>
      <c r="G160" s="63"/>
      <c r="H160" s="33"/>
      <c r="I160" s="33"/>
      <c r="J160" s="33"/>
      <c r="K160" s="37"/>
      <c r="L160" s="37"/>
    </row>
    <row r="161" spans="2:12" x14ac:dyDescent="0.2">
      <c r="B161" s="36"/>
      <c r="G161" s="63"/>
      <c r="H161" s="33"/>
      <c r="I161" s="33"/>
      <c r="J161" s="33"/>
      <c r="K161" s="37"/>
      <c r="L161" s="37"/>
    </row>
    <row r="162" spans="2:12" x14ac:dyDescent="0.2">
      <c r="B162" s="36"/>
      <c r="G162" s="63"/>
      <c r="H162" s="33"/>
      <c r="I162" s="33"/>
      <c r="J162" s="33"/>
      <c r="K162" s="37"/>
      <c r="L162" s="37"/>
    </row>
    <row r="163" spans="2:12" x14ac:dyDescent="0.2">
      <c r="B163" s="36"/>
      <c r="G163" s="63"/>
      <c r="H163" s="33"/>
      <c r="I163" s="33"/>
      <c r="J163" s="33"/>
      <c r="K163" s="37"/>
      <c r="L163" s="37"/>
    </row>
    <row r="164" spans="2:12" x14ac:dyDescent="0.2">
      <c r="B164" s="36"/>
      <c r="G164" s="63"/>
      <c r="H164" s="33"/>
      <c r="I164" s="33"/>
      <c r="J164" s="33"/>
      <c r="K164" s="37"/>
      <c r="L164" s="37"/>
    </row>
    <row r="165" spans="2:12" x14ac:dyDescent="0.2">
      <c r="B165" s="36"/>
      <c r="G165" s="63"/>
      <c r="H165" s="33"/>
      <c r="I165" s="33"/>
      <c r="J165" s="33"/>
      <c r="K165" s="37"/>
      <c r="L165" s="37"/>
    </row>
    <row r="166" spans="2:12" x14ac:dyDescent="0.2">
      <c r="B166" s="36"/>
      <c r="G166" s="63"/>
      <c r="H166" s="33"/>
      <c r="I166" s="33"/>
      <c r="J166" s="33"/>
      <c r="K166" s="37"/>
      <c r="L166" s="37"/>
    </row>
    <row r="167" spans="2:12" x14ac:dyDescent="0.2">
      <c r="B167" s="36"/>
      <c r="G167" s="63"/>
      <c r="H167" s="33"/>
      <c r="I167" s="33"/>
      <c r="J167" s="33"/>
      <c r="K167" s="37"/>
      <c r="L167" s="37"/>
    </row>
    <row r="168" spans="2:12" x14ac:dyDescent="0.2">
      <c r="B168" s="36"/>
      <c r="G168" s="63"/>
      <c r="H168" s="33"/>
      <c r="I168" s="33"/>
      <c r="J168" s="33"/>
      <c r="K168" s="37"/>
      <c r="L168" s="37"/>
    </row>
    <row r="169" spans="2:12" x14ac:dyDescent="0.2">
      <c r="B169" s="36"/>
      <c r="G169" s="63"/>
      <c r="H169" s="33"/>
      <c r="I169" s="33"/>
      <c r="J169" s="33"/>
      <c r="K169" s="37"/>
      <c r="L169" s="37"/>
    </row>
    <row r="170" spans="2:12" x14ac:dyDescent="0.2">
      <c r="B170" s="36"/>
      <c r="G170" s="63"/>
      <c r="H170" s="33"/>
      <c r="I170" s="33"/>
      <c r="J170" s="33"/>
      <c r="K170" s="37"/>
      <c r="L170" s="37"/>
    </row>
    <row r="171" spans="2:12" x14ac:dyDescent="0.2">
      <c r="B171" s="36"/>
      <c r="G171" s="63"/>
      <c r="H171" s="33"/>
      <c r="I171" s="33"/>
      <c r="J171" s="33"/>
      <c r="K171" s="37"/>
      <c r="L171" s="37"/>
    </row>
    <row r="172" spans="2:12" x14ac:dyDescent="0.2">
      <c r="B172" s="36"/>
      <c r="G172" s="63"/>
      <c r="H172" s="33"/>
      <c r="I172" s="33"/>
      <c r="J172" s="33"/>
      <c r="K172" s="37"/>
      <c r="L172" s="37"/>
    </row>
    <row r="173" spans="2:12" x14ac:dyDescent="0.2">
      <c r="B173" s="36"/>
      <c r="G173" s="63"/>
      <c r="H173" s="33"/>
      <c r="I173" s="33"/>
      <c r="J173" s="33"/>
      <c r="K173" s="37"/>
      <c r="L173" s="37"/>
    </row>
    <row r="174" spans="2:12" x14ac:dyDescent="0.2">
      <c r="B174" s="36"/>
      <c r="G174" s="63"/>
      <c r="H174" s="33"/>
      <c r="I174" s="33"/>
      <c r="J174" s="33"/>
      <c r="K174" s="37"/>
      <c r="L174" s="37"/>
    </row>
    <row r="175" spans="2:12" x14ac:dyDescent="0.2">
      <c r="B175" s="36"/>
      <c r="G175" s="63"/>
      <c r="H175" s="33"/>
      <c r="I175" s="33"/>
      <c r="J175" s="33"/>
      <c r="K175" s="37"/>
      <c r="L175" s="37"/>
    </row>
    <row r="176" spans="2:12" x14ac:dyDescent="0.2">
      <c r="B176" s="36"/>
      <c r="G176" s="63"/>
      <c r="H176" s="33"/>
      <c r="I176" s="33"/>
      <c r="J176" s="33"/>
      <c r="K176" s="37"/>
      <c r="L176" s="37"/>
    </row>
    <row r="177" spans="2:12" x14ac:dyDescent="0.2">
      <c r="B177" s="36"/>
      <c r="G177" s="63"/>
      <c r="H177" s="33"/>
      <c r="I177" s="33"/>
      <c r="J177" s="33"/>
      <c r="K177" s="37"/>
      <c r="L177" s="37"/>
    </row>
    <row r="178" spans="2:12" x14ac:dyDescent="0.2">
      <c r="B178" s="36"/>
      <c r="G178" s="63"/>
      <c r="H178" s="33"/>
      <c r="I178" s="33"/>
      <c r="J178" s="33"/>
      <c r="K178" s="37"/>
      <c r="L178" s="37"/>
    </row>
    <row r="179" spans="2:12" x14ac:dyDescent="0.2">
      <c r="B179" s="36"/>
      <c r="G179" s="63"/>
      <c r="H179" s="33"/>
      <c r="I179" s="33"/>
      <c r="J179" s="33"/>
      <c r="K179" s="37"/>
      <c r="L179" s="37"/>
    </row>
    <row r="180" spans="2:12" x14ac:dyDescent="0.2">
      <c r="B180" s="36"/>
      <c r="G180" s="63"/>
      <c r="H180" s="33"/>
      <c r="I180" s="33"/>
      <c r="J180" s="33"/>
      <c r="K180" s="37"/>
      <c r="L180" s="37"/>
    </row>
    <row r="181" spans="2:12" x14ac:dyDescent="0.2">
      <c r="B181" s="36"/>
      <c r="G181" s="63"/>
      <c r="H181" s="33"/>
      <c r="I181" s="33"/>
      <c r="J181" s="33"/>
      <c r="K181" s="37"/>
      <c r="L181" s="37"/>
    </row>
    <row r="182" spans="2:12" x14ac:dyDescent="0.2">
      <c r="B182" s="36"/>
      <c r="G182" s="63"/>
      <c r="H182" s="33"/>
      <c r="I182" s="33"/>
      <c r="J182" s="33"/>
      <c r="K182" s="37"/>
      <c r="L182" s="37"/>
    </row>
    <row r="183" spans="2:12" x14ac:dyDescent="0.2">
      <c r="B183" s="36"/>
      <c r="G183" s="63"/>
      <c r="H183" s="33"/>
      <c r="I183" s="33"/>
      <c r="J183" s="33"/>
      <c r="K183" s="37"/>
      <c r="L183" s="37"/>
    </row>
    <row r="184" spans="2:12" x14ac:dyDescent="0.2">
      <c r="B184" s="36"/>
      <c r="G184" s="63"/>
      <c r="H184" s="33"/>
      <c r="I184" s="33"/>
      <c r="J184" s="33"/>
      <c r="K184" s="37"/>
      <c r="L184" s="37"/>
    </row>
    <row r="185" spans="2:12" x14ac:dyDescent="0.2">
      <c r="B185" s="36"/>
      <c r="G185" s="63"/>
      <c r="H185" s="33"/>
      <c r="I185" s="33"/>
      <c r="J185" s="33"/>
      <c r="K185" s="37"/>
      <c r="L185" s="37"/>
    </row>
    <row r="186" spans="2:12" x14ac:dyDescent="0.2">
      <c r="B186" s="36"/>
      <c r="G186" s="63"/>
      <c r="H186" s="33"/>
      <c r="I186" s="33"/>
      <c r="J186" s="33"/>
      <c r="K186" s="37"/>
      <c r="L186" s="37"/>
    </row>
    <row r="187" spans="2:12" x14ac:dyDescent="0.2">
      <c r="B187" s="36"/>
      <c r="G187" s="63"/>
      <c r="H187" s="33"/>
      <c r="I187" s="33"/>
      <c r="J187" s="33"/>
      <c r="K187" s="37"/>
      <c r="L187" s="37"/>
    </row>
    <row r="188" spans="2:12" x14ac:dyDescent="0.2">
      <c r="B188" s="36"/>
      <c r="G188" s="63"/>
      <c r="H188" s="33"/>
      <c r="I188" s="33"/>
      <c r="J188" s="33"/>
      <c r="K188" s="37"/>
      <c r="L188" s="37"/>
    </row>
    <row r="189" spans="2:12" x14ac:dyDescent="0.2">
      <c r="B189" s="36"/>
      <c r="G189" s="63"/>
      <c r="H189" s="33"/>
      <c r="I189" s="33"/>
      <c r="J189" s="33"/>
      <c r="K189" s="37"/>
      <c r="L189" s="37"/>
    </row>
    <row r="190" spans="2:12" x14ac:dyDescent="0.2">
      <c r="B190" s="36"/>
      <c r="G190" s="63"/>
      <c r="H190" s="33"/>
      <c r="I190" s="33"/>
      <c r="J190" s="33"/>
      <c r="K190" s="37"/>
      <c r="L190" s="37"/>
    </row>
    <row r="191" spans="2:12" x14ac:dyDescent="0.2">
      <c r="B191" s="36"/>
      <c r="G191" s="63"/>
      <c r="H191" s="33"/>
      <c r="I191" s="33"/>
      <c r="J191" s="33"/>
      <c r="K191" s="37"/>
      <c r="L191" s="37"/>
    </row>
    <row r="192" spans="2:12" x14ac:dyDescent="0.2">
      <c r="B192" s="36"/>
      <c r="G192" s="63"/>
      <c r="H192" s="33"/>
      <c r="I192" s="33"/>
      <c r="J192" s="33"/>
      <c r="K192" s="37"/>
      <c r="L192" s="37"/>
    </row>
    <row r="193" spans="2:12" x14ac:dyDescent="0.2">
      <c r="B193" s="36"/>
      <c r="G193" s="63"/>
      <c r="H193" s="33"/>
      <c r="I193" s="33"/>
      <c r="J193" s="33"/>
      <c r="K193" s="37"/>
      <c r="L193" s="37"/>
    </row>
    <row r="194" spans="2:12" x14ac:dyDescent="0.2">
      <c r="B194" s="36"/>
      <c r="G194" s="63"/>
      <c r="H194" s="33"/>
      <c r="I194" s="33"/>
      <c r="J194" s="33"/>
      <c r="K194" s="37"/>
      <c r="L194" s="37"/>
    </row>
    <row r="195" spans="2:12" x14ac:dyDescent="0.2">
      <c r="B195" s="36"/>
      <c r="G195" s="63"/>
      <c r="H195" s="33"/>
      <c r="I195" s="33"/>
      <c r="J195" s="33"/>
      <c r="K195" s="37"/>
      <c r="L195" s="37"/>
    </row>
    <row r="196" spans="2:12" x14ac:dyDescent="0.2">
      <c r="B196" s="36"/>
      <c r="G196" s="63"/>
      <c r="H196" s="33"/>
      <c r="I196" s="33"/>
      <c r="J196" s="33"/>
      <c r="K196" s="37"/>
      <c r="L196" s="37"/>
    </row>
    <row r="197" spans="2:12" x14ac:dyDescent="0.2">
      <c r="B197" s="36"/>
      <c r="G197" s="63"/>
      <c r="H197" s="33"/>
      <c r="I197" s="33"/>
      <c r="J197" s="33"/>
      <c r="K197" s="37"/>
      <c r="L197" s="37"/>
    </row>
    <row r="198" spans="2:12" x14ac:dyDescent="0.2">
      <c r="B198" s="36"/>
      <c r="G198" s="63"/>
      <c r="H198" s="33"/>
      <c r="I198" s="33"/>
      <c r="J198" s="33"/>
      <c r="K198" s="37"/>
      <c r="L198" s="37"/>
    </row>
    <row r="199" spans="2:12" x14ac:dyDescent="0.2">
      <c r="B199" s="36"/>
      <c r="G199" s="63"/>
      <c r="H199" s="33"/>
      <c r="I199" s="33"/>
      <c r="J199" s="33"/>
      <c r="K199" s="37"/>
      <c r="L199" s="37"/>
    </row>
    <row r="200" spans="2:12" x14ac:dyDescent="0.2">
      <c r="B200" s="36"/>
      <c r="G200" s="63"/>
      <c r="H200" s="33"/>
      <c r="I200" s="33"/>
      <c r="J200" s="33"/>
      <c r="K200" s="37"/>
      <c r="L200" s="37"/>
    </row>
    <row r="201" spans="2:12" x14ac:dyDescent="0.2">
      <c r="B201" s="36"/>
      <c r="G201" s="63"/>
      <c r="H201" s="33"/>
      <c r="I201" s="33"/>
      <c r="J201" s="33"/>
      <c r="K201" s="37"/>
      <c r="L201" s="37"/>
    </row>
    <row r="202" spans="2:12" x14ac:dyDescent="0.2">
      <c r="B202" s="36"/>
      <c r="G202" s="63"/>
      <c r="H202" s="33"/>
      <c r="I202" s="33"/>
      <c r="J202" s="33"/>
      <c r="K202" s="37"/>
      <c r="L202" s="37"/>
    </row>
    <row r="203" spans="2:12" x14ac:dyDescent="0.2">
      <c r="B203" s="36"/>
      <c r="G203" s="63"/>
      <c r="H203" s="33"/>
      <c r="I203" s="33"/>
      <c r="J203" s="33"/>
      <c r="K203" s="37"/>
      <c r="L203" s="37"/>
    </row>
    <row r="204" spans="2:12" x14ac:dyDescent="0.2">
      <c r="B204" s="36"/>
      <c r="G204" s="63"/>
      <c r="H204" s="33"/>
      <c r="I204" s="33"/>
      <c r="J204" s="33"/>
      <c r="K204" s="37"/>
      <c r="L204" s="37"/>
    </row>
    <row r="205" spans="2:12" x14ac:dyDescent="0.2">
      <c r="B205" s="36"/>
      <c r="G205" s="63"/>
      <c r="H205" s="33"/>
      <c r="I205" s="33"/>
      <c r="J205" s="33"/>
      <c r="K205" s="37"/>
      <c r="L205" s="37"/>
    </row>
    <row r="206" spans="2:12" x14ac:dyDescent="0.2">
      <c r="B206" s="36"/>
      <c r="G206" s="63"/>
      <c r="H206" s="33"/>
      <c r="I206" s="33"/>
      <c r="J206" s="33"/>
      <c r="K206" s="37"/>
      <c r="L206" s="37"/>
    </row>
    <row r="207" spans="2:12" x14ac:dyDescent="0.2">
      <c r="B207" s="36"/>
      <c r="G207" s="63"/>
      <c r="H207" s="33"/>
      <c r="I207" s="33"/>
      <c r="J207" s="33"/>
      <c r="K207" s="37"/>
      <c r="L207" s="37"/>
    </row>
    <row r="208" spans="2:12" x14ac:dyDescent="0.2">
      <c r="B208" s="36"/>
      <c r="G208" s="63"/>
      <c r="H208" s="33"/>
      <c r="I208" s="33"/>
      <c r="J208" s="33"/>
      <c r="K208" s="37"/>
      <c r="L208" s="37"/>
    </row>
    <row r="209" spans="2:12" x14ac:dyDescent="0.2">
      <c r="B209" s="36"/>
      <c r="G209" s="63"/>
      <c r="H209" s="33"/>
      <c r="I209" s="33"/>
      <c r="J209" s="33"/>
      <c r="K209" s="37"/>
      <c r="L209" s="37"/>
    </row>
    <row r="210" spans="2:12" x14ac:dyDescent="0.2">
      <c r="B210" s="36"/>
      <c r="G210" s="63"/>
      <c r="H210" s="33"/>
      <c r="I210" s="33"/>
      <c r="J210" s="33"/>
      <c r="K210" s="37"/>
      <c r="L210" s="37"/>
    </row>
    <row r="211" spans="2:12" x14ac:dyDescent="0.2">
      <c r="B211" s="36"/>
      <c r="G211" s="63"/>
      <c r="H211" s="33"/>
      <c r="I211" s="33"/>
      <c r="J211" s="33"/>
      <c r="K211" s="37"/>
      <c r="L211" s="37"/>
    </row>
    <row r="212" spans="2:12" x14ac:dyDescent="0.2">
      <c r="B212" s="36"/>
      <c r="G212" s="63"/>
      <c r="H212" s="33"/>
      <c r="I212" s="33"/>
      <c r="J212" s="33"/>
      <c r="K212" s="37"/>
      <c r="L212" s="37"/>
    </row>
    <row r="213" spans="2:12" x14ac:dyDescent="0.2">
      <c r="B213" s="36"/>
      <c r="G213" s="63"/>
      <c r="H213" s="33"/>
      <c r="I213" s="33"/>
      <c r="J213" s="33"/>
      <c r="K213" s="37"/>
      <c r="L213" s="37"/>
    </row>
    <row r="214" spans="2:12" x14ac:dyDescent="0.2">
      <c r="B214" s="36"/>
      <c r="G214" s="63"/>
      <c r="H214" s="33"/>
      <c r="I214" s="33"/>
      <c r="J214" s="33"/>
      <c r="K214" s="37"/>
      <c r="L214" s="37"/>
    </row>
    <row r="215" spans="2:12" x14ac:dyDescent="0.2">
      <c r="B215" s="36"/>
      <c r="G215" s="63"/>
      <c r="H215" s="33"/>
      <c r="I215" s="33"/>
      <c r="J215" s="33"/>
      <c r="K215" s="37"/>
      <c r="L215" s="37"/>
    </row>
    <row r="216" spans="2:12" x14ac:dyDescent="0.2">
      <c r="B216" s="36"/>
      <c r="G216" s="63"/>
      <c r="H216" s="33"/>
      <c r="I216" s="33"/>
      <c r="J216" s="33"/>
      <c r="K216" s="37"/>
      <c r="L216" s="37"/>
    </row>
    <row r="217" spans="2:12" x14ac:dyDescent="0.2">
      <c r="B217" s="36"/>
      <c r="G217" s="63"/>
      <c r="H217" s="33"/>
      <c r="I217" s="33"/>
      <c r="J217" s="33"/>
      <c r="K217" s="37"/>
      <c r="L217" s="37"/>
    </row>
    <row r="218" spans="2:12" x14ac:dyDescent="0.2">
      <c r="B218" s="36"/>
      <c r="G218" s="63"/>
      <c r="H218" s="33"/>
      <c r="I218" s="33"/>
      <c r="J218" s="33"/>
      <c r="K218" s="37"/>
      <c r="L218" s="37"/>
    </row>
    <row r="219" spans="2:12" x14ac:dyDescent="0.2">
      <c r="B219" s="36"/>
      <c r="G219" s="63"/>
      <c r="H219" s="33"/>
      <c r="I219" s="33"/>
      <c r="J219" s="33"/>
      <c r="K219" s="37"/>
      <c r="L219" s="37"/>
    </row>
    <row r="220" spans="2:12" x14ac:dyDescent="0.2">
      <c r="B220" s="36"/>
      <c r="G220" s="63"/>
      <c r="H220" s="33"/>
      <c r="I220" s="33"/>
      <c r="J220" s="33"/>
      <c r="K220" s="37"/>
      <c r="L220" s="37"/>
    </row>
    <row r="221" spans="2:12" x14ac:dyDescent="0.2">
      <c r="B221" s="36"/>
      <c r="G221" s="63"/>
      <c r="H221" s="33"/>
      <c r="I221" s="33"/>
      <c r="J221" s="33"/>
      <c r="K221" s="37"/>
      <c r="L221" s="37"/>
    </row>
    <row r="222" spans="2:12" x14ac:dyDescent="0.2">
      <c r="B222" s="36"/>
      <c r="G222" s="63"/>
      <c r="H222" s="33"/>
      <c r="I222" s="33"/>
      <c r="J222" s="33"/>
      <c r="K222" s="37"/>
      <c r="L222" s="37"/>
    </row>
    <row r="223" spans="2:12" x14ac:dyDescent="0.2">
      <c r="B223" s="36"/>
      <c r="G223" s="63"/>
      <c r="H223" s="33"/>
      <c r="I223" s="33"/>
      <c r="J223" s="33"/>
      <c r="K223" s="37"/>
      <c r="L223" s="37"/>
    </row>
    <row r="224" spans="2:12" x14ac:dyDescent="0.2">
      <c r="B224" s="36"/>
      <c r="G224" s="63"/>
      <c r="H224" s="33"/>
      <c r="I224" s="33"/>
      <c r="J224" s="33"/>
      <c r="K224" s="37"/>
      <c r="L224" s="37"/>
    </row>
    <row r="225" spans="2:12" x14ac:dyDescent="0.2">
      <c r="B225" s="36"/>
      <c r="G225" s="63"/>
      <c r="H225" s="33"/>
      <c r="I225" s="33"/>
      <c r="J225" s="33"/>
      <c r="K225" s="37"/>
      <c r="L225" s="37"/>
    </row>
    <row r="226" spans="2:12" x14ac:dyDescent="0.2">
      <c r="B226" s="36"/>
      <c r="G226" s="63"/>
      <c r="H226" s="33"/>
      <c r="I226" s="33"/>
      <c r="J226" s="33"/>
      <c r="K226" s="37"/>
      <c r="L226" s="37"/>
    </row>
    <row r="227" spans="2:12" x14ac:dyDescent="0.2">
      <c r="B227" s="36"/>
      <c r="G227" s="63"/>
      <c r="H227" s="33"/>
      <c r="I227" s="33"/>
      <c r="J227" s="33"/>
      <c r="K227" s="37"/>
      <c r="L227" s="37"/>
    </row>
    <row r="228" spans="2:12" x14ac:dyDescent="0.2">
      <c r="B228" s="36"/>
      <c r="G228" s="63"/>
      <c r="H228" s="33"/>
      <c r="I228" s="33"/>
      <c r="J228" s="33"/>
      <c r="K228" s="37"/>
      <c r="L228" s="37"/>
    </row>
    <row r="229" spans="2:12" x14ac:dyDescent="0.2">
      <c r="B229" s="36"/>
      <c r="G229" s="63"/>
      <c r="H229" s="33"/>
      <c r="I229" s="33"/>
      <c r="J229" s="33"/>
      <c r="K229" s="37"/>
      <c r="L229" s="37"/>
    </row>
    <row r="230" spans="2:12" x14ac:dyDescent="0.2">
      <c r="B230" s="36"/>
      <c r="G230" s="63"/>
      <c r="H230" s="33"/>
      <c r="I230" s="33"/>
      <c r="J230" s="33"/>
      <c r="K230" s="37"/>
      <c r="L230" s="37"/>
    </row>
    <row r="231" spans="2:12" x14ac:dyDescent="0.2">
      <c r="B231" s="36"/>
      <c r="G231" s="63"/>
      <c r="H231" s="33"/>
      <c r="I231" s="33"/>
      <c r="J231" s="33"/>
      <c r="K231" s="37"/>
      <c r="L231" s="37"/>
    </row>
    <row r="232" spans="2:12" x14ac:dyDescent="0.2">
      <c r="B232" s="36"/>
      <c r="G232" s="63"/>
      <c r="H232" s="33"/>
      <c r="I232" s="33"/>
      <c r="J232" s="33"/>
      <c r="K232" s="37"/>
      <c r="L232" s="37"/>
    </row>
    <row r="233" spans="2:12" x14ac:dyDescent="0.2">
      <c r="B233" s="36"/>
      <c r="G233" s="63"/>
      <c r="H233" s="33"/>
      <c r="I233" s="33"/>
      <c r="J233" s="33"/>
      <c r="K233" s="37"/>
      <c r="L233" s="37"/>
    </row>
    <row r="234" spans="2:12" x14ac:dyDescent="0.2">
      <c r="B234" s="36"/>
      <c r="G234" s="63"/>
      <c r="H234" s="33"/>
      <c r="I234" s="33"/>
      <c r="J234" s="33"/>
      <c r="K234" s="37"/>
      <c r="L234" s="37"/>
    </row>
    <row r="235" spans="2:12" x14ac:dyDescent="0.2">
      <c r="B235" s="36"/>
      <c r="G235" s="63"/>
      <c r="H235" s="33"/>
      <c r="I235" s="33"/>
      <c r="J235" s="33"/>
      <c r="K235" s="37"/>
      <c r="L235" s="37"/>
    </row>
    <row r="236" spans="2:12" x14ac:dyDescent="0.2">
      <c r="B236" s="36"/>
      <c r="G236" s="63"/>
      <c r="H236" s="33"/>
      <c r="I236" s="33"/>
      <c r="J236" s="33"/>
      <c r="K236" s="37"/>
      <c r="L236" s="37"/>
    </row>
    <row r="237" spans="2:12" x14ac:dyDescent="0.2">
      <c r="B237" s="36"/>
      <c r="G237" s="63"/>
      <c r="H237" s="33"/>
      <c r="I237" s="33"/>
      <c r="J237" s="33"/>
      <c r="K237" s="37"/>
      <c r="L237" s="37"/>
    </row>
    <row r="238" spans="2:12" x14ac:dyDescent="0.2">
      <c r="B238" s="36"/>
      <c r="G238" s="63"/>
      <c r="H238" s="33"/>
      <c r="I238" s="33"/>
      <c r="J238" s="33"/>
      <c r="K238" s="37"/>
      <c r="L238" s="37"/>
    </row>
    <row r="239" spans="2:12" x14ac:dyDescent="0.2">
      <c r="B239" s="36"/>
      <c r="G239" s="63"/>
      <c r="H239" s="33"/>
      <c r="I239" s="33"/>
      <c r="J239" s="33"/>
      <c r="K239" s="37"/>
      <c r="L239" s="37"/>
    </row>
    <row r="240" spans="2:12" x14ac:dyDescent="0.2">
      <c r="B240" s="36"/>
      <c r="G240" s="63"/>
      <c r="H240" s="33"/>
      <c r="I240" s="33"/>
      <c r="J240" s="33"/>
      <c r="K240" s="37"/>
      <c r="L240" s="37"/>
    </row>
    <row r="241" spans="2:12" x14ac:dyDescent="0.2">
      <c r="B241" s="36"/>
      <c r="G241" s="63"/>
      <c r="H241" s="33"/>
      <c r="I241" s="33"/>
      <c r="J241" s="33"/>
      <c r="K241" s="37"/>
      <c r="L241" s="37"/>
    </row>
    <row r="242" spans="2:12" x14ac:dyDescent="0.2">
      <c r="B242" s="36"/>
      <c r="G242" s="63"/>
      <c r="H242" s="33"/>
      <c r="I242" s="33"/>
      <c r="J242" s="33"/>
      <c r="K242" s="37"/>
      <c r="L242" s="37"/>
    </row>
    <row r="243" spans="2:12" x14ac:dyDescent="0.2">
      <c r="B243" s="36"/>
      <c r="G243" s="63"/>
      <c r="H243" s="33"/>
      <c r="I243" s="33"/>
      <c r="J243" s="33"/>
      <c r="K243" s="37"/>
      <c r="L243" s="37"/>
    </row>
    <row r="244" spans="2:12" x14ac:dyDescent="0.2">
      <c r="B244" s="36"/>
      <c r="G244" s="63"/>
      <c r="H244" s="33"/>
      <c r="I244" s="33"/>
      <c r="J244" s="33"/>
      <c r="K244" s="37"/>
      <c r="L244" s="37"/>
    </row>
    <row r="245" spans="2:12" x14ac:dyDescent="0.2">
      <c r="B245" s="36"/>
      <c r="G245" s="63"/>
      <c r="H245" s="33"/>
      <c r="I245" s="33"/>
      <c r="J245" s="33"/>
      <c r="K245" s="37"/>
      <c r="L245" s="37"/>
    </row>
    <row r="246" spans="2:12" x14ac:dyDescent="0.2">
      <c r="B246" s="36"/>
      <c r="G246" s="63"/>
      <c r="H246" s="33"/>
      <c r="I246" s="33"/>
      <c r="J246" s="33"/>
      <c r="K246" s="37"/>
      <c r="L246" s="37"/>
    </row>
    <row r="247" spans="2:12" x14ac:dyDescent="0.2">
      <c r="B247" s="36"/>
      <c r="G247" s="63"/>
      <c r="H247" s="33"/>
      <c r="I247" s="33"/>
      <c r="J247" s="33"/>
      <c r="K247" s="37"/>
      <c r="L247" s="37"/>
    </row>
    <row r="248" spans="2:12" x14ac:dyDescent="0.2">
      <c r="B248" s="36"/>
      <c r="G248" s="63"/>
      <c r="H248" s="33"/>
      <c r="I248" s="33"/>
      <c r="J248" s="33"/>
      <c r="K248" s="37"/>
      <c r="L248" s="37"/>
    </row>
    <row r="249" spans="2:12" x14ac:dyDescent="0.2">
      <c r="B249" s="36"/>
      <c r="G249" s="63"/>
      <c r="H249" s="33"/>
      <c r="I249" s="33"/>
      <c r="J249" s="33"/>
      <c r="K249" s="37"/>
      <c r="L249" s="37"/>
    </row>
    <row r="250" spans="2:12" x14ac:dyDescent="0.2">
      <c r="B250" s="36"/>
      <c r="G250" s="63"/>
      <c r="H250" s="33"/>
      <c r="I250" s="33"/>
      <c r="J250" s="33"/>
      <c r="K250" s="37"/>
      <c r="L250" s="37"/>
    </row>
    <row r="251" spans="2:12" x14ac:dyDescent="0.2">
      <c r="B251" s="36"/>
      <c r="G251" s="63"/>
      <c r="H251" s="33"/>
      <c r="I251" s="33"/>
      <c r="J251" s="33"/>
      <c r="K251" s="37"/>
      <c r="L251" s="37"/>
    </row>
    <row r="252" spans="2:12" x14ac:dyDescent="0.2">
      <c r="B252" s="36"/>
      <c r="G252" s="63"/>
      <c r="H252" s="33"/>
      <c r="I252" s="33"/>
      <c r="J252" s="33"/>
      <c r="K252" s="37"/>
      <c r="L252" s="37"/>
    </row>
    <row r="253" spans="2:12" x14ac:dyDescent="0.2">
      <c r="B253" s="36"/>
      <c r="G253" s="63"/>
      <c r="H253" s="33"/>
      <c r="I253" s="33"/>
      <c r="J253" s="33"/>
      <c r="K253" s="37"/>
      <c r="L253" s="37"/>
    </row>
    <row r="254" spans="2:12" x14ac:dyDescent="0.2">
      <c r="B254" s="36"/>
      <c r="G254" s="63"/>
      <c r="H254" s="33"/>
      <c r="I254" s="33"/>
      <c r="J254" s="33"/>
      <c r="K254" s="37"/>
      <c r="L254" s="37"/>
    </row>
    <row r="255" spans="2:12" x14ac:dyDescent="0.2">
      <c r="B255" s="36"/>
      <c r="G255" s="63"/>
      <c r="H255" s="33"/>
      <c r="I255" s="33"/>
      <c r="J255" s="33"/>
      <c r="K255" s="37"/>
      <c r="L255" s="37"/>
    </row>
    <row r="256" spans="2:12" x14ac:dyDescent="0.2">
      <c r="B256" s="36"/>
      <c r="G256" s="63"/>
      <c r="H256" s="33"/>
      <c r="I256" s="33"/>
      <c r="J256" s="33"/>
      <c r="K256" s="37"/>
      <c r="L256" s="37"/>
    </row>
    <row r="257" spans="2:12" x14ac:dyDescent="0.2">
      <c r="B257" s="36"/>
      <c r="G257" s="63"/>
      <c r="H257" s="33"/>
      <c r="I257" s="33"/>
      <c r="J257" s="33"/>
      <c r="K257" s="37"/>
      <c r="L257" s="37"/>
    </row>
    <row r="258" spans="2:12" x14ac:dyDescent="0.2">
      <c r="B258" s="36"/>
      <c r="G258" s="63"/>
      <c r="H258" s="33"/>
      <c r="I258" s="33"/>
      <c r="J258" s="33"/>
      <c r="K258" s="37"/>
      <c r="L258" s="37"/>
    </row>
    <row r="259" spans="2:12" x14ac:dyDescent="0.2">
      <c r="B259" s="36"/>
      <c r="G259" s="63"/>
      <c r="H259" s="33"/>
      <c r="I259" s="33"/>
      <c r="J259" s="33"/>
      <c r="K259" s="37"/>
      <c r="L259" s="37"/>
    </row>
    <row r="260" spans="2:12" x14ac:dyDescent="0.2">
      <c r="B260" s="36"/>
      <c r="G260" s="63"/>
      <c r="H260" s="33"/>
      <c r="I260" s="33"/>
      <c r="J260" s="33"/>
      <c r="K260" s="37"/>
      <c r="L260" s="37"/>
    </row>
    <row r="261" spans="2:12" x14ac:dyDescent="0.2">
      <c r="B261" s="36"/>
      <c r="G261" s="63"/>
      <c r="H261" s="33"/>
      <c r="I261" s="33"/>
      <c r="J261" s="33"/>
      <c r="K261" s="37"/>
      <c r="L261" s="37"/>
    </row>
    <row r="262" spans="2:12" x14ac:dyDescent="0.2">
      <c r="B262" s="36"/>
      <c r="G262" s="63"/>
      <c r="H262" s="33"/>
      <c r="I262" s="33"/>
      <c r="J262" s="33"/>
      <c r="K262" s="37"/>
      <c r="L262" s="37"/>
    </row>
    <row r="263" spans="2:12" x14ac:dyDescent="0.2">
      <c r="B263" s="36"/>
      <c r="G263" s="63"/>
      <c r="H263" s="33"/>
      <c r="I263" s="33"/>
      <c r="J263" s="33"/>
      <c r="K263" s="37"/>
      <c r="L263" s="37"/>
    </row>
    <row r="264" spans="2:12" x14ac:dyDescent="0.2">
      <c r="B264" s="36"/>
      <c r="G264" s="63"/>
      <c r="H264" s="33"/>
      <c r="I264" s="33"/>
      <c r="J264" s="33"/>
      <c r="K264" s="37"/>
      <c r="L264" s="37"/>
    </row>
    <row r="265" spans="2:12" x14ac:dyDescent="0.2">
      <c r="B265" s="36"/>
      <c r="G265" s="63"/>
      <c r="H265" s="33"/>
      <c r="I265" s="33"/>
      <c r="J265" s="33"/>
      <c r="K265" s="37"/>
      <c r="L265" s="37"/>
    </row>
    <row r="266" spans="2:12" x14ac:dyDescent="0.2">
      <c r="B266" s="36"/>
      <c r="G266" s="63"/>
      <c r="H266" s="33"/>
      <c r="I266" s="33"/>
      <c r="J266" s="33"/>
      <c r="K266" s="37"/>
      <c r="L266" s="37"/>
    </row>
    <row r="267" spans="2:12" x14ac:dyDescent="0.2">
      <c r="B267" s="36"/>
      <c r="G267" s="63"/>
      <c r="H267" s="33"/>
      <c r="I267" s="33"/>
      <c r="J267" s="33"/>
      <c r="K267" s="37"/>
      <c r="L267" s="37"/>
    </row>
    <row r="268" spans="2:12" x14ac:dyDescent="0.2">
      <c r="B268" s="36"/>
      <c r="G268" s="63"/>
      <c r="H268" s="33"/>
      <c r="I268" s="33"/>
      <c r="J268" s="33"/>
      <c r="K268" s="37"/>
      <c r="L268" s="37"/>
    </row>
    <row r="269" spans="2:12" x14ac:dyDescent="0.2">
      <c r="B269" s="36"/>
      <c r="G269" s="63"/>
      <c r="H269" s="33"/>
      <c r="I269" s="33"/>
      <c r="J269" s="33"/>
      <c r="K269" s="37"/>
      <c r="L269" s="37"/>
    </row>
    <row r="270" spans="2:12" x14ac:dyDescent="0.2">
      <c r="B270" s="36"/>
      <c r="G270" s="63"/>
      <c r="H270" s="33"/>
      <c r="I270" s="33"/>
      <c r="J270" s="33"/>
      <c r="K270" s="37"/>
      <c r="L270" s="37"/>
    </row>
    <row r="271" spans="2:12" x14ac:dyDescent="0.2">
      <c r="B271" s="36"/>
      <c r="G271" s="63"/>
      <c r="H271" s="33"/>
      <c r="I271" s="33"/>
      <c r="J271" s="33"/>
      <c r="K271" s="37"/>
      <c r="L271" s="37"/>
    </row>
    <row r="272" spans="2:12" x14ac:dyDescent="0.2">
      <c r="B272" s="36"/>
      <c r="G272" s="63"/>
      <c r="H272" s="33"/>
      <c r="I272" s="33"/>
      <c r="J272" s="33"/>
      <c r="K272" s="37"/>
      <c r="L272" s="37"/>
    </row>
    <row r="273" spans="2:12" x14ac:dyDescent="0.2">
      <c r="B273" s="36"/>
      <c r="G273" s="63"/>
      <c r="H273" s="33"/>
      <c r="I273" s="33"/>
      <c r="J273" s="33"/>
      <c r="K273" s="37"/>
      <c r="L273" s="37"/>
    </row>
    <row r="274" spans="2:12" x14ac:dyDescent="0.2">
      <c r="B274" s="36"/>
      <c r="G274" s="63"/>
      <c r="H274" s="33"/>
      <c r="I274" s="33"/>
      <c r="J274" s="33"/>
      <c r="K274" s="37"/>
      <c r="L274" s="37"/>
    </row>
    <row r="275" spans="2:12" x14ac:dyDescent="0.2">
      <c r="B275" s="36"/>
      <c r="G275" s="63"/>
      <c r="H275" s="33"/>
      <c r="I275" s="33"/>
      <c r="J275" s="33"/>
      <c r="K275" s="37"/>
      <c r="L275" s="37"/>
    </row>
    <row r="276" spans="2:12" x14ac:dyDescent="0.2">
      <c r="B276" s="36"/>
      <c r="G276" s="63"/>
      <c r="H276" s="33"/>
      <c r="I276" s="33"/>
      <c r="J276" s="33"/>
      <c r="K276" s="37"/>
      <c r="L276" s="37"/>
    </row>
    <row r="277" spans="2:12" x14ac:dyDescent="0.2">
      <c r="B277" s="36"/>
      <c r="G277" s="63"/>
      <c r="H277" s="33"/>
      <c r="I277" s="33"/>
      <c r="J277" s="33"/>
      <c r="K277" s="37"/>
      <c r="L277" s="37"/>
    </row>
    <row r="278" spans="2:12" x14ac:dyDescent="0.2">
      <c r="B278" s="36"/>
      <c r="G278" s="63"/>
      <c r="H278" s="33"/>
      <c r="I278" s="33"/>
      <c r="J278" s="33"/>
      <c r="K278" s="37"/>
      <c r="L278" s="37"/>
    </row>
    <row r="279" spans="2:12" x14ac:dyDescent="0.2">
      <c r="B279" s="36"/>
      <c r="G279" s="63"/>
      <c r="H279" s="33"/>
      <c r="I279" s="33"/>
      <c r="J279" s="33"/>
      <c r="K279" s="37"/>
      <c r="L279" s="37"/>
    </row>
    <row r="280" spans="2:12" x14ac:dyDescent="0.2">
      <c r="B280" s="36"/>
      <c r="G280" s="63"/>
      <c r="H280" s="33"/>
      <c r="I280" s="33"/>
      <c r="J280" s="33"/>
      <c r="K280" s="37"/>
      <c r="L280" s="37"/>
    </row>
    <row r="281" spans="2:12" x14ac:dyDescent="0.2">
      <c r="B281" s="36"/>
      <c r="G281" s="63"/>
      <c r="H281" s="33"/>
      <c r="I281" s="33"/>
      <c r="J281" s="33"/>
      <c r="K281" s="37"/>
      <c r="L281" s="37"/>
    </row>
    <row r="282" spans="2:12" x14ac:dyDescent="0.2">
      <c r="B282" s="36"/>
      <c r="G282" s="63"/>
      <c r="H282" s="33"/>
      <c r="I282" s="33"/>
      <c r="J282" s="33"/>
      <c r="K282" s="37"/>
      <c r="L282" s="37"/>
    </row>
    <row r="283" spans="2:12" x14ac:dyDescent="0.2">
      <c r="B283" s="36"/>
      <c r="G283" s="63"/>
      <c r="H283" s="33"/>
      <c r="I283" s="33"/>
      <c r="J283" s="33"/>
      <c r="K283" s="37"/>
      <c r="L283" s="37"/>
    </row>
    <row r="284" spans="2:12" x14ac:dyDescent="0.2">
      <c r="B284" s="36"/>
      <c r="G284" s="63"/>
      <c r="H284" s="33"/>
      <c r="I284" s="33"/>
      <c r="J284" s="33"/>
      <c r="K284" s="37"/>
      <c r="L284" s="37"/>
    </row>
    <row r="285" spans="2:12" x14ac:dyDescent="0.2">
      <c r="B285" s="36"/>
      <c r="G285" s="63"/>
      <c r="H285" s="33"/>
      <c r="I285" s="33"/>
      <c r="J285" s="33"/>
      <c r="K285" s="37"/>
      <c r="L285" s="37"/>
    </row>
    <row r="286" spans="2:12" x14ac:dyDescent="0.2">
      <c r="B286" s="36"/>
      <c r="G286" s="63"/>
      <c r="H286" s="33"/>
      <c r="I286" s="33"/>
      <c r="J286" s="33"/>
      <c r="K286" s="37"/>
      <c r="L286" s="37"/>
    </row>
    <row r="287" spans="2:12" x14ac:dyDescent="0.2">
      <c r="B287" s="36"/>
      <c r="G287" s="63"/>
      <c r="H287" s="33"/>
      <c r="I287" s="33"/>
      <c r="J287" s="33"/>
      <c r="K287" s="37"/>
      <c r="L287" s="37"/>
    </row>
    <row r="288" spans="2:12" x14ac:dyDescent="0.2">
      <c r="B288" s="36"/>
      <c r="G288" s="63"/>
      <c r="H288" s="33"/>
      <c r="I288" s="33"/>
      <c r="J288" s="33"/>
      <c r="K288" s="37"/>
      <c r="L288" s="37"/>
    </row>
    <row r="289" spans="2:12" x14ac:dyDescent="0.2">
      <c r="B289" s="36"/>
      <c r="G289" s="63"/>
      <c r="H289" s="33"/>
      <c r="I289" s="33"/>
      <c r="J289" s="33"/>
      <c r="K289" s="37"/>
      <c r="L289" s="37"/>
    </row>
    <row r="290" spans="2:12" x14ac:dyDescent="0.2">
      <c r="B290" s="36"/>
      <c r="G290" s="63"/>
      <c r="H290" s="33"/>
      <c r="I290" s="33"/>
      <c r="J290" s="33"/>
      <c r="K290" s="37"/>
      <c r="L290" s="37"/>
    </row>
    <row r="291" spans="2:12" x14ac:dyDescent="0.2">
      <c r="B291" s="36"/>
      <c r="G291" s="63"/>
      <c r="H291" s="33"/>
      <c r="I291" s="33"/>
      <c r="J291" s="33"/>
      <c r="K291" s="37"/>
      <c r="L291" s="37"/>
    </row>
    <row r="292" spans="2:12" x14ac:dyDescent="0.2">
      <c r="B292" s="36"/>
      <c r="G292" s="63"/>
      <c r="H292" s="33"/>
      <c r="I292" s="33"/>
      <c r="J292" s="33"/>
      <c r="K292" s="37"/>
      <c r="L292" s="37"/>
    </row>
    <row r="293" spans="2:12" x14ac:dyDescent="0.2">
      <c r="B293" s="36"/>
      <c r="G293" s="63"/>
      <c r="H293" s="33"/>
      <c r="I293" s="33"/>
      <c r="J293" s="33"/>
      <c r="K293" s="37"/>
      <c r="L293" s="37"/>
    </row>
    <row r="294" spans="2:12" x14ac:dyDescent="0.2">
      <c r="B294" s="36"/>
      <c r="G294" s="63"/>
      <c r="H294" s="33"/>
      <c r="I294" s="33"/>
      <c r="J294" s="33"/>
      <c r="K294" s="37"/>
      <c r="L294" s="37"/>
    </row>
    <row r="295" spans="2:12" x14ac:dyDescent="0.2">
      <c r="B295" s="36"/>
      <c r="G295" s="63"/>
      <c r="H295" s="33"/>
      <c r="I295" s="33"/>
      <c r="J295" s="33"/>
      <c r="K295" s="37"/>
      <c r="L295" s="37"/>
    </row>
    <row r="296" spans="2:12" x14ac:dyDescent="0.2">
      <c r="B296" s="36"/>
      <c r="G296" s="63"/>
      <c r="H296" s="33"/>
      <c r="I296" s="33"/>
      <c r="J296" s="33"/>
      <c r="K296" s="37"/>
      <c r="L296" s="37"/>
    </row>
    <row r="297" spans="2:12" x14ac:dyDescent="0.2">
      <c r="B297" s="36"/>
      <c r="G297" s="63"/>
      <c r="H297" s="33"/>
      <c r="I297" s="33"/>
      <c r="J297" s="33"/>
      <c r="K297" s="37"/>
      <c r="L297" s="37"/>
    </row>
    <row r="298" spans="2:12" x14ac:dyDescent="0.2">
      <c r="B298" s="36"/>
      <c r="G298" s="63"/>
      <c r="H298" s="33"/>
      <c r="I298" s="33"/>
      <c r="J298" s="33"/>
      <c r="K298" s="37"/>
      <c r="L298" s="37"/>
    </row>
    <row r="299" spans="2:12" x14ac:dyDescent="0.2">
      <c r="B299" s="36"/>
      <c r="G299" s="63"/>
      <c r="H299" s="33"/>
      <c r="I299" s="33"/>
      <c r="J299" s="33"/>
      <c r="K299" s="37"/>
      <c r="L299" s="37"/>
    </row>
    <row r="300" spans="2:12" x14ac:dyDescent="0.2">
      <c r="B300" s="36"/>
      <c r="G300" s="63"/>
      <c r="H300" s="33"/>
      <c r="I300" s="33"/>
      <c r="J300" s="33"/>
      <c r="K300" s="37"/>
      <c r="L300" s="37"/>
    </row>
    <row r="301" spans="2:12" x14ac:dyDescent="0.2">
      <c r="B301" s="36"/>
      <c r="G301" s="63"/>
      <c r="H301" s="33"/>
      <c r="I301" s="33"/>
      <c r="J301" s="33"/>
      <c r="K301" s="37"/>
      <c r="L301" s="37"/>
    </row>
    <row r="302" spans="2:12" x14ac:dyDescent="0.2">
      <c r="B302" s="36"/>
      <c r="G302" s="63"/>
      <c r="H302" s="33"/>
      <c r="I302" s="33"/>
      <c r="J302" s="33"/>
      <c r="K302" s="37"/>
      <c r="L302" s="37"/>
    </row>
    <row r="303" spans="2:12" x14ac:dyDescent="0.2">
      <c r="B303" s="36"/>
      <c r="G303" s="63"/>
      <c r="H303" s="33"/>
      <c r="I303" s="33"/>
      <c r="J303" s="33"/>
      <c r="K303" s="37"/>
      <c r="L303" s="37"/>
    </row>
    <row r="304" spans="2:12" x14ac:dyDescent="0.2">
      <c r="B304" s="36"/>
      <c r="G304" s="63"/>
      <c r="H304" s="33"/>
      <c r="I304" s="33"/>
      <c r="J304" s="33"/>
      <c r="K304" s="37"/>
      <c r="L304" s="37"/>
    </row>
    <row r="305" spans="2:12" x14ac:dyDescent="0.2">
      <c r="B305" s="36"/>
      <c r="G305" s="63"/>
      <c r="H305" s="33"/>
      <c r="I305" s="33"/>
      <c r="J305" s="33"/>
      <c r="K305" s="37"/>
      <c r="L305" s="37"/>
    </row>
    <row r="306" spans="2:12" x14ac:dyDescent="0.2">
      <c r="B306" s="36"/>
      <c r="G306" s="63"/>
      <c r="H306" s="33"/>
      <c r="I306" s="33"/>
      <c r="J306" s="33"/>
      <c r="K306" s="37"/>
      <c r="L306" s="37"/>
    </row>
    <row r="307" spans="2:12" x14ac:dyDescent="0.2">
      <c r="B307" s="36"/>
      <c r="G307" s="63"/>
      <c r="H307" s="33"/>
      <c r="I307" s="33"/>
      <c r="J307" s="33"/>
      <c r="K307" s="37"/>
      <c r="L307" s="37"/>
    </row>
    <row r="308" spans="2:12" x14ac:dyDescent="0.2">
      <c r="B308" s="36"/>
      <c r="G308" s="63"/>
      <c r="H308" s="33"/>
      <c r="I308" s="33"/>
      <c r="J308" s="33"/>
      <c r="K308" s="37"/>
      <c r="L308" s="37"/>
    </row>
    <row r="309" spans="2:12" x14ac:dyDescent="0.2">
      <c r="B309" s="36"/>
      <c r="G309" s="63"/>
      <c r="H309" s="33"/>
      <c r="I309" s="33"/>
      <c r="J309" s="33"/>
      <c r="K309" s="37"/>
      <c r="L309" s="37"/>
    </row>
    <row r="310" spans="2:12" x14ac:dyDescent="0.2">
      <c r="B310" s="36"/>
      <c r="G310" s="63"/>
      <c r="H310" s="33"/>
      <c r="I310" s="33"/>
      <c r="J310" s="33"/>
      <c r="K310" s="37"/>
      <c r="L310" s="37"/>
    </row>
    <row r="311" spans="2:12" x14ac:dyDescent="0.2">
      <c r="B311" s="36"/>
      <c r="G311" s="63"/>
      <c r="H311" s="33"/>
      <c r="I311" s="33"/>
      <c r="J311" s="33"/>
      <c r="K311" s="37"/>
      <c r="L311" s="37"/>
    </row>
    <row r="312" spans="2:12" x14ac:dyDescent="0.2">
      <c r="B312" s="36"/>
      <c r="G312" s="63"/>
      <c r="H312" s="33"/>
      <c r="I312" s="33"/>
      <c r="J312" s="33"/>
      <c r="K312" s="37"/>
      <c r="L312" s="37"/>
    </row>
    <row r="313" spans="2:12" x14ac:dyDescent="0.2">
      <c r="B313" s="36"/>
      <c r="G313" s="63"/>
      <c r="H313" s="33"/>
      <c r="I313" s="33"/>
      <c r="J313" s="33"/>
      <c r="K313" s="37"/>
      <c r="L313" s="37"/>
    </row>
    <row r="314" spans="2:12" x14ac:dyDescent="0.2">
      <c r="B314" s="36"/>
      <c r="G314" s="63"/>
      <c r="H314" s="33"/>
      <c r="I314" s="33"/>
      <c r="J314" s="33"/>
      <c r="K314" s="37"/>
      <c r="L314" s="37"/>
    </row>
    <row r="315" spans="2:12" x14ac:dyDescent="0.2">
      <c r="B315" s="36"/>
      <c r="G315" s="63"/>
      <c r="H315" s="33"/>
      <c r="I315" s="33"/>
      <c r="J315" s="33"/>
      <c r="K315" s="37"/>
      <c r="L315" s="37"/>
    </row>
    <row r="316" spans="2:12" x14ac:dyDescent="0.2">
      <c r="B316" s="36"/>
      <c r="G316" s="63"/>
      <c r="H316" s="33"/>
      <c r="I316" s="33"/>
      <c r="J316" s="33"/>
      <c r="K316" s="37"/>
      <c r="L316" s="37"/>
    </row>
    <row r="317" spans="2:12" x14ac:dyDescent="0.2">
      <c r="B317" s="36"/>
      <c r="G317" s="63"/>
      <c r="H317" s="33"/>
      <c r="I317" s="33"/>
      <c r="J317" s="33"/>
      <c r="K317" s="37"/>
      <c r="L317" s="37"/>
    </row>
    <row r="318" spans="2:12" x14ac:dyDescent="0.2">
      <c r="B318" s="36"/>
      <c r="G318" s="63"/>
      <c r="H318" s="33"/>
      <c r="I318" s="33"/>
      <c r="J318" s="33"/>
      <c r="K318" s="37"/>
      <c r="L318" s="37"/>
    </row>
    <row r="319" spans="2:12" x14ac:dyDescent="0.2">
      <c r="B319" s="36"/>
      <c r="G319" s="63"/>
      <c r="H319" s="33"/>
      <c r="I319" s="33"/>
      <c r="J319" s="33"/>
      <c r="K319" s="37"/>
      <c r="L319" s="37"/>
    </row>
    <row r="320" spans="2:12" x14ac:dyDescent="0.2">
      <c r="B320" s="36"/>
      <c r="G320" s="63"/>
      <c r="H320" s="33"/>
      <c r="I320" s="33"/>
      <c r="J320" s="33"/>
      <c r="K320" s="37"/>
      <c r="L320" s="37"/>
    </row>
    <row r="321" spans="2:12" x14ac:dyDescent="0.2">
      <c r="B321" s="36"/>
      <c r="G321" s="63"/>
      <c r="H321" s="33"/>
      <c r="I321" s="33"/>
      <c r="J321" s="33"/>
      <c r="K321" s="37"/>
      <c r="L321" s="37"/>
    </row>
    <row r="322" spans="2:12" x14ac:dyDescent="0.2">
      <c r="B322" s="36"/>
      <c r="G322" s="63"/>
      <c r="H322" s="33"/>
      <c r="I322" s="33"/>
      <c r="J322" s="33"/>
      <c r="K322" s="37"/>
      <c r="L322" s="37"/>
    </row>
    <row r="323" spans="2:12" x14ac:dyDescent="0.2">
      <c r="B323" s="36"/>
      <c r="G323" s="63"/>
      <c r="H323" s="33"/>
      <c r="I323" s="33"/>
      <c r="J323" s="33"/>
      <c r="K323" s="37"/>
      <c r="L323" s="37"/>
    </row>
    <row r="324" spans="2:12" x14ac:dyDescent="0.2">
      <c r="B324" s="36"/>
      <c r="G324" s="63"/>
      <c r="H324" s="33"/>
      <c r="I324" s="33"/>
      <c r="J324" s="33"/>
      <c r="K324" s="37"/>
      <c r="L324" s="37"/>
    </row>
    <row r="325" spans="2:12" x14ac:dyDescent="0.2">
      <c r="B325" s="36"/>
      <c r="G325" s="63"/>
      <c r="H325" s="33"/>
      <c r="I325" s="33"/>
      <c r="J325" s="33"/>
      <c r="K325" s="37"/>
      <c r="L325" s="37"/>
    </row>
    <row r="326" spans="2:12" x14ac:dyDescent="0.2">
      <c r="B326" s="36"/>
      <c r="G326" s="63"/>
      <c r="H326" s="33"/>
      <c r="I326" s="33"/>
      <c r="J326" s="33"/>
      <c r="K326" s="37"/>
      <c r="L326" s="37"/>
    </row>
    <row r="327" spans="2:12" x14ac:dyDescent="0.2">
      <c r="B327" s="36"/>
      <c r="G327" s="63"/>
      <c r="H327" s="33"/>
      <c r="I327" s="33"/>
      <c r="J327" s="33"/>
      <c r="K327" s="37"/>
      <c r="L327" s="37"/>
    </row>
    <row r="328" spans="2:12" x14ac:dyDescent="0.2">
      <c r="B328" s="36"/>
      <c r="G328" s="63"/>
      <c r="H328" s="33"/>
      <c r="I328" s="33"/>
      <c r="J328" s="33"/>
      <c r="K328" s="37"/>
      <c r="L328" s="37"/>
    </row>
    <row r="329" spans="2:12" x14ac:dyDescent="0.2">
      <c r="B329" s="36"/>
      <c r="G329" s="63"/>
      <c r="H329" s="33"/>
      <c r="I329" s="33"/>
      <c r="J329" s="33"/>
      <c r="K329" s="37"/>
      <c r="L329" s="37"/>
    </row>
    <row r="330" spans="2:12" x14ac:dyDescent="0.2">
      <c r="B330" s="36"/>
      <c r="G330" s="63"/>
      <c r="H330" s="33"/>
      <c r="I330" s="33"/>
      <c r="J330" s="33"/>
      <c r="K330" s="37"/>
      <c r="L330" s="37"/>
    </row>
    <row r="331" spans="2:12" x14ac:dyDescent="0.2">
      <c r="B331" s="36"/>
      <c r="G331" s="63"/>
      <c r="H331" s="33"/>
      <c r="I331" s="33"/>
      <c r="J331" s="33"/>
      <c r="K331" s="37"/>
      <c r="L331" s="37"/>
    </row>
    <row r="332" spans="2:12" x14ac:dyDescent="0.2">
      <c r="B332" s="36"/>
      <c r="G332" s="63"/>
      <c r="H332" s="33"/>
      <c r="I332" s="33"/>
      <c r="J332" s="33"/>
      <c r="K332" s="37"/>
      <c r="L332" s="37"/>
    </row>
    <row r="333" spans="2:12" x14ac:dyDescent="0.2">
      <c r="B333" s="36"/>
      <c r="G333" s="63"/>
      <c r="H333" s="33"/>
      <c r="I333" s="33"/>
      <c r="J333" s="33"/>
      <c r="K333" s="37"/>
      <c r="L333" s="37"/>
    </row>
    <row r="334" spans="2:12" x14ac:dyDescent="0.2">
      <c r="B334" s="36"/>
      <c r="G334" s="63"/>
      <c r="H334" s="33"/>
      <c r="I334" s="33"/>
      <c r="J334" s="33"/>
      <c r="K334" s="37"/>
      <c r="L334" s="37"/>
    </row>
    <row r="335" spans="2:12" x14ac:dyDescent="0.2">
      <c r="B335" s="36"/>
      <c r="G335" s="63"/>
      <c r="H335" s="33"/>
      <c r="I335" s="33"/>
      <c r="J335" s="33"/>
      <c r="K335" s="37"/>
      <c r="L335" s="37"/>
    </row>
    <row r="336" spans="2:12" x14ac:dyDescent="0.2">
      <c r="B336" s="36"/>
      <c r="G336" s="63"/>
      <c r="H336" s="33"/>
      <c r="I336" s="33"/>
      <c r="J336" s="33"/>
      <c r="K336" s="37"/>
      <c r="L336" s="37"/>
    </row>
    <row r="337" spans="2:12" x14ac:dyDescent="0.2">
      <c r="B337" s="36"/>
      <c r="G337" s="63"/>
      <c r="H337" s="33"/>
      <c r="I337" s="33"/>
      <c r="J337" s="33"/>
      <c r="K337" s="37"/>
      <c r="L337" s="37"/>
    </row>
    <row r="338" spans="2:12" x14ac:dyDescent="0.2">
      <c r="B338" s="36"/>
      <c r="G338" s="63"/>
      <c r="H338" s="33"/>
      <c r="I338" s="33"/>
      <c r="J338" s="33"/>
      <c r="K338" s="37"/>
      <c r="L338" s="37"/>
    </row>
    <row r="339" spans="2:12" x14ac:dyDescent="0.2">
      <c r="B339" s="36"/>
      <c r="G339" s="63"/>
      <c r="H339" s="33"/>
      <c r="I339" s="33"/>
      <c r="J339" s="33"/>
      <c r="K339" s="37"/>
      <c r="L339" s="37"/>
    </row>
    <row r="340" spans="2:12" x14ac:dyDescent="0.2">
      <c r="B340" s="36"/>
      <c r="G340" s="63"/>
      <c r="H340" s="33"/>
      <c r="I340" s="33"/>
      <c r="J340" s="33"/>
      <c r="K340" s="37"/>
      <c r="L340" s="37"/>
    </row>
    <row r="341" spans="2:12" x14ac:dyDescent="0.2">
      <c r="B341" s="36"/>
      <c r="G341" s="63"/>
      <c r="H341" s="33"/>
      <c r="I341" s="33"/>
      <c r="J341" s="33"/>
      <c r="K341" s="37"/>
      <c r="L341" s="37"/>
    </row>
    <row r="342" spans="2:12" x14ac:dyDescent="0.2">
      <c r="B342" s="36"/>
      <c r="G342" s="63"/>
      <c r="H342" s="33"/>
      <c r="I342" s="33"/>
      <c r="J342" s="33"/>
      <c r="K342" s="37"/>
      <c r="L342" s="37"/>
    </row>
    <row r="343" spans="2:12" x14ac:dyDescent="0.2">
      <c r="B343" s="36"/>
      <c r="G343" s="63"/>
      <c r="H343" s="33"/>
      <c r="I343" s="33"/>
      <c r="J343" s="33"/>
      <c r="K343" s="37"/>
      <c r="L343" s="37"/>
    </row>
    <row r="344" spans="2:12" x14ac:dyDescent="0.2">
      <c r="B344" s="36"/>
      <c r="G344" s="63"/>
      <c r="H344" s="33"/>
      <c r="I344" s="33"/>
      <c r="J344" s="33"/>
      <c r="K344" s="37"/>
      <c r="L344" s="37"/>
    </row>
    <row r="345" spans="2:12" x14ac:dyDescent="0.2">
      <c r="B345" s="36"/>
      <c r="G345" s="63"/>
      <c r="H345" s="33"/>
      <c r="I345" s="33"/>
      <c r="J345" s="33"/>
      <c r="K345" s="37"/>
      <c r="L345" s="37"/>
    </row>
    <row r="346" spans="2:12" x14ac:dyDescent="0.2">
      <c r="B346" s="36"/>
      <c r="G346" s="63"/>
      <c r="H346" s="33"/>
      <c r="I346" s="33"/>
      <c r="J346" s="33"/>
      <c r="K346" s="37"/>
      <c r="L346" s="37"/>
    </row>
    <row r="347" spans="2:12" x14ac:dyDescent="0.2">
      <c r="B347" s="36"/>
      <c r="G347" s="63"/>
      <c r="H347" s="33"/>
      <c r="I347" s="33"/>
      <c r="J347" s="33"/>
      <c r="K347" s="37"/>
      <c r="L347" s="37"/>
    </row>
    <row r="348" spans="2:12" x14ac:dyDescent="0.2">
      <c r="B348" s="36"/>
      <c r="G348" s="63"/>
      <c r="H348" s="33"/>
      <c r="I348" s="33"/>
      <c r="J348" s="33"/>
      <c r="K348" s="37"/>
      <c r="L348" s="37"/>
    </row>
    <row r="349" spans="2:12" x14ac:dyDescent="0.2">
      <c r="B349" s="36"/>
      <c r="G349" s="63"/>
      <c r="H349" s="33"/>
      <c r="I349" s="33"/>
      <c r="J349" s="33"/>
      <c r="K349" s="37"/>
      <c r="L349" s="37"/>
    </row>
    <row r="350" spans="2:12" x14ac:dyDescent="0.2">
      <c r="B350" s="36"/>
      <c r="G350" s="63"/>
      <c r="H350" s="33"/>
      <c r="I350" s="33"/>
      <c r="J350" s="33"/>
      <c r="K350" s="37"/>
      <c r="L350" s="37"/>
    </row>
    <row r="351" spans="2:12" x14ac:dyDescent="0.2">
      <c r="B351" s="36"/>
      <c r="G351" s="63"/>
      <c r="H351" s="33"/>
      <c r="I351" s="33"/>
      <c r="J351" s="33"/>
      <c r="K351" s="37"/>
      <c r="L351" s="37"/>
    </row>
    <row r="352" spans="2:12" x14ac:dyDescent="0.2">
      <c r="B352" s="36"/>
      <c r="G352" s="63"/>
      <c r="H352" s="33"/>
      <c r="I352" s="33"/>
      <c r="J352" s="33"/>
      <c r="K352" s="37"/>
      <c r="L352" s="37"/>
    </row>
    <row r="353" spans="2:12" x14ac:dyDescent="0.2">
      <c r="B353" s="36"/>
      <c r="G353" s="63"/>
      <c r="H353" s="33"/>
      <c r="I353" s="33"/>
      <c r="J353" s="33"/>
      <c r="K353" s="37"/>
      <c r="L353" s="37"/>
    </row>
    <row r="354" spans="2:12" x14ac:dyDescent="0.2">
      <c r="B354" s="36"/>
      <c r="G354" s="63"/>
      <c r="H354" s="33"/>
      <c r="I354" s="33"/>
      <c r="J354" s="33"/>
      <c r="K354" s="37"/>
      <c r="L354" s="37"/>
    </row>
    <row r="355" spans="2:12" x14ac:dyDescent="0.2">
      <c r="B355" s="36"/>
      <c r="G355" s="63"/>
      <c r="H355" s="33"/>
      <c r="I355" s="33"/>
      <c r="J355" s="33"/>
      <c r="K355" s="37"/>
      <c r="L355" s="37"/>
    </row>
    <row r="356" spans="2:12" x14ac:dyDescent="0.2">
      <c r="B356" s="36"/>
      <c r="G356" s="63"/>
      <c r="H356" s="33"/>
      <c r="I356" s="33"/>
      <c r="J356" s="33"/>
      <c r="K356" s="37"/>
      <c r="L356" s="37"/>
    </row>
    <row r="357" spans="2:12" x14ac:dyDescent="0.2">
      <c r="B357" s="36"/>
      <c r="G357" s="63"/>
      <c r="H357" s="33"/>
      <c r="I357" s="33"/>
      <c r="J357" s="33"/>
      <c r="K357" s="37"/>
      <c r="L357" s="37"/>
    </row>
    <row r="358" spans="2:12" x14ac:dyDescent="0.2">
      <c r="B358" s="36"/>
      <c r="G358" s="63"/>
      <c r="H358" s="33"/>
      <c r="I358" s="33"/>
      <c r="J358" s="33"/>
      <c r="K358" s="37"/>
      <c r="L358" s="37"/>
    </row>
    <row r="359" spans="2:12" x14ac:dyDescent="0.2">
      <c r="B359" s="36"/>
      <c r="G359" s="63"/>
      <c r="H359" s="33"/>
      <c r="I359" s="33"/>
      <c r="J359" s="33"/>
      <c r="K359" s="37"/>
      <c r="L359" s="37"/>
    </row>
    <row r="360" spans="2:12" x14ac:dyDescent="0.2">
      <c r="B360" s="36"/>
      <c r="G360" s="63"/>
      <c r="H360" s="33"/>
      <c r="I360" s="33"/>
      <c r="J360" s="33"/>
      <c r="K360" s="37"/>
      <c r="L360" s="37"/>
    </row>
    <row r="361" spans="2:12" x14ac:dyDescent="0.2">
      <c r="B361" s="36"/>
      <c r="G361" s="63"/>
      <c r="H361" s="33"/>
      <c r="I361" s="33"/>
      <c r="J361" s="33"/>
      <c r="K361" s="37"/>
      <c r="L361" s="37"/>
    </row>
    <row r="362" spans="2:12" x14ac:dyDescent="0.2">
      <c r="B362" s="36"/>
      <c r="G362" s="63"/>
      <c r="H362" s="33"/>
      <c r="I362" s="33"/>
      <c r="J362" s="33"/>
      <c r="K362" s="37"/>
      <c r="L362" s="37"/>
    </row>
    <row r="363" spans="2:12" x14ac:dyDescent="0.2">
      <c r="B363" s="36"/>
      <c r="G363" s="63"/>
      <c r="H363" s="33"/>
      <c r="I363" s="33"/>
      <c r="J363" s="33"/>
      <c r="K363" s="37"/>
      <c r="L363" s="37"/>
    </row>
    <row r="364" spans="2:12" x14ac:dyDescent="0.2">
      <c r="B364" s="36"/>
      <c r="G364" s="63"/>
      <c r="H364" s="33"/>
      <c r="I364" s="33"/>
      <c r="J364" s="33"/>
      <c r="K364" s="37"/>
      <c r="L364" s="37"/>
    </row>
    <row r="365" spans="2:12" x14ac:dyDescent="0.2">
      <c r="B365" s="36"/>
      <c r="G365" s="63"/>
      <c r="H365" s="33"/>
      <c r="I365" s="33"/>
      <c r="J365" s="33"/>
      <c r="K365" s="37"/>
      <c r="L365" s="37"/>
    </row>
    <row r="366" spans="2:12" x14ac:dyDescent="0.2">
      <c r="B366" s="36"/>
      <c r="G366" s="63"/>
      <c r="H366" s="33"/>
      <c r="I366" s="33"/>
      <c r="J366" s="33"/>
      <c r="K366" s="37"/>
      <c r="L366" s="37"/>
    </row>
    <row r="367" spans="2:12" x14ac:dyDescent="0.2">
      <c r="B367" s="36"/>
      <c r="G367" s="63"/>
      <c r="H367" s="33"/>
      <c r="I367" s="33"/>
      <c r="J367" s="33"/>
      <c r="K367" s="37"/>
      <c r="L367" s="37"/>
    </row>
    <row r="368" spans="2:12" x14ac:dyDescent="0.2">
      <c r="B368" s="36"/>
      <c r="G368" s="63"/>
      <c r="H368" s="33"/>
      <c r="I368" s="33"/>
      <c r="J368" s="33"/>
      <c r="K368" s="37"/>
      <c r="L368" s="37"/>
    </row>
    <row r="369" spans="2:12" x14ac:dyDescent="0.2">
      <c r="B369" s="36"/>
      <c r="G369" s="63"/>
      <c r="H369" s="33"/>
      <c r="I369" s="33"/>
      <c r="J369" s="33"/>
      <c r="K369" s="37"/>
      <c r="L369" s="37"/>
    </row>
    <row r="370" spans="2:12" x14ac:dyDescent="0.2">
      <c r="B370" s="36"/>
      <c r="G370" s="63"/>
      <c r="H370" s="33"/>
      <c r="I370" s="33"/>
      <c r="J370" s="33"/>
      <c r="K370" s="37"/>
      <c r="L370" s="37"/>
    </row>
    <row r="371" spans="2:12" x14ac:dyDescent="0.2">
      <c r="B371" s="36"/>
      <c r="G371" s="63"/>
      <c r="H371" s="33"/>
      <c r="I371" s="33"/>
      <c r="J371" s="33"/>
      <c r="K371" s="37"/>
      <c r="L371" s="37"/>
    </row>
    <row r="372" spans="2:12" x14ac:dyDescent="0.2">
      <c r="B372" s="36"/>
      <c r="G372" s="63"/>
      <c r="H372" s="33"/>
      <c r="I372" s="33"/>
      <c r="J372" s="33"/>
      <c r="K372" s="37"/>
      <c r="L372" s="37"/>
    </row>
    <row r="373" spans="2:12" x14ac:dyDescent="0.2">
      <c r="B373" s="36"/>
      <c r="G373" s="63"/>
      <c r="H373" s="33"/>
      <c r="I373" s="33"/>
      <c r="J373" s="33"/>
      <c r="K373" s="37"/>
      <c r="L373" s="37"/>
    </row>
    <row r="374" spans="2:12" x14ac:dyDescent="0.2">
      <c r="B374" s="36"/>
      <c r="G374" s="63"/>
      <c r="H374" s="33"/>
      <c r="I374" s="33"/>
      <c r="J374" s="33"/>
      <c r="K374" s="37"/>
      <c r="L374" s="37"/>
    </row>
    <row r="375" spans="2:12" x14ac:dyDescent="0.2">
      <c r="B375" s="36"/>
      <c r="G375" s="63"/>
      <c r="H375" s="33"/>
      <c r="I375" s="33"/>
      <c r="J375" s="33"/>
      <c r="K375" s="37"/>
      <c r="L375" s="37"/>
    </row>
    <row r="376" spans="2:12" x14ac:dyDescent="0.2">
      <c r="B376" s="36"/>
      <c r="G376" s="63"/>
      <c r="H376" s="33"/>
      <c r="I376" s="33"/>
      <c r="J376" s="33"/>
      <c r="K376" s="37"/>
      <c r="L376" s="37"/>
    </row>
    <row r="377" spans="2:12" x14ac:dyDescent="0.2">
      <c r="B377" s="36"/>
      <c r="G377" s="63"/>
      <c r="H377" s="33"/>
      <c r="I377" s="33"/>
      <c r="J377" s="33"/>
      <c r="K377" s="37"/>
      <c r="L377" s="37"/>
    </row>
    <row r="378" spans="2:12" x14ac:dyDescent="0.2">
      <c r="B378" s="36"/>
      <c r="G378" s="63"/>
      <c r="H378" s="33"/>
      <c r="I378" s="33"/>
      <c r="J378" s="33"/>
      <c r="K378" s="37"/>
      <c r="L378" s="37"/>
    </row>
    <row r="379" spans="2:12" x14ac:dyDescent="0.2">
      <c r="B379" s="36"/>
      <c r="G379" s="63"/>
      <c r="H379" s="33"/>
      <c r="I379" s="33"/>
      <c r="J379" s="33"/>
      <c r="K379" s="37"/>
      <c r="L379" s="37"/>
    </row>
    <row r="380" spans="2:12" x14ac:dyDescent="0.2">
      <c r="B380" s="36"/>
      <c r="G380" s="63"/>
      <c r="H380" s="33"/>
      <c r="I380" s="33"/>
      <c r="J380" s="33"/>
      <c r="K380" s="37"/>
      <c r="L380" s="37"/>
    </row>
    <row r="381" spans="2:12" x14ac:dyDescent="0.2">
      <c r="B381" s="36"/>
      <c r="G381" s="63"/>
      <c r="H381" s="33"/>
      <c r="I381" s="33"/>
      <c r="J381" s="33"/>
      <c r="K381" s="37"/>
      <c r="L381" s="37"/>
    </row>
    <row r="382" spans="2:12" x14ac:dyDescent="0.2">
      <c r="B382" s="36"/>
      <c r="G382" s="63"/>
      <c r="H382" s="33"/>
      <c r="I382" s="33"/>
      <c r="J382" s="33"/>
      <c r="K382" s="37"/>
      <c r="L382" s="37"/>
    </row>
    <row r="383" spans="2:12" x14ac:dyDescent="0.2">
      <c r="B383" s="36"/>
      <c r="G383" s="63"/>
      <c r="H383" s="33"/>
      <c r="I383" s="33"/>
      <c r="J383" s="33"/>
      <c r="K383" s="37"/>
      <c r="L383" s="37"/>
    </row>
    <row r="384" spans="2:12" x14ac:dyDescent="0.2">
      <c r="B384" s="36"/>
      <c r="G384" s="63"/>
      <c r="H384" s="33"/>
      <c r="I384" s="33"/>
      <c r="J384" s="33"/>
      <c r="K384" s="37"/>
      <c r="L384" s="37"/>
    </row>
    <row r="385" spans="2:12" x14ac:dyDescent="0.2">
      <c r="B385" s="36"/>
      <c r="G385" s="63"/>
      <c r="H385" s="33"/>
      <c r="I385" s="33"/>
      <c r="J385" s="33"/>
      <c r="K385" s="37"/>
      <c r="L385" s="37"/>
    </row>
    <row r="386" spans="2:12" x14ac:dyDescent="0.2">
      <c r="B386" s="36"/>
      <c r="G386" s="63"/>
      <c r="H386" s="33"/>
      <c r="I386" s="33"/>
      <c r="J386" s="33"/>
      <c r="K386" s="37"/>
      <c r="L386" s="37"/>
    </row>
    <row r="387" spans="2:12" x14ac:dyDescent="0.2">
      <c r="B387" s="36"/>
      <c r="G387" s="63"/>
      <c r="H387" s="33"/>
      <c r="I387" s="33"/>
      <c r="J387" s="33"/>
      <c r="K387" s="37"/>
      <c r="L387" s="37"/>
    </row>
    <row r="388" spans="2:12" x14ac:dyDescent="0.2">
      <c r="B388" s="36"/>
      <c r="G388" s="63"/>
      <c r="H388" s="33"/>
      <c r="I388" s="33"/>
      <c r="J388" s="33"/>
      <c r="K388" s="37"/>
      <c r="L388" s="37"/>
    </row>
    <row r="389" spans="2:12" x14ac:dyDescent="0.2">
      <c r="B389" s="36"/>
      <c r="G389" s="63"/>
      <c r="H389" s="33"/>
      <c r="I389" s="33"/>
      <c r="J389" s="33"/>
      <c r="K389" s="37"/>
      <c r="L389" s="37"/>
    </row>
    <row r="390" spans="2:12" x14ac:dyDescent="0.2">
      <c r="B390" s="36"/>
      <c r="G390" s="63"/>
      <c r="H390" s="33"/>
      <c r="I390" s="33"/>
      <c r="J390" s="33"/>
      <c r="K390" s="37"/>
      <c r="L390" s="37"/>
    </row>
    <row r="391" spans="2:12" x14ac:dyDescent="0.2">
      <c r="B391" s="36"/>
      <c r="G391" s="63"/>
      <c r="H391" s="33"/>
      <c r="I391" s="33"/>
      <c r="J391" s="33"/>
      <c r="K391" s="37"/>
      <c r="L391" s="37"/>
    </row>
    <row r="392" spans="2:12" x14ac:dyDescent="0.2">
      <c r="B392" s="36"/>
      <c r="G392" s="63"/>
      <c r="H392" s="33"/>
      <c r="I392" s="33"/>
      <c r="J392" s="33"/>
      <c r="K392" s="37"/>
      <c r="L392" s="37"/>
    </row>
    <row r="393" spans="2:12" x14ac:dyDescent="0.2">
      <c r="B393" s="36"/>
      <c r="G393" s="63"/>
      <c r="H393" s="33"/>
      <c r="I393" s="33"/>
      <c r="J393" s="33"/>
      <c r="K393" s="37"/>
      <c r="L393" s="37"/>
    </row>
    <row r="394" spans="2:12" x14ac:dyDescent="0.2">
      <c r="B394" s="36"/>
      <c r="G394" s="63"/>
      <c r="H394" s="33"/>
      <c r="I394" s="33"/>
      <c r="J394" s="33"/>
      <c r="K394" s="37"/>
      <c r="L394" s="37"/>
    </row>
    <row r="395" spans="2:12" x14ac:dyDescent="0.2">
      <c r="B395" s="36"/>
      <c r="G395" s="63"/>
      <c r="H395" s="33"/>
      <c r="I395" s="33"/>
      <c r="J395" s="33"/>
      <c r="K395" s="37"/>
      <c r="L395" s="37"/>
    </row>
    <row r="396" spans="2:12" x14ac:dyDescent="0.2">
      <c r="B396" s="36"/>
      <c r="G396" s="63"/>
      <c r="H396" s="33"/>
      <c r="I396" s="33"/>
      <c r="J396" s="33"/>
      <c r="K396" s="37"/>
      <c r="L396" s="37"/>
    </row>
    <row r="397" spans="2:12" x14ac:dyDescent="0.2">
      <c r="B397" s="36"/>
      <c r="G397" s="63"/>
      <c r="H397" s="33"/>
      <c r="I397" s="33"/>
      <c r="J397" s="33"/>
      <c r="K397" s="37"/>
      <c r="L397" s="37"/>
    </row>
    <row r="398" spans="2:12" x14ac:dyDescent="0.2">
      <c r="B398" s="36"/>
      <c r="G398" s="63"/>
      <c r="H398" s="33"/>
      <c r="I398" s="33"/>
      <c r="J398" s="33"/>
      <c r="K398" s="37"/>
      <c r="L398" s="37"/>
    </row>
    <row r="399" spans="2:12" x14ac:dyDescent="0.2">
      <c r="B399" s="36"/>
      <c r="G399" s="63"/>
      <c r="H399" s="33"/>
      <c r="I399" s="33"/>
      <c r="J399" s="33"/>
      <c r="K399" s="37"/>
      <c r="L399" s="37"/>
    </row>
    <row r="400" spans="2:12" x14ac:dyDescent="0.2">
      <c r="B400" s="36"/>
      <c r="G400" s="63"/>
      <c r="H400" s="33"/>
      <c r="I400" s="33"/>
      <c r="J400" s="33"/>
      <c r="K400" s="37"/>
      <c r="L400" s="37"/>
    </row>
    <row r="401" spans="2:12" x14ac:dyDescent="0.2">
      <c r="B401" s="36"/>
      <c r="G401" s="63"/>
      <c r="H401" s="33"/>
      <c r="I401" s="33"/>
      <c r="J401" s="33"/>
      <c r="K401" s="37"/>
      <c r="L401" s="37"/>
    </row>
    <row r="402" spans="2:12" x14ac:dyDescent="0.2">
      <c r="B402" s="36"/>
      <c r="G402" s="63"/>
      <c r="H402" s="33"/>
      <c r="I402" s="33"/>
      <c r="J402" s="33"/>
      <c r="K402" s="37"/>
      <c r="L402" s="37"/>
    </row>
    <row r="403" spans="2:12" x14ac:dyDescent="0.2">
      <c r="B403" s="36"/>
      <c r="G403" s="63"/>
      <c r="H403" s="33"/>
      <c r="I403" s="33"/>
      <c r="J403" s="33"/>
      <c r="K403" s="37"/>
      <c r="L403" s="37"/>
    </row>
    <row r="404" spans="2:12" x14ac:dyDescent="0.2">
      <c r="B404" s="36"/>
      <c r="G404" s="63"/>
      <c r="H404" s="33"/>
      <c r="I404" s="33"/>
      <c r="J404" s="33"/>
      <c r="K404" s="37"/>
      <c r="L404" s="37"/>
    </row>
    <row r="405" spans="2:12" x14ac:dyDescent="0.2">
      <c r="B405" s="36"/>
      <c r="G405" s="63"/>
      <c r="H405" s="33"/>
      <c r="I405" s="33"/>
      <c r="J405" s="33"/>
      <c r="K405" s="37"/>
      <c r="L405" s="37"/>
    </row>
    <row r="406" spans="2:12" x14ac:dyDescent="0.2">
      <c r="B406" s="36"/>
      <c r="G406" s="63"/>
      <c r="H406" s="33"/>
      <c r="I406" s="33"/>
      <c r="J406" s="33"/>
      <c r="K406" s="37"/>
      <c r="L406" s="37"/>
    </row>
    <row r="407" spans="2:12" x14ac:dyDescent="0.2">
      <c r="B407" s="36"/>
      <c r="G407" s="63"/>
      <c r="H407" s="33"/>
      <c r="I407" s="33"/>
      <c r="J407" s="33"/>
      <c r="K407" s="37"/>
      <c r="L407" s="37"/>
    </row>
    <row r="408" spans="2:12" x14ac:dyDescent="0.2">
      <c r="B408" s="36"/>
      <c r="G408" s="63"/>
      <c r="H408" s="33"/>
      <c r="I408" s="33"/>
      <c r="J408" s="33"/>
      <c r="K408" s="37"/>
      <c r="L408" s="37"/>
    </row>
    <row r="409" spans="2:12" x14ac:dyDescent="0.2">
      <c r="B409" s="36"/>
      <c r="G409" s="63"/>
      <c r="H409" s="33"/>
      <c r="I409" s="33"/>
      <c r="J409" s="33"/>
      <c r="K409" s="37"/>
      <c r="L409" s="37"/>
    </row>
    <row r="410" spans="2:12" x14ac:dyDescent="0.2">
      <c r="B410" s="36"/>
      <c r="G410" s="63"/>
      <c r="H410" s="33"/>
      <c r="I410" s="33"/>
      <c r="J410" s="33"/>
      <c r="K410" s="37"/>
      <c r="L410" s="37"/>
    </row>
    <row r="411" spans="2:12" x14ac:dyDescent="0.2">
      <c r="B411" s="36"/>
      <c r="G411" s="63"/>
      <c r="H411" s="33"/>
      <c r="I411" s="33"/>
      <c r="J411" s="33"/>
      <c r="K411" s="37"/>
      <c r="L411" s="37"/>
    </row>
    <row r="412" spans="2:12" x14ac:dyDescent="0.2">
      <c r="B412" s="36"/>
      <c r="G412" s="63"/>
      <c r="H412" s="33"/>
      <c r="I412" s="33"/>
      <c r="J412" s="33"/>
      <c r="K412" s="37"/>
      <c r="L412" s="37"/>
    </row>
    <row r="413" spans="2:12" x14ac:dyDescent="0.2">
      <c r="B413" s="36"/>
      <c r="G413" s="63"/>
      <c r="H413" s="33"/>
      <c r="I413" s="33"/>
      <c r="J413" s="33"/>
      <c r="K413" s="37"/>
      <c r="L413" s="37"/>
    </row>
    <row r="414" spans="2:12" x14ac:dyDescent="0.2">
      <c r="B414" s="36"/>
      <c r="G414" s="63"/>
      <c r="H414" s="33"/>
      <c r="I414" s="33"/>
      <c r="J414" s="33"/>
      <c r="K414" s="37"/>
      <c r="L414" s="37"/>
    </row>
    <row r="415" spans="2:12" x14ac:dyDescent="0.2">
      <c r="B415" s="36"/>
      <c r="G415" s="63"/>
      <c r="H415" s="33"/>
      <c r="I415" s="33"/>
      <c r="J415" s="33"/>
      <c r="K415" s="37"/>
      <c r="L415" s="37"/>
    </row>
    <row r="416" spans="2:12" x14ac:dyDescent="0.2">
      <c r="B416" s="36"/>
      <c r="G416" s="63"/>
      <c r="H416" s="33"/>
      <c r="I416" s="33"/>
      <c r="J416" s="33"/>
      <c r="K416" s="37"/>
      <c r="L416" s="37"/>
    </row>
    <row r="417" spans="2:12" x14ac:dyDescent="0.2">
      <c r="B417" s="36"/>
      <c r="G417" s="63"/>
      <c r="H417" s="33"/>
      <c r="I417" s="33"/>
      <c r="J417" s="33"/>
      <c r="K417" s="37"/>
      <c r="L417" s="37"/>
    </row>
    <row r="418" spans="2:12" x14ac:dyDescent="0.2">
      <c r="B418" s="36"/>
      <c r="G418" s="63"/>
      <c r="H418" s="33"/>
      <c r="I418" s="33"/>
      <c r="J418" s="33"/>
      <c r="K418" s="37"/>
      <c r="L418" s="37"/>
    </row>
    <row r="419" spans="2:12" x14ac:dyDescent="0.2">
      <c r="B419" s="36"/>
      <c r="G419" s="63"/>
      <c r="H419" s="33"/>
      <c r="I419" s="33"/>
      <c r="J419" s="33"/>
      <c r="K419" s="37"/>
      <c r="L419" s="37"/>
    </row>
    <row r="420" spans="2:12" x14ac:dyDescent="0.2">
      <c r="B420" s="36"/>
      <c r="G420" s="63"/>
      <c r="H420" s="33"/>
      <c r="I420" s="33"/>
      <c r="J420" s="33"/>
      <c r="K420" s="37"/>
      <c r="L420" s="37"/>
    </row>
    <row r="421" spans="2:12" x14ac:dyDescent="0.2">
      <c r="B421" s="36"/>
      <c r="G421" s="63"/>
      <c r="H421" s="33"/>
      <c r="I421" s="33"/>
      <c r="J421" s="33"/>
      <c r="K421" s="37"/>
      <c r="L421" s="37"/>
    </row>
    <row r="422" spans="2:12" x14ac:dyDescent="0.2">
      <c r="B422" s="36"/>
      <c r="G422" s="63"/>
      <c r="H422" s="33"/>
      <c r="I422" s="33"/>
      <c r="J422" s="33"/>
      <c r="K422" s="37"/>
      <c r="L422" s="37"/>
    </row>
    <row r="423" spans="2:12" x14ac:dyDescent="0.2">
      <c r="B423" s="36"/>
      <c r="G423" s="63"/>
      <c r="H423" s="33"/>
      <c r="I423" s="33"/>
      <c r="J423" s="33"/>
      <c r="K423" s="37"/>
      <c r="L423" s="37"/>
    </row>
    <row r="424" spans="2:12" x14ac:dyDescent="0.2">
      <c r="B424" s="36"/>
      <c r="G424" s="63"/>
      <c r="H424" s="33"/>
      <c r="I424" s="33"/>
      <c r="J424" s="33"/>
      <c r="K424" s="37"/>
      <c r="L424" s="37"/>
    </row>
    <row r="425" spans="2:12" x14ac:dyDescent="0.2">
      <c r="B425" s="36"/>
      <c r="G425" s="63"/>
      <c r="H425" s="33"/>
      <c r="I425" s="33"/>
      <c r="J425" s="33"/>
      <c r="K425" s="37"/>
      <c r="L425" s="37"/>
    </row>
    <row r="426" spans="2:12" x14ac:dyDescent="0.2">
      <c r="B426" s="36"/>
      <c r="G426" s="63"/>
      <c r="H426" s="33"/>
      <c r="I426" s="33"/>
      <c r="J426" s="33"/>
      <c r="K426" s="37"/>
      <c r="L426" s="37"/>
    </row>
    <row r="427" spans="2:12" x14ac:dyDescent="0.2">
      <c r="B427" s="36"/>
      <c r="G427" s="63"/>
      <c r="H427" s="33"/>
      <c r="I427" s="33"/>
      <c r="J427" s="33"/>
      <c r="K427" s="37"/>
      <c r="L427" s="37"/>
    </row>
    <row r="428" spans="2:12" x14ac:dyDescent="0.2">
      <c r="B428" s="36"/>
      <c r="G428" s="63"/>
      <c r="H428" s="33"/>
      <c r="I428" s="33"/>
      <c r="J428" s="33"/>
      <c r="K428" s="37"/>
      <c r="L428" s="37"/>
    </row>
    <row r="429" spans="2:12" x14ac:dyDescent="0.2">
      <c r="B429" s="36"/>
      <c r="G429" s="63"/>
      <c r="H429" s="33"/>
      <c r="I429" s="33"/>
      <c r="J429" s="33"/>
      <c r="K429" s="37"/>
      <c r="L429" s="37"/>
    </row>
    <row r="430" spans="2:12" x14ac:dyDescent="0.2">
      <c r="B430" s="36"/>
      <c r="G430" s="63"/>
      <c r="H430" s="33"/>
      <c r="I430" s="33"/>
      <c r="J430" s="33"/>
      <c r="K430" s="37"/>
      <c r="L430" s="37"/>
    </row>
    <row r="431" spans="2:12" x14ac:dyDescent="0.2">
      <c r="B431" s="36"/>
      <c r="G431" s="63"/>
      <c r="H431" s="33"/>
      <c r="I431" s="33"/>
      <c r="J431" s="33"/>
      <c r="K431" s="37"/>
      <c r="L431" s="37"/>
    </row>
    <row r="432" spans="2:12" x14ac:dyDescent="0.2">
      <c r="B432" s="36"/>
      <c r="G432" s="63"/>
      <c r="H432" s="33"/>
      <c r="I432" s="33"/>
      <c r="J432" s="33"/>
      <c r="K432" s="37"/>
      <c r="L432" s="37"/>
    </row>
    <row r="433" spans="2:12" x14ac:dyDescent="0.2">
      <c r="B433" s="36"/>
      <c r="G433" s="63"/>
      <c r="H433" s="33"/>
      <c r="I433" s="33"/>
      <c r="J433" s="33"/>
      <c r="K433" s="37"/>
      <c r="L433" s="37"/>
    </row>
    <row r="434" spans="2:12" x14ac:dyDescent="0.2">
      <c r="B434" s="36"/>
      <c r="G434" s="63"/>
      <c r="H434" s="33"/>
      <c r="I434" s="33"/>
      <c r="J434" s="33"/>
      <c r="K434" s="37"/>
      <c r="L434" s="37"/>
    </row>
    <row r="435" spans="2:12" x14ac:dyDescent="0.2">
      <c r="B435" s="36"/>
      <c r="G435" s="63"/>
      <c r="H435" s="33"/>
      <c r="I435" s="33"/>
      <c r="J435" s="33"/>
      <c r="K435" s="37"/>
      <c r="L435" s="37"/>
    </row>
    <row r="436" spans="2:12" x14ac:dyDescent="0.2">
      <c r="B436" s="36"/>
      <c r="G436" s="63"/>
      <c r="H436" s="33"/>
      <c r="I436" s="33"/>
      <c r="J436" s="33"/>
      <c r="K436" s="37"/>
      <c r="L436" s="37"/>
    </row>
    <row r="437" spans="2:12" x14ac:dyDescent="0.2">
      <c r="B437" s="36"/>
      <c r="G437" s="63"/>
      <c r="H437" s="33"/>
      <c r="I437" s="33"/>
      <c r="J437" s="33"/>
      <c r="K437" s="37"/>
      <c r="L437" s="37"/>
    </row>
    <row r="438" spans="2:12" x14ac:dyDescent="0.2">
      <c r="B438" s="36"/>
      <c r="G438" s="63"/>
      <c r="H438" s="33"/>
      <c r="I438" s="33"/>
      <c r="J438" s="33"/>
      <c r="K438" s="37"/>
      <c r="L438" s="37"/>
    </row>
    <row r="439" spans="2:12" x14ac:dyDescent="0.2">
      <c r="B439" s="36"/>
      <c r="G439" s="63"/>
      <c r="H439" s="33"/>
      <c r="I439" s="33"/>
      <c r="J439" s="33"/>
      <c r="K439" s="37"/>
      <c r="L439" s="37"/>
    </row>
    <row r="440" spans="2:12" x14ac:dyDescent="0.2">
      <c r="B440" s="36"/>
      <c r="G440" s="63"/>
      <c r="H440" s="33"/>
      <c r="I440" s="33"/>
      <c r="J440" s="33"/>
      <c r="K440" s="37"/>
      <c r="L440" s="37"/>
    </row>
    <row r="441" spans="2:12" x14ac:dyDescent="0.2">
      <c r="B441" s="36"/>
      <c r="G441" s="63"/>
      <c r="H441" s="33"/>
      <c r="I441" s="33"/>
      <c r="J441" s="33"/>
      <c r="K441" s="37"/>
      <c r="L441" s="37"/>
    </row>
    <row r="442" spans="2:12" x14ac:dyDescent="0.2">
      <c r="B442" s="36"/>
      <c r="G442" s="63"/>
      <c r="H442" s="33"/>
      <c r="I442" s="33"/>
      <c r="J442" s="33"/>
      <c r="K442" s="37"/>
      <c r="L442" s="37"/>
    </row>
    <row r="443" spans="2:12" x14ac:dyDescent="0.2">
      <c r="B443" s="36"/>
      <c r="G443" s="63"/>
      <c r="H443" s="33"/>
      <c r="I443" s="33"/>
      <c r="J443" s="33"/>
      <c r="K443" s="37"/>
      <c r="L443" s="37"/>
    </row>
    <row r="444" spans="2:12" x14ac:dyDescent="0.2">
      <c r="B444" s="36"/>
      <c r="G444" s="63"/>
      <c r="H444" s="33"/>
      <c r="I444" s="33"/>
      <c r="J444" s="33"/>
      <c r="K444" s="37"/>
      <c r="L444" s="37"/>
    </row>
    <row r="445" spans="2:12" x14ac:dyDescent="0.2">
      <c r="B445" s="36"/>
      <c r="G445" s="63"/>
      <c r="H445" s="33"/>
      <c r="I445" s="33"/>
      <c r="J445" s="33"/>
      <c r="K445" s="37"/>
      <c r="L445" s="37"/>
    </row>
    <row r="446" spans="2:12" x14ac:dyDescent="0.2">
      <c r="B446" s="36"/>
      <c r="G446" s="63"/>
      <c r="H446" s="33"/>
      <c r="I446" s="33"/>
      <c r="J446" s="33"/>
      <c r="K446" s="37"/>
      <c r="L446" s="37"/>
    </row>
    <row r="447" spans="2:12" x14ac:dyDescent="0.2">
      <c r="B447" s="36"/>
      <c r="G447" s="63"/>
      <c r="H447" s="33"/>
      <c r="I447" s="33"/>
      <c r="J447" s="33"/>
      <c r="K447" s="37"/>
      <c r="L447" s="37"/>
    </row>
    <row r="448" spans="2:12" x14ac:dyDescent="0.2">
      <c r="B448" s="36"/>
      <c r="G448" s="63"/>
      <c r="H448" s="33"/>
      <c r="I448" s="33"/>
      <c r="J448" s="33"/>
      <c r="K448" s="37"/>
      <c r="L448" s="37"/>
    </row>
    <row r="449" spans="2:12" x14ac:dyDescent="0.2">
      <c r="B449" s="36"/>
      <c r="G449" s="63"/>
      <c r="H449" s="33"/>
      <c r="I449" s="33"/>
      <c r="J449" s="33"/>
      <c r="K449" s="37"/>
      <c r="L449" s="37"/>
    </row>
    <row r="450" spans="2:12" x14ac:dyDescent="0.2">
      <c r="B450" s="36"/>
      <c r="G450" s="63"/>
      <c r="H450" s="33"/>
      <c r="I450" s="33"/>
      <c r="J450" s="33"/>
      <c r="K450" s="37"/>
      <c r="L450" s="37"/>
    </row>
    <row r="451" spans="2:12" x14ac:dyDescent="0.2">
      <c r="B451" s="36"/>
      <c r="G451" s="63"/>
      <c r="H451" s="33"/>
      <c r="I451" s="33"/>
      <c r="J451" s="33"/>
      <c r="K451" s="37"/>
      <c r="L451" s="37"/>
    </row>
    <row r="452" spans="2:12" x14ac:dyDescent="0.2">
      <c r="B452" s="36"/>
      <c r="G452" s="63"/>
      <c r="H452" s="33"/>
      <c r="I452" s="33"/>
      <c r="J452" s="33"/>
      <c r="K452" s="37"/>
      <c r="L452" s="37"/>
    </row>
    <row r="453" spans="2:12" x14ac:dyDescent="0.2">
      <c r="B453" s="36"/>
      <c r="G453" s="63"/>
      <c r="H453" s="33"/>
      <c r="I453" s="33"/>
      <c r="J453" s="33"/>
      <c r="K453" s="37"/>
      <c r="L453" s="37"/>
    </row>
    <row r="454" spans="2:12" x14ac:dyDescent="0.2">
      <c r="B454" s="36"/>
      <c r="G454" s="63"/>
      <c r="H454" s="33"/>
      <c r="I454" s="33"/>
      <c r="J454" s="33"/>
      <c r="K454" s="37"/>
      <c r="L454" s="37"/>
    </row>
    <row r="455" spans="2:12" x14ac:dyDescent="0.2">
      <c r="B455" s="36"/>
      <c r="G455" s="63"/>
      <c r="H455" s="33"/>
      <c r="I455" s="33"/>
      <c r="J455" s="33"/>
      <c r="K455" s="37"/>
      <c r="L455" s="37"/>
    </row>
    <row r="456" spans="2:12" x14ac:dyDescent="0.2">
      <c r="B456" s="36"/>
      <c r="G456" s="63"/>
      <c r="H456" s="33"/>
      <c r="I456" s="33"/>
      <c r="J456" s="33"/>
      <c r="K456" s="37"/>
      <c r="L456" s="37"/>
    </row>
    <row r="457" spans="2:12" x14ac:dyDescent="0.2">
      <c r="B457" s="36"/>
      <c r="G457" s="63"/>
      <c r="H457" s="33"/>
      <c r="I457" s="33"/>
      <c r="J457" s="33"/>
      <c r="K457" s="37"/>
      <c r="L457" s="37"/>
    </row>
    <row r="458" spans="2:12" x14ac:dyDescent="0.2">
      <c r="B458" s="36"/>
      <c r="G458" s="63"/>
      <c r="H458" s="33"/>
      <c r="I458" s="33"/>
      <c r="J458" s="33"/>
      <c r="K458" s="37"/>
      <c r="L458" s="37"/>
    </row>
    <row r="459" spans="2:12" x14ac:dyDescent="0.2">
      <c r="B459" s="36"/>
      <c r="G459" s="63"/>
      <c r="H459" s="33"/>
      <c r="I459" s="33"/>
      <c r="J459" s="33"/>
      <c r="K459" s="37"/>
      <c r="L459" s="37"/>
    </row>
    <row r="460" spans="2:12" x14ac:dyDescent="0.2">
      <c r="B460" s="36"/>
      <c r="G460" s="63"/>
      <c r="H460" s="33"/>
      <c r="I460" s="33"/>
      <c r="J460" s="33"/>
      <c r="K460" s="37"/>
      <c r="L460" s="37"/>
    </row>
    <row r="461" spans="2:12" x14ac:dyDescent="0.2">
      <c r="B461" s="36"/>
      <c r="G461" s="63"/>
      <c r="H461" s="33"/>
      <c r="I461" s="33"/>
      <c r="J461" s="33"/>
      <c r="K461" s="37"/>
      <c r="L461" s="37"/>
    </row>
    <row r="462" spans="2:12" x14ac:dyDescent="0.2">
      <c r="B462" s="36"/>
      <c r="G462" s="63"/>
      <c r="H462" s="33"/>
      <c r="I462" s="33"/>
      <c r="J462" s="33"/>
      <c r="K462" s="37"/>
      <c r="L462" s="37"/>
    </row>
    <row r="463" spans="2:12" x14ac:dyDescent="0.2">
      <c r="B463" s="36"/>
      <c r="G463" s="63"/>
      <c r="H463" s="33"/>
      <c r="I463" s="33"/>
      <c r="J463" s="33"/>
      <c r="K463" s="37"/>
      <c r="L463" s="37"/>
    </row>
    <row r="464" spans="2:12" x14ac:dyDescent="0.2">
      <c r="B464" s="36"/>
      <c r="G464" s="63"/>
      <c r="H464" s="33"/>
      <c r="I464" s="33"/>
      <c r="J464" s="33"/>
      <c r="K464" s="37"/>
      <c r="L464" s="37"/>
    </row>
    <row r="465" spans="2:12" x14ac:dyDescent="0.2">
      <c r="B465" s="36"/>
      <c r="G465" s="63"/>
      <c r="H465" s="33"/>
      <c r="I465" s="33"/>
      <c r="J465" s="33"/>
      <c r="K465" s="37"/>
      <c r="L465" s="37"/>
    </row>
    <row r="466" spans="2:12" x14ac:dyDescent="0.2">
      <c r="B466" s="36"/>
      <c r="G466" s="63"/>
      <c r="H466" s="33"/>
      <c r="I466" s="33"/>
      <c r="J466" s="33"/>
      <c r="K466" s="37"/>
      <c r="L466" s="37"/>
    </row>
    <row r="467" spans="2:12" x14ac:dyDescent="0.2">
      <c r="B467" s="36"/>
      <c r="G467" s="63"/>
      <c r="H467" s="33"/>
      <c r="I467" s="33"/>
      <c r="J467" s="33"/>
      <c r="K467" s="37"/>
      <c r="L467" s="37"/>
    </row>
    <row r="468" spans="2:12" x14ac:dyDescent="0.2">
      <c r="B468" s="36"/>
      <c r="G468" s="63"/>
      <c r="H468" s="33"/>
      <c r="I468" s="33"/>
      <c r="J468" s="33"/>
      <c r="K468" s="37"/>
      <c r="L468" s="37"/>
    </row>
    <row r="469" spans="2:12" x14ac:dyDescent="0.2">
      <c r="B469" s="36"/>
      <c r="G469" s="63"/>
      <c r="H469" s="33"/>
      <c r="I469" s="33"/>
      <c r="J469" s="33"/>
      <c r="K469" s="37"/>
      <c r="L469" s="37"/>
    </row>
    <row r="470" spans="2:12" x14ac:dyDescent="0.2">
      <c r="B470" s="36"/>
      <c r="G470" s="63"/>
      <c r="H470" s="33"/>
      <c r="I470" s="33"/>
      <c r="J470" s="33"/>
      <c r="K470" s="37"/>
      <c r="L470" s="37"/>
    </row>
    <row r="471" spans="2:12" x14ac:dyDescent="0.2">
      <c r="B471" s="36"/>
      <c r="G471" s="63"/>
      <c r="H471" s="33"/>
      <c r="I471" s="33"/>
      <c r="J471" s="33"/>
      <c r="K471" s="37"/>
      <c r="L471" s="37"/>
    </row>
    <row r="472" spans="2:12" x14ac:dyDescent="0.2">
      <c r="B472" s="36"/>
      <c r="G472" s="63"/>
      <c r="H472" s="33"/>
      <c r="I472" s="33"/>
      <c r="J472" s="33"/>
      <c r="K472" s="37"/>
      <c r="L472" s="37"/>
    </row>
    <row r="473" spans="2:12" x14ac:dyDescent="0.2">
      <c r="B473" s="36"/>
      <c r="G473" s="63"/>
      <c r="H473" s="33"/>
      <c r="I473" s="33"/>
      <c r="J473" s="33"/>
      <c r="K473" s="37"/>
      <c r="L473" s="37"/>
    </row>
    <row r="474" spans="2:12" x14ac:dyDescent="0.2">
      <c r="B474" s="36"/>
      <c r="G474" s="63"/>
      <c r="H474" s="33"/>
      <c r="I474" s="33"/>
      <c r="J474" s="33"/>
      <c r="K474" s="37"/>
      <c r="L474" s="37"/>
    </row>
    <row r="475" spans="2:12" x14ac:dyDescent="0.2">
      <c r="B475" s="36"/>
      <c r="G475" s="63"/>
      <c r="H475" s="33"/>
      <c r="I475" s="33"/>
      <c r="J475" s="33"/>
      <c r="K475" s="37"/>
      <c r="L475" s="37"/>
    </row>
    <row r="476" spans="2:12" x14ac:dyDescent="0.2">
      <c r="B476" s="36"/>
      <c r="G476" s="63"/>
      <c r="H476" s="33"/>
      <c r="I476" s="33"/>
      <c r="J476" s="33"/>
      <c r="K476" s="37"/>
      <c r="L476" s="37"/>
    </row>
    <row r="477" spans="2:12" x14ac:dyDescent="0.2">
      <c r="B477" s="36"/>
      <c r="G477" s="63"/>
      <c r="H477" s="33"/>
      <c r="I477" s="33"/>
      <c r="J477" s="33"/>
      <c r="K477" s="37"/>
      <c r="L477" s="37"/>
    </row>
    <row r="478" spans="2:12" x14ac:dyDescent="0.2">
      <c r="B478" s="36"/>
      <c r="G478" s="63"/>
      <c r="H478" s="33"/>
      <c r="I478" s="33"/>
      <c r="J478" s="33"/>
      <c r="K478" s="37"/>
      <c r="L478" s="37"/>
    </row>
    <row r="479" spans="2:12" x14ac:dyDescent="0.2">
      <c r="B479" s="36"/>
      <c r="G479" s="63"/>
      <c r="H479" s="33"/>
      <c r="I479" s="33"/>
      <c r="J479" s="33"/>
      <c r="K479" s="37"/>
      <c r="L479" s="37"/>
    </row>
    <row r="480" spans="2:12" x14ac:dyDescent="0.2">
      <c r="B480" s="36"/>
      <c r="G480" s="63"/>
      <c r="H480" s="33"/>
      <c r="I480" s="33"/>
      <c r="J480" s="33"/>
      <c r="K480" s="37"/>
      <c r="L480" s="37"/>
    </row>
    <row r="481" spans="2:12" x14ac:dyDescent="0.2">
      <c r="B481" s="36"/>
      <c r="G481" s="63"/>
      <c r="H481" s="33"/>
      <c r="I481" s="33"/>
      <c r="J481" s="33"/>
      <c r="K481" s="37"/>
      <c r="L481" s="37"/>
    </row>
    <row r="482" spans="2:12" x14ac:dyDescent="0.2">
      <c r="B482" s="36"/>
      <c r="G482" s="63"/>
      <c r="H482" s="33"/>
      <c r="I482" s="33"/>
      <c r="J482" s="33"/>
      <c r="K482" s="37"/>
      <c r="L482" s="37"/>
    </row>
    <row r="483" spans="2:12" x14ac:dyDescent="0.2">
      <c r="B483" s="36"/>
      <c r="G483" s="63"/>
      <c r="H483" s="33"/>
      <c r="I483" s="33"/>
      <c r="J483" s="33"/>
      <c r="K483" s="37"/>
      <c r="L483" s="37"/>
    </row>
    <row r="484" spans="2:12" x14ac:dyDescent="0.2">
      <c r="B484" s="36"/>
      <c r="G484" s="63"/>
      <c r="H484" s="33"/>
      <c r="I484" s="33"/>
      <c r="J484" s="33"/>
      <c r="K484" s="37"/>
      <c r="L484" s="37"/>
    </row>
    <row r="485" spans="2:12" x14ac:dyDescent="0.2">
      <c r="B485" s="36"/>
      <c r="G485" s="63"/>
      <c r="H485" s="33"/>
      <c r="I485" s="33"/>
      <c r="J485" s="33"/>
      <c r="K485" s="37"/>
      <c r="L485" s="37"/>
    </row>
    <row r="486" spans="2:12" x14ac:dyDescent="0.2">
      <c r="B486" s="36"/>
      <c r="G486" s="63"/>
      <c r="H486" s="33"/>
      <c r="I486" s="33"/>
      <c r="J486" s="33"/>
      <c r="K486" s="37"/>
      <c r="L486" s="37"/>
    </row>
    <row r="487" spans="2:12" x14ac:dyDescent="0.2">
      <c r="B487" s="36"/>
      <c r="G487" s="63"/>
      <c r="H487" s="33"/>
      <c r="I487" s="33"/>
      <c r="J487" s="33"/>
      <c r="K487" s="37"/>
      <c r="L487" s="37"/>
    </row>
    <row r="488" spans="2:12" x14ac:dyDescent="0.2">
      <c r="B488" s="36"/>
      <c r="G488" s="63"/>
      <c r="H488" s="33"/>
      <c r="I488" s="33"/>
      <c r="J488" s="33"/>
      <c r="K488" s="37"/>
      <c r="L488" s="37"/>
    </row>
    <row r="489" spans="2:12" x14ac:dyDescent="0.2">
      <c r="B489" s="36"/>
      <c r="G489" s="63"/>
      <c r="H489" s="33"/>
      <c r="I489" s="33"/>
      <c r="J489" s="33"/>
      <c r="K489" s="37"/>
      <c r="L489" s="37"/>
    </row>
    <row r="490" spans="2:12" x14ac:dyDescent="0.2">
      <c r="B490" s="36"/>
      <c r="G490" s="63"/>
      <c r="H490" s="33"/>
      <c r="I490" s="33"/>
      <c r="J490" s="33"/>
      <c r="K490" s="37"/>
      <c r="L490" s="37"/>
    </row>
    <row r="491" spans="2:12" x14ac:dyDescent="0.2">
      <c r="B491" s="36"/>
      <c r="G491" s="63"/>
      <c r="H491" s="33"/>
      <c r="I491" s="33"/>
      <c r="J491" s="33"/>
      <c r="K491" s="37"/>
      <c r="L491" s="37"/>
    </row>
    <row r="492" spans="2:12" x14ac:dyDescent="0.2">
      <c r="B492" s="36"/>
      <c r="G492" s="63"/>
      <c r="H492" s="33"/>
      <c r="I492" s="33"/>
      <c r="J492" s="33"/>
      <c r="K492" s="37"/>
      <c r="L492" s="37"/>
    </row>
    <row r="493" spans="2:12" x14ac:dyDescent="0.2">
      <c r="B493" s="36"/>
      <c r="G493" s="63"/>
      <c r="H493" s="33"/>
      <c r="I493" s="33"/>
      <c r="J493" s="33"/>
      <c r="K493" s="37"/>
      <c r="L493" s="37"/>
    </row>
    <row r="494" spans="2:12" x14ac:dyDescent="0.2">
      <c r="B494" s="36"/>
      <c r="G494" s="63"/>
      <c r="H494" s="33"/>
      <c r="I494" s="33"/>
      <c r="J494" s="33"/>
      <c r="K494" s="37"/>
      <c r="L494" s="37"/>
    </row>
    <row r="495" spans="2:12" x14ac:dyDescent="0.2">
      <c r="B495" s="36"/>
      <c r="G495" s="63"/>
      <c r="H495" s="33"/>
      <c r="I495" s="33"/>
      <c r="J495" s="33"/>
      <c r="K495" s="37"/>
      <c r="L495" s="37"/>
    </row>
    <row r="496" spans="2:12" x14ac:dyDescent="0.2">
      <c r="B496" s="36"/>
      <c r="G496" s="63"/>
      <c r="H496" s="33"/>
      <c r="I496" s="33"/>
      <c r="J496" s="33"/>
      <c r="K496" s="37"/>
      <c r="L496" s="37"/>
    </row>
    <row r="497" spans="2:12" x14ac:dyDescent="0.2">
      <c r="B497" s="36"/>
      <c r="G497" s="63"/>
      <c r="H497" s="33"/>
      <c r="I497" s="33"/>
      <c r="J497" s="33"/>
      <c r="K497" s="37"/>
      <c r="L497" s="37"/>
    </row>
    <row r="498" spans="2:12" x14ac:dyDescent="0.2">
      <c r="B498" s="36"/>
      <c r="G498" s="63"/>
      <c r="H498" s="33"/>
      <c r="I498" s="33"/>
      <c r="J498" s="33"/>
      <c r="K498" s="37"/>
      <c r="L498" s="37"/>
    </row>
    <row r="499" spans="2:12" x14ac:dyDescent="0.2">
      <c r="B499" s="36"/>
      <c r="G499" s="63"/>
      <c r="H499" s="33"/>
      <c r="I499" s="33"/>
      <c r="J499" s="33"/>
      <c r="K499" s="37"/>
      <c r="L499" s="37"/>
    </row>
    <row r="500" spans="2:12" x14ac:dyDescent="0.2">
      <c r="B500" s="36"/>
      <c r="G500" s="63"/>
      <c r="H500" s="33"/>
      <c r="I500" s="33"/>
      <c r="J500" s="33"/>
      <c r="K500" s="37"/>
      <c r="L500" s="37"/>
    </row>
    <row r="501" spans="2:12" x14ac:dyDescent="0.2">
      <c r="B501" s="36"/>
      <c r="G501" s="63"/>
      <c r="H501" s="33"/>
      <c r="I501" s="33"/>
      <c r="J501" s="33"/>
      <c r="K501" s="37"/>
      <c r="L501" s="37"/>
    </row>
    <row r="502" spans="2:12" x14ac:dyDescent="0.2">
      <c r="B502" s="36"/>
      <c r="G502" s="63"/>
      <c r="H502" s="33"/>
      <c r="I502" s="33"/>
      <c r="J502" s="33"/>
      <c r="K502" s="37"/>
      <c r="L502" s="37"/>
    </row>
    <row r="503" spans="2:12" x14ac:dyDescent="0.2">
      <c r="B503" s="36"/>
      <c r="G503" s="63"/>
      <c r="H503" s="33"/>
      <c r="I503" s="33"/>
      <c r="J503" s="33"/>
      <c r="K503" s="37"/>
      <c r="L503" s="37"/>
    </row>
    <row r="504" spans="2:12" x14ac:dyDescent="0.2">
      <c r="B504" s="36"/>
      <c r="G504" s="63"/>
      <c r="H504" s="33"/>
      <c r="I504" s="33"/>
      <c r="J504" s="33"/>
      <c r="K504" s="37"/>
      <c r="L504" s="37"/>
    </row>
    <row r="505" spans="2:12" x14ac:dyDescent="0.2">
      <c r="B505" s="36"/>
      <c r="G505" s="63"/>
      <c r="H505" s="33"/>
      <c r="I505" s="33"/>
      <c r="J505" s="33"/>
      <c r="K505" s="37"/>
      <c r="L505" s="37"/>
    </row>
    <row r="506" spans="2:12" x14ac:dyDescent="0.2">
      <c r="B506" s="36"/>
      <c r="G506" s="63"/>
      <c r="H506" s="33"/>
      <c r="I506" s="33"/>
      <c r="J506" s="33"/>
      <c r="K506" s="37"/>
      <c r="L506" s="37"/>
    </row>
    <row r="507" spans="2:12" x14ac:dyDescent="0.2">
      <c r="B507" s="36"/>
      <c r="G507" s="63"/>
      <c r="H507" s="33"/>
      <c r="I507" s="33"/>
      <c r="J507" s="33"/>
      <c r="K507" s="37"/>
      <c r="L507" s="37"/>
    </row>
    <row r="508" spans="2:12" x14ac:dyDescent="0.2">
      <c r="B508" s="36"/>
      <c r="G508" s="63"/>
      <c r="H508" s="33"/>
      <c r="I508" s="33"/>
      <c r="J508" s="33"/>
      <c r="K508" s="37"/>
      <c r="L508" s="37"/>
    </row>
    <row r="509" spans="2:12" x14ac:dyDescent="0.2">
      <c r="B509" s="36"/>
      <c r="G509" s="63"/>
      <c r="H509" s="33"/>
      <c r="I509" s="33"/>
      <c r="J509" s="33"/>
      <c r="K509" s="37"/>
      <c r="L509" s="37"/>
    </row>
    <row r="510" spans="2:12" x14ac:dyDescent="0.2">
      <c r="B510" s="36"/>
      <c r="G510" s="63"/>
      <c r="H510" s="33"/>
      <c r="I510" s="33"/>
      <c r="J510" s="33"/>
      <c r="K510" s="37"/>
      <c r="L510" s="37"/>
    </row>
    <row r="511" spans="2:12" x14ac:dyDescent="0.2">
      <c r="B511" s="36"/>
      <c r="G511" s="63"/>
      <c r="H511" s="33"/>
      <c r="I511" s="33"/>
      <c r="J511" s="33"/>
      <c r="K511" s="37"/>
      <c r="L511" s="37"/>
    </row>
    <row r="512" spans="2:12" x14ac:dyDescent="0.2">
      <c r="B512" s="36"/>
      <c r="G512" s="63"/>
      <c r="H512" s="33"/>
      <c r="I512" s="33"/>
      <c r="J512" s="33"/>
      <c r="K512" s="37"/>
      <c r="L512" s="37"/>
    </row>
    <row r="513" spans="2:12" x14ac:dyDescent="0.2">
      <c r="B513" s="36"/>
      <c r="G513" s="63"/>
      <c r="H513" s="33"/>
      <c r="I513" s="33"/>
      <c r="J513" s="33"/>
      <c r="K513" s="37"/>
      <c r="L513" s="37"/>
    </row>
    <row r="514" spans="2:12" x14ac:dyDescent="0.2">
      <c r="B514" s="36"/>
      <c r="G514" s="63"/>
      <c r="H514" s="33"/>
      <c r="I514" s="33"/>
      <c r="J514" s="33"/>
      <c r="K514" s="37"/>
      <c r="L514" s="37"/>
    </row>
    <row r="515" spans="2:12" x14ac:dyDescent="0.2">
      <c r="B515" s="36"/>
      <c r="G515" s="63"/>
      <c r="H515" s="33"/>
      <c r="I515" s="33"/>
      <c r="J515" s="33"/>
      <c r="K515" s="37"/>
      <c r="L515" s="37"/>
    </row>
    <row r="516" spans="2:12" x14ac:dyDescent="0.2">
      <c r="B516" s="36"/>
      <c r="G516" s="63"/>
      <c r="H516" s="33"/>
      <c r="I516" s="33"/>
      <c r="J516" s="33"/>
      <c r="K516" s="37"/>
      <c r="L516" s="37"/>
    </row>
    <row r="517" spans="2:12" x14ac:dyDescent="0.2">
      <c r="B517" s="36"/>
      <c r="G517" s="63"/>
      <c r="H517" s="33"/>
      <c r="I517" s="33"/>
      <c r="J517" s="33"/>
      <c r="K517" s="37"/>
      <c r="L517" s="37"/>
    </row>
    <row r="518" spans="2:12" x14ac:dyDescent="0.2">
      <c r="B518" s="36"/>
      <c r="G518" s="63"/>
      <c r="H518" s="33"/>
      <c r="I518" s="33"/>
      <c r="J518" s="33"/>
      <c r="K518" s="37"/>
      <c r="L518" s="37"/>
    </row>
    <row r="519" spans="2:12" x14ac:dyDescent="0.2">
      <c r="B519" s="36"/>
      <c r="G519" s="63"/>
      <c r="H519" s="33"/>
      <c r="I519" s="33"/>
      <c r="J519" s="33"/>
      <c r="K519" s="37"/>
      <c r="L519" s="37"/>
    </row>
    <row r="520" spans="2:12" x14ac:dyDescent="0.2">
      <c r="B520" s="36"/>
      <c r="G520" s="63"/>
      <c r="H520" s="33"/>
      <c r="I520" s="33"/>
      <c r="J520" s="33"/>
      <c r="K520" s="37"/>
      <c r="L520" s="37"/>
    </row>
    <row r="521" spans="2:12" x14ac:dyDescent="0.2">
      <c r="B521" s="36"/>
      <c r="G521" s="63"/>
      <c r="H521" s="33"/>
      <c r="I521" s="33"/>
      <c r="J521" s="33"/>
      <c r="K521" s="37"/>
      <c r="L521" s="37"/>
    </row>
    <row r="522" spans="2:12" x14ac:dyDescent="0.2">
      <c r="B522" s="36"/>
      <c r="G522" s="63"/>
      <c r="H522" s="33"/>
      <c r="I522" s="33"/>
      <c r="J522" s="33"/>
      <c r="K522" s="37"/>
      <c r="L522" s="37"/>
    </row>
    <row r="523" spans="2:12" x14ac:dyDescent="0.2">
      <c r="B523" s="36"/>
      <c r="G523" s="63"/>
      <c r="H523" s="33"/>
      <c r="I523" s="33"/>
      <c r="J523" s="33"/>
      <c r="K523" s="37"/>
      <c r="L523" s="37"/>
    </row>
    <row r="524" spans="2:12" x14ac:dyDescent="0.2">
      <c r="B524" s="36"/>
      <c r="G524" s="63"/>
      <c r="H524" s="33"/>
      <c r="I524" s="33"/>
      <c r="J524" s="33"/>
      <c r="K524" s="37"/>
      <c r="L524" s="37"/>
    </row>
    <row r="525" spans="2:12" x14ac:dyDescent="0.2">
      <c r="B525" s="36"/>
      <c r="G525" s="63"/>
      <c r="H525" s="33"/>
      <c r="I525" s="33"/>
      <c r="J525" s="33"/>
      <c r="K525" s="37"/>
      <c r="L525" s="37"/>
    </row>
    <row r="526" spans="2:12" x14ac:dyDescent="0.2">
      <c r="B526" s="36"/>
      <c r="G526" s="63"/>
      <c r="H526" s="33"/>
      <c r="I526" s="33"/>
      <c r="J526" s="33"/>
      <c r="K526" s="37"/>
      <c r="L526" s="37"/>
    </row>
    <row r="527" spans="2:12" x14ac:dyDescent="0.2">
      <c r="B527" s="36"/>
      <c r="G527" s="63"/>
      <c r="H527" s="33"/>
      <c r="I527" s="33"/>
      <c r="J527" s="33"/>
      <c r="K527" s="37"/>
      <c r="L527" s="37"/>
    </row>
    <row r="528" spans="2:12" x14ac:dyDescent="0.2">
      <c r="B528" s="36"/>
      <c r="G528" s="63"/>
      <c r="H528" s="33"/>
      <c r="I528" s="33"/>
      <c r="J528" s="33"/>
      <c r="K528" s="37"/>
      <c r="L528" s="37"/>
    </row>
    <row r="529" spans="2:12" x14ac:dyDescent="0.2">
      <c r="B529" s="36"/>
      <c r="G529" s="63"/>
      <c r="H529" s="33"/>
      <c r="I529" s="33"/>
      <c r="J529" s="33"/>
      <c r="K529" s="37"/>
      <c r="L529" s="37"/>
    </row>
    <row r="530" spans="2:12" x14ac:dyDescent="0.2">
      <c r="B530" s="36"/>
      <c r="G530" s="63"/>
      <c r="H530" s="33"/>
      <c r="I530" s="33"/>
      <c r="J530" s="33"/>
      <c r="K530" s="37"/>
      <c r="L530" s="37"/>
    </row>
    <row r="531" spans="2:12" x14ac:dyDescent="0.2">
      <c r="B531" s="36"/>
      <c r="G531" s="63"/>
      <c r="H531" s="33"/>
      <c r="I531" s="33"/>
      <c r="J531" s="33"/>
      <c r="K531" s="37"/>
      <c r="L531" s="37"/>
    </row>
    <row r="532" spans="2:12" x14ac:dyDescent="0.2">
      <c r="B532" s="36"/>
      <c r="G532" s="63"/>
      <c r="H532" s="33"/>
      <c r="I532" s="33"/>
      <c r="J532" s="33"/>
      <c r="K532" s="37"/>
      <c r="L532" s="37"/>
    </row>
    <row r="533" spans="2:12" x14ac:dyDescent="0.2">
      <c r="B533" s="36"/>
      <c r="G533" s="63"/>
      <c r="H533" s="33"/>
      <c r="I533" s="33"/>
      <c r="J533" s="33"/>
      <c r="K533" s="37"/>
      <c r="L533" s="37"/>
    </row>
    <row r="534" spans="2:12" x14ac:dyDescent="0.2">
      <c r="B534" s="36"/>
      <c r="G534" s="63"/>
      <c r="H534" s="33"/>
      <c r="I534" s="33"/>
      <c r="J534" s="33"/>
      <c r="K534" s="37"/>
      <c r="L534" s="37"/>
    </row>
    <row r="535" spans="2:12" x14ac:dyDescent="0.2">
      <c r="B535" s="36"/>
      <c r="G535" s="63"/>
      <c r="H535" s="33"/>
      <c r="I535" s="33"/>
      <c r="J535" s="33"/>
      <c r="K535" s="37"/>
      <c r="L535" s="37"/>
    </row>
    <row r="536" spans="2:12" x14ac:dyDescent="0.2">
      <c r="B536" s="36"/>
      <c r="G536" s="63"/>
      <c r="H536" s="33"/>
      <c r="I536" s="33"/>
      <c r="J536" s="33"/>
      <c r="K536" s="37"/>
      <c r="L536" s="37"/>
    </row>
    <row r="537" spans="2:12" x14ac:dyDescent="0.2">
      <c r="B537" s="36"/>
      <c r="G537" s="63"/>
      <c r="H537" s="33"/>
      <c r="I537" s="33"/>
      <c r="J537" s="33"/>
      <c r="K537" s="37"/>
      <c r="L537" s="37"/>
    </row>
    <row r="538" spans="2:12" x14ac:dyDescent="0.2">
      <c r="B538" s="36"/>
      <c r="G538" s="63"/>
      <c r="H538" s="33"/>
      <c r="I538" s="33"/>
      <c r="J538" s="33"/>
      <c r="K538" s="37"/>
      <c r="L538" s="37"/>
    </row>
    <row r="539" spans="2:12" x14ac:dyDescent="0.2">
      <c r="B539" s="36"/>
      <c r="G539" s="63"/>
      <c r="H539" s="33"/>
      <c r="I539" s="33"/>
      <c r="J539" s="33"/>
      <c r="K539" s="37"/>
      <c r="L539" s="37"/>
    </row>
    <row r="540" spans="2:12" x14ac:dyDescent="0.2">
      <c r="B540" s="36"/>
      <c r="G540" s="63"/>
      <c r="H540" s="33"/>
      <c r="I540" s="33"/>
      <c r="J540" s="33"/>
      <c r="K540" s="37"/>
      <c r="L540" s="37"/>
    </row>
    <row r="541" spans="2:12" x14ac:dyDescent="0.2">
      <c r="B541" s="36"/>
      <c r="G541" s="63"/>
      <c r="H541" s="33"/>
      <c r="I541" s="33"/>
      <c r="J541" s="33"/>
      <c r="K541" s="37"/>
      <c r="L541" s="37"/>
    </row>
    <row r="542" spans="2:12" x14ac:dyDescent="0.2">
      <c r="B542" s="36"/>
      <c r="G542" s="63"/>
      <c r="H542" s="33"/>
      <c r="I542" s="33"/>
      <c r="J542" s="33"/>
      <c r="K542" s="37"/>
      <c r="L542" s="37"/>
    </row>
    <row r="543" spans="2:12" x14ac:dyDescent="0.2">
      <c r="B543" s="36"/>
      <c r="G543" s="63"/>
      <c r="H543" s="33"/>
      <c r="I543" s="33"/>
      <c r="J543" s="33"/>
      <c r="K543" s="37"/>
      <c r="L543" s="37"/>
    </row>
    <row r="544" spans="2:12" x14ac:dyDescent="0.2">
      <c r="B544" s="36"/>
      <c r="G544" s="63"/>
      <c r="H544" s="33"/>
      <c r="I544" s="33"/>
      <c r="J544" s="33"/>
      <c r="K544" s="37"/>
      <c r="L544" s="37"/>
    </row>
    <row r="545" spans="2:12" x14ac:dyDescent="0.2">
      <c r="B545" s="36"/>
      <c r="G545" s="63"/>
      <c r="H545" s="33"/>
      <c r="I545" s="33"/>
      <c r="J545" s="33"/>
      <c r="K545" s="37"/>
      <c r="L545" s="37"/>
    </row>
    <row r="546" spans="2:12" x14ac:dyDescent="0.2">
      <c r="B546" s="36"/>
      <c r="G546" s="63"/>
      <c r="H546" s="33"/>
      <c r="I546" s="33"/>
      <c r="J546" s="33"/>
      <c r="K546" s="37"/>
      <c r="L546" s="37"/>
    </row>
    <row r="547" spans="2:12" x14ac:dyDescent="0.2">
      <c r="B547" s="36"/>
      <c r="G547" s="63"/>
      <c r="H547" s="33"/>
      <c r="I547" s="33"/>
      <c r="J547" s="33"/>
      <c r="K547" s="37"/>
      <c r="L547" s="37"/>
    </row>
    <row r="548" spans="2:12" x14ac:dyDescent="0.2">
      <c r="B548" s="36"/>
      <c r="G548" s="63"/>
      <c r="H548" s="33"/>
      <c r="I548" s="33"/>
      <c r="J548" s="33"/>
      <c r="K548" s="37"/>
      <c r="L548" s="37"/>
    </row>
    <row r="549" spans="2:12" x14ac:dyDescent="0.2">
      <c r="B549" s="36"/>
      <c r="G549" s="63"/>
      <c r="H549" s="33"/>
      <c r="I549" s="33"/>
      <c r="J549" s="33"/>
      <c r="K549" s="37"/>
      <c r="L549" s="37"/>
    </row>
    <row r="550" spans="2:12" x14ac:dyDescent="0.2">
      <c r="B550" s="36"/>
      <c r="G550" s="63"/>
      <c r="H550" s="33"/>
      <c r="I550" s="33"/>
      <c r="J550" s="33"/>
      <c r="K550" s="37"/>
      <c r="L550" s="37"/>
    </row>
    <row r="551" spans="2:12" x14ac:dyDescent="0.2">
      <c r="B551" s="36"/>
      <c r="G551" s="63"/>
      <c r="H551" s="33"/>
      <c r="I551" s="33"/>
      <c r="J551" s="33"/>
      <c r="K551" s="37"/>
      <c r="L551" s="37"/>
    </row>
    <row r="552" spans="2:12" x14ac:dyDescent="0.2">
      <c r="B552" s="36"/>
      <c r="G552" s="63"/>
      <c r="H552" s="33"/>
      <c r="I552" s="33"/>
      <c r="J552" s="33"/>
      <c r="K552" s="37"/>
      <c r="L552" s="37"/>
    </row>
    <row r="553" spans="2:12" x14ac:dyDescent="0.2">
      <c r="B553" s="36"/>
      <c r="G553" s="63"/>
      <c r="H553" s="33"/>
      <c r="I553" s="33"/>
      <c r="J553" s="33"/>
      <c r="K553" s="37"/>
      <c r="L553" s="37"/>
    </row>
    <row r="554" spans="2:12" x14ac:dyDescent="0.2">
      <c r="B554" s="36"/>
      <c r="G554" s="63"/>
      <c r="H554" s="33"/>
      <c r="I554" s="33"/>
      <c r="J554" s="33"/>
      <c r="K554" s="37"/>
      <c r="L554" s="37"/>
    </row>
    <row r="555" spans="2:12" x14ac:dyDescent="0.2">
      <c r="B555" s="36"/>
      <c r="G555" s="63"/>
      <c r="H555" s="33"/>
      <c r="I555" s="33"/>
      <c r="J555" s="33"/>
      <c r="K555" s="37"/>
      <c r="L555" s="37"/>
    </row>
    <row r="556" spans="2:12" x14ac:dyDescent="0.2">
      <c r="B556" s="36"/>
      <c r="G556" s="63"/>
      <c r="H556" s="33"/>
      <c r="I556" s="33"/>
      <c r="J556" s="33"/>
      <c r="K556" s="37"/>
      <c r="L556" s="37"/>
    </row>
    <row r="557" spans="2:12" x14ac:dyDescent="0.2">
      <c r="B557" s="36"/>
      <c r="G557" s="63"/>
      <c r="H557" s="33"/>
      <c r="I557" s="33"/>
      <c r="J557" s="33"/>
      <c r="K557" s="37"/>
      <c r="L557" s="37"/>
    </row>
    <row r="558" spans="2:12" x14ac:dyDescent="0.2">
      <c r="B558" s="36"/>
      <c r="G558" s="63"/>
      <c r="H558" s="33"/>
      <c r="I558" s="33"/>
      <c r="J558" s="33"/>
      <c r="K558" s="37"/>
      <c r="L558" s="37"/>
    </row>
    <row r="559" spans="2:12" x14ac:dyDescent="0.2">
      <c r="B559" s="36"/>
      <c r="G559" s="63"/>
      <c r="H559" s="33"/>
      <c r="I559" s="33"/>
      <c r="J559" s="33"/>
      <c r="K559" s="37"/>
      <c r="L559" s="37"/>
    </row>
    <row r="560" spans="2:12" x14ac:dyDescent="0.2">
      <c r="B560" s="36"/>
      <c r="G560" s="63"/>
      <c r="H560" s="33"/>
      <c r="I560" s="33"/>
      <c r="J560" s="33"/>
      <c r="K560" s="37"/>
      <c r="L560" s="37"/>
    </row>
    <row r="561" spans="2:12" x14ac:dyDescent="0.2">
      <c r="B561" s="36"/>
      <c r="G561" s="63"/>
      <c r="H561" s="33"/>
      <c r="I561" s="33"/>
      <c r="J561" s="33"/>
      <c r="K561" s="37"/>
      <c r="L561" s="37"/>
    </row>
    <row r="562" spans="2:12" x14ac:dyDescent="0.2">
      <c r="B562" s="36"/>
      <c r="G562" s="63"/>
      <c r="H562" s="33"/>
      <c r="I562" s="33"/>
      <c r="J562" s="33"/>
      <c r="K562" s="37"/>
      <c r="L562" s="37"/>
    </row>
    <row r="563" spans="2:12" x14ac:dyDescent="0.2">
      <c r="B563" s="36"/>
      <c r="G563" s="63"/>
      <c r="H563" s="33"/>
      <c r="I563" s="33"/>
      <c r="J563" s="33"/>
      <c r="K563" s="37"/>
      <c r="L563" s="37"/>
    </row>
    <row r="564" spans="2:12" x14ac:dyDescent="0.2">
      <c r="B564" s="36"/>
      <c r="G564" s="63"/>
      <c r="H564" s="33"/>
      <c r="I564" s="33"/>
      <c r="J564" s="33"/>
      <c r="K564" s="37"/>
      <c r="L564" s="37"/>
    </row>
    <row r="565" spans="2:12" x14ac:dyDescent="0.2">
      <c r="B565" s="36"/>
      <c r="G565" s="63"/>
      <c r="H565" s="33"/>
      <c r="I565" s="33"/>
      <c r="J565" s="33"/>
      <c r="K565" s="37"/>
      <c r="L565" s="37"/>
    </row>
    <row r="566" spans="2:12" x14ac:dyDescent="0.2">
      <c r="B566" s="36"/>
      <c r="G566" s="63"/>
      <c r="H566" s="33"/>
      <c r="I566" s="33"/>
      <c r="J566" s="33"/>
      <c r="K566" s="37"/>
      <c r="L566" s="37"/>
    </row>
    <row r="567" spans="2:12" x14ac:dyDescent="0.2">
      <c r="B567" s="36"/>
      <c r="G567" s="63"/>
      <c r="H567" s="33"/>
      <c r="I567" s="33"/>
      <c r="J567" s="33"/>
      <c r="K567" s="37"/>
      <c r="L567" s="37"/>
    </row>
    <row r="568" spans="2:12" x14ac:dyDescent="0.2">
      <c r="B568" s="36"/>
      <c r="G568" s="63"/>
      <c r="H568" s="33"/>
      <c r="I568" s="33"/>
      <c r="J568" s="33"/>
      <c r="K568" s="37"/>
      <c r="L568" s="37"/>
    </row>
    <row r="569" spans="2:12" x14ac:dyDescent="0.2">
      <c r="B569" s="36"/>
      <c r="G569" s="63"/>
      <c r="H569" s="33"/>
      <c r="I569" s="33"/>
      <c r="J569" s="33"/>
      <c r="K569" s="37"/>
      <c r="L569" s="37"/>
    </row>
    <row r="570" spans="2:12" x14ac:dyDescent="0.2">
      <c r="B570" s="36"/>
      <c r="G570" s="63"/>
      <c r="H570" s="33"/>
      <c r="I570" s="33"/>
      <c r="J570" s="33"/>
      <c r="K570" s="37"/>
      <c r="L570" s="37"/>
    </row>
    <row r="571" spans="2:12" x14ac:dyDescent="0.2">
      <c r="B571" s="36"/>
      <c r="G571" s="63"/>
      <c r="H571" s="33"/>
      <c r="I571" s="33"/>
      <c r="J571" s="33"/>
      <c r="K571" s="37"/>
      <c r="L571" s="37"/>
    </row>
    <row r="572" spans="2:12" x14ac:dyDescent="0.2">
      <c r="B572" s="36"/>
      <c r="G572" s="63"/>
      <c r="H572" s="33"/>
      <c r="I572" s="33"/>
      <c r="J572" s="33"/>
      <c r="K572" s="37"/>
      <c r="L572" s="37"/>
    </row>
    <row r="573" spans="2:12" x14ac:dyDescent="0.2">
      <c r="B573" s="36"/>
      <c r="G573" s="63"/>
      <c r="H573" s="33"/>
      <c r="I573" s="33"/>
      <c r="J573" s="33"/>
      <c r="K573" s="37"/>
      <c r="L573" s="37"/>
    </row>
    <row r="574" spans="2:12" x14ac:dyDescent="0.2">
      <c r="B574" s="36"/>
      <c r="G574" s="63"/>
      <c r="H574" s="33"/>
      <c r="I574" s="33"/>
      <c r="J574" s="33"/>
      <c r="K574" s="37"/>
      <c r="L574" s="37"/>
    </row>
    <row r="575" spans="2:12" x14ac:dyDescent="0.2">
      <c r="B575" s="36"/>
      <c r="G575" s="63"/>
      <c r="H575" s="33"/>
      <c r="I575" s="33"/>
      <c r="J575" s="33"/>
      <c r="K575" s="37"/>
      <c r="L575" s="37"/>
    </row>
    <row r="576" spans="2:12" x14ac:dyDescent="0.2">
      <c r="B576" s="36"/>
      <c r="G576" s="63"/>
      <c r="H576" s="33"/>
      <c r="I576" s="33"/>
      <c r="J576" s="33"/>
      <c r="K576" s="37"/>
      <c r="L576" s="37"/>
    </row>
    <row r="577" spans="2:12" x14ac:dyDescent="0.2">
      <c r="B577" s="36"/>
      <c r="G577" s="63"/>
      <c r="H577" s="33"/>
      <c r="I577" s="33"/>
      <c r="J577" s="33"/>
      <c r="K577" s="37"/>
      <c r="L577" s="37"/>
    </row>
    <row r="578" spans="2:12" x14ac:dyDescent="0.2">
      <c r="B578" s="36"/>
      <c r="G578" s="63"/>
      <c r="H578" s="33"/>
      <c r="I578" s="33"/>
      <c r="J578" s="33"/>
      <c r="K578" s="37"/>
      <c r="L578" s="37"/>
    </row>
    <row r="579" spans="2:12" x14ac:dyDescent="0.2">
      <c r="B579" s="36"/>
      <c r="G579" s="63"/>
      <c r="H579" s="33"/>
      <c r="I579" s="33"/>
      <c r="J579" s="33"/>
      <c r="K579" s="37"/>
      <c r="L579" s="37"/>
    </row>
    <row r="580" spans="2:12" x14ac:dyDescent="0.2">
      <c r="B580" s="36"/>
      <c r="G580" s="63"/>
      <c r="H580" s="33"/>
      <c r="I580" s="33"/>
      <c r="J580" s="33"/>
      <c r="K580" s="37"/>
      <c r="L580" s="37"/>
    </row>
    <row r="581" spans="2:12" x14ac:dyDescent="0.2">
      <c r="B581" s="36"/>
      <c r="G581" s="63"/>
      <c r="H581" s="33"/>
      <c r="I581" s="33"/>
      <c r="J581" s="33"/>
      <c r="K581" s="37"/>
      <c r="L581" s="37"/>
    </row>
    <row r="582" spans="2:12" x14ac:dyDescent="0.2">
      <c r="B582" s="36"/>
      <c r="G582" s="63"/>
      <c r="H582" s="33"/>
      <c r="I582" s="33"/>
      <c r="J582" s="33"/>
      <c r="K582" s="37"/>
      <c r="L582" s="37"/>
    </row>
    <row r="583" spans="2:12" x14ac:dyDescent="0.2">
      <c r="B583" s="36"/>
      <c r="G583" s="63"/>
      <c r="H583" s="33"/>
      <c r="I583" s="33"/>
      <c r="J583" s="33"/>
      <c r="K583" s="37"/>
      <c r="L583" s="37"/>
    </row>
    <row r="584" spans="2:12" x14ac:dyDescent="0.2">
      <c r="B584" s="36"/>
      <c r="G584" s="63"/>
      <c r="H584" s="33"/>
      <c r="I584" s="33"/>
      <c r="J584" s="33"/>
      <c r="K584" s="37"/>
      <c r="L584" s="37"/>
    </row>
    <row r="585" spans="2:12" x14ac:dyDescent="0.2">
      <c r="B585" s="36"/>
      <c r="G585" s="63"/>
      <c r="H585" s="33"/>
      <c r="I585" s="33"/>
      <c r="J585" s="33"/>
      <c r="K585" s="37"/>
      <c r="L585" s="37"/>
    </row>
    <row r="586" spans="2:12" x14ac:dyDescent="0.2">
      <c r="B586" s="36"/>
      <c r="G586" s="63"/>
      <c r="H586" s="33"/>
      <c r="I586" s="33"/>
      <c r="J586" s="33"/>
      <c r="K586" s="37"/>
      <c r="L586" s="37"/>
    </row>
    <row r="587" spans="2:12" x14ac:dyDescent="0.2">
      <c r="B587" s="36"/>
      <c r="G587" s="63"/>
      <c r="H587" s="33"/>
      <c r="I587" s="33"/>
      <c r="J587" s="33"/>
      <c r="K587" s="37"/>
      <c r="L587" s="37"/>
    </row>
    <row r="588" spans="2:12" x14ac:dyDescent="0.2">
      <c r="B588" s="36"/>
      <c r="G588" s="63"/>
      <c r="H588" s="33"/>
      <c r="I588" s="33"/>
      <c r="J588" s="33"/>
      <c r="K588" s="37"/>
      <c r="L588" s="37"/>
    </row>
    <row r="589" spans="2:12" x14ac:dyDescent="0.2">
      <c r="B589" s="36"/>
      <c r="G589" s="63"/>
      <c r="H589" s="33"/>
      <c r="I589" s="33"/>
      <c r="J589" s="33"/>
      <c r="K589" s="37"/>
      <c r="L589" s="37"/>
    </row>
    <row r="590" spans="2:12" x14ac:dyDescent="0.2">
      <c r="B590" s="36"/>
      <c r="G590" s="63"/>
      <c r="H590" s="33"/>
      <c r="I590" s="33"/>
      <c r="J590" s="33"/>
      <c r="K590" s="37"/>
      <c r="L590" s="37"/>
    </row>
    <row r="591" spans="2:12" x14ac:dyDescent="0.2">
      <c r="B591" s="36"/>
      <c r="G591" s="63"/>
      <c r="H591" s="33"/>
      <c r="I591" s="33"/>
      <c r="J591" s="33"/>
      <c r="K591" s="37"/>
      <c r="L591" s="37"/>
    </row>
    <row r="592" spans="2:12" x14ac:dyDescent="0.2">
      <c r="B592" s="36"/>
      <c r="G592" s="63"/>
      <c r="H592" s="33"/>
      <c r="I592" s="33"/>
      <c r="J592" s="33"/>
      <c r="K592" s="37"/>
      <c r="L592" s="37"/>
    </row>
    <row r="593" spans="2:12" x14ac:dyDescent="0.2">
      <c r="B593" s="36"/>
      <c r="G593" s="63"/>
      <c r="H593" s="33"/>
      <c r="I593" s="33"/>
      <c r="J593" s="33"/>
      <c r="K593" s="37"/>
      <c r="L593" s="37"/>
    </row>
    <row r="594" spans="2:12" x14ac:dyDescent="0.2">
      <c r="B594" s="36"/>
      <c r="G594" s="63"/>
      <c r="H594" s="33"/>
      <c r="I594" s="33"/>
      <c r="J594" s="33"/>
      <c r="K594" s="37"/>
      <c r="L594" s="37"/>
    </row>
    <row r="595" spans="2:12" x14ac:dyDescent="0.2">
      <c r="B595" s="36"/>
      <c r="G595" s="63"/>
      <c r="H595" s="33"/>
      <c r="I595" s="33"/>
      <c r="J595" s="33"/>
      <c r="K595" s="37"/>
      <c r="L595" s="37"/>
    </row>
    <row r="596" spans="2:12" x14ac:dyDescent="0.2">
      <c r="B596" s="36"/>
      <c r="G596" s="63"/>
      <c r="H596" s="33"/>
      <c r="I596" s="33"/>
      <c r="J596" s="33"/>
      <c r="K596" s="37"/>
      <c r="L596" s="37"/>
    </row>
    <row r="597" spans="2:12" x14ac:dyDescent="0.2">
      <c r="B597" s="36"/>
      <c r="G597" s="63"/>
      <c r="H597" s="33"/>
      <c r="I597" s="33"/>
      <c r="J597" s="33"/>
      <c r="K597" s="37"/>
      <c r="L597" s="37"/>
    </row>
    <row r="598" spans="2:12" x14ac:dyDescent="0.2">
      <c r="B598" s="36"/>
      <c r="G598" s="63"/>
      <c r="H598" s="33"/>
      <c r="I598" s="33"/>
      <c r="J598" s="33"/>
      <c r="K598" s="37"/>
      <c r="L598" s="37"/>
    </row>
    <row r="599" spans="2:12" x14ac:dyDescent="0.2">
      <c r="B599" s="36"/>
      <c r="G599" s="63"/>
      <c r="H599" s="33"/>
      <c r="I599" s="33"/>
      <c r="J599" s="33"/>
      <c r="K599" s="37"/>
      <c r="L599" s="37"/>
    </row>
    <row r="600" spans="2:12" x14ac:dyDescent="0.2">
      <c r="B600" s="36"/>
      <c r="G600" s="63"/>
      <c r="H600" s="33"/>
      <c r="I600" s="33"/>
      <c r="J600" s="33"/>
      <c r="K600" s="37"/>
      <c r="L600" s="37"/>
    </row>
    <row r="601" spans="2:12" x14ac:dyDescent="0.2">
      <c r="B601" s="36"/>
      <c r="G601" s="63"/>
      <c r="H601" s="33"/>
      <c r="I601" s="33"/>
      <c r="J601" s="33"/>
      <c r="K601" s="37"/>
      <c r="L601" s="37"/>
    </row>
    <row r="602" spans="2:12" x14ac:dyDescent="0.2">
      <c r="B602" s="36"/>
      <c r="G602" s="63"/>
      <c r="H602" s="33"/>
      <c r="I602" s="33"/>
      <c r="J602" s="33"/>
      <c r="K602" s="37"/>
      <c r="L602" s="37"/>
    </row>
    <row r="603" spans="2:12" x14ac:dyDescent="0.2">
      <c r="B603" s="36"/>
      <c r="G603" s="63"/>
      <c r="H603" s="33"/>
      <c r="I603" s="33"/>
      <c r="J603" s="33"/>
      <c r="K603" s="37"/>
      <c r="L603" s="37"/>
    </row>
    <row r="604" spans="2:12" x14ac:dyDescent="0.2">
      <c r="B604" s="36"/>
      <c r="G604" s="63"/>
      <c r="H604" s="33"/>
      <c r="I604" s="33"/>
      <c r="J604" s="33"/>
      <c r="K604" s="37"/>
      <c r="L604" s="37"/>
    </row>
    <row r="605" spans="2:12" x14ac:dyDescent="0.2">
      <c r="B605" s="36"/>
      <c r="G605" s="63"/>
      <c r="H605" s="33"/>
      <c r="I605" s="33"/>
      <c r="J605" s="33"/>
      <c r="K605" s="37"/>
      <c r="L605" s="37"/>
    </row>
    <row r="606" spans="2:12" x14ac:dyDescent="0.2">
      <c r="B606" s="36"/>
      <c r="G606" s="63"/>
      <c r="H606" s="33"/>
      <c r="I606" s="33"/>
      <c r="J606" s="33"/>
      <c r="K606" s="37"/>
      <c r="L606" s="37"/>
    </row>
    <row r="607" spans="2:12" x14ac:dyDescent="0.2">
      <c r="B607" s="36"/>
      <c r="G607" s="63"/>
      <c r="H607" s="33"/>
      <c r="I607" s="33"/>
      <c r="J607" s="33"/>
      <c r="K607" s="37"/>
      <c r="L607" s="37"/>
    </row>
    <row r="608" spans="2:12" x14ac:dyDescent="0.2">
      <c r="B608" s="36"/>
      <c r="G608" s="63"/>
      <c r="H608" s="33"/>
      <c r="I608" s="33"/>
      <c r="J608" s="33"/>
      <c r="K608" s="37"/>
      <c r="L608" s="37"/>
    </row>
    <row r="609" spans="2:12" x14ac:dyDescent="0.2">
      <c r="B609" s="36"/>
      <c r="G609" s="63"/>
      <c r="H609" s="33"/>
      <c r="I609" s="33"/>
      <c r="J609" s="33"/>
      <c r="K609" s="37"/>
      <c r="L609" s="37"/>
    </row>
    <row r="610" spans="2:12" x14ac:dyDescent="0.2">
      <c r="B610" s="36"/>
      <c r="G610" s="63"/>
      <c r="H610" s="33"/>
      <c r="I610" s="33"/>
      <c r="J610" s="33"/>
      <c r="K610" s="37"/>
      <c r="L610" s="37"/>
    </row>
    <row r="611" spans="2:12" x14ac:dyDescent="0.2">
      <c r="B611" s="36"/>
      <c r="G611" s="63"/>
      <c r="H611" s="33"/>
      <c r="I611" s="33"/>
      <c r="J611" s="33"/>
      <c r="K611" s="37"/>
      <c r="L611" s="37"/>
    </row>
    <row r="612" spans="2:12" x14ac:dyDescent="0.2">
      <c r="B612" s="36"/>
      <c r="G612" s="63"/>
      <c r="H612" s="33"/>
      <c r="I612" s="33"/>
      <c r="J612" s="33"/>
      <c r="K612" s="37"/>
      <c r="L612" s="37"/>
    </row>
    <row r="613" spans="2:12" x14ac:dyDescent="0.2">
      <c r="B613" s="36"/>
      <c r="G613" s="63"/>
      <c r="H613" s="33"/>
      <c r="I613" s="33"/>
      <c r="J613" s="33"/>
      <c r="K613" s="37"/>
      <c r="L613" s="37"/>
    </row>
    <row r="614" spans="2:12" x14ac:dyDescent="0.2">
      <c r="B614" s="36"/>
      <c r="G614" s="63"/>
      <c r="H614" s="33"/>
      <c r="I614" s="33"/>
      <c r="J614" s="33"/>
      <c r="K614" s="37"/>
      <c r="L614" s="37"/>
    </row>
    <row r="615" spans="2:12" x14ac:dyDescent="0.2">
      <c r="B615" s="36"/>
      <c r="G615" s="63"/>
      <c r="H615" s="33"/>
      <c r="I615" s="33"/>
      <c r="J615" s="33"/>
      <c r="K615" s="37"/>
      <c r="L615" s="37"/>
    </row>
    <row r="616" spans="2:12" x14ac:dyDescent="0.2">
      <c r="B616" s="36"/>
      <c r="G616" s="63"/>
      <c r="H616" s="33"/>
      <c r="I616" s="33"/>
      <c r="J616" s="33"/>
      <c r="K616" s="37"/>
      <c r="L616" s="37"/>
    </row>
    <row r="617" spans="2:12" x14ac:dyDescent="0.2">
      <c r="B617" s="36"/>
      <c r="G617" s="63"/>
      <c r="H617" s="33"/>
      <c r="I617" s="33"/>
      <c r="J617" s="33"/>
      <c r="K617" s="37"/>
      <c r="L617" s="37"/>
    </row>
    <row r="618" spans="2:12" x14ac:dyDescent="0.2">
      <c r="B618" s="36"/>
      <c r="G618" s="63"/>
      <c r="H618" s="33"/>
      <c r="I618" s="33"/>
      <c r="J618" s="33"/>
      <c r="K618" s="37"/>
      <c r="L618" s="37"/>
    </row>
    <row r="619" spans="2:12" x14ac:dyDescent="0.2">
      <c r="B619" s="36"/>
      <c r="G619" s="63"/>
      <c r="H619" s="33"/>
      <c r="I619" s="33"/>
      <c r="J619" s="33"/>
      <c r="K619" s="37"/>
      <c r="L619" s="37"/>
    </row>
    <row r="620" spans="2:12" x14ac:dyDescent="0.2">
      <c r="B620" s="36"/>
      <c r="G620" s="63"/>
      <c r="H620" s="33"/>
      <c r="I620" s="33"/>
      <c r="J620" s="33"/>
      <c r="K620" s="37"/>
      <c r="L620" s="37"/>
    </row>
    <row r="621" spans="2:12" x14ac:dyDescent="0.2">
      <c r="B621" s="36"/>
      <c r="G621" s="63"/>
      <c r="H621" s="33"/>
      <c r="I621" s="33"/>
      <c r="J621" s="33"/>
      <c r="K621" s="37"/>
      <c r="L621" s="37"/>
    </row>
    <row r="622" spans="2:12" x14ac:dyDescent="0.2">
      <c r="B622" s="36"/>
      <c r="G622" s="63"/>
      <c r="H622" s="33"/>
      <c r="I622" s="33"/>
      <c r="J622" s="33"/>
      <c r="K622" s="37"/>
      <c r="L622" s="37"/>
    </row>
    <row r="623" spans="2:12" x14ac:dyDescent="0.2">
      <c r="B623" s="36"/>
      <c r="G623" s="63"/>
      <c r="H623" s="33"/>
      <c r="I623" s="33"/>
      <c r="J623" s="33"/>
      <c r="K623" s="37"/>
      <c r="L623" s="37"/>
    </row>
    <row r="624" spans="2:12" x14ac:dyDescent="0.2">
      <c r="B624" s="36"/>
      <c r="G624" s="63"/>
      <c r="H624" s="33"/>
      <c r="I624" s="33"/>
      <c r="J624" s="33"/>
      <c r="K624" s="37"/>
      <c r="L624" s="37"/>
    </row>
    <row r="625" spans="2:12" x14ac:dyDescent="0.2">
      <c r="B625" s="36"/>
      <c r="G625" s="63"/>
      <c r="H625" s="33"/>
      <c r="I625" s="33"/>
      <c r="J625" s="33"/>
      <c r="K625" s="37"/>
      <c r="L625" s="37"/>
    </row>
    <row r="626" spans="2:12" x14ac:dyDescent="0.2">
      <c r="B626" s="36"/>
      <c r="G626" s="63"/>
      <c r="H626" s="33"/>
      <c r="I626" s="33"/>
      <c r="J626" s="33"/>
      <c r="K626" s="37"/>
      <c r="L626" s="37"/>
    </row>
    <row r="627" spans="2:12" x14ac:dyDescent="0.2">
      <c r="B627" s="36"/>
      <c r="G627" s="63"/>
      <c r="H627" s="33"/>
      <c r="I627" s="33"/>
      <c r="J627" s="33"/>
      <c r="K627" s="37"/>
      <c r="L627" s="37"/>
    </row>
    <row r="628" spans="2:12" x14ac:dyDescent="0.2">
      <c r="B628" s="36"/>
      <c r="G628" s="63"/>
      <c r="H628" s="33"/>
      <c r="I628" s="33"/>
      <c r="J628" s="33"/>
      <c r="K628" s="37"/>
      <c r="L628" s="37"/>
    </row>
    <row r="629" spans="2:12" x14ac:dyDescent="0.2">
      <c r="B629" s="36"/>
      <c r="G629" s="63"/>
      <c r="H629" s="33"/>
      <c r="I629" s="33"/>
      <c r="J629" s="33"/>
      <c r="K629" s="37"/>
      <c r="L629" s="37"/>
    </row>
    <row r="630" spans="2:12" x14ac:dyDescent="0.2">
      <c r="B630" s="36"/>
      <c r="G630" s="63"/>
      <c r="H630" s="33"/>
      <c r="I630" s="33"/>
      <c r="J630" s="33"/>
      <c r="K630" s="37"/>
      <c r="L630" s="37"/>
    </row>
    <row r="631" spans="2:12" x14ac:dyDescent="0.2">
      <c r="B631" s="36"/>
      <c r="G631" s="63"/>
      <c r="H631" s="33"/>
      <c r="I631" s="33"/>
      <c r="J631" s="33"/>
      <c r="K631" s="37"/>
      <c r="L631" s="37"/>
    </row>
    <row r="632" spans="2:12" x14ac:dyDescent="0.2">
      <c r="B632" s="36"/>
      <c r="G632" s="63"/>
      <c r="H632" s="33"/>
      <c r="I632" s="33"/>
      <c r="J632" s="33"/>
      <c r="K632" s="37"/>
      <c r="L632" s="37"/>
    </row>
    <row r="633" spans="2:12" x14ac:dyDescent="0.2">
      <c r="B633" s="36"/>
      <c r="G633" s="63"/>
      <c r="H633" s="33"/>
      <c r="I633" s="33"/>
      <c r="J633" s="33"/>
      <c r="K633" s="37"/>
      <c r="L633" s="37"/>
    </row>
    <row r="634" spans="2:12" x14ac:dyDescent="0.2">
      <c r="B634" s="36"/>
      <c r="G634" s="63"/>
      <c r="H634" s="33"/>
      <c r="I634" s="33"/>
      <c r="J634" s="33"/>
      <c r="K634" s="37"/>
      <c r="L634" s="37"/>
    </row>
    <row r="635" spans="2:12" x14ac:dyDescent="0.2">
      <c r="B635" s="36"/>
      <c r="G635" s="63"/>
      <c r="H635" s="33"/>
      <c r="I635" s="33"/>
      <c r="J635" s="33"/>
      <c r="K635" s="37"/>
      <c r="L635" s="37"/>
    </row>
    <row r="636" spans="2:12" x14ac:dyDescent="0.2">
      <c r="B636" s="36"/>
      <c r="G636" s="63"/>
      <c r="H636" s="33"/>
      <c r="I636" s="33"/>
      <c r="J636" s="33"/>
      <c r="K636" s="37"/>
      <c r="L636" s="37"/>
    </row>
    <row r="637" spans="2:12" x14ac:dyDescent="0.2">
      <c r="B637" s="36"/>
      <c r="G637" s="63"/>
      <c r="H637" s="33"/>
      <c r="I637" s="33"/>
      <c r="J637" s="33"/>
      <c r="K637" s="37"/>
      <c r="L637" s="37"/>
    </row>
    <row r="638" spans="2:12" x14ac:dyDescent="0.2">
      <c r="B638" s="36"/>
      <c r="G638" s="63"/>
      <c r="H638" s="33"/>
      <c r="I638" s="33"/>
      <c r="J638" s="33"/>
      <c r="K638" s="37"/>
      <c r="L638" s="37"/>
    </row>
    <row r="639" spans="2:12" x14ac:dyDescent="0.2">
      <c r="B639" s="36"/>
      <c r="G639" s="63"/>
      <c r="H639" s="33"/>
      <c r="I639" s="33"/>
      <c r="J639" s="33"/>
      <c r="K639" s="37"/>
      <c r="L639" s="37"/>
    </row>
    <row r="640" spans="2:12" x14ac:dyDescent="0.2">
      <c r="B640" s="36"/>
      <c r="G640" s="63"/>
      <c r="H640" s="33"/>
      <c r="I640" s="33"/>
      <c r="J640" s="33"/>
      <c r="K640" s="37"/>
      <c r="L640" s="37"/>
    </row>
    <row r="641" spans="2:12" x14ac:dyDescent="0.2">
      <c r="B641" s="36"/>
      <c r="G641" s="63"/>
      <c r="H641" s="33"/>
      <c r="I641" s="33"/>
      <c r="J641" s="33"/>
      <c r="K641" s="37"/>
      <c r="L641" s="37"/>
    </row>
    <row r="642" spans="2:12" x14ac:dyDescent="0.2">
      <c r="B642" s="36"/>
      <c r="G642" s="63"/>
      <c r="H642" s="33"/>
      <c r="I642" s="33"/>
      <c r="J642" s="33"/>
      <c r="K642" s="37"/>
      <c r="L642" s="37"/>
    </row>
    <row r="643" spans="2:12" x14ac:dyDescent="0.2">
      <c r="B643" s="36"/>
      <c r="G643" s="63"/>
      <c r="H643" s="33"/>
      <c r="I643" s="33"/>
      <c r="J643" s="33"/>
      <c r="K643" s="37"/>
      <c r="L643" s="37"/>
    </row>
    <row r="644" spans="2:12" x14ac:dyDescent="0.2">
      <c r="B644" s="36"/>
      <c r="G644" s="63"/>
      <c r="H644" s="33"/>
      <c r="I644" s="33"/>
      <c r="J644" s="33"/>
      <c r="K644" s="37"/>
      <c r="L644" s="37"/>
    </row>
    <row r="645" spans="2:12" x14ac:dyDescent="0.2">
      <c r="B645" s="36"/>
      <c r="G645" s="63"/>
      <c r="H645" s="33"/>
      <c r="I645" s="33"/>
      <c r="J645" s="33"/>
      <c r="K645" s="37"/>
      <c r="L645" s="37"/>
    </row>
    <row r="646" spans="2:12" x14ac:dyDescent="0.2">
      <c r="B646" s="36"/>
      <c r="G646" s="63"/>
      <c r="H646" s="33"/>
      <c r="I646" s="33"/>
      <c r="J646" s="33"/>
      <c r="K646" s="37"/>
      <c r="L646" s="37"/>
    </row>
    <row r="647" spans="2:12" x14ac:dyDescent="0.2">
      <c r="B647" s="36"/>
      <c r="G647" s="63"/>
      <c r="H647" s="33"/>
      <c r="I647" s="33"/>
      <c r="J647" s="33"/>
      <c r="K647" s="37"/>
      <c r="L647" s="37"/>
    </row>
    <row r="648" spans="2:12" x14ac:dyDescent="0.2">
      <c r="B648" s="36"/>
      <c r="G648" s="63"/>
      <c r="H648" s="33"/>
      <c r="I648" s="33"/>
      <c r="J648" s="33"/>
      <c r="K648" s="37"/>
      <c r="L648" s="37"/>
    </row>
    <row r="649" spans="2:12" x14ac:dyDescent="0.2">
      <c r="B649" s="36"/>
      <c r="G649" s="63"/>
      <c r="H649" s="33"/>
      <c r="I649" s="33"/>
      <c r="J649" s="33"/>
      <c r="K649" s="37"/>
      <c r="L649" s="37"/>
    </row>
    <row r="650" spans="2:12" x14ac:dyDescent="0.2">
      <c r="B650" s="36"/>
      <c r="G650" s="63"/>
      <c r="H650" s="33"/>
      <c r="I650" s="33"/>
      <c r="J650" s="33"/>
      <c r="K650" s="37"/>
      <c r="L650" s="37"/>
    </row>
    <row r="651" spans="2:12" x14ac:dyDescent="0.2">
      <c r="B651" s="36"/>
      <c r="G651" s="63"/>
      <c r="H651" s="33"/>
      <c r="I651" s="33"/>
      <c r="J651" s="33"/>
      <c r="K651" s="37"/>
      <c r="L651" s="37"/>
    </row>
    <row r="652" spans="2:12" x14ac:dyDescent="0.2">
      <c r="B652" s="36"/>
      <c r="G652" s="63"/>
      <c r="H652" s="33"/>
      <c r="I652" s="33"/>
      <c r="J652" s="33"/>
      <c r="K652" s="37"/>
      <c r="L652" s="37"/>
    </row>
    <row r="653" spans="2:12" x14ac:dyDescent="0.2">
      <c r="B653" s="36"/>
      <c r="G653" s="63"/>
      <c r="H653" s="33"/>
      <c r="I653" s="33"/>
      <c r="J653" s="33"/>
      <c r="K653" s="37"/>
      <c r="L653" s="37"/>
    </row>
    <row r="654" spans="2:12" x14ac:dyDescent="0.2">
      <c r="B654" s="36"/>
      <c r="G654" s="63"/>
      <c r="H654" s="33"/>
      <c r="I654" s="33"/>
      <c r="J654" s="33"/>
      <c r="K654" s="37"/>
      <c r="L654" s="37"/>
    </row>
    <row r="655" spans="2:12" x14ac:dyDescent="0.2">
      <c r="B655" s="36"/>
      <c r="G655" s="63"/>
      <c r="H655" s="33"/>
      <c r="I655" s="33"/>
      <c r="J655" s="33"/>
      <c r="K655" s="37"/>
      <c r="L655" s="37"/>
    </row>
    <row r="656" spans="2:12" x14ac:dyDescent="0.2">
      <c r="B656" s="36"/>
      <c r="G656" s="63"/>
      <c r="H656" s="33"/>
      <c r="I656" s="33"/>
      <c r="J656" s="33"/>
      <c r="K656" s="37"/>
      <c r="L656" s="37"/>
    </row>
    <row r="657" spans="2:12" x14ac:dyDescent="0.2">
      <c r="B657" s="36"/>
      <c r="G657" s="63"/>
      <c r="H657" s="33"/>
      <c r="I657" s="33"/>
      <c r="J657" s="33"/>
      <c r="K657" s="37"/>
      <c r="L657" s="37"/>
    </row>
    <row r="658" spans="2:12" x14ac:dyDescent="0.2">
      <c r="B658" s="36"/>
      <c r="G658" s="63"/>
      <c r="H658" s="33"/>
      <c r="I658" s="33"/>
      <c r="J658" s="33"/>
      <c r="K658" s="37"/>
      <c r="L658" s="37"/>
    </row>
    <row r="659" spans="2:12" x14ac:dyDescent="0.2">
      <c r="B659" s="36"/>
      <c r="G659" s="63"/>
      <c r="H659" s="33"/>
      <c r="I659" s="33"/>
      <c r="J659" s="33"/>
      <c r="K659" s="37"/>
      <c r="L659" s="37"/>
    </row>
    <row r="660" spans="2:12" x14ac:dyDescent="0.2">
      <c r="B660" s="36"/>
      <c r="G660" s="63"/>
      <c r="H660" s="33"/>
      <c r="I660" s="33"/>
      <c r="J660" s="33"/>
      <c r="K660" s="37"/>
      <c r="L660" s="37"/>
    </row>
    <row r="661" spans="2:12" x14ac:dyDescent="0.2">
      <c r="B661" s="36"/>
      <c r="G661" s="63"/>
      <c r="H661" s="33"/>
      <c r="I661" s="33"/>
      <c r="J661" s="33"/>
      <c r="K661" s="37"/>
      <c r="L661" s="37"/>
    </row>
    <row r="662" spans="2:12" x14ac:dyDescent="0.2">
      <c r="B662" s="36"/>
      <c r="G662" s="63"/>
      <c r="H662" s="33"/>
      <c r="I662" s="33"/>
      <c r="J662" s="33"/>
      <c r="K662" s="37"/>
      <c r="L662" s="37"/>
    </row>
    <row r="663" spans="2:12" x14ac:dyDescent="0.2">
      <c r="B663" s="36"/>
      <c r="G663" s="63"/>
      <c r="H663" s="33"/>
      <c r="I663" s="33"/>
      <c r="J663" s="33"/>
      <c r="K663" s="37"/>
      <c r="L663" s="37"/>
    </row>
    <row r="664" spans="2:12" x14ac:dyDescent="0.2">
      <c r="B664" s="36"/>
      <c r="G664" s="63"/>
      <c r="H664" s="33"/>
      <c r="I664" s="33"/>
      <c r="J664" s="33"/>
      <c r="K664" s="37"/>
      <c r="L664" s="37"/>
    </row>
    <row r="665" spans="2:12" x14ac:dyDescent="0.2">
      <c r="B665" s="36"/>
      <c r="G665" s="63"/>
      <c r="H665" s="33"/>
      <c r="I665" s="33"/>
      <c r="J665" s="33"/>
      <c r="K665" s="37"/>
      <c r="L665" s="37"/>
    </row>
    <row r="666" spans="2:12" x14ac:dyDescent="0.2">
      <c r="B666" s="36"/>
      <c r="G666" s="63"/>
      <c r="H666" s="33"/>
      <c r="I666" s="33"/>
      <c r="J666" s="33"/>
      <c r="K666" s="37"/>
      <c r="L666" s="37"/>
    </row>
    <row r="667" spans="2:12" x14ac:dyDescent="0.2">
      <c r="B667" s="36"/>
      <c r="G667" s="63"/>
      <c r="H667" s="33"/>
      <c r="I667" s="33"/>
      <c r="J667" s="33"/>
      <c r="K667" s="37"/>
      <c r="L667" s="37"/>
    </row>
    <row r="668" spans="2:12" x14ac:dyDescent="0.2">
      <c r="B668" s="36"/>
      <c r="G668" s="63"/>
      <c r="H668" s="33"/>
      <c r="I668" s="33"/>
      <c r="J668" s="33"/>
      <c r="K668" s="37"/>
      <c r="L668" s="37"/>
    </row>
    <row r="669" spans="2:12" x14ac:dyDescent="0.2">
      <c r="B669" s="36"/>
      <c r="G669" s="63"/>
      <c r="H669" s="33"/>
      <c r="I669" s="33"/>
      <c r="J669" s="33"/>
      <c r="K669" s="37"/>
      <c r="L669" s="37"/>
    </row>
    <row r="670" spans="2:12" x14ac:dyDescent="0.2">
      <c r="B670" s="36"/>
      <c r="G670" s="63"/>
      <c r="H670" s="33"/>
      <c r="I670" s="33"/>
      <c r="J670" s="33"/>
      <c r="K670" s="37"/>
      <c r="L670" s="37"/>
    </row>
    <row r="671" spans="2:12" x14ac:dyDescent="0.2">
      <c r="B671" s="36"/>
      <c r="G671" s="63"/>
      <c r="H671" s="33"/>
      <c r="I671" s="33"/>
      <c r="J671" s="33"/>
      <c r="K671" s="37"/>
      <c r="L671" s="37"/>
    </row>
    <row r="672" spans="2:12" x14ac:dyDescent="0.2">
      <c r="B672" s="36"/>
      <c r="G672" s="63"/>
      <c r="H672" s="33"/>
      <c r="I672" s="33"/>
      <c r="J672" s="33"/>
      <c r="K672" s="37"/>
      <c r="L672" s="37"/>
    </row>
    <row r="673" spans="2:12" x14ac:dyDescent="0.2">
      <c r="B673" s="36"/>
      <c r="G673" s="63"/>
      <c r="H673" s="33"/>
      <c r="I673" s="33"/>
      <c r="J673" s="33"/>
      <c r="K673" s="37"/>
      <c r="L673" s="37"/>
    </row>
    <row r="674" spans="2:12" x14ac:dyDescent="0.2">
      <c r="B674" s="36"/>
      <c r="G674" s="63"/>
      <c r="H674" s="33"/>
      <c r="I674" s="33"/>
      <c r="J674" s="33"/>
      <c r="K674" s="37"/>
      <c r="L674" s="37"/>
    </row>
    <row r="675" spans="2:12" x14ac:dyDescent="0.2">
      <c r="B675" s="36"/>
      <c r="G675" s="63"/>
      <c r="H675" s="33"/>
      <c r="I675" s="33"/>
      <c r="J675" s="33"/>
      <c r="K675" s="37"/>
      <c r="L675" s="37"/>
    </row>
    <row r="676" spans="2:12" x14ac:dyDescent="0.2">
      <c r="B676" s="36"/>
      <c r="G676" s="63"/>
      <c r="H676" s="33"/>
      <c r="I676" s="33"/>
      <c r="J676" s="33"/>
      <c r="K676" s="37"/>
      <c r="L676" s="37"/>
    </row>
    <row r="677" spans="2:12" x14ac:dyDescent="0.2">
      <c r="B677" s="36"/>
      <c r="G677" s="63"/>
      <c r="H677" s="33"/>
      <c r="I677" s="33"/>
      <c r="J677" s="33"/>
      <c r="K677" s="37"/>
      <c r="L677" s="37"/>
    </row>
    <row r="678" spans="2:12" x14ac:dyDescent="0.2">
      <c r="B678" s="36"/>
      <c r="G678" s="63"/>
      <c r="H678" s="33"/>
      <c r="I678" s="33"/>
      <c r="J678" s="33"/>
      <c r="K678" s="37"/>
      <c r="L678" s="37"/>
    </row>
    <row r="679" spans="2:12" x14ac:dyDescent="0.2">
      <c r="B679" s="36"/>
      <c r="G679" s="63"/>
      <c r="H679" s="33"/>
      <c r="I679" s="33"/>
      <c r="J679" s="33"/>
      <c r="K679" s="37"/>
      <c r="L679" s="37"/>
    </row>
    <row r="680" spans="2:12" x14ac:dyDescent="0.2">
      <c r="B680" s="36"/>
      <c r="G680" s="63"/>
      <c r="H680" s="33"/>
      <c r="I680" s="33"/>
      <c r="J680" s="33"/>
      <c r="K680" s="37"/>
      <c r="L680" s="37"/>
    </row>
    <row r="681" spans="2:12" x14ac:dyDescent="0.2">
      <c r="B681" s="36"/>
      <c r="G681" s="63"/>
      <c r="H681" s="33"/>
      <c r="I681" s="33"/>
      <c r="J681" s="33"/>
      <c r="K681" s="37"/>
      <c r="L681" s="37"/>
    </row>
    <row r="682" spans="2:12" x14ac:dyDescent="0.2">
      <c r="B682" s="36"/>
      <c r="G682" s="63"/>
      <c r="H682" s="33"/>
      <c r="I682" s="33"/>
      <c r="J682" s="33"/>
      <c r="K682" s="37"/>
      <c r="L682" s="37"/>
    </row>
    <row r="683" spans="2:12" x14ac:dyDescent="0.2">
      <c r="B683" s="36"/>
      <c r="G683" s="63"/>
      <c r="H683" s="33"/>
      <c r="I683" s="33"/>
      <c r="J683" s="33"/>
      <c r="K683" s="37"/>
      <c r="L683" s="37"/>
    </row>
    <row r="684" spans="2:12" x14ac:dyDescent="0.2">
      <c r="B684" s="36"/>
      <c r="G684" s="63"/>
      <c r="H684" s="33"/>
      <c r="I684" s="33"/>
      <c r="J684" s="33"/>
      <c r="K684" s="37"/>
      <c r="L684" s="37"/>
    </row>
    <row r="685" spans="2:12" x14ac:dyDescent="0.2">
      <c r="B685" s="36"/>
      <c r="G685" s="63"/>
      <c r="H685" s="33"/>
      <c r="I685" s="33"/>
      <c r="J685" s="33"/>
      <c r="K685" s="37"/>
      <c r="L685" s="37"/>
    </row>
    <row r="686" spans="2:12" x14ac:dyDescent="0.2">
      <c r="B686" s="36"/>
      <c r="G686" s="63"/>
      <c r="H686" s="33"/>
      <c r="I686" s="33"/>
      <c r="J686" s="33"/>
      <c r="K686" s="37"/>
      <c r="L686" s="37"/>
    </row>
    <row r="687" spans="2:12" x14ac:dyDescent="0.2">
      <c r="B687" s="36"/>
      <c r="G687" s="63"/>
      <c r="H687" s="33"/>
      <c r="I687" s="33"/>
      <c r="J687" s="33"/>
      <c r="K687" s="37"/>
      <c r="L687" s="37"/>
    </row>
    <row r="688" spans="2:12" x14ac:dyDescent="0.2">
      <c r="B688" s="36"/>
      <c r="G688" s="63"/>
      <c r="H688" s="33"/>
      <c r="I688" s="33"/>
      <c r="J688" s="33"/>
      <c r="K688" s="37"/>
      <c r="L688" s="37"/>
    </row>
    <row r="689" spans="2:12" x14ac:dyDescent="0.2">
      <c r="B689" s="36"/>
      <c r="G689" s="63"/>
      <c r="H689" s="33"/>
      <c r="I689" s="33"/>
      <c r="J689" s="33"/>
      <c r="K689" s="37"/>
      <c r="L689" s="37"/>
    </row>
    <row r="690" spans="2:12" x14ac:dyDescent="0.2">
      <c r="B690" s="36"/>
      <c r="G690" s="63"/>
      <c r="H690" s="33"/>
      <c r="I690" s="33"/>
      <c r="J690" s="33"/>
      <c r="K690" s="37"/>
      <c r="L690" s="37"/>
    </row>
    <row r="691" spans="2:12" x14ac:dyDescent="0.2">
      <c r="B691" s="36"/>
      <c r="G691" s="63"/>
      <c r="H691" s="33"/>
      <c r="I691" s="33"/>
      <c r="J691" s="33"/>
      <c r="K691" s="37"/>
      <c r="L691" s="37"/>
    </row>
    <row r="692" spans="2:12" x14ac:dyDescent="0.2">
      <c r="B692" s="36"/>
      <c r="G692" s="63"/>
      <c r="H692" s="33"/>
      <c r="I692" s="33"/>
      <c r="J692" s="33"/>
      <c r="K692" s="37"/>
      <c r="L692" s="37"/>
    </row>
    <row r="693" spans="2:12" x14ac:dyDescent="0.2">
      <c r="B693" s="36"/>
      <c r="G693" s="63"/>
      <c r="H693" s="33"/>
      <c r="I693" s="33"/>
      <c r="J693" s="33"/>
      <c r="K693" s="37"/>
      <c r="L693" s="37"/>
    </row>
    <row r="694" spans="2:12" x14ac:dyDescent="0.2">
      <c r="B694" s="36"/>
      <c r="G694" s="63"/>
      <c r="H694" s="33"/>
      <c r="I694" s="33"/>
      <c r="J694" s="33"/>
      <c r="K694" s="37"/>
      <c r="L694" s="37"/>
    </row>
    <row r="695" spans="2:12" x14ac:dyDescent="0.2">
      <c r="B695" s="36"/>
      <c r="G695" s="63"/>
      <c r="H695" s="33"/>
      <c r="I695" s="33"/>
      <c r="J695" s="33"/>
      <c r="K695" s="37"/>
      <c r="L695" s="37"/>
    </row>
    <row r="696" spans="2:12" x14ac:dyDescent="0.2">
      <c r="B696" s="36"/>
      <c r="G696" s="63"/>
      <c r="H696" s="33"/>
      <c r="I696" s="33"/>
      <c r="J696" s="33"/>
      <c r="K696" s="37"/>
      <c r="L696" s="37"/>
    </row>
    <row r="697" spans="2:12" x14ac:dyDescent="0.2">
      <c r="B697" s="36"/>
      <c r="G697" s="63"/>
      <c r="H697" s="33"/>
      <c r="I697" s="33"/>
      <c r="J697" s="33"/>
      <c r="K697" s="37"/>
      <c r="L697" s="37"/>
    </row>
    <row r="698" spans="2:12" x14ac:dyDescent="0.2">
      <c r="B698" s="36"/>
      <c r="G698" s="63"/>
      <c r="H698" s="33"/>
      <c r="I698" s="33"/>
      <c r="J698" s="33"/>
      <c r="K698" s="37"/>
      <c r="L698" s="37"/>
    </row>
    <row r="699" spans="2:12" x14ac:dyDescent="0.2">
      <c r="B699" s="36"/>
      <c r="G699" s="63"/>
      <c r="H699" s="33"/>
      <c r="I699" s="33"/>
      <c r="J699" s="33"/>
      <c r="K699" s="37"/>
      <c r="L699" s="37"/>
    </row>
    <row r="700" spans="2:12" x14ac:dyDescent="0.2">
      <c r="B700" s="36"/>
      <c r="G700" s="63"/>
      <c r="H700" s="33"/>
      <c r="I700" s="33"/>
      <c r="J700" s="33"/>
      <c r="K700" s="37"/>
      <c r="L700" s="37"/>
    </row>
    <row r="701" spans="2:12" x14ac:dyDescent="0.2">
      <c r="B701" s="36"/>
      <c r="G701" s="63"/>
      <c r="H701" s="33"/>
      <c r="I701" s="33"/>
      <c r="J701" s="33"/>
      <c r="K701" s="37"/>
      <c r="L701" s="37"/>
    </row>
    <row r="702" spans="2:12" x14ac:dyDescent="0.2">
      <c r="B702" s="36"/>
      <c r="G702" s="63"/>
      <c r="H702" s="33"/>
      <c r="I702" s="33"/>
      <c r="J702" s="33"/>
      <c r="K702" s="37"/>
      <c r="L702" s="37"/>
    </row>
    <row r="703" spans="2:12" x14ac:dyDescent="0.2">
      <c r="B703" s="36"/>
      <c r="G703" s="63"/>
      <c r="H703" s="33"/>
      <c r="I703" s="33"/>
      <c r="J703" s="33"/>
      <c r="K703" s="37"/>
      <c r="L703" s="37"/>
    </row>
    <row r="704" spans="2:12" x14ac:dyDescent="0.2">
      <c r="B704" s="36"/>
      <c r="G704" s="63"/>
      <c r="H704" s="33"/>
      <c r="I704" s="33"/>
      <c r="J704" s="33"/>
      <c r="K704" s="37"/>
      <c r="L704" s="37"/>
    </row>
    <row r="705" spans="2:12" x14ac:dyDescent="0.2">
      <c r="B705" s="36"/>
      <c r="G705" s="63"/>
      <c r="H705" s="33"/>
      <c r="I705" s="33"/>
      <c r="J705" s="33"/>
      <c r="K705" s="37"/>
      <c r="L705" s="37"/>
    </row>
    <row r="706" spans="2:12" x14ac:dyDescent="0.2">
      <c r="B706" s="36"/>
      <c r="G706" s="63"/>
      <c r="H706" s="33"/>
      <c r="I706" s="33"/>
      <c r="J706" s="33"/>
      <c r="K706" s="37"/>
      <c r="L706" s="37"/>
    </row>
    <row r="707" spans="2:12" x14ac:dyDescent="0.2">
      <c r="B707" s="36"/>
      <c r="G707" s="63"/>
      <c r="H707" s="33"/>
      <c r="I707" s="33"/>
      <c r="J707" s="33"/>
      <c r="K707" s="37"/>
      <c r="L707" s="37"/>
    </row>
    <row r="708" spans="2:12" x14ac:dyDescent="0.2">
      <c r="B708" s="36"/>
      <c r="G708" s="63"/>
      <c r="H708" s="33"/>
      <c r="I708" s="33"/>
      <c r="J708" s="33"/>
      <c r="K708" s="37"/>
      <c r="L708" s="37"/>
    </row>
    <row r="709" spans="2:12" x14ac:dyDescent="0.2">
      <c r="B709" s="36"/>
      <c r="G709" s="63"/>
      <c r="H709" s="33"/>
      <c r="I709" s="33"/>
      <c r="J709" s="33"/>
      <c r="K709" s="37"/>
      <c r="L709" s="37"/>
    </row>
    <row r="710" spans="2:12" x14ac:dyDescent="0.2">
      <c r="B710" s="36"/>
      <c r="G710" s="63"/>
      <c r="H710" s="33"/>
      <c r="I710" s="33"/>
      <c r="J710" s="33"/>
      <c r="K710" s="37"/>
      <c r="L710" s="37"/>
    </row>
    <row r="711" spans="2:12" x14ac:dyDescent="0.2">
      <c r="B711" s="36"/>
      <c r="G711" s="63"/>
      <c r="H711" s="33"/>
      <c r="I711" s="33"/>
      <c r="J711" s="33"/>
      <c r="K711" s="37"/>
      <c r="L711" s="37"/>
    </row>
    <row r="712" spans="2:12" x14ac:dyDescent="0.2">
      <c r="B712" s="36"/>
      <c r="G712" s="63"/>
      <c r="H712" s="33"/>
      <c r="I712" s="33"/>
      <c r="J712" s="33"/>
      <c r="K712" s="37"/>
      <c r="L712" s="37"/>
    </row>
    <row r="713" spans="2:12" x14ac:dyDescent="0.2">
      <c r="B713" s="36"/>
      <c r="G713" s="63"/>
      <c r="H713" s="33"/>
      <c r="I713" s="33"/>
      <c r="J713" s="33"/>
      <c r="K713" s="37"/>
      <c r="L713" s="37"/>
    </row>
    <row r="714" spans="2:12" x14ac:dyDescent="0.2">
      <c r="B714" s="36"/>
      <c r="G714" s="63"/>
      <c r="H714" s="33"/>
      <c r="I714" s="33"/>
      <c r="J714" s="33"/>
      <c r="K714" s="37"/>
      <c r="L714" s="37"/>
    </row>
    <row r="715" spans="2:12" x14ac:dyDescent="0.2">
      <c r="B715" s="36"/>
      <c r="G715" s="63"/>
      <c r="H715" s="33"/>
      <c r="I715" s="33"/>
      <c r="J715" s="33"/>
      <c r="K715" s="37"/>
      <c r="L715" s="37"/>
    </row>
    <row r="716" spans="2:12" x14ac:dyDescent="0.2">
      <c r="B716" s="36"/>
      <c r="G716" s="63"/>
      <c r="H716" s="33"/>
      <c r="I716" s="33"/>
      <c r="J716" s="33"/>
      <c r="K716" s="37"/>
      <c r="L716" s="37"/>
    </row>
    <row r="717" spans="2:12" x14ac:dyDescent="0.2">
      <c r="B717" s="36"/>
      <c r="G717" s="63"/>
      <c r="H717" s="33"/>
      <c r="I717" s="33"/>
      <c r="J717" s="33"/>
      <c r="K717" s="37"/>
      <c r="L717" s="37"/>
    </row>
    <row r="718" spans="2:12" x14ac:dyDescent="0.2">
      <c r="B718" s="36"/>
      <c r="G718" s="63"/>
      <c r="H718" s="33"/>
      <c r="I718" s="33"/>
      <c r="J718" s="33"/>
      <c r="K718" s="37"/>
      <c r="L718" s="37"/>
    </row>
    <row r="719" spans="2:12" x14ac:dyDescent="0.2">
      <c r="B719" s="36"/>
      <c r="G719" s="63"/>
      <c r="H719" s="33"/>
      <c r="I719" s="33"/>
      <c r="J719" s="33"/>
      <c r="K719" s="37"/>
      <c r="L719" s="37"/>
    </row>
    <row r="720" spans="2:12" x14ac:dyDescent="0.2">
      <c r="B720" s="36"/>
      <c r="G720" s="63"/>
      <c r="H720" s="33"/>
      <c r="I720" s="33"/>
      <c r="J720" s="33"/>
      <c r="K720" s="37"/>
      <c r="L720" s="37"/>
    </row>
    <row r="721" spans="2:12" x14ac:dyDescent="0.2">
      <c r="B721" s="36"/>
      <c r="G721" s="63"/>
      <c r="H721" s="33"/>
      <c r="I721" s="33"/>
      <c r="J721" s="33"/>
      <c r="K721" s="37"/>
      <c r="L721" s="37"/>
    </row>
    <row r="722" spans="2:12" x14ac:dyDescent="0.2">
      <c r="B722" s="36"/>
      <c r="G722" s="63"/>
      <c r="H722" s="33"/>
      <c r="I722" s="33"/>
      <c r="J722" s="33"/>
      <c r="K722" s="37"/>
      <c r="L722" s="37"/>
    </row>
    <row r="723" spans="2:12" x14ac:dyDescent="0.2">
      <c r="B723" s="36"/>
      <c r="G723" s="63"/>
      <c r="H723" s="33"/>
      <c r="I723" s="33"/>
      <c r="J723" s="33"/>
      <c r="K723" s="37"/>
      <c r="L723" s="37"/>
    </row>
    <row r="724" spans="2:12" x14ac:dyDescent="0.2">
      <c r="B724" s="36"/>
      <c r="G724" s="63"/>
      <c r="H724" s="33"/>
      <c r="I724" s="33"/>
      <c r="J724" s="33"/>
      <c r="K724" s="37"/>
      <c r="L724" s="37"/>
    </row>
    <row r="725" spans="2:12" x14ac:dyDescent="0.2">
      <c r="B725" s="36"/>
      <c r="G725" s="63"/>
      <c r="H725" s="33"/>
      <c r="I725" s="33"/>
      <c r="J725" s="33"/>
      <c r="K725" s="37"/>
      <c r="L725" s="37"/>
    </row>
    <row r="726" spans="2:12" x14ac:dyDescent="0.2">
      <c r="B726" s="36"/>
      <c r="G726" s="63"/>
      <c r="H726" s="33"/>
      <c r="I726" s="33"/>
      <c r="J726" s="33"/>
      <c r="K726" s="37"/>
      <c r="L726" s="37"/>
    </row>
    <row r="727" spans="2:12" x14ac:dyDescent="0.2">
      <c r="B727" s="36"/>
      <c r="G727" s="63"/>
      <c r="H727" s="33"/>
      <c r="I727" s="33"/>
      <c r="J727" s="33"/>
      <c r="K727" s="37"/>
      <c r="L727" s="37"/>
    </row>
    <row r="728" spans="2:12" x14ac:dyDescent="0.2">
      <c r="B728" s="36"/>
      <c r="G728" s="63"/>
      <c r="H728" s="33"/>
      <c r="I728" s="33"/>
      <c r="J728" s="33"/>
      <c r="K728" s="37"/>
      <c r="L728" s="37"/>
    </row>
    <row r="729" spans="2:12" x14ac:dyDescent="0.2">
      <c r="B729" s="36"/>
      <c r="G729" s="63"/>
      <c r="H729" s="33"/>
      <c r="I729" s="33"/>
      <c r="J729" s="33"/>
      <c r="K729" s="37"/>
      <c r="L729" s="37"/>
    </row>
    <row r="730" spans="2:12" x14ac:dyDescent="0.2">
      <c r="B730" s="36"/>
      <c r="G730" s="63"/>
      <c r="H730" s="33"/>
      <c r="I730" s="33"/>
      <c r="J730" s="33"/>
      <c r="K730" s="37"/>
      <c r="L730" s="37"/>
    </row>
    <row r="731" spans="2:12" x14ac:dyDescent="0.2">
      <c r="B731" s="36"/>
      <c r="G731" s="63"/>
      <c r="H731" s="33"/>
      <c r="I731" s="33"/>
      <c r="J731" s="33"/>
      <c r="K731" s="37"/>
      <c r="L731" s="37"/>
    </row>
    <row r="732" spans="2:12" x14ac:dyDescent="0.2">
      <c r="B732" s="36"/>
      <c r="G732" s="63"/>
      <c r="H732" s="33"/>
      <c r="I732" s="33"/>
      <c r="J732" s="33"/>
      <c r="K732" s="37"/>
      <c r="L732" s="37"/>
    </row>
    <row r="733" spans="2:12" x14ac:dyDescent="0.2">
      <c r="B733" s="36"/>
      <c r="G733" s="63"/>
      <c r="H733" s="33"/>
      <c r="I733" s="33"/>
      <c r="J733" s="33"/>
      <c r="K733" s="37"/>
      <c r="L733" s="37"/>
    </row>
    <row r="734" spans="2:12" x14ac:dyDescent="0.2">
      <c r="B734" s="36"/>
      <c r="G734" s="63"/>
      <c r="H734" s="33"/>
      <c r="I734" s="33"/>
      <c r="J734" s="33"/>
      <c r="K734" s="37"/>
      <c r="L734" s="37"/>
    </row>
    <row r="735" spans="2:12" x14ac:dyDescent="0.2">
      <c r="B735" s="36"/>
      <c r="G735" s="63"/>
      <c r="H735" s="33"/>
      <c r="I735" s="33"/>
      <c r="J735" s="33"/>
      <c r="K735" s="37"/>
      <c r="L735" s="37"/>
    </row>
    <row r="736" spans="2:12" x14ac:dyDescent="0.2">
      <c r="B736" s="36"/>
      <c r="G736" s="63"/>
      <c r="H736" s="33"/>
      <c r="I736" s="33"/>
      <c r="J736" s="33"/>
      <c r="K736" s="37"/>
      <c r="L736" s="37"/>
    </row>
    <row r="737" spans="2:12" x14ac:dyDescent="0.2">
      <c r="B737" s="36"/>
      <c r="G737" s="63"/>
      <c r="H737" s="33"/>
      <c r="I737" s="33"/>
      <c r="J737" s="33"/>
      <c r="K737" s="37"/>
      <c r="L737" s="37"/>
    </row>
    <row r="738" spans="2:12" x14ac:dyDescent="0.2">
      <c r="B738" s="36"/>
      <c r="G738" s="63"/>
      <c r="H738" s="33"/>
      <c r="I738" s="33"/>
      <c r="J738" s="33"/>
      <c r="K738" s="37"/>
      <c r="L738" s="37"/>
    </row>
    <row r="739" spans="2:12" x14ac:dyDescent="0.2">
      <c r="B739" s="36"/>
      <c r="G739" s="63"/>
      <c r="H739" s="33"/>
      <c r="I739" s="33"/>
      <c r="J739" s="33"/>
      <c r="K739" s="37"/>
      <c r="L739" s="37"/>
    </row>
    <row r="740" spans="2:12" x14ac:dyDescent="0.2">
      <c r="B740" s="36"/>
      <c r="G740" s="63"/>
      <c r="H740" s="33"/>
      <c r="I740" s="33"/>
      <c r="J740" s="33"/>
      <c r="K740" s="37"/>
      <c r="L740" s="37"/>
    </row>
    <row r="741" spans="2:12" x14ac:dyDescent="0.2">
      <c r="B741" s="36"/>
      <c r="G741" s="63"/>
      <c r="H741" s="33"/>
      <c r="I741" s="33"/>
      <c r="J741" s="33"/>
      <c r="K741" s="37"/>
      <c r="L741" s="37"/>
    </row>
    <row r="742" spans="2:12" x14ac:dyDescent="0.2">
      <c r="B742" s="36"/>
      <c r="G742" s="63"/>
      <c r="H742" s="33"/>
      <c r="I742" s="33"/>
      <c r="J742" s="33"/>
      <c r="K742" s="37"/>
      <c r="L742" s="37"/>
    </row>
    <row r="743" spans="2:12" x14ac:dyDescent="0.2">
      <c r="B743" s="36"/>
      <c r="G743" s="63"/>
      <c r="H743" s="33"/>
      <c r="I743" s="33"/>
      <c r="J743" s="33"/>
      <c r="K743" s="37"/>
      <c r="L743" s="37"/>
    </row>
    <row r="744" spans="2:12" x14ac:dyDescent="0.2">
      <c r="B744" s="36"/>
      <c r="G744" s="63"/>
      <c r="H744" s="33"/>
      <c r="I744" s="33"/>
      <c r="J744" s="33"/>
      <c r="K744" s="37"/>
      <c r="L744" s="37"/>
    </row>
    <row r="745" spans="2:12" x14ac:dyDescent="0.2">
      <c r="B745" s="36"/>
      <c r="G745" s="63"/>
      <c r="H745" s="33"/>
      <c r="I745" s="33"/>
      <c r="J745" s="33"/>
      <c r="K745" s="37"/>
      <c r="L745" s="37"/>
    </row>
    <row r="746" spans="2:12" x14ac:dyDescent="0.2">
      <c r="B746" s="36"/>
      <c r="G746" s="63"/>
      <c r="H746" s="33"/>
      <c r="I746" s="33"/>
      <c r="J746" s="33"/>
      <c r="K746" s="37"/>
      <c r="L746" s="37"/>
    </row>
    <row r="747" spans="2:12" x14ac:dyDescent="0.2">
      <c r="B747" s="36"/>
      <c r="G747" s="63"/>
      <c r="H747" s="33"/>
      <c r="I747" s="33"/>
      <c r="J747" s="33"/>
      <c r="K747" s="37"/>
      <c r="L747" s="37"/>
    </row>
    <row r="748" spans="2:12" x14ac:dyDescent="0.2">
      <c r="B748" s="36"/>
      <c r="G748" s="63"/>
      <c r="H748" s="33"/>
      <c r="I748" s="33"/>
      <c r="J748" s="33"/>
      <c r="K748" s="37"/>
      <c r="L748" s="37"/>
    </row>
    <row r="749" spans="2:12" x14ac:dyDescent="0.2">
      <c r="B749" s="36"/>
      <c r="G749" s="63"/>
      <c r="H749" s="33"/>
      <c r="I749" s="33"/>
      <c r="J749" s="33"/>
      <c r="K749" s="37"/>
      <c r="L749" s="37"/>
    </row>
    <row r="750" spans="2:12" x14ac:dyDescent="0.2">
      <c r="B750" s="36"/>
      <c r="G750" s="63"/>
      <c r="H750" s="33"/>
      <c r="I750" s="33"/>
      <c r="J750" s="33"/>
      <c r="K750" s="37"/>
      <c r="L750" s="37"/>
    </row>
    <row r="751" spans="2:12" x14ac:dyDescent="0.2">
      <c r="B751" s="36"/>
      <c r="G751" s="63"/>
      <c r="H751" s="33"/>
      <c r="I751" s="33"/>
      <c r="J751" s="33"/>
      <c r="K751" s="37"/>
      <c r="L751" s="37"/>
    </row>
    <row r="752" spans="2:12" x14ac:dyDescent="0.2">
      <c r="B752" s="36"/>
      <c r="G752" s="63"/>
      <c r="H752" s="33"/>
      <c r="I752" s="33"/>
      <c r="J752" s="33"/>
      <c r="K752" s="37"/>
      <c r="L752" s="37"/>
    </row>
    <row r="753" spans="2:12" x14ac:dyDescent="0.2">
      <c r="B753" s="36"/>
      <c r="G753" s="63"/>
      <c r="H753" s="33"/>
      <c r="I753" s="33"/>
      <c r="J753" s="33"/>
      <c r="K753" s="37"/>
      <c r="L753" s="37"/>
    </row>
    <row r="754" spans="2:12" x14ac:dyDescent="0.2">
      <c r="B754" s="36"/>
      <c r="G754" s="63"/>
      <c r="H754" s="33"/>
      <c r="I754" s="33"/>
      <c r="J754" s="33"/>
      <c r="K754" s="37"/>
      <c r="L754" s="37"/>
    </row>
    <row r="755" spans="2:12" x14ac:dyDescent="0.2">
      <c r="B755" s="36"/>
      <c r="G755" s="63"/>
      <c r="H755" s="33"/>
      <c r="I755" s="33"/>
      <c r="J755" s="33"/>
      <c r="K755" s="37"/>
      <c r="L755" s="37"/>
    </row>
    <row r="756" spans="2:12" x14ac:dyDescent="0.2">
      <c r="B756" s="36"/>
      <c r="G756" s="63"/>
      <c r="H756" s="33"/>
      <c r="I756" s="33"/>
      <c r="J756" s="33"/>
      <c r="K756" s="37"/>
      <c r="L756" s="37"/>
    </row>
    <row r="757" spans="2:12" x14ac:dyDescent="0.2">
      <c r="B757" s="36"/>
      <c r="G757" s="63"/>
      <c r="H757" s="33"/>
      <c r="I757" s="33"/>
      <c r="J757" s="33"/>
      <c r="K757" s="37"/>
      <c r="L757" s="37"/>
    </row>
    <row r="758" spans="2:12" x14ac:dyDescent="0.2">
      <c r="B758" s="36"/>
      <c r="G758" s="63"/>
      <c r="H758" s="33"/>
      <c r="I758" s="33"/>
      <c r="J758" s="33"/>
      <c r="K758" s="37"/>
      <c r="L758" s="37"/>
    </row>
    <row r="759" spans="2:12" x14ac:dyDescent="0.2">
      <c r="B759" s="36"/>
      <c r="G759" s="63"/>
      <c r="H759" s="33"/>
      <c r="I759" s="33"/>
      <c r="J759" s="33"/>
      <c r="K759" s="37"/>
      <c r="L759" s="37"/>
    </row>
    <row r="760" spans="2:12" x14ac:dyDescent="0.2">
      <c r="B760" s="36"/>
      <c r="G760" s="63"/>
      <c r="H760" s="33"/>
      <c r="I760" s="33"/>
      <c r="J760" s="33"/>
      <c r="K760" s="37"/>
      <c r="L760" s="37"/>
    </row>
    <row r="761" spans="2:12" x14ac:dyDescent="0.2">
      <c r="B761" s="36"/>
      <c r="G761" s="63"/>
      <c r="H761" s="33"/>
      <c r="I761" s="33"/>
      <c r="J761" s="33"/>
      <c r="K761" s="37"/>
      <c r="L761" s="37"/>
    </row>
    <row r="762" spans="2:12" x14ac:dyDescent="0.2">
      <c r="B762" s="36"/>
      <c r="G762" s="63"/>
      <c r="H762" s="33"/>
      <c r="I762" s="33"/>
      <c r="J762" s="33"/>
      <c r="K762" s="37"/>
      <c r="L762" s="37"/>
    </row>
    <row r="763" spans="2:12" x14ac:dyDescent="0.2">
      <c r="B763" s="36"/>
      <c r="G763" s="63"/>
      <c r="H763" s="33"/>
      <c r="I763" s="33"/>
      <c r="J763" s="33"/>
      <c r="K763" s="37"/>
      <c r="L763" s="37"/>
    </row>
    <row r="764" spans="2:12" x14ac:dyDescent="0.2">
      <c r="B764" s="36"/>
      <c r="G764" s="63"/>
      <c r="H764" s="33"/>
      <c r="I764" s="33"/>
      <c r="J764" s="33"/>
      <c r="K764" s="37"/>
      <c r="L764" s="37"/>
    </row>
    <row r="765" spans="2:12" x14ac:dyDescent="0.2">
      <c r="B765" s="36"/>
      <c r="G765" s="63"/>
      <c r="H765" s="33"/>
      <c r="I765" s="33"/>
      <c r="J765" s="33"/>
      <c r="K765" s="37"/>
      <c r="L765" s="37"/>
    </row>
    <row r="766" spans="2:12" x14ac:dyDescent="0.2">
      <c r="B766" s="36"/>
      <c r="G766" s="63"/>
      <c r="H766" s="33"/>
      <c r="I766" s="33"/>
      <c r="J766" s="33"/>
      <c r="K766" s="37"/>
      <c r="L766" s="37"/>
    </row>
    <row r="767" spans="2:12" x14ac:dyDescent="0.2">
      <c r="B767" s="36"/>
      <c r="G767" s="63"/>
      <c r="H767" s="33"/>
      <c r="I767" s="33"/>
      <c r="J767" s="33"/>
      <c r="K767" s="37"/>
      <c r="L767" s="37"/>
    </row>
    <row r="768" spans="2:12" x14ac:dyDescent="0.2">
      <c r="B768" s="36"/>
      <c r="G768" s="63"/>
      <c r="H768" s="33"/>
      <c r="I768" s="33"/>
      <c r="J768" s="33"/>
      <c r="K768" s="37"/>
      <c r="L768" s="37"/>
    </row>
    <row r="769" spans="2:12" x14ac:dyDescent="0.2">
      <c r="B769" s="36"/>
      <c r="G769" s="63"/>
      <c r="H769" s="33"/>
      <c r="I769" s="33"/>
      <c r="J769" s="33"/>
      <c r="K769" s="37"/>
      <c r="L769" s="37"/>
    </row>
    <row r="770" spans="2:12" x14ac:dyDescent="0.2">
      <c r="B770" s="36"/>
      <c r="G770" s="63"/>
      <c r="H770" s="33"/>
      <c r="I770" s="33"/>
      <c r="J770" s="33"/>
      <c r="K770" s="37"/>
      <c r="L770" s="37"/>
    </row>
    <row r="771" spans="2:12" x14ac:dyDescent="0.2">
      <c r="B771" s="36"/>
      <c r="G771" s="63"/>
      <c r="H771" s="33"/>
      <c r="I771" s="33"/>
      <c r="J771" s="33"/>
      <c r="K771" s="37"/>
      <c r="L771" s="37"/>
    </row>
    <row r="772" spans="2:12" x14ac:dyDescent="0.2">
      <c r="B772" s="36"/>
      <c r="G772" s="63"/>
      <c r="H772" s="33"/>
      <c r="I772" s="33"/>
      <c r="J772" s="33"/>
      <c r="K772" s="37"/>
      <c r="L772" s="37"/>
    </row>
    <row r="773" spans="2:12" x14ac:dyDescent="0.2">
      <c r="B773" s="36"/>
      <c r="G773" s="63"/>
      <c r="H773" s="33"/>
      <c r="I773" s="33"/>
      <c r="J773" s="33"/>
      <c r="K773" s="37"/>
      <c r="L773" s="37"/>
    </row>
    <row r="774" spans="2:12" x14ac:dyDescent="0.2">
      <c r="B774" s="36"/>
      <c r="G774" s="63"/>
      <c r="H774" s="33"/>
      <c r="I774" s="33"/>
      <c r="J774" s="33"/>
      <c r="K774" s="37"/>
      <c r="L774" s="37"/>
    </row>
    <row r="775" spans="2:12" x14ac:dyDescent="0.2">
      <c r="B775" s="36"/>
      <c r="G775" s="63"/>
      <c r="H775" s="33"/>
      <c r="I775" s="33"/>
      <c r="J775" s="33"/>
      <c r="K775" s="37"/>
      <c r="L775" s="37"/>
    </row>
    <row r="776" spans="2:12" x14ac:dyDescent="0.2">
      <c r="B776" s="36"/>
      <c r="G776" s="63"/>
      <c r="H776" s="33"/>
      <c r="I776" s="33"/>
      <c r="J776" s="33"/>
      <c r="K776" s="37"/>
      <c r="L776" s="37"/>
    </row>
    <row r="777" spans="2:12" x14ac:dyDescent="0.2">
      <c r="B777" s="36"/>
      <c r="G777" s="63"/>
      <c r="H777" s="33"/>
      <c r="I777" s="33"/>
      <c r="J777" s="33"/>
      <c r="K777" s="37"/>
      <c r="L777" s="37"/>
    </row>
    <row r="778" spans="2:12" x14ac:dyDescent="0.2">
      <c r="B778" s="36"/>
      <c r="G778" s="63"/>
      <c r="H778" s="33"/>
      <c r="I778" s="33"/>
      <c r="J778" s="33"/>
      <c r="K778" s="37"/>
      <c r="L778" s="37"/>
    </row>
    <row r="779" spans="2:12" x14ac:dyDescent="0.2">
      <c r="B779" s="36"/>
      <c r="G779" s="63"/>
      <c r="H779" s="33"/>
      <c r="I779" s="33"/>
      <c r="J779" s="33"/>
      <c r="K779" s="37"/>
      <c r="L779" s="37"/>
    </row>
    <row r="780" spans="2:12" x14ac:dyDescent="0.2">
      <c r="B780" s="36"/>
      <c r="G780" s="63"/>
      <c r="H780" s="33"/>
      <c r="I780" s="33"/>
      <c r="J780" s="33"/>
      <c r="K780" s="37"/>
      <c r="L780" s="37"/>
    </row>
    <row r="781" spans="2:12" x14ac:dyDescent="0.2">
      <c r="B781" s="36"/>
      <c r="G781" s="63"/>
      <c r="H781" s="33"/>
      <c r="I781" s="33"/>
      <c r="J781" s="33"/>
      <c r="K781" s="37"/>
      <c r="L781" s="37"/>
    </row>
    <row r="782" spans="2:12" x14ac:dyDescent="0.2">
      <c r="B782" s="36"/>
      <c r="G782" s="63"/>
      <c r="H782" s="33"/>
      <c r="I782" s="33"/>
      <c r="J782" s="33"/>
      <c r="K782" s="37"/>
      <c r="L782" s="37"/>
    </row>
    <row r="783" spans="2:12" x14ac:dyDescent="0.2">
      <c r="B783" s="36"/>
      <c r="G783" s="63"/>
      <c r="H783" s="33"/>
      <c r="I783" s="33"/>
      <c r="J783" s="33"/>
      <c r="K783" s="37"/>
      <c r="L783" s="37"/>
    </row>
    <row r="784" spans="2:12" x14ac:dyDescent="0.2">
      <c r="B784" s="36"/>
      <c r="G784" s="63"/>
      <c r="H784" s="33"/>
      <c r="I784" s="33"/>
      <c r="J784" s="33"/>
      <c r="K784" s="37"/>
      <c r="L784" s="37"/>
    </row>
    <row r="785" spans="2:12" x14ac:dyDescent="0.2">
      <c r="B785" s="36"/>
      <c r="G785" s="63"/>
      <c r="H785" s="33"/>
      <c r="I785" s="33"/>
      <c r="J785" s="33"/>
      <c r="K785" s="37"/>
      <c r="L785" s="37"/>
    </row>
    <row r="786" spans="2:12" x14ac:dyDescent="0.2">
      <c r="B786" s="36"/>
      <c r="G786" s="63"/>
      <c r="H786" s="33"/>
      <c r="I786" s="33"/>
      <c r="J786" s="33"/>
      <c r="K786" s="37"/>
      <c r="L786" s="37"/>
    </row>
    <row r="787" spans="2:12" x14ac:dyDescent="0.2">
      <c r="B787" s="36"/>
      <c r="G787" s="63"/>
      <c r="H787" s="33"/>
      <c r="I787" s="33"/>
      <c r="J787" s="33"/>
      <c r="K787" s="37"/>
      <c r="L787" s="37"/>
    </row>
    <row r="788" spans="2:12" x14ac:dyDescent="0.2">
      <c r="B788" s="36"/>
      <c r="G788" s="63"/>
      <c r="H788" s="33"/>
      <c r="I788" s="33"/>
      <c r="J788" s="33"/>
      <c r="K788" s="37"/>
      <c r="L788" s="37"/>
    </row>
    <row r="789" spans="2:12" x14ac:dyDescent="0.2">
      <c r="B789" s="36"/>
      <c r="G789" s="63"/>
      <c r="H789" s="33"/>
      <c r="I789" s="33"/>
      <c r="J789" s="33"/>
      <c r="K789" s="37"/>
      <c r="L789" s="37"/>
    </row>
    <row r="790" spans="2:12" x14ac:dyDescent="0.2">
      <c r="B790" s="36"/>
      <c r="G790" s="63"/>
      <c r="H790" s="33"/>
      <c r="I790" s="33"/>
      <c r="J790" s="33"/>
      <c r="K790" s="37"/>
      <c r="L790" s="37"/>
    </row>
    <row r="791" spans="2:12" x14ac:dyDescent="0.2">
      <c r="B791" s="36"/>
      <c r="G791" s="63"/>
      <c r="H791" s="33"/>
      <c r="I791" s="33"/>
      <c r="J791" s="33"/>
      <c r="K791" s="37"/>
      <c r="L791" s="37"/>
    </row>
    <row r="792" spans="2:12" x14ac:dyDescent="0.2">
      <c r="B792" s="36"/>
      <c r="G792" s="63"/>
      <c r="H792" s="33"/>
      <c r="I792" s="33"/>
      <c r="J792" s="33"/>
      <c r="K792" s="37"/>
      <c r="L792" s="37"/>
    </row>
    <row r="793" spans="2:12" x14ac:dyDescent="0.2">
      <c r="B793" s="36"/>
      <c r="G793" s="63"/>
      <c r="H793" s="33"/>
      <c r="I793" s="33"/>
      <c r="J793" s="33"/>
      <c r="K793" s="37"/>
      <c r="L793" s="37"/>
    </row>
    <row r="794" spans="2:12" x14ac:dyDescent="0.2">
      <c r="B794" s="36"/>
      <c r="G794" s="63"/>
      <c r="H794" s="33"/>
      <c r="I794" s="33"/>
      <c r="J794" s="33"/>
      <c r="K794" s="37"/>
      <c r="L794" s="37"/>
    </row>
    <row r="795" spans="2:12" x14ac:dyDescent="0.2">
      <c r="B795" s="36"/>
      <c r="G795" s="63"/>
      <c r="H795" s="33"/>
      <c r="I795" s="33"/>
      <c r="J795" s="33"/>
      <c r="K795" s="37"/>
      <c r="L795" s="37"/>
    </row>
    <row r="796" spans="2:12" x14ac:dyDescent="0.2">
      <c r="B796" s="36"/>
      <c r="G796" s="63"/>
      <c r="H796" s="33"/>
      <c r="I796" s="33"/>
      <c r="J796" s="33"/>
      <c r="K796" s="37"/>
      <c r="L796" s="37"/>
    </row>
    <row r="797" spans="2:12" x14ac:dyDescent="0.2">
      <c r="B797" s="36"/>
      <c r="G797" s="63"/>
      <c r="H797" s="33"/>
      <c r="I797" s="33"/>
      <c r="J797" s="33"/>
      <c r="K797" s="37"/>
      <c r="L797" s="37"/>
    </row>
    <row r="798" spans="2:12" x14ac:dyDescent="0.2">
      <c r="B798" s="36"/>
      <c r="G798" s="63"/>
      <c r="H798" s="33"/>
      <c r="I798" s="33"/>
      <c r="J798" s="33"/>
      <c r="K798" s="37"/>
      <c r="L798" s="37"/>
    </row>
    <row r="799" spans="2:12" x14ac:dyDescent="0.2">
      <c r="B799" s="36"/>
      <c r="G799" s="63"/>
      <c r="H799" s="33"/>
      <c r="I799" s="33"/>
      <c r="J799" s="33"/>
      <c r="K799" s="37"/>
      <c r="L799" s="37"/>
    </row>
    <row r="800" spans="2:12" x14ac:dyDescent="0.2">
      <c r="B800" s="36"/>
      <c r="G800" s="63"/>
      <c r="H800" s="33"/>
      <c r="I800" s="33"/>
      <c r="J800" s="33"/>
      <c r="K800" s="37"/>
      <c r="L800" s="37"/>
    </row>
    <row r="801" spans="2:12" x14ac:dyDescent="0.2">
      <c r="B801" s="36"/>
      <c r="G801" s="63"/>
      <c r="H801" s="33"/>
      <c r="I801" s="33"/>
      <c r="J801" s="33"/>
      <c r="K801" s="37"/>
      <c r="L801" s="37"/>
    </row>
    <row r="802" spans="2:12" x14ac:dyDescent="0.2">
      <c r="B802" s="36"/>
      <c r="G802" s="63"/>
      <c r="H802" s="33"/>
      <c r="I802" s="33"/>
      <c r="J802" s="33"/>
      <c r="K802" s="37"/>
      <c r="L802" s="37"/>
    </row>
    <row r="803" spans="2:12" x14ac:dyDescent="0.2">
      <c r="B803" s="36"/>
      <c r="G803" s="63"/>
      <c r="H803" s="33"/>
      <c r="I803" s="33"/>
      <c r="J803" s="33"/>
      <c r="K803" s="37"/>
      <c r="L803" s="37"/>
    </row>
    <row r="804" spans="2:12" x14ac:dyDescent="0.2">
      <c r="B804" s="36"/>
      <c r="G804" s="63"/>
      <c r="H804" s="33"/>
      <c r="I804" s="33"/>
      <c r="J804" s="33"/>
      <c r="K804" s="37"/>
      <c r="L804" s="37"/>
    </row>
    <row r="805" spans="2:12" x14ac:dyDescent="0.2">
      <c r="B805" s="36"/>
      <c r="G805" s="63"/>
      <c r="H805" s="33"/>
      <c r="I805" s="33"/>
      <c r="J805" s="33"/>
      <c r="K805" s="37"/>
      <c r="L805" s="37"/>
    </row>
    <row r="806" spans="2:12" x14ac:dyDescent="0.2">
      <c r="B806" s="36"/>
      <c r="G806" s="63"/>
      <c r="H806" s="33"/>
      <c r="I806" s="33"/>
      <c r="J806" s="33"/>
      <c r="K806" s="37"/>
      <c r="L806" s="37"/>
    </row>
    <row r="807" spans="2:12" x14ac:dyDescent="0.2">
      <c r="B807" s="36"/>
      <c r="G807" s="63"/>
      <c r="H807" s="33"/>
      <c r="I807" s="33"/>
      <c r="J807" s="33"/>
      <c r="K807" s="37"/>
      <c r="L807" s="37"/>
    </row>
    <row r="808" spans="2:12" x14ac:dyDescent="0.2">
      <c r="B808" s="36"/>
      <c r="G808" s="63"/>
      <c r="H808" s="33"/>
      <c r="I808" s="33"/>
      <c r="J808" s="33"/>
      <c r="K808" s="37"/>
      <c r="L808" s="37"/>
    </row>
    <row r="809" spans="2:12" x14ac:dyDescent="0.2">
      <c r="B809" s="36"/>
      <c r="G809" s="63"/>
      <c r="H809" s="33"/>
      <c r="I809" s="33"/>
      <c r="J809" s="33"/>
      <c r="K809" s="37"/>
      <c r="L809" s="37"/>
    </row>
    <row r="810" spans="2:12" x14ac:dyDescent="0.2">
      <c r="B810" s="36"/>
      <c r="G810" s="63"/>
      <c r="H810" s="33"/>
      <c r="I810" s="33"/>
      <c r="J810" s="33"/>
      <c r="K810" s="37"/>
      <c r="L810" s="37"/>
    </row>
    <row r="811" spans="2:12" x14ac:dyDescent="0.2">
      <c r="B811" s="36"/>
      <c r="G811" s="63"/>
      <c r="H811" s="33"/>
      <c r="I811" s="33"/>
      <c r="J811" s="33"/>
      <c r="K811" s="37"/>
      <c r="L811" s="37"/>
    </row>
    <row r="812" spans="2:12" x14ac:dyDescent="0.2">
      <c r="B812" s="36"/>
      <c r="G812" s="63"/>
      <c r="H812" s="33"/>
      <c r="I812" s="33"/>
      <c r="J812" s="33"/>
      <c r="K812" s="37"/>
      <c r="L812" s="37"/>
    </row>
    <row r="813" spans="2:12" x14ac:dyDescent="0.2">
      <c r="B813" s="36"/>
      <c r="G813" s="63"/>
      <c r="H813" s="33"/>
      <c r="I813" s="33"/>
      <c r="J813" s="33"/>
      <c r="K813" s="37"/>
      <c r="L813" s="37"/>
    </row>
    <row r="814" spans="2:12" x14ac:dyDescent="0.2">
      <c r="B814" s="36"/>
      <c r="G814" s="63"/>
      <c r="H814" s="33"/>
      <c r="I814" s="33"/>
      <c r="J814" s="33"/>
      <c r="K814" s="37"/>
      <c r="L814" s="37"/>
    </row>
    <row r="815" spans="2:12" x14ac:dyDescent="0.2">
      <c r="B815" s="36"/>
      <c r="G815" s="63"/>
      <c r="H815" s="33"/>
      <c r="I815" s="33"/>
      <c r="J815" s="33"/>
      <c r="K815" s="37"/>
      <c r="L815" s="37"/>
    </row>
    <row r="816" spans="2:12" x14ac:dyDescent="0.2">
      <c r="B816" s="36"/>
      <c r="G816" s="63"/>
      <c r="H816" s="33"/>
      <c r="I816" s="33"/>
      <c r="J816" s="33"/>
      <c r="K816" s="37"/>
      <c r="L816" s="37"/>
    </row>
    <row r="817" spans="2:12" x14ac:dyDescent="0.2">
      <c r="B817" s="36"/>
      <c r="G817" s="63"/>
      <c r="H817" s="33"/>
      <c r="I817" s="33"/>
      <c r="J817" s="33"/>
      <c r="K817" s="37"/>
      <c r="L817" s="37"/>
    </row>
    <row r="818" spans="2:12" x14ac:dyDescent="0.2">
      <c r="B818" s="36"/>
      <c r="G818" s="63"/>
      <c r="H818" s="33"/>
      <c r="I818" s="33"/>
      <c r="J818" s="33"/>
      <c r="K818" s="37"/>
      <c r="L818" s="37"/>
    </row>
    <row r="819" spans="2:12" x14ac:dyDescent="0.2">
      <c r="B819" s="36"/>
      <c r="G819" s="63"/>
      <c r="H819" s="33"/>
      <c r="I819" s="33"/>
      <c r="J819" s="33"/>
      <c r="K819" s="37"/>
      <c r="L819" s="37"/>
    </row>
    <row r="820" spans="2:12" x14ac:dyDescent="0.2">
      <c r="B820" s="36"/>
      <c r="G820" s="63"/>
      <c r="H820" s="33"/>
      <c r="I820" s="33"/>
      <c r="J820" s="33"/>
      <c r="K820" s="37"/>
      <c r="L820" s="37"/>
    </row>
    <row r="821" spans="2:12" x14ac:dyDescent="0.2">
      <c r="B821" s="36"/>
      <c r="G821" s="63"/>
      <c r="H821" s="33"/>
      <c r="I821" s="33"/>
      <c r="J821" s="33"/>
      <c r="K821" s="37"/>
      <c r="L821" s="37"/>
    </row>
    <row r="822" spans="2:12" x14ac:dyDescent="0.2">
      <c r="B822" s="36"/>
      <c r="G822" s="63"/>
      <c r="H822" s="33"/>
      <c r="I822" s="33"/>
      <c r="J822" s="33"/>
      <c r="K822" s="37"/>
      <c r="L822" s="37"/>
    </row>
    <row r="823" spans="2:12" x14ac:dyDescent="0.2">
      <c r="B823" s="36"/>
      <c r="G823" s="63"/>
      <c r="H823" s="33"/>
      <c r="I823" s="33"/>
      <c r="J823" s="33"/>
      <c r="K823" s="37"/>
      <c r="L823" s="37"/>
    </row>
    <row r="824" spans="2:12" x14ac:dyDescent="0.2">
      <c r="B824" s="36"/>
      <c r="G824" s="63"/>
      <c r="H824" s="33"/>
      <c r="I824" s="33"/>
      <c r="J824" s="33"/>
      <c r="K824" s="37"/>
      <c r="L824" s="37"/>
    </row>
    <row r="825" spans="2:12" x14ac:dyDescent="0.2">
      <c r="B825" s="36"/>
      <c r="G825" s="63"/>
      <c r="H825" s="33"/>
      <c r="I825" s="33"/>
      <c r="J825" s="33"/>
      <c r="K825" s="37"/>
      <c r="L825" s="37"/>
    </row>
    <row r="826" spans="2:12" x14ac:dyDescent="0.2">
      <c r="B826" s="36"/>
      <c r="G826" s="63"/>
      <c r="H826" s="33"/>
      <c r="I826" s="33"/>
      <c r="J826" s="33"/>
      <c r="K826" s="37"/>
      <c r="L826" s="37"/>
    </row>
    <row r="827" spans="2:12" x14ac:dyDescent="0.2">
      <c r="B827" s="36"/>
      <c r="G827" s="63"/>
      <c r="H827" s="33"/>
      <c r="I827" s="33"/>
      <c r="J827" s="33"/>
      <c r="K827" s="37"/>
      <c r="L827" s="37"/>
    </row>
    <row r="828" spans="2:12" x14ac:dyDescent="0.2">
      <c r="B828" s="36"/>
      <c r="G828" s="63"/>
      <c r="H828" s="33"/>
      <c r="I828" s="33"/>
      <c r="J828" s="33"/>
      <c r="K828" s="37"/>
      <c r="L828" s="37"/>
    </row>
    <row r="829" spans="2:12" x14ac:dyDescent="0.2">
      <c r="B829" s="36"/>
      <c r="G829" s="63"/>
      <c r="H829" s="33"/>
      <c r="I829" s="33"/>
      <c r="J829" s="33"/>
      <c r="K829" s="37"/>
      <c r="L829" s="37"/>
    </row>
    <row r="830" spans="2:12" x14ac:dyDescent="0.2">
      <c r="B830" s="36"/>
      <c r="G830" s="63"/>
      <c r="H830" s="33"/>
      <c r="I830" s="33"/>
      <c r="J830" s="33"/>
      <c r="K830" s="37"/>
      <c r="L830" s="37"/>
    </row>
    <row r="831" spans="2:12" x14ac:dyDescent="0.2">
      <c r="B831" s="36"/>
      <c r="G831" s="34"/>
      <c r="H831" s="33"/>
      <c r="I831" s="33"/>
      <c r="J831" s="33"/>
      <c r="K831" s="37"/>
      <c r="L831" s="37"/>
    </row>
    <row r="832" spans="2:12" x14ac:dyDescent="0.2">
      <c r="B832" s="36"/>
      <c r="G832" s="34"/>
      <c r="H832" s="33"/>
      <c r="I832" s="33"/>
      <c r="J832" s="33"/>
      <c r="K832" s="37"/>
      <c r="L832" s="37"/>
    </row>
    <row r="833" spans="2:12" x14ac:dyDescent="0.2">
      <c r="B833" s="36"/>
      <c r="G833" s="34"/>
      <c r="H833" s="33"/>
      <c r="I833" s="33"/>
      <c r="J833" s="33"/>
      <c r="K833" s="37"/>
      <c r="L833" s="37"/>
    </row>
    <row r="834" spans="2:12" x14ac:dyDescent="0.2">
      <c r="B834" s="36"/>
      <c r="G834" s="34"/>
      <c r="H834" s="33"/>
      <c r="I834" s="33"/>
      <c r="J834" s="33"/>
      <c r="K834" s="37"/>
      <c r="L834" s="37"/>
    </row>
    <row r="835" spans="2:12" x14ac:dyDescent="0.2">
      <c r="B835" s="36"/>
      <c r="G835" s="34"/>
      <c r="H835" s="33"/>
      <c r="I835" s="33"/>
      <c r="J835" s="33"/>
      <c r="K835" s="37"/>
      <c r="L835" s="37"/>
    </row>
    <row r="836" spans="2:12" x14ac:dyDescent="0.2">
      <c r="B836" s="36"/>
      <c r="G836" s="34"/>
      <c r="H836" s="33"/>
      <c r="I836" s="33"/>
      <c r="J836" s="33"/>
      <c r="K836" s="37"/>
      <c r="L836" s="37"/>
    </row>
    <row r="837" spans="2:12" x14ac:dyDescent="0.2">
      <c r="B837" s="36"/>
      <c r="G837" s="34"/>
      <c r="H837" s="33"/>
      <c r="I837" s="33"/>
      <c r="J837" s="33"/>
      <c r="K837" s="37"/>
      <c r="L837" s="37"/>
    </row>
    <row r="838" spans="2:12" x14ac:dyDescent="0.2">
      <c r="B838" s="36"/>
      <c r="G838" s="34"/>
      <c r="H838" s="33"/>
      <c r="I838" s="33"/>
      <c r="J838" s="33"/>
      <c r="K838" s="37"/>
      <c r="L838" s="37"/>
    </row>
    <row r="839" spans="2:12" x14ac:dyDescent="0.2">
      <c r="B839" s="36"/>
      <c r="G839" s="34"/>
      <c r="H839" s="33"/>
      <c r="I839" s="33"/>
      <c r="J839" s="33"/>
      <c r="K839" s="37"/>
      <c r="L839" s="37"/>
    </row>
    <row r="840" spans="2:12" x14ac:dyDescent="0.2">
      <c r="B840" s="36"/>
      <c r="G840" s="34"/>
      <c r="H840" s="33"/>
      <c r="I840" s="33"/>
      <c r="J840" s="33"/>
      <c r="K840" s="37"/>
      <c r="L840" s="37"/>
    </row>
    <row r="841" spans="2:12" x14ac:dyDescent="0.2">
      <c r="B841" s="36"/>
      <c r="G841" s="34"/>
      <c r="H841" s="33"/>
      <c r="I841" s="33"/>
      <c r="J841" s="33"/>
      <c r="K841" s="37"/>
      <c r="L841" s="37"/>
    </row>
    <row r="842" spans="2:12" x14ac:dyDescent="0.2">
      <c r="B842" s="36"/>
      <c r="G842" s="34"/>
      <c r="H842" s="33"/>
      <c r="I842" s="33"/>
      <c r="J842" s="33"/>
      <c r="K842" s="37"/>
      <c r="L842" s="37"/>
    </row>
    <row r="843" spans="2:12" x14ac:dyDescent="0.2">
      <c r="B843" s="36"/>
      <c r="G843" s="34"/>
      <c r="H843" s="33"/>
      <c r="I843" s="33"/>
      <c r="J843" s="33"/>
      <c r="K843" s="37"/>
      <c r="L843" s="37"/>
    </row>
    <row r="844" spans="2:12" x14ac:dyDescent="0.2">
      <c r="B844" s="36"/>
      <c r="G844" s="34"/>
      <c r="H844" s="33"/>
      <c r="I844" s="33"/>
      <c r="J844" s="33"/>
      <c r="K844" s="37"/>
      <c r="L844" s="37"/>
    </row>
    <row r="845" spans="2:12" x14ac:dyDescent="0.2">
      <c r="B845" s="36"/>
      <c r="G845" s="34"/>
      <c r="H845" s="33"/>
      <c r="I845" s="33"/>
      <c r="J845" s="33"/>
      <c r="K845" s="37"/>
      <c r="L845" s="37"/>
    </row>
    <row r="846" spans="2:12" x14ac:dyDescent="0.2">
      <c r="B846" s="36"/>
      <c r="G846" s="34"/>
      <c r="H846" s="33"/>
      <c r="I846" s="33"/>
      <c r="J846" s="33"/>
      <c r="K846" s="37"/>
      <c r="L846" s="37"/>
    </row>
    <row r="847" spans="2:12" x14ac:dyDescent="0.2">
      <c r="B847" s="36"/>
      <c r="G847" s="34"/>
      <c r="H847" s="33"/>
      <c r="I847" s="33"/>
      <c r="J847" s="33"/>
      <c r="K847" s="37"/>
      <c r="L847" s="37"/>
    </row>
    <row r="848" spans="2:12" x14ac:dyDescent="0.2">
      <c r="B848" s="36"/>
      <c r="G848" s="34"/>
      <c r="H848" s="33"/>
      <c r="I848" s="33"/>
      <c r="J848" s="33"/>
      <c r="K848" s="37"/>
      <c r="L848" s="37"/>
    </row>
    <row r="849" spans="2:12" x14ac:dyDescent="0.2">
      <c r="B849" s="36"/>
      <c r="G849" s="34"/>
      <c r="H849" s="33"/>
      <c r="I849" s="33"/>
      <c r="J849" s="33"/>
      <c r="K849" s="37"/>
      <c r="L849" s="37"/>
    </row>
    <row r="850" spans="2:12" x14ac:dyDescent="0.2">
      <c r="B850" s="36"/>
      <c r="G850" s="34"/>
      <c r="H850" s="33"/>
      <c r="I850" s="33"/>
      <c r="J850" s="33"/>
      <c r="K850" s="37"/>
      <c r="L850" s="37"/>
    </row>
    <row r="851" spans="2:12" x14ac:dyDescent="0.2">
      <c r="B851" s="36"/>
      <c r="G851" s="34"/>
      <c r="H851" s="33"/>
      <c r="I851" s="33"/>
      <c r="J851" s="33"/>
      <c r="K851" s="37"/>
      <c r="L851" s="37"/>
    </row>
    <row r="852" spans="2:12" x14ac:dyDescent="0.2">
      <c r="B852" s="36"/>
      <c r="G852" s="34"/>
      <c r="H852" s="33"/>
      <c r="I852" s="33"/>
      <c r="J852" s="33"/>
      <c r="K852" s="37"/>
      <c r="L852" s="37"/>
    </row>
    <row r="853" spans="2:12" x14ac:dyDescent="0.2">
      <c r="B853" s="36"/>
      <c r="G853" s="34"/>
      <c r="H853" s="33"/>
      <c r="I853" s="33"/>
      <c r="J853" s="33"/>
      <c r="K853" s="37"/>
      <c r="L853" s="37"/>
    </row>
    <row r="854" spans="2:12" x14ac:dyDescent="0.2">
      <c r="B854" s="36"/>
      <c r="G854" s="34"/>
      <c r="H854" s="33"/>
      <c r="I854" s="33"/>
      <c r="J854" s="33"/>
      <c r="K854" s="37"/>
      <c r="L854" s="37"/>
    </row>
    <row r="855" spans="2:12" x14ac:dyDescent="0.2">
      <c r="B855" s="36"/>
      <c r="G855" s="34"/>
      <c r="H855" s="33"/>
      <c r="I855" s="33"/>
      <c r="J855" s="33"/>
      <c r="K855" s="37"/>
      <c r="L855" s="37"/>
    </row>
    <row r="856" spans="2:12" x14ac:dyDescent="0.2">
      <c r="B856" s="36"/>
      <c r="G856" s="34"/>
      <c r="H856" s="33"/>
      <c r="I856" s="33"/>
      <c r="J856" s="33"/>
      <c r="K856" s="37"/>
      <c r="L856" s="37"/>
    </row>
    <row r="857" spans="2:12" x14ac:dyDescent="0.2">
      <c r="B857" s="36"/>
      <c r="G857" s="34"/>
      <c r="H857" s="33"/>
      <c r="I857" s="33"/>
      <c r="J857" s="33"/>
      <c r="K857" s="37"/>
      <c r="L857" s="37"/>
    </row>
    <row r="858" spans="2:12" x14ac:dyDescent="0.2">
      <c r="B858" s="36"/>
      <c r="G858" s="34"/>
      <c r="H858" s="33"/>
      <c r="I858" s="33"/>
      <c r="J858" s="33"/>
      <c r="K858" s="37"/>
      <c r="L858" s="37"/>
    </row>
    <row r="859" spans="2:12" x14ac:dyDescent="0.2">
      <c r="B859" s="36"/>
      <c r="G859" s="34"/>
      <c r="H859" s="33"/>
      <c r="I859" s="33"/>
      <c r="J859" s="33"/>
      <c r="K859" s="37"/>
      <c r="L859" s="37"/>
    </row>
    <row r="860" spans="2:12" x14ac:dyDescent="0.2">
      <c r="B860" s="36"/>
      <c r="G860" s="34"/>
      <c r="H860" s="33"/>
      <c r="I860" s="33"/>
      <c r="J860" s="33"/>
      <c r="K860" s="37"/>
      <c r="L860" s="37"/>
    </row>
    <row r="861" spans="2:12" x14ac:dyDescent="0.2">
      <c r="B861" s="36"/>
      <c r="G861" s="34"/>
      <c r="H861" s="33"/>
      <c r="I861" s="33"/>
      <c r="J861" s="33"/>
      <c r="K861" s="37"/>
      <c r="L861" s="37"/>
    </row>
    <row r="862" spans="2:12" x14ac:dyDescent="0.2">
      <c r="B862" s="36"/>
      <c r="G862" s="34"/>
      <c r="H862" s="33"/>
      <c r="I862" s="33"/>
      <c r="J862" s="33"/>
      <c r="K862" s="37"/>
      <c r="L862" s="37"/>
    </row>
    <row r="863" spans="2:12" x14ac:dyDescent="0.2">
      <c r="B863" s="36"/>
      <c r="G863" s="34"/>
      <c r="H863" s="33"/>
      <c r="I863" s="33"/>
      <c r="J863" s="33"/>
      <c r="K863" s="37"/>
      <c r="L863" s="37"/>
    </row>
    <row r="864" spans="2:12" x14ac:dyDescent="0.2">
      <c r="B864" s="36"/>
      <c r="G864" s="34"/>
      <c r="H864" s="33"/>
      <c r="I864" s="33"/>
      <c r="J864" s="33"/>
      <c r="K864" s="37"/>
      <c r="L864" s="37"/>
    </row>
    <row r="865" spans="2:12" x14ac:dyDescent="0.2">
      <c r="B865" s="36"/>
      <c r="G865" s="34"/>
      <c r="H865" s="33"/>
      <c r="I865" s="33"/>
      <c r="J865" s="33"/>
      <c r="K865" s="37"/>
      <c r="L865" s="37"/>
    </row>
    <row r="866" spans="2:12" x14ac:dyDescent="0.2">
      <c r="B866" s="36"/>
      <c r="G866" s="34"/>
      <c r="H866" s="33"/>
      <c r="I866" s="33"/>
      <c r="J866" s="33"/>
      <c r="K866" s="37"/>
      <c r="L866" s="37"/>
    </row>
    <row r="867" spans="2:12" x14ac:dyDescent="0.2">
      <c r="B867" s="36"/>
      <c r="G867" s="34"/>
      <c r="H867" s="33"/>
      <c r="I867" s="33"/>
      <c r="J867" s="33"/>
      <c r="K867" s="37"/>
      <c r="L867" s="37"/>
    </row>
    <row r="868" spans="2:12" x14ac:dyDescent="0.2">
      <c r="B868" s="36"/>
      <c r="G868" s="34"/>
      <c r="H868" s="33"/>
      <c r="I868" s="33"/>
      <c r="J868" s="33"/>
      <c r="K868" s="37"/>
      <c r="L868" s="37"/>
    </row>
    <row r="869" spans="2:12" x14ac:dyDescent="0.2">
      <c r="B869" s="36"/>
      <c r="G869" s="34"/>
      <c r="H869" s="33"/>
      <c r="I869" s="33"/>
      <c r="J869" s="33"/>
      <c r="K869" s="37"/>
      <c r="L869" s="37"/>
    </row>
    <row r="870" spans="2:12" x14ac:dyDescent="0.2">
      <c r="B870" s="36"/>
      <c r="G870" s="34"/>
      <c r="H870" s="33"/>
      <c r="I870" s="33"/>
      <c r="J870" s="33"/>
      <c r="K870" s="37"/>
      <c r="L870" s="37"/>
    </row>
    <row r="871" spans="2:12" x14ac:dyDescent="0.2">
      <c r="B871" s="36"/>
      <c r="G871" s="34"/>
      <c r="H871" s="33"/>
      <c r="I871" s="33"/>
      <c r="J871" s="33"/>
      <c r="K871" s="37"/>
      <c r="L871" s="37"/>
    </row>
    <row r="872" spans="2:12" x14ac:dyDescent="0.2">
      <c r="B872" s="36"/>
      <c r="G872" s="34"/>
      <c r="H872" s="33"/>
      <c r="I872" s="33"/>
      <c r="J872" s="33"/>
      <c r="K872" s="37"/>
      <c r="L872" s="37"/>
    </row>
    <row r="873" spans="2:12" x14ac:dyDescent="0.2">
      <c r="B873" s="36"/>
      <c r="G873" s="34"/>
      <c r="H873" s="33"/>
      <c r="I873" s="33"/>
      <c r="J873" s="33"/>
      <c r="K873" s="37"/>
      <c r="L873" s="37"/>
    </row>
    <row r="874" spans="2:12" x14ac:dyDescent="0.2">
      <c r="B874" s="36"/>
      <c r="G874" s="34"/>
      <c r="H874" s="33"/>
      <c r="I874" s="33"/>
      <c r="J874" s="33"/>
      <c r="K874" s="37"/>
      <c r="L874" s="37"/>
    </row>
    <row r="875" spans="2:12" x14ac:dyDescent="0.2">
      <c r="B875" s="36"/>
      <c r="G875" s="34"/>
      <c r="H875" s="33"/>
      <c r="I875" s="33"/>
      <c r="J875" s="33"/>
      <c r="K875" s="37"/>
      <c r="L875" s="37"/>
    </row>
    <row r="876" spans="2:12" x14ac:dyDescent="0.2">
      <c r="B876" s="36"/>
      <c r="G876" s="34"/>
      <c r="H876" s="33"/>
      <c r="I876" s="33"/>
      <c r="J876" s="33"/>
      <c r="K876" s="37"/>
      <c r="L876" s="37"/>
    </row>
    <row r="877" spans="2:12" x14ac:dyDescent="0.2">
      <c r="B877" s="36"/>
      <c r="G877" s="34"/>
      <c r="H877" s="33"/>
      <c r="I877" s="33"/>
      <c r="J877" s="33"/>
      <c r="K877" s="37"/>
      <c r="L877" s="37"/>
    </row>
    <row r="878" spans="2:12" x14ac:dyDescent="0.2">
      <c r="B878" s="36"/>
      <c r="G878" s="34"/>
      <c r="H878" s="33"/>
      <c r="I878" s="33"/>
      <c r="J878" s="33"/>
      <c r="K878" s="37"/>
      <c r="L878" s="37"/>
    </row>
    <row r="879" spans="2:12" x14ac:dyDescent="0.2">
      <c r="B879" s="36"/>
      <c r="G879" s="34"/>
      <c r="H879" s="33"/>
      <c r="I879" s="33"/>
      <c r="J879" s="33"/>
      <c r="K879" s="37"/>
      <c r="L879" s="37"/>
    </row>
    <row r="880" spans="2:12" x14ac:dyDescent="0.2">
      <c r="B880" s="36"/>
      <c r="G880" s="34"/>
      <c r="H880" s="33"/>
      <c r="I880" s="33"/>
      <c r="J880" s="33"/>
      <c r="K880" s="37"/>
      <c r="L880" s="37"/>
    </row>
    <row r="881" spans="2:12" x14ac:dyDescent="0.2">
      <c r="B881" s="36"/>
      <c r="G881" s="34"/>
      <c r="H881" s="33"/>
      <c r="I881" s="33"/>
      <c r="J881" s="33"/>
      <c r="K881" s="37"/>
      <c r="L881" s="37"/>
    </row>
    <row r="882" spans="2:12" x14ac:dyDescent="0.2">
      <c r="B882" s="36"/>
      <c r="G882" s="34"/>
      <c r="H882" s="33"/>
      <c r="I882" s="33"/>
      <c r="J882" s="33"/>
      <c r="K882" s="37"/>
      <c r="L882" s="37"/>
    </row>
    <row r="883" spans="2:12" x14ac:dyDescent="0.2">
      <c r="B883" s="36"/>
      <c r="G883" s="34"/>
      <c r="H883" s="33"/>
      <c r="I883" s="33"/>
      <c r="J883" s="33"/>
      <c r="K883" s="37"/>
      <c r="L883" s="37"/>
    </row>
    <row r="884" spans="2:12" x14ac:dyDescent="0.2">
      <c r="B884" s="36"/>
      <c r="G884" s="34"/>
      <c r="H884" s="33"/>
      <c r="I884" s="33"/>
      <c r="J884" s="33"/>
      <c r="K884" s="37"/>
      <c r="L884" s="37"/>
    </row>
    <row r="885" spans="2:12" x14ac:dyDescent="0.2">
      <c r="B885" s="36"/>
      <c r="G885" s="34"/>
      <c r="H885" s="33"/>
      <c r="I885" s="33"/>
      <c r="J885" s="33"/>
      <c r="K885" s="37"/>
      <c r="L885" s="37"/>
    </row>
    <row r="886" spans="2:12" x14ac:dyDescent="0.2">
      <c r="B886" s="36"/>
      <c r="G886" s="34"/>
      <c r="H886" s="33"/>
      <c r="I886" s="33"/>
      <c r="J886" s="33"/>
      <c r="K886" s="37"/>
      <c r="L886" s="37"/>
    </row>
    <row r="887" spans="2:12" x14ac:dyDescent="0.2">
      <c r="B887" s="36"/>
      <c r="G887" s="34"/>
      <c r="H887" s="33"/>
      <c r="I887" s="33"/>
      <c r="J887" s="33"/>
      <c r="K887" s="37"/>
      <c r="L887" s="37"/>
    </row>
    <row r="888" spans="2:12" x14ac:dyDescent="0.2">
      <c r="B888" s="36"/>
      <c r="G888" s="34"/>
      <c r="H888" s="33"/>
      <c r="I888" s="33"/>
      <c r="J888" s="33"/>
      <c r="K888" s="37"/>
      <c r="L888" s="37"/>
    </row>
    <row r="889" spans="2:12" x14ac:dyDescent="0.2">
      <c r="B889" s="36"/>
      <c r="G889" s="34"/>
      <c r="H889" s="33"/>
      <c r="I889" s="33"/>
      <c r="J889" s="33"/>
      <c r="K889" s="37"/>
      <c r="L889" s="37"/>
    </row>
    <row r="890" spans="2:12" x14ac:dyDescent="0.2">
      <c r="B890" s="36"/>
      <c r="G890" s="34"/>
      <c r="H890" s="33"/>
      <c r="I890" s="33"/>
      <c r="J890" s="33"/>
      <c r="K890" s="37"/>
      <c r="L890" s="37"/>
    </row>
    <row r="891" spans="2:12" x14ac:dyDescent="0.2">
      <c r="B891" s="36"/>
      <c r="G891" s="34"/>
      <c r="H891" s="33"/>
      <c r="I891" s="33"/>
      <c r="J891" s="33"/>
      <c r="K891" s="37"/>
      <c r="L891" s="37"/>
    </row>
    <row r="892" spans="2:12" x14ac:dyDescent="0.2">
      <c r="B892" s="36"/>
      <c r="G892" s="34"/>
      <c r="H892" s="33"/>
      <c r="I892" s="33"/>
      <c r="J892" s="33"/>
      <c r="K892" s="37"/>
      <c r="L892" s="37"/>
    </row>
    <row r="893" spans="2:12" x14ac:dyDescent="0.2">
      <c r="B893" s="36"/>
      <c r="G893" s="34"/>
      <c r="H893" s="33"/>
      <c r="I893" s="33"/>
      <c r="J893" s="33"/>
      <c r="K893" s="37"/>
      <c r="L893" s="37"/>
    </row>
    <row r="894" spans="2:12" x14ac:dyDescent="0.2">
      <c r="B894" s="36"/>
      <c r="G894" s="34"/>
      <c r="H894" s="33"/>
      <c r="I894" s="33"/>
      <c r="J894" s="33"/>
      <c r="K894" s="37"/>
      <c r="L894" s="37"/>
    </row>
    <row r="895" spans="2:12" x14ac:dyDescent="0.2">
      <c r="B895" s="36"/>
      <c r="G895" s="34"/>
      <c r="H895" s="33"/>
      <c r="I895" s="33"/>
      <c r="J895" s="33"/>
      <c r="K895" s="37"/>
      <c r="L895" s="37"/>
    </row>
    <row r="896" spans="2:12" x14ac:dyDescent="0.2">
      <c r="B896" s="36"/>
      <c r="G896" s="34"/>
      <c r="H896" s="33"/>
      <c r="I896" s="33"/>
      <c r="J896" s="33"/>
      <c r="K896" s="37"/>
      <c r="L896" s="37"/>
    </row>
    <row r="897" spans="2:12" x14ac:dyDescent="0.2">
      <c r="B897" s="36"/>
      <c r="G897" s="34"/>
      <c r="H897" s="33"/>
      <c r="I897" s="33"/>
      <c r="J897" s="33"/>
      <c r="K897" s="37"/>
      <c r="L897" s="37"/>
    </row>
    <row r="898" spans="2:12" x14ac:dyDescent="0.2">
      <c r="B898" s="36"/>
      <c r="G898" s="34"/>
      <c r="H898" s="33"/>
      <c r="I898" s="33"/>
      <c r="J898" s="33"/>
      <c r="K898" s="37"/>
      <c r="L898" s="37"/>
    </row>
    <row r="899" spans="2:12" x14ac:dyDescent="0.2">
      <c r="B899" s="36"/>
      <c r="G899" s="34"/>
      <c r="H899" s="33"/>
      <c r="I899" s="33"/>
      <c r="J899" s="33"/>
      <c r="K899" s="37"/>
      <c r="L899" s="37"/>
    </row>
    <row r="900" spans="2:12" x14ac:dyDescent="0.2">
      <c r="B900" s="36"/>
      <c r="G900" s="34"/>
      <c r="H900" s="33"/>
      <c r="I900" s="33"/>
      <c r="J900" s="33"/>
      <c r="K900" s="37"/>
      <c r="L900" s="37"/>
    </row>
    <row r="901" spans="2:12" x14ac:dyDescent="0.2">
      <c r="B901" s="36"/>
      <c r="G901" s="34"/>
      <c r="H901" s="33"/>
      <c r="I901" s="33"/>
      <c r="J901" s="33"/>
      <c r="K901" s="37"/>
      <c r="L901" s="37"/>
    </row>
    <row r="902" spans="2:12" x14ac:dyDescent="0.2">
      <c r="B902" s="36"/>
      <c r="G902" s="34"/>
      <c r="H902" s="33"/>
      <c r="I902" s="33"/>
      <c r="J902" s="33"/>
      <c r="K902" s="37"/>
      <c r="L902" s="37"/>
    </row>
    <row r="903" spans="2:12" x14ac:dyDescent="0.2">
      <c r="B903" s="36"/>
      <c r="G903" s="34"/>
      <c r="H903" s="33"/>
      <c r="I903" s="33"/>
      <c r="J903" s="33"/>
      <c r="K903" s="37"/>
      <c r="L903" s="37"/>
    </row>
    <row r="904" spans="2:12" x14ac:dyDescent="0.2">
      <c r="B904" s="36"/>
      <c r="G904" s="34"/>
      <c r="H904" s="33"/>
      <c r="I904" s="33"/>
      <c r="J904" s="33"/>
      <c r="K904" s="37"/>
      <c r="L904" s="37"/>
    </row>
    <row r="905" spans="2:12" x14ac:dyDescent="0.2">
      <c r="B905" s="36"/>
      <c r="G905" s="34"/>
      <c r="H905" s="33"/>
      <c r="I905" s="33"/>
      <c r="J905" s="33"/>
      <c r="K905" s="37"/>
      <c r="L905" s="37"/>
    </row>
    <row r="906" spans="2:12" x14ac:dyDescent="0.2">
      <c r="B906" s="36"/>
      <c r="G906" s="34"/>
      <c r="H906" s="33"/>
      <c r="I906" s="33"/>
      <c r="J906" s="33"/>
      <c r="K906" s="37"/>
      <c r="L906" s="37"/>
    </row>
    <row r="907" spans="2:12" x14ac:dyDescent="0.2">
      <c r="B907" s="36"/>
      <c r="G907" s="34"/>
      <c r="H907" s="33"/>
      <c r="I907" s="33"/>
      <c r="J907" s="33"/>
      <c r="K907" s="37"/>
      <c r="L907" s="37"/>
    </row>
    <row r="908" spans="2:12" x14ac:dyDescent="0.2">
      <c r="B908" s="36"/>
      <c r="G908" s="34"/>
      <c r="H908" s="33"/>
      <c r="I908" s="33"/>
      <c r="J908" s="33"/>
      <c r="K908" s="37"/>
      <c r="L908" s="37"/>
    </row>
    <row r="909" spans="2:12" x14ac:dyDescent="0.2">
      <c r="B909" s="36"/>
      <c r="G909" s="34"/>
      <c r="H909" s="33"/>
      <c r="I909" s="33"/>
      <c r="J909" s="33"/>
      <c r="K909" s="37"/>
      <c r="L909" s="37"/>
    </row>
    <row r="910" spans="2:12" x14ac:dyDescent="0.2">
      <c r="B910" s="36"/>
      <c r="G910" s="34"/>
      <c r="H910" s="33"/>
      <c r="I910" s="33"/>
      <c r="J910" s="33"/>
      <c r="K910" s="37"/>
      <c r="L910" s="37"/>
    </row>
    <row r="911" spans="2:12" x14ac:dyDescent="0.2">
      <c r="B911" s="36"/>
      <c r="G911" s="34"/>
      <c r="H911" s="33"/>
      <c r="I911" s="33"/>
      <c r="J911" s="33"/>
      <c r="K911" s="37"/>
      <c r="L911" s="37"/>
    </row>
    <row r="912" spans="2:12" x14ac:dyDescent="0.2">
      <c r="B912" s="36"/>
      <c r="G912" s="34"/>
      <c r="H912" s="33"/>
      <c r="I912" s="33"/>
      <c r="J912" s="33"/>
      <c r="K912" s="37"/>
      <c r="L912" s="37"/>
    </row>
    <row r="913" spans="2:12" x14ac:dyDescent="0.2">
      <c r="B913" s="36"/>
      <c r="G913" s="34"/>
      <c r="H913" s="33"/>
      <c r="I913" s="33"/>
      <c r="J913" s="33"/>
      <c r="K913" s="37"/>
      <c r="L913" s="37"/>
    </row>
    <row r="914" spans="2:12" x14ac:dyDescent="0.2">
      <c r="B914" s="36"/>
      <c r="G914" s="34"/>
      <c r="H914" s="33"/>
      <c r="I914" s="33"/>
      <c r="J914" s="33"/>
      <c r="K914" s="37"/>
      <c r="L914" s="37"/>
    </row>
    <row r="915" spans="2:12" x14ac:dyDescent="0.2">
      <c r="B915" s="36"/>
      <c r="G915" s="34"/>
      <c r="H915" s="33"/>
      <c r="I915" s="33"/>
      <c r="J915" s="33"/>
      <c r="K915" s="37"/>
      <c r="L915" s="37"/>
    </row>
    <row r="916" spans="2:12" x14ac:dyDescent="0.2">
      <c r="B916" s="36"/>
      <c r="G916" s="34"/>
      <c r="H916" s="33"/>
      <c r="I916" s="33"/>
      <c r="J916" s="33"/>
      <c r="K916" s="37"/>
      <c r="L916" s="37"/>
    </row>
    <row r="917" spans="2:12" x14ac:dyDescent="0.2">
      <c r="B917" s="36"/>
      <c r="G917" s="34"/>
      <c r="H917" s="33"/>
      <c r="I917" s="33"/>
      <c r="J917" s="33"/>
      <c r="K917" s="37"/>
      <c r="L917" s="37"/>
    </row>
    <row r="918" spans="2:12" x14ac:dyDescent="0.2">
      <c r="B918" s="36"/>
      <c r="G918" s="34"/>
      <c r="H918" s="33"/>
      <c r="I918" s="33"/>
      <c r="J918" s="33"/>
      <c r="K918" s="37"/>
      <c r="L918" s="37"/>
    </row>
    <row r="919" spans="2:12" x14ac:dyDescent="0.2">
      <c r="B919" s="36"/>
      <c r="G919" s="34"/>
      <c r="H919" s="33"/>
      <c r="I919" s="33"/>
      <c r="J919" s="33"/>
      <c r="K919" s="37"/>
      <c r="L919" s="37"/>
    </row>
    <row r="920" spans="2:12" x14ac:dyDescent="0.2">
      <c r="B920" s="36"/>
      <c r="G920" s="34"/>
      <c r="H920" s="33"/>
      <c r="I920" s="33"/>
      <c r="J920" s="33"/>
      <c r="K920" s="37"/>
      <c r="L920" s="37"/>
    </row>
    <row r="921" spans="2:12" x14ac:dyDescent="0.2">
      <c r="B921" s="36"/>
      <c r="G921" s="34"/>
      <c r="H921" s="33"/>
      <c r="I921" s="33"/>
      <c r="J921" s="33"/>
      <c r="K921" s="37"/>
      <c r="L921" s="37"/>
    </row>
    <row r="922" spans="2:12" x14ac:dyDescent="0.2">
      <c r="B922" s="36"/>
      <c r="G922" s="34"/>
      <c r="H922" s="33"/>
      <c r="I922" s="33"/>
      <c r="J922" s="33"/>
      <c r="K922" s="37"/>
      <c r="L922" s="37"/>
    </row>
    <row r="923" spans="2:12" x14ac:dyDescent="0.2">
      <c r="B923" s="36"/>
      <c r="G923" s="34"/>
      <c r="H923" s="33"/>
      <c r="I923" s="33"/>
      <c r="J923" s="33"/>
      <c r="K923" s="37"/>
      <c r="L923" s="37"/>
    </row>
    <row r="924" spans="2:12" x14ac:dyDescent="0.2">
      <c r="B924" s="36"/>
      <c r="G924" s="34"/>
      <c r="H924" s="33"/>
      <c r="I924" s="33"/>
      <c r="J924" s="33"/>
      <c r="K924" s="37"/>
      <c r="L924" s="37"/>
    </row>
    <row r="925" spans="2:12" x14ac:dyDescent="0.2">
      <c r="B925" s="36"/>
      <c r="G925" s="34"/>
      <c r="H925" s="33"/>
      <c r="I925" s="33"/>
      <c r="J925" s="33"/>
      <c r="K925" s="37"/>
      <c r="L925" s="37"/>
    </row>
    <row r="926" spans="2:12" x14ac:dyDescent="0.2">
      <c r="B926" s="36"/>
      <c r="G926" s="34"/>
      <c r="H926" s="33"/>
      <c r="I926" s="33"/>
      <c r="J926" s="33"/>
      <c r="K926" s="37"/>
      <c r="L926" s="37"/>
    </row>
    <row r="927" spans="2:12" x14ac:dyDescent="0.2">
      <c r="B927" s="36"/>
      <c r="G927" s="34"/>
      <c r="H927" s="33"/>
      <c r="I927" s="33"/>
      <c r="J927" s="33"/>
      <c r="K927" s="37"/>
      <c r="L927" s="37"/>
    </row>
    <row r="928" spans="2:12" x14ac:dyDescent="0.2">
      <c r="B928" s="36"/>
      <c r="G928" s="34"/>
      <c r="H928" s="33"/>
      <c r="I928" s="33"/>
      <c r="J928" s="33"/>
      <c r="K928" s="37"/>
      <c r="L928" s="37"/>
    </row>
    <row r="929" spans="2:12" x14ac:dyDescent="0.2">
      <c r="B929" s="36"/>
      <c r="G929" s="34"/>
      <c r="H929" s="33"/>
      <c r="I929" s="33"/>
      <c r="J929" s="33"/>
      <c r="K929" s="37"/>
      <c r="L929" s="37"/>
    </row>
    <row r="930" spans="2:12" x14ac:dyDescent="0.2">
      <c r="B930" s="36"/>
      <c r="G930" s="34"/>
      <c r="H930" s="33"/>
      <c r="I930" s="33"/>
      <c r="J930" s="33"/>
      <c r="K930" s="37"/>
      <c r="L930" s="37"/>
    </row>
    <row r="931" spans="2:12" x14ac:dyDescent="0.2">
      <c r="B931" s="36"/>
      <c r="G931" s="34"/>
      <c r="H931" s="33"/>
      <c r="I931" s="33"/>
      <c r="J931" s="33"/>
      <c r="K931" s="37"/>
      <c r="L931" s="37"/>
    </row>
    <row r="932" spans="2:12" x14ac:dyDescent="0.2">
      <c r="B932" s="36"/>
      <c r="G932" s="34"/>
      <c r="H932" s="33"/>
      <c r="I932" s="33"/>
      <c r="J932" s="33"/>
      <c r="K932" s="37"/>
      <c r="L932" s="37"/>
    </row>
    <row r="933" spans="2:12" x14ac:dyDescent="0.2">
      <c r="B933" s="36"/>
      <c r="G933" s="34"/>
      <c r="H933" s="33"/>
      <c r="I933" s="33"/>
      <c r="J933" s="33"/>
      <c r="K933" s="37"/>
      <c r="L933" s="37"/>
    </row>
    <row r="934" spans="2:12" x14ac:dyDescent="0.2">
      <c r="B934" s="36"/>
      <c r="G934" s="34"/>
      <c r="H934" s="33"/>
      <c r="I934" s="33"/>
      <c r="J934" s="33"/>
      <c r="K934" s="37"/>
      <c r="L934" s="37"/>
    </row>
    <row r="935" spans="2:12" x14ac:dyDescent="0.2">
      <c r="B935" s="36"/>
      <c r="G935" s="34"/>
      <c r="H935" s="33"/>
      <c r="I935" s="33"/>
      <c r="J935" s="33"/>
      <c r="K935" s="37"/>
      <c r="L935" s="37"/>
    </row>
    <row r="936" spans="2:12" x14ac:dyDescent="0.2">
      <c r="B936" s="36"/>
      <c r="G936" s="34"/>
      <c r="H936" s="33"/>
      <c r="I936" s="33"/>
      <c r="J936" s="33"/>
      <c r="K936" s="37"/>
      <c r="L936" s="37"/>
    </row>
    <row r="937" spans="2:12" x14ac:dyDescent="0.2">
      <c r="B937" s="36"/>
      <c r="G937" s="34"/>
      <c r="H937" s="33"/>
      <c r="I937" s="33"/>
      <c r="J937" s="33"/>
      <c r="K937" s="37"/>
      <c r="L937" s="37"/>
    </row>
    <row r="938" spans="2:12" x14ac:dyDescent="0.2">
      <c r="B938" s="36"/>
      <c r="G938" s="34"/>
      <c r="H938" s="33"/>
      <c r="I938" s="33"/>
      <c r="J938" s="33"/>
      <c r="K938" s="37"/>
      <c r="L938" s="37"/>
    </row>
    <row r="939" spans="2:12" x14ac:dyDescent="0.2">
      <c r="B939" s="36"/>
      <c r="G939" s="34"/>
      <c r="H939" s="33"/>
      <c r="I939" s="33"/>
      <c r="J939" s="33"/>
      <c r="K939" s="37"/>
      <c r="L939" s="37"/>
    </row>
    <row r="940" spans="2:12" x14ac:dyDescent="0.2">
      <c r="B940" s="36"/>
      <c r="G940" s="34"/>
      <c r="H940" s="33"/>
      <c r="I940" s="33"/>
      <c r="J940" s="33"/>
      <c r="K940" s="37"/>
      <c r="L940" s="37"/>
    </row>
    <row r="941" spans="2:12" x14ac:dyDescent="0.2">
      <c r="B941" s="36"/>
      <c r="G941" s="34"/>
      <c r="H941" s="33"/>
      <c r="I941" s="33"/>
      <c r="J941" s="33"/>
      <c r="K941" s="37"/>
      <c r="L941" s="37"/>
    </row>
    <row r="942" spans="2:12" x14ac:dyDescent="0.2">
      <c r="B942" s="36"/>
      <c r="G942" s="34"/>
      <c r="H942" s="33"/>
      <c r="I942" s="33"/>
      <c r="J942" s="33"/>
      <c r="K942" s="37"/>
      <c r="L942" s="37"/>
    </row>
    <row r="943" spans="2:12" x14ac:dyDescent="0.2">
      <c r="B943" s="36"/>
      <c r="G943" s="34"/>
      <c r="H943" s="33"/>
      <c r="I943" s="33"/>
      <c r="J943" s="33"/>
      <c r="K943" s="37"/>
      <c r="L943" s="37"/>
    </row>
    <row r="944" spans="2:12" x14ac:dyDescent="0.2">
      <c r="B944" s="36"/>
      <c r="G944" s="34"/>
      <c r="H944" s="33"/>
      <c r="I944" s="33"/>
      <c r="J944" s="33"/>
      <c r="K944" s="37"/>
      <c r="L944" s="37"/>
    </row>
    <row r="945" spans="2:12" x14ac:dyDescent="0.2">
      <c r="B945" s="36"/>
      <c r="G945" s="34"/>
      <c r="H945" s="33"/>
      <c r="I945" s="33"/>
      <c r="J945" s="33"/>
      <c r="K945" s="37"/>
      <c r="L945" s="37"/>
    </row>
    <row r="946" spans="2:12" x14ac:dyDescent="0.2">
      <c r="B946" s="36"/>
      <c r="G946" s="34"/>
      <c r="H946" s="33"/>
      <c r="I946" s="33"/>
      <c r="J946" s="33"/>
      <c r="K946" s="37"/>
      <c r="L946" s="37"/>
    </row>
    <row r="947" spans="2:12" x14ac:dyDescent="0.2">
      <c r="B947" s="36"/>
      <c r="G947" s="34"/>
      <c r="H947" s="33"/>
      <c r="I947" s="33"/>
      <c r="J947" s="33"/>
      <c r="K947" s="37"/>
      <c r="L947" s="37"/>
    </row>
    <row r="948" spans="2:12" x14ac:dyDescent="0.2">
      <c r="B948" s="36"/>
      <c r="G948" s="34"/>
      <c r="H948" s="33"/>
      <c r="I948" s="33"/>
      <c r="J948" s="33"/>
      <c r="K948" s="37"/>
      <c r="L948" s="37"/>
    </row>
    <row r="949" spans="2:12" x14ac:dyDescent="0.2">
      <c r="B949" s="36"/>
      <c r="G949" s="34"/>
      <c r="H949" s="33"/>
      <c r="I949" s="33"/>
      <c r="J949" s="33"/>
      <c r="K949" s="37"/>
      <c r="L949" s="37"/>
    </row>
    <row r="950" spans="2:12" x14ac:dyDescent="0.2">
      <c r="B950" s="36"/>
      <c r="G950" s="34"/>
      <c r="H950" s="33"/>
      <c r="I950" s="33"/>
      <c r="J950" s="33"/>
      <c r="K950" s="37"/>
      <c r="L950" s="37"/>
    </row>
    <row r="951" spans="2:12" x14ac:dyDescent="0.2">
      <c r="B951" s="36"/>
      <c r="G951" s="34"/>
      <c r="H951" s="33"/>
      <c r="I951" s="33"/>
      <c r="J951" s="33"/>
      <c r="K951" s="37"/>
      <c r="L951" s="37"/>
    </row>
    <row r="952" spans="2:12" x14ac:dyDescent="0.2">
      <c r="B952" s="36"/>
      <c r="G952" s="34"/>
      <c r="H952" s="33"/>
      <c r="I952" s="33"/>
      <c r="J952" s="33"/>
      <c r="K952" s="37"/>
      <c r="L952" s="37"/>
    </row>
    <row r="953" spans="2:12" x14ac:dyDescent="0.2">
      <c r="B953" s="36"/>
      <c r="G953" s="34"/>
      <c r="H953" s="33"/>
      <c r="I953" s="33"/>
      <c r="J953" s="33"/>
      <c r="K953" s="37"/>
      <c r="L953" s="37"/>
    </row>
    <row r="954" spans="2:12" x14ac:dyDescent="0.2">
      <c r="B954" s="36"/>
      <c r="G954" s="34"/>
      <c r="H954" s="33"/>
      <c r="I954" s="33"/>
      <c r="J954" s="33"/>
      <c r="K954" s="37"/>
      <c r="L954" s="37"/>
    </row>
    <row r="955" spans="2:12" x14ac:dyDescent="0.2">
      <c r="B955" s="36"/>
      <c r="G955" s="34"/>
      <c r="H955" s="33"/>
      <c r="I955" s="33"/>
      <c r="J955" s="33"/>
      <c r="K955" s="37"/>
      <c r="L955" s="37"/>
    </row>
    <row r="956" spans="2:12" x14ac:dyDescent="0.2">
      <c r="B956" s="36"/>
      <c r="G956" s="34"/>
      <c r="H956" s="33"/>
      <c r="I956" s="33"/>
      <c r="J956" s="33"/>
      <c r="K956" s="37"/>
      <c r="L956" s="37"/>
    </row>
    <row r="957" spans="2:12" x14ac:dyDescent="0.2">
      <c r="B957" s="36"/>
      <c r="G957" s="34"/>
      <c r="H957" s="33"/>
      <c r="I957" s="33"/>
      <c r="J957" s="33"/>
      <c r="K957" s="37"/>
      <c r="L957" s="37"/>
    </row>
    <row r="958" spans="2:12" x14ac:dyDescent="0.2">
      <c r="B958" s="36"/>
      <c r="G958" s="34"/>
      <c r="H958" s="33"/>
      <c r="I958" s="33"/>
      <c r="J958" s="33"/>
      <c r="K958" s="37"/>
      <c r="L958" s="37"/>
    </row>
    <row r="959" spans="2:12" x14ac:dyDescent="0.2">
      <c r="B959" s="36"/>
      <c r="G959" s="34"/>
      <c r="H959" s="33"/>
      <c r="I959" s="33"/>
      <c r="J959" s="33"/>
      <c r="K959" s="37"/>
      <c r="L959" s="37"/>
    </row>
    <row r="960" spans="2:12" x14ac:dyDescent="0.2">
      <c r="B960" s="36"/>
      <c r="G960" s="34"/>
      <c r="H960" s="33"/>
      <c r="I960" s="33"/>
      <c r="J960" s="33"/>
      <c r="K960" s="37"/>
      <c r="L960" s="37"/>
    </row>
    <row r="961" spans="2:12" x14ac:dyDescent="0.2">
      <c r="B961" s="36"/>
      <c r="G961" s="34"/>
      <c r="H961" s="33"/>
      <c r="I961" s="33"/>
      <c r="J961" s="33"/>
      <c r="K961" s="37"/>
      <c r="L961" s="37"/>
    </row>
    <row r="962" spans="2:12" x14ac:dyDescent="0.2">
      <c r="B962" s="36"/>
      <c r="G962" s="34"/>
      <c r="H962" s="33"/>
      <c r="I962" s="33"/>
      <c r="J962" s="33"/>
      <c r="K962" s="37"/>
      <c r="L962" s="37"/>
    </row>
    <row r="963" spans="2:12" x14ac:dyDescent="0.2">
      <c r="B963" s="36"/>
      <c r="G963" s="34"/>
      <c r="H963" s="33"/>
      <c r="I963" s="33"/>
      <c r="J963" s="33"/>
      <c r="K963" s="37"/>
      <c r="L963" s="37"/>
    </row>
    <row r="964" spans="2:12" x14ac:dyDescent="0.2">
      <c r="B964" s="36"/>
      <c r="G964" s="34"/>
      <c r="H964" s="33"/>
      <c r="I964" s="33"/>
      <c r="J964" s="33"/>
      <c r="K964" s="37"/>
      <c r="L964" s="37"/>
    </row>
    <row r="965" spans="2:12" x14ac:dyDescent="0.2">
      <c r="B965" s="36"/>
      <c r="G965" s="34"/>
      <c r="H965" s="33"/>
      <c r="I965" s="33"/>
      <c r="J965" s="33"/>
      <c r="K965" s="37"/>
      <c r="L965" s="37"/>
    </row>
    <row r="966" spans="2:12" x14ac:dyDescent="0.2">
      <c r="B966" s="36"/>
      <c r="G966" s="34"/>
      <c r="H966" s="33"/>
      <c r="I966" s="33"/>
      <c r="J966" s="33"/>
      <c r="K966" s="37"/>
      <c r="L966" s="37"/>
    </row>
    <row r="967" spans="2:12" x14ac:dyDescent="0.2">
      <c r="B967" s="36"/>
      <c r="G967" s="34"/>
      <c r="H967" s="33"/>
      <c r="I967" s="33"/>
      <c r="J967" s="33"/>
      <c r="K967" s="37"/>
      <c r="L967" s="37"/>
    </row>
    <row r="968" spans="2:12" x14ac:dyDescent="0.2">
      <c r="B968" s="36"/>
      <c r="G968" s="34"/>
      <c r="H968" s="33"/>
      <c r="I968" s="33"/>
      <c r="J968" s="33"/>
      <c r="K968" s="37"/>
      <c r="L968" s="37"/>
    </row>
    <row r="969" spans="2:12" x14ac:dyDescent="0.2">
      <c r="B969" s="36"/>
      <c r="G969" s="34"/>
      <c r="H969" s="33"/>
      <c r="I969" s="33"/>
      <c r="J969" s="33"/>
      <c r="K969" s="37"/>
      <c r="L969" s="37"/>
    </row>
    <row r="970" spans="2:12" x14ac:dyDescent="0.2">
      <c r="B970" s="36"/>
      <c r="G970" s="34"/>
      <c r="H970" s="33"/>
      <c r="I970" s="33"/>
      <c r="J970" s="33"/>
      <c r="K970" s="37"/>
      <c r="L970" s="37"/>
    </row>
    <row r="971" spans="2:12" x14ac:dyDescent="0.2">
      <c r="B971" s="36"/>
      <c r="G971" s="34"/>
      <c r="H971" s="33"/>
      <c r="I971" s="33"/>
      <c r="J971" s="33"/>
      <c r="K971" s="37"/>
      <c r="L971" s="37"/>
    </row>
    <row r="972" spans="2:12" x14ac:dyDescent="0.2">
      <c r="B972" s="36"/>
      <c r="G972" s="34"/>
      <c r="H972" s="33"/>
      <c r="I972" s="33"/>
      <c r="J972" s="33"/>
      <c r="K972" s="37"/>
      <c r="L972" s="37"/>
    </row>
    <row r="973" spans="2:12" x14ac:dyDescent="0.2">
      <c r="B973" s="36"/>
      <c r="G973" s="34"/>
      <c r="H973" s="33"/>
      <c r="I973" s="33"/>
      <c r="J973" s="33"/>
      <c r="K973" s="37"/>
      <c r="L973" s="37"/>
    </row>
    <row r="974" spans="2:12" x14ac:dyDescent="0.2">
      <c r="B974" s="36"/>
      <c r="G974" s="34"/>
      <c r="H974" s="33"/>
      <c r="I974" s="33"/>
      <c r="J974" s="33"/>
      <c r="K974" s="37"/>
      <c r="L974" s="37"/>
    </row>
    <row r="975" spans="2:12" x14ac:dyDescent="0.2">
      <c r="B975" s="36"/>
      <c r="G975" s="34"/>
      <c r="H975" s="33"/>
      <c r="I975" s="33"/>
      <c r="J975" s="33"/>
      <c r="K975" s="37"/>
      <c r="L975" s="37"/>
    </row>
    <row r="976" spans="2:12" x14ac:dyDescent="0.2">
      <c r="B976" s="36"/>
      <c r="G976" s="34"/>
      <c r="H976" s="33"/>
      <c r="I976" s="33"/>
      <c r="J976" s="33"/>
      <c r="K976" s="37"/>
      <c r="L976" s="37"/>
    </row>
    <row r="977" spans="2:12" x14ac:dyDescent="0.2">
      <c r="B977" s="36"/>
      <c r="G977" s="34"/>
      <c r="H977" s="33"/>
      <c r="I977" s="33"/>
      <c r="J977" s="33"/>
      <c r="K977" s="37"/>
      <c r="L977" s="37"/>
    </row>
    <row r="978" spans="2:12" x14ac:dyDescent="0.2">
      <c r="B978" s="36"/>
      <c r="G978" s="34"/>
      <c r="H978" s="33"/>
      <c r="I978" s="33"/>
      <c r="J978" s="33"/>
      <c r="K978" s="37"/>
      <c r="L978" s="37"/>
    </row>
    <row r="979" spans="2:12" x14ac:dyDescent="0.2">
      <c r="B979" s="36"/>
      <c r="G979" s="34"/>
      <c r="H979" s="33"/>
      <c r="I979" s="33"/>
      <c r="J979" s="33"/>
      <c r="K979" s="37"/>
      <c r="L979" s="37"/>
    </row>
    <row r="980" spans="2:12" x14ac:dyDescent="0.2">
      <c r="B980" s="36"/>
      <c r="G980" s="34"/>
      <c r="H980" s="33"/>
      <c r="I980" s="33"/>
      <c r="J980" s="33"/>
      <c r="K980" s="37"/>
      <c r="L980" s="37"/>
    </row>
    <row r="981" spans="2:12" x14ac:dyDescent="0.2">
      <c r="B981" s="36"/>
      <c r="G981" s="34"/>
      <c r="H981" s="33"/>
      <c r="I981" s="33"/>
      <c r="J981" s="33"/>
      <c r="K981" s="37"/>
      <c r="L981" s="37"/>
    </row>
    <row r="982" spans="2:12" x14ac:dyDescent="0.2">
      <c r="B982" s="36"/>
      <c r="G982" s="34"/>
      <c r="H982" s="33"/>
      <c r="I982" s="33"/>
      <c r="J982" s="33"/>
      <c r="K982" s="37"/>
      <c r="L982" s="37"/>
    </row>
    <row r="983" spans="2:12" x14ac:dyDescent="0.2">
      <c r="B983" s="36"/>
      <c r="G983" s="34"/>
      <c r="H983" s="33"/>
      <c r="I983" s="33"/>
      <c r="J983" s="33"/>
      <c r="K983" s="37"/>
      <c r="L983" s="37"/>
    </row>
    <row r="984" spans="2:12" x14ac:dyDescent="0.2">
      <c r="B984" s="36"/>
      <c r="G984" s="34"/>
      <c r="H984" s="33"/>
      <c r="I984" s="33"/>
      <c r="J984" s="33"/>
      <c r="K984" s="37"/>
      <c r="L984" s="37"/>
    </row>
    <row r="985" spans="2:12" x14ac:dyDescent="0.2">
      <c r="B985" s="36"/>
      <c r="G985" s="34"/>
      <c r="H985" s="33"/>
      <c r="I985" s="33"/>
      <c r="J985" s="33"/>
      <c r="K985" s="37"/>
      <c r="L985" s="37"/>
    </row>
    <row r="986" spans="2:12" x14ac:dyDescent="0.2">
      <c r="B986" s="36"/>
      <c r="G986" s="34"/>
      <c r="H986" s="33"/>
      <c r="I986" s="33"/>
      <c r="J986" s="33"/>
      <c r="K986" s="37"/>
      <c r="L986" s="37"/>
    </row>
    <row r="987" spans="2:12" x14ac:dyDescent="0.2">
      <c r="B987" s="36"/>
      <c r="G987" s="34"/>
      <c r="H987" s="33"/>
      <c r="I987" s="33"/>
      <c r="J987" s="33"/>
      <c r="K987" s="37"/>
      <c r="L987" s="37"/>
    </row>
    <row r="988" spans="2:12" x14ac:dyDescent="0.2">
      <c r="B988" s="36"/>
      <c r="G988" s="34"/>
      <c r="H988" s="33"/>
      <c r="I988" s="33"/>
      <c r="J988" s="33"/>
      <c r="K988" s="37"/>
      <c r="L988" s="37"/>
    </row>
    <row r="989" spans="2:12" x14ac:dyDescent="0.2">
      <c r="B989" s="36"/>
      <c r="G989" s="34"/>
      <c r="H989" s="33"/>
      <c r="I989" s="33"/>
      <c r="J989" s="33"/>
      <c r="K989" s="37"/>
      <c r="L989" s="37"/>
    </row>
    <row r="990" spans="2:12" x14ac:dyDescent="0.2">
      <c r="B990" s="36"/>
      <c r="G990" s="34"/>
      <c r="H990" s="33"/>
      <c r="I990" s="33"/>
      <c r="J990" s="33"/>
      <c r="K990" s="37"/>
      <c r="L990" s="37"/>
    </row>
    <row r="991" spans="2:12" x14ac:dyDescent="0.2">
      <c r="B991" s="36"/>
      <c r="G991" s="34"/>
      <c r="H991" s="33"/>
      <c r="I991" s="33"/>
      <c r="J991" s="33"/>
      <c r="K991" s="37"/>
      <c r="L991" s="37"/>
    </row>
    <row r="992" spans="2:12" x14ac:dyDescent="0.2">
      <c r="B992" s="36"/>
      <c r="G992" s="34"/>
      <c r="H992" s="33"/>
      <c r="I992" s="33"/>
      <c r="J992" s="33"/>
      <c r="K992" s="37"/>
      <c r="L992" s="37"/>
    </row>
    <row r="993" spans="2:12" x14ac:dyDescent="0.2">
      <c r="B993" s="36"/>
      <c r="G993" s="34"/>
      <c r="H993" s="33"/>
      <c r="I993" s="33"/>
      <c r="J993" s="33"/>
      <c r="K993" s="37"/>
      <c r="L993" s="37"/>
    </row>
    <row r="994" spans="2:12" x14ac:dyDescent="0.2">
      <c r="B994" s="36"/>
      <c r="G994" s="34"/>
      <c r="H994" s="33"/>
      <c r="I994" s="33"/>
      <c r="J994" s="33"/>
      <c r="K994" s="37"/>
      <c r="L994" s="37"/>
    </row>
    <row r="995" spans="2:12" x14ac:dyDescent="0.2">
      <c r="B995" s="36"/>
      <c r="G995" s="34"/>
      <c r="H995" s="33"/>
      <c r="I995" s="33"/>
      <c r="J995" s="33"/>
      <c r="K995" s="37"/>
      <c r="L995" s="37"/>
    </row>
    <row r="996" spans="2:12" x14ac:dyDescent="0.2">
      <c r="B996" s="36"/>
      <c r="G996" s="34"/>
      <c r="H996" s="33"/>
      <c r="I996" s="33"/>
      <c r="J996" s="33"/>
      <c r="K996" s="37"/>
      <c r="L996" s="37"/>
    </row>
    <row r="997" spans="2:12" x14ac:dyDescent="0.2">
      <c r="B997" s="36"/>
      <c r="G997" s="34"/>
      <c r="H997" s="33"/>
      <c r="I997" s="33"/>
      <c r="J997" s="33"/>
      <c r="K997" s="37"/>
      <c r="L997" s="37"/>
    </row>
    <row r="998" spans="2:12" x14ac:dyDescent="0.2">
      <c r="B998" s="36"/>
      <c r="G998" s="34"/>
      <c r="H998" s="33"/>
      <c r="I998" s="33"/>
      <c r="J998" s="33"/>
      <c r="K998" s="37"/>
      <c r="L998" s="37"/>
    </row>
    <row r="999" spans="2:12" x14ac:dyDescent="0.2">
      <c r="B999" s="36"/>
      <c r="G999" s="34"/>
      <c r="H999" s="33"/>
      <c r="I999" s="33"/>
      <c r="J999" s="33"/>
      <c r="K999" s="37"/>
      <c r="L999" s="37"/>
    </row>
    <row r="1000" spans="2:12" x14ac:dyDescent="0.2">
      <c r="B1000" s="36"/>
      <c r="G1000" s="34"/>
      <c r="H1000" s="33"/>
      <c r="I1000" s="33"/>
      <c r="J1000" s="33"/>
      <c r="K1000" s="37"/>
      <c r="L1000" s="37"/>
    </row>
    <row r="1001" spans="2:12" x14ac:dyDescent="0.2">
      <c r="B1001" s="36"/>
      <c r="G1001" s="34"/>
      <c r="H1001" s="33"/>
      <c r="I1001" s="33"/>
      <c r="J1001" s="33"/>
      <c r="K1001" s="37"/>
      <c r="L1001" s="37"/>
    </row>
    <row r="1002" spans="2:12" x14ac:dyDescent="0.2">
      <c r="B1002" s="36"/>
      <c r="G1002" s="34"/>
      <c r="H1002" s="33"/>
      <c r="I1002" s="33"/>
      <c r="J1002" s="33"/>
      <c r="K1002" s="37"/>
      <c r="L1002" s="37"/>
    </row>
    <row r="1003" spans="2:12" x14ac:dyDescent="0.2">
      <c r="B1003" s="36"/>
      <c r="G1003" s="34"/>
      <c r="H1003" s="33"/>
      <c r="I1003" s="33"/>
      <c r="J1003" s="33"/>
      <c r="K1003" s="37"/>
      <c r="L1003" s="37"/>
    </row>
    <row r="1004" spans="2:12" x14ac:dyDescent="0.2">
      <c r="B1004" s="36"/>
      <c r="G1004" s="34"/>
      <c r="H1004" s="33"/>
      <c r="I1004" s="33"/>
      <c r="J1004" s="33"/>
      <c r="K1004" s="37"/>
      <c r="L1004" s="37"/>
    </row>
    <row r="1005" spans="2:12" x14ac:dyDescent="0.2">
      <c r="B1005" s="36"/>
      <c r="G1005" s="34"/>
      <c r="H1005" s="33"/>
      <c r="I1005" s="33"/>
      <c r="J1005" s="33"/>
      <c r="K1005" s="37"/>
      <c r="L1005" s="37"/>
    </row>
    <row r="1006" spans="2:12" x14ac:dyDescent="0.2">
      <c r="B1006" s="36"/>
      <c r="G1006" s="34"/>
      <c r="H1006" s="33"/>
      <c r="I1006" s="33"/>
      <c r="J1006" s="33"/>
      <c r="K1006" s="37"/>
      <c r="L1006" s="37"/>
    </row>
    <row r="1007" spans="2:12" x14ac:dyDescent="0.2">
      <c r="B1007" s="36"/>
      <c r="G1007" s="34"/>
      <c r="H1007" s="33"/>
      <c r="I1007" s="33"/>
      <c r="J1007" s="33"/>
      <c r="K1007" s="37"/>
      <c r="L1007" s="37"/>
    </row>
    <row r="1008" spans="2:12" x14ac:dyDescent="0.2">
      <c r="B1008" s="36"/>
      <c r="G1008" s="34"/>
      <c r="H1008" s="33"/>
      <c r="I1008" s="33"/>
      <c r="J1008" s="33"/>
      <c r="K1008" s="37"/>
      <c r="L1008" s="37"/>
    </row>
    <row r="1009" spans="2:12" x14ac:dyDescent="0.2">
      <c r="B1009" s="36"/>
      <c r="G1009" s="34"/>
      <c r="H1009" s="33"/>
      <c r="I1009" s="33"/>
      <c r="J1009" s="33"/>
      <c r="K1009" s="37"/>
      <c r="L1009" s="37"/>
    </row>
    <row r="1010" spans="2:12" x14ac:dyDescent="0.2">
      <c r="B1010" s="36"/>
      <c r="G1010" s="34"/>
      <c r="H1010" s="33"/>
      <c r="I1010" s="33"/>
      <c r="J1010" s="33"/>
      <c r="K1010" s="37"/>
      <c r="L1010" s="37"/>
    </row>
    <row r="1011" spans="2:12" x14ac:dyDescent="0.2">
      <c r="B1011" s="36"/>
      <c r="G1011" s="34"/>
      <c r="H1011" s="33"/>
      <c r="I1011" s="33"/>
      <c r="J1011" s="33"/>
      <c r="K1011" s="37"/>
      <c r="L1011" s="37"/>
    </row>
    <row r="1012" spans="2:12" x14ac:dyDescent="0.2">
      <c r="B1012" s="36"/>
      <c r="G1012" s="34"/>
      <c r="H1012" s="33"/>
      <c r="I1012" s="33"/>
      <c r="J1012" s="33"/>
      <c r="K1012" s="37"/>
      <c r="L1012" s="37"/>
    </row>
    <row r="1013" spans="2:12" x14ac:dyDescent="0.2">
      <c r="B1013" s="36"/>
      <c r="G1013" s="34"/>
      <c r="H1013" s="33"/>
      <c r="I1013" s="33"/>
      <c r="J1013" s="33"/>
      <c r="K1013" s="37"/>
      <c r="L1013" s="37"/>
    </row>
    <row r="1014" spans="2:12" x14ac:dyDescent="0.2">
      <c r="B1014" s="36"/>
      <c r="G1014" s="34"/>
      <c r="H1014" s="33"/>
      <c r="I1014" s="33"/>
      <c r="J1014" s="33"/>
      <c r="K1014" s="37"/>
      <c r="L1014" s="37"/>
    </row>
    <row r="1015" spans="2:12" x14ac:dyDescent="0.2">
      <c r="B1015" s="36"/>
      <c r="G1015" s="34"/>
      <c r="H1015" s="33"/>
      <c r="I1015" s="33"/>
      <c r="J1015" s="33"/>
      <c r="K1015" s="37"/>
      <c r="L1015" s="37"/>
    </row>
    <row r="1016" spans="2:12" x14ac:dyDescent="0.2">
      <c r="B1016" s="36"/>
      <c r="G1016" s="34"/>
      <c r="H1016" s="33"/>
      <c r="I1016" s="33"/>
      <c r="J1016" s="33"/>
      <c r="K1016" s="37"/>
      <c r="L1016" s="37"/>
    </row>
    <row r="1017" spans="2:12" x14ac:dyDescent="0.2">
      <c r="B1017" s="36"/>
      <c r="G1017" s="34"/>
      <c r="H1017" s="33"/>
      <c r="I1017" s="33"/>
      <c r="J1017" s="33"/>
      <c r="K1017" s="37"/>
      <c r="L1017" s="37"/>
    </row>
    <row r="1018" spans="2:12" x14ac:dyDescent="0.2">
      <c r="B1018" s="36"/>
      <c r="G1018" s="34"/>
      <c r="H1018" s="33"/>
      <c r="I1018" s="33"/>
      <c r="J1018" s="33"/>
      <c r="K1018" s="37"/>
      <c r="L1018" s="37"/>
    </row>
    <row r="1019" spans="2:12" x14ac:dyDescent="0.2">
      <c r="B1019" s="36"/>
      <c r="G1019" s="34"/>
      <c r="H1019" s="33"/>
      <c r="I1019" s="33"/>
      <c r="J1019" s="33"/>
      <c r="K1019" s="37"/>
      <c r="L1019" s="37"/>
    </row>
    <row r="1020" spans="2:12" x14ac:dyDescent="0.2">
      <c r="B1020" s="36"/>
      <c r="G1020" s="34"/>
      <c r="H1020" s="33"/>
      <c r="I1020" s="33"/>
      <c r="J1020" s="33"/>
      <c r="K1020" s="37"/>
      <c r="L1020" s="37"/>
    </row>
    <row r="1021" spans="2:12" x14ac:dyDescent="0.2">
      <c r="B1021" s="36"/>
      <c r="G1021" s="34"/>
      <c r="H1021" s="33"/>
      <c r="I1021" s="33"/>
      <c r="J1021" s="33"/>
      <c r="K1021" s="37"/>
      <c r="L1021" s="37"/>
    </row>
    <row r="1022" spans="2:12" x14ac:dyDescent="0.2">
      <c r="B1022" s="36"/>
      <c r="G1022" s="34"/>
      <c r="H1022" s="33"/>
      <c r="I1022" s="33"/>
      <c r="J1022" s="33"/>
      <c r="K1022" s="37"/>
      <c r="L1022" s="37"/>
    </row>
    <row r="1023" spans="2:12" x14ac:dyDescent="0.2">
      <c r="B1023" s="36"/>
      <c r="G1023" s="34"/>
      <c r="H1023" s="33"/>
      <c r="I1023" s="33"/>
      <c r="J1023" s="33"/>
      <c r="K1023" s="37"/>
      <c r="L1023" s="37"/>
    </row>
    <row r="1024" spans="2:12" x14ac:dyDescent="0.2">
      <c r="B1024" s="36"/>
      <c r="G1024" s="34"/>
      <c r="H1024" s="33"/>
      <c r="I1024" s="33"/>
      <c r="J1024" s="33"/>
      <c r="K1024" s="37"/>
      <c r="L1024" s="37"/>
    </row>
    <row r="1025" spans="2:12" x14ac:dyDescent="0.2">
      <c r="B1025" s="36"/>
      <c r="G1025" s="34"/>
      <c r="H1025" s="33"/>
      <c r="I1025" s="33"/>
      <c r="J1025" s="33"/>
      <c r="K1025" s="37"/>
      <c r="L1025" s="37"/>
    </row>
    <row r="1026" spans="2:12" x14ac:dyDescent="0.2">
      <c r="B1026" s="36"/>
      <c r="G1026" s="34"/>
      <c r="H1026" s="33"/>
      <c r="I1026" s="33"/>
      <c r="J1026" s="33"/>
      <c r="K1026" s="37"/>
      <c r="L1026" s="37"/>
    </row>
    <row r="1027" spans="2:12" x14ac:dyDescent="0.2">
      <c r="B1027" s="36"/>
      <c r="G1027" s="34"/>
      <c r="H1027" s="33"/>
      <c r="I1027" s="33"/>
      <c r="J1027" s="33"/>
      <c r="K1027" s="37"/>
      <c r="L1027" s="37"/>
    </row>
    <row r="1028" spans="2:12" x14ac:dyDescent="0.2">
      <c r="B1028" s="36"/>
      <c r="G1028" s="34"/>
      <c r="H1028" s="33"/>
      <c r="I1028" s="33"/>
      <c r="J1028" s="33"/>
      <c r="K1028" s="37"/>
      <c r="L1028" s="37"/>
    </row>
    <row r="1029" spans="2:12" x14ac:dyDescent="0.2">
      <c r="B1029" s="36"/>
      <c r="G1029" s="34"/>
      <c r="H1029" s="33"/>
      <c r="I1029" s="33"/>
      <c r="J1029" s="33"/>
      <c r="K1029" s="37"/>
      <c r="L1029" s="37"/>
    </row>
    <row r="1030" spans="2:12" x14ac:dyDescent="0.2">
      <c r="B1030" s="36"/>
      <c r="G1030" s="34"/>
      <c r="H1030" s="33"/>
      <c r="I1030" s="33"/>
      <c r="J1030" s="33"/>
      <c r="K1030" s="37"/>
      <c r="L1030" s="37"/>
    </row>
    <row r="1031" spans="2:12" x14ac:dyDescent="0.2">
      <c r="B1031" s="36"/>
      <c r="G1031" s="34"/>
      <c r="H1031" s="33"/>
      <c r="I1031" s="33"/>
      <c r="J1031" s="33"/>
      <c r="K1031" s="37"/>
      <c r="L1031" s="37"/>
    </row>
    <row r="1032" spans="2:12" x14ac:dyDescent="0.2">
      <c r="B1032" s="36"/>
      <c r="G1032" s="34"/>
      <c r="H1032" s="33"/>
      <c r="I1032" s="33"/>
      <c r="J1032" s="33"/>
      <c r="K1032" s="37"/>
      <c r="L1032" s="37"/>
    </row>
    <row r="1033" spans="2:12" x14ac:dyDescent="0.2">
      <c r="B1033" s="36"/>
      <c r="G1033" s="34"/>
      <c r="H1033" s="33"/>
      <c r="I1033" s="33"/>
      <c r="J1033" s="33"/>
      <c r="K1033" s="37"/>
      <c r="L1033" s="37"/>
    </row>
    <row r="1034" spans="2:12" x14ac:dyDescent="0.2">
      <c r="B1034" s="36"/>
      <c r="G1034" s="34"/>
      <c r="H1034" s="33"/>
      <c r="I1034" s="33"/>
      <c r="J1034" s="33"/>
      <c r="K1034" s="37"/>
      <c r="L1034" s="37"/>
    </row>
    <row r="1035" spans="2:12" x14ac:dyDescent="0.2">
      <c r="B1035" s="36"/>
      <c r="G1035" s="34"/>
      <c r="H1035" s="33"/>
      <c r="I1035" s="33"/>
      <c r="J1035" s="33"/>
      <c r="K1035" s="37"/>
      <c r="L1035" s="37"/>
    </row>
    <row r="1036" spans="2:12" x14ac:dyDescent="0.2">
      <c r="B1036" s="36"/>
      <c r="G1036" s="34"/>
      <c r="H1036" s="33"/>
      <c r="I1036" s="33"/>
      <c r="J1036" s="33"/>
      <c r="K1036" s="37"/>
      <c r="L1036" s="37"/>
    </row>
    <row r="1037" spans="2:12" x14ac:dyDescent="0.2">
      <c r="B1037" s="36"/>
      <c r="G1037" s="34"/>
      <c r="H1037" s="33"/>
      <c r="I1037" s="33"/>
      <c r="J1037" s="33"/>
      <c r="K1037" s="37"/>
      <c r="L1037" s="37"/>
    </row>
    <row r="1038" spans="2:12" x14ac:dyDescent="0.2">
      <c r="B1038" s="36"/>
      <c r="G1038" s="34"/>
      <c r="H1038" s="33"/>
      <c r="I1038" s="33"/>
      <c r="J1038" s="33"/>
      <c r="K1038" s="37"/>
      <c r="L1038" s="37"/>
    </row>
    <row r="1039" spans="2:12" x14ac:dyDescent="0.2">
      <c r="B1039" s="36"/>
      <c r="G1039" s="34"/>
      <c r="H1039" s="33"/>
      <c r="I1039" s="33"/>
      <c r="J1039" s="33"/>
      <c r="K1039" s="37"/>
      <c r="L1039" s="37"/>
    </row>
    <row r="1040" spans="2:12" x14ac:dyDescent="0.2">
      <c r="B1040" s="36"/>
      <c r="G1040" s="34"/>
      <c r="H1040" s="33"/>
      <c r="I1040" s="33"/>
      <c r="J1040" s="33"/>
      <c r="K1040" s="37"/>
      <c r="L1040" s="37"/>
    </row>
    <row r="1041" spans="2:12" x14ac:dyDescent="0.2">
      <c r="B1041" s="36"/>
      <c r="G1041" s="34"/>
      <c r="H1041" s="33"/>
      <c r="I1041" s="33"/>
      <c r="J1041" s="33"/>
      <c r="K1041" s="37"/>
      <c r="L1041" s="37"/>
    </row>
    <row r="1042" spans="2:12" x14ac:dyDescent="0.2">
      <c r="B1042" s="36"/>
      <c r="G1042" s="34"/>
      <c r="H1042" s="33"/>
      <c r="I1042" s="33"/>
      <c r="J1042" s="33"/>
      <c r="K1042" s="37"/>
      <c r="L1042" s="37"/>
    </row>
    <row r="1043" spans="2:12" x14ac:dyDescent="0.2">
      <c r="B1043" s="36"/>
      <c r="G1043" s="34"/>
      <c r="H1043" s="33"/>
      <c r="I1043" s="33"/>
      <c r="J1043" s="33"/>
      <c r="K1043" s="37"/>
      <c r="L1043" s="37"/>
    </row>
    <row r="1044" spans="2:12" x14ac:dyDescent="0.2">
      <c r="B1044" s="36"/>
      <c r="G1044" s="34"/>
      <c r="H1044" s="33"/>
      <c r="I1044" s="33"/>
      <c r="J1044" s="33"/>
      <c r="K1044" s="37"/>
      <c r="L1044" s="37"/>
    </row>
    <row r="1045" spans="2:12" x14ac:dyDescent="0.2">
      <c r="B1045" s="36"/>
      <c r="G1045" s="34"/>
      <c r="H1045" s="33"/>
      <c r="I1045" s="33"/>
      <c r="J1045" s="33"/>
      <c r="K1045" s="37"/>
      <c r="L1045" s="37"/>
    </row>
    <row r="1046" spans="2:12" x14ac:dyDescent="0.2">
      <c r="B1046" s="36"/>
      <c r="G1046" s="34"/>
      <c r="H1046" s="33"/>
      <c r="I1046" s="33"/>
      <c r="J1046" s="33"/>
      <c r="K1046" s="37"/>
      <c r="L1046" s="37"/>
    </row>
    <row r="1047" spans="2:12" x14ac:dyDescent="0.2">
      <c r="B1047" s="36"/>
      <c r="G1047" s="34"/>
      <c r="H1047" s="33"/>
      <c r="I1047" s="33"/>
      <c r="J1047" s="33"/>
      <c r="K1047" s="37"/>
      <c r="L1047" s="37"/>
    </row>
    <row r="1048" spans="2:12" x14ac:dyDescent="0.2">
      <c r="B1048" s="36"/>
      <c r="G1048" s="34"/>
      <c r="H1048" s="33"/>
      <c r="I1048" s="33"/>
      <c r="J1048" s="33"/>
      <c r="K1048" s="37"/>
      <c r="L1048" s="37"/>
    </row>
    <row r="1049" spans="2:12" x14ac:dyDescent="0.2">
      <c r="B1049" s="36"/>
      <c r="G1049" s="34"/>
      <c r="H1049" s="33"/>
      <c r="I1049" s="33"/>
      <c r="J1049" s="33"/>
      <c r="K1049" s="37"/>
      <c r="L1049" s="37"/>
    </row>
    <row r="1050" spans="2:12" x14ac:dyDescent="0.2">
      <c r="B1050" s="36"/>
      <c r="G1050" s="34"/>
      <c r="H1050" s="33"/>
      <c r="I1050" s="33"/>
      <c r="J1050" s="33"/>
      <c r="K1050" s="37"/>
      <c r="L1050" s="37"/>
    </row>
    <row r="1051" spans="2:12" x14ac:dyDescent="0.2">
      <c r="B1051" s="36"/>
      <c r="G1051" s="34"/>
      <c r="H1051" s="33"/>
      <c r="I1051" s="33"/>
      <c r="J1051" s="33"/>
      <c r="K1051" s="37"/>
      <c r="L1051" s="37"/>
    </row>
    <row r="1052" spans="2:12" x14ac:dyDescent="0.2">
      <c r="B1052" s="36"/>
      <c r="G1052" s="34"/>
      <c r="H1052" s="33"/>
      <c r="I1052" s="33"/>
      <c r="J1052" s="33"/>
      <c r="K1052" s="37"/>
      <c r="L1052" s="37"/>
    </row>
    <row r="1053" spans="2:12" x14ac:dyDescent="0.2">
      <c r="B1053" s="36"/>
      <c r="G1053" s="34"/>
      <c r="H1053" s="33"/>
      <c r="I1053" s="33"/>
      <c r="J1053" s="33"/>
      <c r="K1053" s="37"/>
      <c r="L1053" s="37"/>
    </row>
    <row r="1054" spans="2:12" x14ac:dyDescent="0.2">
      <c r="B1054" s="36"/>
      <c r="G1054" s="34"/>
      <c r="H1054" s="33"/>
      <c r="I1054" s="33"/>
      <c r="J1054" s="33"/>
      <c r="K1054" s="37"/>
      <c r="L1054" s="37"/>
    </row>
    <row r="1055" spans="2:12" x14ac:dyDescent="0.2">
      <c r="B1055" s="36"/>
      <c r="G1055" s="34"/>
      <c r="H1055" s="33"/>
      <c r="I1055" s="33"/>
      <c r="J1055" s="33"/>
      <c r="K1055" s="37"/>
      <c r="L1055" s="37"/>
    </row>
    <row r="1056" spans="2:12" x14ac:dyDescent="0.2">
      <c r="B1056" s="36"/>
      <c r="G1056" s="34"/>
      <c r="H1056" s="33"/>
      <c r="I1056" s="33"/>
      <c r="J1056" s="33"/>
      <c r="K1056" s="37"/>
      <c r="L1056" s="37"/>
    </row>
    <row r="1057" spans="2:12" x14ac:dyDescent="0.2">
      <c r="B1057" s="36"/>
      <c r="G1057" s="34"/>
      <c r="H1057" s="33"/>
      <c r="I1057" s="33"/>
      <c r="J1057" s="33"/>
      <c r="K1057" s="37"/>
      <c r="L1057" s="37"/>
    </row>
    <row r="1058" spans="2:12" x14ac:dyDescent="0.2">
      <c r="B1058" s="36"/>
      <c r="G1058" s="34"/>
      <c r="H1058" s="33"/>
      <c r="I1058" s="33"/>
      <c r="J1058" s="33"/>
      <c r="K1058" s="37"/>
      <c r="L1058" s="37"/>
    </row>
    <row r="1059" spans="2:12" x14ac:dyDescent="0.2">
      <c r="B1059" s="36"/>
      <c r="G1059" s="34"/>
      <c r="H1059" s="33"/>
      <c r="I1059" s="33"/>
      <c r="J1059" s="33"/>
      <c r="K1059" s="37"/>
      <c r="L1059" s="37"/>
    </row>
    <row r="1060" spans="2:12" x14ac:dyDescent="0.2">
      <c r="B1060" s="36"/>
      <c r="G1060" s="34"/>
      <c r="H1060" s="33"/>
      <c r="I1060" s="33"/>
      <c r="J1060" s="33"/>
      <c r="K1060" s="37"/>
      <c r="L1060" s="37"/>
    </row>
    <row r="1061" spans="2:12" x14ac:dyDescent="0.2">
      <c r="B1061" s="36"/>
      <c r="G1061" s="34"/>
      <c r="H1061" s="33"/>
      <c r="I1061" s="33"/>
      <c r="J1061" s="33"/>
      <c r="K1061" s="37"/>
      <c r="L1061" s="37"/>
    </row>
    <row r="1062" spans="2:12" x14ac:dyDescent="0.2">
      <c r="B1062" s="36"/>
      <c r="G1062" s="34"/>
      <c r="H1062" s="33"/>
      <c r="I1062" s="33"/>
      <c r="J1062" s="33"/>
      <c r="K1062" s="37"/>
      <c r="L1062" s="37"/>
    </row>
    <row r="1063" spans="2:12" x14ac:dyDescent="0.2">
      <c r="B1063" s="36"/>
      <c r="G1063" s="34"/>
      <c r="H1063" s="33"/>
      <c r="I1063" s="33"/>
      <c r="J1063" s="33"/>
      <c r="K1063" s="37"/>
      <c r="L1063" s="37"/>
    </row>
    <row r="1064" spans="2:12" x14ac:dyDescent="0.2">
      <c r="B1064" s="36"/>
      <c r="G1064" s="34"/>
      <c r="H1064" s="33"/>
      <c r="I1064" s="33"/>
      <c r="J1064" s="33"/>
      <c r="K1064" s="37"/>
      <c r="L1064" s="37"/>
    </row>
    <row r="1065" spans="2:12" x14ac:dyDescent="0.2">
      <c r="B1065" s="36"/>
      <c r="G1065" s="34"/>
      <c r="H1065" s="33"/>
      <c r="I1065" s="33"/>
      <c r="J1065" s="33"/>
      <c r="K1065" s="37"/>
      <c r="L1065" s="37"/>
    </row>
    <row r="1066" spans="2:12" x14ac:dyDescent="0.2">
      <c r="B1066" s="36"/>
      <c r="G1066" s="34"/>
      <c r="H1066" s="33"/>
      <c r="I1066" s="33"/>
      <c r="J1066" s="33"/>
      <c r="K1066" s="37"/>
      <c r="L1066" s="37"/>
    </row>
    <row r="1067" spans="2:12" x14ac:dyDescent="0.2">
      <c r="B1067" s="36"/>
      <c r="G1067" s="34"/>
      <c r="H1067" s="33"/>
      <c r="I1067" s="33"/>
      <c r="J1067" s="33"/>
      <c r="K1067" s="37"/>
      <c r="L1067" s="37"/>
    </row>
    <row r="1068" spans="2:12" x14ac:dyDescent="0.2">
      <c r="B1068" s="36"/>
      <c r="G1068" s="34"/>
      <c r="H1068" s="33"/>
      <c r="I1068" s="33"/>
      <c r="J1068" s="33"/>
      <c r="K1068" s="37"/>
      <c r="L1068" s="37"/>
    </row>
    <row r="1069" spans="2:12" x14ac:dyDescent="0.2">
      <c r="B1069" s="36"/>
      <c r="G1069" s="34"/>
      <c r="H1069" s="33"/>
      <c r="I1069" s="33"/>
      <c r="J1069" s="33"/>
      <c r="K1069" s="37"/>
      <c r="L1069" s="37"/>
    </row>
    <row r="1070" spans="2:12" x14ac:dyDescent="0.2">
      <c r="B1070" s="36"/>
      <c r="G1070" s="34"/>
      <c r="H1070" s="33"/>
      <c r="I1070" s="33"/>
      <c r="J1070" s="33"/>
      <c r="K1070" s="37"/>
      <c r="L1070" s="37"/>
    </row>
    <row r="1071" spans="2:12" x14ac:dyDescent="0.2">
      <c r="B1071" s="36"/>
      <c r="G1071" s="34"/>
      <c r="H1071" s="33"/>
      <c r="I1071" s="33"/>
      <c r="J1071" s="33"/>
      <c r="K1071" s="37"/>
      <c r="L1071" s="37"/>
    </row>
    <row r="1072" spans="2:12" x14ac:dyDescent="0.2">
      <c r="B1072" s="36"/>
      <c r="G1072" s="34"/>
      <c r="H1072" s="33"/>
      <c r="I1072" s="33"/>
      <c r="J1072" s="33"/>
      <c r="K1072" s="37"/>
      <c r="L1072" s="37"/>
    </row>
    <row r="1073" spans="2:12" x14ac:dyDescent="0.2">
      <c r="B1073" s="36"/>
      <c r="G1073" s="34"/>
      <c r="H1073" s="33"/>
      <c r="I1073" s="33"/>
      <c r="J1073" s="33"/>
      <c r="K1073" s="37"/>
      <c r="L1073" s="37"/>
    </row>
    <row r="1074" spans="2:12" x14ac:dyDescent="0.2">
      <c r="B1074" s="36"/>
      <c r="G1074" s="34"/>
      <c r="H1074" s="33"/>
      <c r="I1074" s="33"/>
      <c r="J1074" s="33"/>
      <c r="K1074" s="37"/>
      <c r="L1074" s="37"/>
    </row>
    <row r="1075" spans="2:12" x14ac:dyDescent="0.2">
      <c r="B1075" s="36"/>
      <c r="G1075" s="34"/>
      <c r="H1075" s="33"/>
      <c r="I1075" s="33"/>
      <c r="J1075" s="33"/>
      <c r="K1075" s="37"/>
      <c r="L1075" s="37"/>
    </row>
    <row r="1076" spans="2:12" x14ac:dyDescent="0.2">
      <c r="B1076" s="36"/>
      <c r="G1076" s="34"/>
      <c r="H1076" s="33"/>
      <c r="I1076" s="33"/>
      <c r="J1076" s="33"/>
      <c r="K1076" s="37"/>
      <c r="L1076" s="37"/>
    </row>
    <row r="1077" spans="2:12" x14ac:dyDescent="0.2">
      <c r="B1077" s="36"/>
      <c r="G1077" s="34"/>
      <c r="H1077" s="33"/>
      <c r="I1077" s="33"/>
      <c r="J1077" s="33"/>
      <c r="K1077" s="37"/>
      <c r="L1077" s="37"/>
    </row>
    <row r="1078" spans="2:12" x14ac:dyDescent="0.2">
      <c r="B1078" s="36"/>
      <c r="G1078" s="34"/>
      <c r="H1078" s="33"/>
      <c r="I1078" s="33"/>
      <c r="J1078" s="33"/>
      <c r="K1078" s="37"/>
      <c r="L1078" s="37"/>
    </row>
    <row r="1079" spans="2:12" x14ac:dyDescent="0.2">
      <c r="B1079" s="36"/>
      <c r="G1079" s="34"/>
      <c r="H1079" s="33"/>
      <c r="I1079" s="33"/>
      <c r="J1079" s="33"/>
      <c r="K1079" s="37"/>
      <c r="L1079" s="37"/>
    </row>
    <row r="1080" spans="2:12" x14ac:dyDescent="0.2">
      <c r="B1080" s="36"/>
      <c r="G1080" s="34"/>
      <c r="H1080" s="33"/>
      <c r="I1080" s="33"/>
      <c r="J1080" s="33"/>
      <c r="K1080" s="37"/>
      <c r="L1080" s="37"/>
    </row>
    <row r="1081" spans="2:12" x14ac:dyDescent="0.2">
      <c r="B1081" s="36"/>
      <c r="G1081" s="34"/>
      <c r="H1081" s="33"/>
      <c r="I1081" s="33"/>
      <c r="J1081" s="33"/>
      <c r="K1081" s="37"/>
      <c r="L1081" s="37"/>
    </row>
    <row r="1082" spans="2:12" x14ac:dyDescent="0.2">
      <c r="B1082" s="36"/>
      <c r="G1082" s="34"/>
      <c r="H1082" s="33"/>
      <c r="I1082" s="33"/>
      <c r="J1082" s="33"/>
      <c r="K1082" s="37"/>
      <c r="L1082" s="37"/>
    </row>
    <row r="1083" spans="2:12" x14ac:dyDescent="0.2">
      <c r="B1083" s="36"/>
      <c r="G1083" s="34"/>
      <c r="H1083" s="33"/>
      <c r="I1083" s="33"/>
      <c r="J1083" s="33"/>
      <c r="K1083" s="37"/>
      <c r="L1083" s="37"/>
    </row>
    <row r="1084" spans="2:12" x14ac:dyDescent="0.2">
      <c r="B1084" s="36"/>
      <c r="G1084" s="34"/>
      <c r="H1084" s="33"/>
      <c r="I1084" s="33"/>
      <c r="J1084" s="33"/>
      <c r="K1084" s="37"/>
      <c r="L1084" s="37"/>
    </row>
    <row r="1085" spans="2:12" x14ac:dyDescent="0.2">
      <c r="B1085" s="36"/>
      <c r="G1085" s="34"/>
      <c r="H1085" s="33"/>
      <c r="I1085" s="33"/>
      <c r="J1085" s="33"/>
      <c r="K1085" s="37"/>
      <c r="L1085" s="37"/>
    </row>
    <row r="1086" spans="2:12" x14ac:dyDescent="0.2">
      <c r="B1086" s="36"/>
      <c r="G1086" s="34"/>
      <c r="H1086" s="33"/>
      <c r="I1086" s="33"/>
      <c r="J1086" s="33"/>
      <c r="K1086" s="37"/>
      <c r="L1086" s="37"/>
    </row>
    <row r="1087" spans="2:12" x14ac:dyDescent="0.2">
      <c r="B1087" s="36"/>
      <c r="G1087" s="34"/>
      <c r="H1087" s="33"/>
      <c r="I1087" s="33"/>
      <c r="J1087" s="33"/>
      <c r="K1087" s="37"/>
      <c r="L1087" s="37"/>
    </row>
    <row r="1088" spans="2:12" x14ac:dyDescent="0.2">
      <c r="B1088" s="36"/>
      <c r="G1088" s="34"/>
      <c r="H1088" s="33"/>
      <c r="I1088" s="33"/>
      <c r="J1088" s="33"/>
      <c r="K1088" s="37"/>
      <c r="L1088" s="37"/>
    </row>
    <row r="1089" spans="2:12" x14ac:dyDescent="0.2">
      <c r="B1089" s="36"/>
      <c r="G1089" s="34"/>
      <c r="H1089" s="33"/>
      <c r="I1089" s="33"/>
      <c r="J1089" s="33"/>
      <c r="K1089" s="37"/>
      <c r="L1089" s="37"/>
    </row>
    <row r="1090" spans="2:12" x14ac:dyDescent="0.2">
      <c r="B1090" s="36"/>
      <c r="G1090" s="34"/>
      <c r="H1090" s="33"/>
      <c r="I1090" s="33"/>
      <c r="J1090" s="33"/>
      <c r="K1090" s="37"/>
      <c r="L1090" s="37"/>
    </row>
    <row r="1091" spans="2:12" x14ac:dyDescent="0.2">
      <c r="B1091" s="36"/>
      <c r="G1091" s="34"/>
      <c r="H1091" s="33"/>
      <c r="I1091" s="33"/>
      <c r="J1091" s="33"/>
      <c r="K1091" s="37"/>
      <c r="L1091" s="37"/>
    </row>
    <row r="1092" spans="2:12" x14ac:dyDescent="0.2">
      <c r="B1092" s="36"/>
      <c r="G1092" s="34"/>
      <c r="H1092" s="33"/>
      <c r="I1092" s="33"/>
      <c r="J1092" s="33"/>
      <c r="K1092" s="37"/>
      <c r="L1092" s="37"/>
    </row>
    <row r="1093" spans="2:12" x14ac:dyDescent="0.2">
      <c r="B1093" s="36"/>
      <c r="G1093" s="34"/>
      <c r="H1093" s="33"/>
      <c r="I1093" s="33"/>
      <c r="J1093" s="33"/>
      <c r="K1093" s="37"/>
      <c r="L1093" s="37"/>
    </row>
    <row r="1094" spans="2:12" x14ac:dyDescent="0.2">
      <c r="B1094" s="36"/>
      <c r="G1094" s="34"/>
      <c r="H1094" s="33"/>
      <c r="I1094" s="33"/>
      <c r="J1094" s="33"/>
      <c r="K1094" s="37"/>
      <c r="L1094" s="37"/>
    </row>
    <row r="1095" spans="2:12" x14ac:dyDescent="0.2">
      <c r="B1095" s="36"/>
      <c r="G1095" s="34"/>
      <c r="H1095" s="33"/>
      <c r="I1095" s="33"/>
      <c r="J1095" s="33"/>
      <c r="K1095" s="37"/>
      <c r="L1095" s="37"/>
    </row>
    <row r="1096" spans="2:12" x14ac:dyDescent="0.2">
      <c r="B1096" s="36"/>
      <c r="G1096" s="34"/>
      <c r="H1096" s="33"/>
      <c r="I1096" s="33"/>
      <c r="J1096" s="33"/>
      <c r="K1096" s="37"/>
      <c r="L1096" s="37"/>
    </row>
    <row r="1097" spans="2:12" x14ac:dyDescent="0.2">
      <c r="B1097" s="36"/>
      <c r="G1097" s="34"/>
      <c r="H1097" s="33"/>
      <c r="I1097" s="33"/>
      <c r="J1097" s="33"/>
      <c r="K1097" s="37"/>
      <c r="L1097" s="37"/>
    </row>
    <row r="1098" spans="2:12" x14ac:dyDescent="0.2">
      <c r="B1098" s="36"/>
      <c r="G1098" s="34"/>
      <c r="H1098" s="33"/>
      <c r="I1098" s="33"/>
      <c r="J1098" s="33"/>
      <c r="K1098" s="37"/>
      <c r="L1098" s="37"/>
    </row>
    <row r="1099" spans="2:12" x14ac:dyDescent="0.2">
      <c r="B1099" s="36"/>
      <c r="G1099" s="34"/>
      <c r="H1099" s="33"/>
      <c r="I1099" s="33"/>
      <c r="J1099" s="33"/>
      <c r="K1099" s="37"/>
      <c r="L1099" s="37"/>
    </row>
    <row r="1100" spans="2:12" x14ac:dyDescent="0.2">
      <c r="B1100" s="36"/>
      <c r="G1100" s="34"/>
      <c r="H1100" s="33"/>
      <c r="I1100" s="33"/>
      <c r="J1100" s="33"/>
      <c r="K1100" s="37"/>
      <c r="L1100" s="37"/>
    </row>
    <row r="1101" spans="2:12" x14ac:dyDescent="0.2">
      <c r="B1101" s="36"/>
      <c r="G1101" s="34"/>
      <c r="H1101" s="33"/>
      <c r="I1101" s="33"/>
      <c r="J1101" s="33"/>
      <c r="K1101" s="37"/>
      <c r="L1101" s="37"/>
    </row>
    <row r="1102" spans="2:12" x14ac:dyDescent="0.2">
      <c r="B1102" s="36"/>
      <c r="G1102" s="34"/>
      <c r="H1102" s="33"/>
      <c r="I1102" s="33"/>
      <c r="J1102" s="33"/>
      <c r="K1102" s="37"/>
      <c r="L1102" s="37"/>
    </row>
    <row r="1103" spans="2:12" x14ac:dyDescent="0.2">
      <c r="B1103" s="36"/>
      <c r="G1103" s="34"/>
      <c r="H1103" s="33"/>
      <c r="I1103" s="33"/>
      <c r="J1103" s="33"/>
      <c r="K1103" s="37"/>
      <c r="L1103" s="37"/>
    </row>
    <row r="1104" spans="2:12" x14ac:dyDescent="0.2">
      <c r="B1104" s="36"/>
      <c r="G1104" s="34"/>
      <c r="H1104" s="33"/>
      <c r="I1104" s="33"/>
      <c r="J1104" s="33"/>
      <c r="K1104" s="37"/>
      <c r="L1104" s="37"/>
    </row>
    <row r="1105" spans="2:12" x14ac:dyDescent="0.2">
      <c r="B1105" s="36"/>
      <c r="G1105" s="34"/>
      <c r="H1105" s="33"/>
      <c r="I1105" s="33"/>
      <c r="J1105" s="33"/>
      <c r="K1105" s="37"/>
      <c r="L1105" s="37"/>
    </row>
    <row r="1106" spans="2:12" x14ac:dyDescent="0.2">
      <c r="B1106" s="36"/>
      <c r="G1106" s="34"/>
      <c r="H1106" s="33"/>
      <c r="I1106" s="33"/>
      <c r="J1106" s="33"/>
      <c r="K1106" s="37"/>
      <c r="L1106" s="37"/>
    </row>
    <row r="1107" spans="2:12" x14ac:dyDescent="0.2">
      <c r="B1107" s="36"/>
      <c r="G1107" s="34"/>
      <c r="H1107" s="33"/>
      <c r="I1107" s="33"/>
      <c r="J1107" s="33"/>
      <c r="K1107" s="37"/>
      <c r="L1107" s="37"/>
    </row>
    <row r="1108" spans="2:12" x14ac:dyDescent="0.2">
      <c r="B1108" s="36"/>
      <c r="G1108" s="34"/>
      <c r="H1108" s="33"/>
      <c r="I1108" s="33"/>
      <c r="J1108" s="33"/>
      <c r="K1108" s="37"/>
      <c r="L1108" s="37"/>
    </row>
    <row r="1109" spans="2:12" x14ac:dyDescent="0.2">
      <c r="B1109" s="36"/>
      <c r="G1109" s="34"/>
      <c r="H1109" s="33"/>
      <c r="I1109" s="33"/>
      <c r="J1109" s="33"/>
      <c r="K1109" s="37"/>
      <c r="L1109" s="37"/>
    </row>
    <row r="1110" spans="2:12" x14ac:dyDescent="0.2">
      <c r="B1110" s="36"/>
      <c r="G1110" s="34"/>
      <c r="H1110" s="33"/>
      <c r="I1110" s="33"/>
      <c r="J1110" s="33"/>
      <c r="K1110" s="37"/>
      <c r="L1110" s="37"/>
    </row>
    <row r="1111" spans="2:12" x14ac:dyDescent="0.2">
      <c r="B1111" s="36"/>
      <c r="G1111" s="34"/>
      <c r="H1111" s="33"/>
      <c r="I1111" s="33"/>
      <c r="J1111" s="33"/>
      <c r="K1111" s="37"/>
      <c r="L1111" s="37"/>
    </row>
    <row r="1112" spans="2:12" x14ac:dyDescent="0.2">
      <c r="B1112" s="36"/>
      <c r="G1112" s="34"/>
      <c r="H1112" s="33"/>
      <c r="I1112" s="33"/>
      <c r="J1112" s="33"/>
      <c r="K1112" s="37"/>
      <c r="L1112" s="37"/>
    </row>
    <row r="1113" spans="2:12" x14ac:dyDescent="0.2">
      <c r="B1113" s="36"/>
      <c r="G1113" s="34"/>
      <c r="H1113" s="33"/>
      <c r="I1113" s="33"/>
      <c r="J1113" s="33"/>
      <c r="K1113" s="37"/>
      <c r="L1113" s="37"/>
    </row>
    <row r="1114" spans="2:12" x14ac:dyDescent="0.2">
      <c r="B1114" s="36"/>
      <c r="G1114" s="34"/>
      <c r="H1114" s="33"/>
      <c r="I1114" s="33"/>
      <c r="J1114" s="33"/>
      <c r="K1114" s="37"/>
      <c r="L1114" s="37"/>
    </row>
    <row r="1115" spans="2:12" x14ac:dyDescent="0.2">
      <c r="B1115" s="36"/>
      <c r="G1115" s="34"/>
      <c r="H1115" s="33"/>
      <c r="I1115" s="33"/>
      <c r="J1115" s="33"/>
      <c r="K1115" s="37"/>
      <c r="L1115" s="37"/>
    </row>
    <row r="1116" spans="2:12" x14ac:dyDescent="0.2">
      <c r="B1116" s="36"/>
      <c r="G1116" s="34"/>
      <c r="H1116" s="33"/>
      <c r="I1116" s="33"/>
      <c r="J1116" s="33"/>
      <c r="K1116" s="37"/>
      <c r="L1116" s="37"/>
    </row>
    <row r="1117" spans="2:12" x14ac:dyDescent="0.2">
      <c r="B1117" s="36"/>
      <c r="G1117" s="34"/>
      <c r="H1117" s="33"/>
      <c r="I1117" s="33"/>
      <c r="J1117" s="33"/>
      <c r="K1117" s="37"/>
      <c r="L1117" s="37"/>
    </row>
    <row r="1118" spans="2:12" x14ac:dyDescent="0.2">
      <c r="B1118" s="36"/>
      <c r="G1118" s="34"/>
      <c r="H1118" s="33"/>
      <c r="I1118" s="33"/>
      <c r="J1118" s="33"/>
      <c r="K1118" s="37"/>
      <c r="L1118" s="37"/>
    </row>
    <row r="1119" spans="2:12" x14ac:dyDescent="0.2">
      <c r="B1119" s="36"/>
      <c r="G1119" s="34"/>
      <c r="H1119" s="33"/>
      <c r="I1119" s="33"/>
      <c r="J1119" s="33"/>
      <c r="K1119" s="37"/>
      <c r="L1119" s="37"/>
    </row>
    <row r="1120" spans="2:12" x14ac:dyDescent="0.2">
      <c r="B1120" s="36"/>
      <c r="G1120" s="34"/>
      <c r="H1120" s="33"/>
      <c r="I1120" s="33"/>
      <c r="J1120" s="33"/>
      <c r="K1120" s="37"/>
      <c r="L1120" s="37"/>
    </row>
    <row r="1121" spans="2:12" x14ac:dyDescent="0.2">
      <c r="B1121" s="36"/>
      <c r="G1121" s="34"/>
      <c r="H1121" s="33"/>
      <c r="I1121" s="33"/>
      <c r="J1121" s="33"/>
      <c r="K1121" s="37"/>
      <c r="L1121" s="37"/>
    </row>
    <row r="1122" spans="2:12" x14ac:dyDescent="0.2">
      <c r="B1122" s="36"/>
      <c r="G1122" s="34"/>
      <c r="H1122" s="33"/>
      <c r="I1122" s="33"/>
      <c r="J1122" s="33"/>
      <c r="K1122" s="37"/>
      <c r="L1122" s="37"/>
    </row>
    <row r="1123" spans="2:12" x14ac:dyDescent="0.2">
      <c r="B1123" s="36"/>
      <c r="G1123" s="34"/>
      <c r="H1123" s="33"/>
      <c r="I1123" s="33"/>
      <c r="J1123" s="33"/>
      <c r="K1123" s="37"/>
      <c r="L1123" s="37"/>
    </row>
    <row r="1124" spans="2:12" x14ac:dyDescent="0.2">
      <c r="B1124" s="36"/>
      <c r="G1124" s="34"/>
      <c r="H1124" s="33"/>
      <c r="I1124" s="33"/>
      <c r="J1124" s="33"/>
      <c r="K1124" s="37"/>
      <c r="L1124" s="37"/>
    </row>
    <row r="1125" spans="2:12" x14ac:dyDescent="0.2">
      <c r="B1125" s="36"/>
      <c r="G1125" s="34"/>
      <c r="H1125" s="33"/>
      <c r="I1125" s="33"/>
      <c r="J1125" s="33"/>
      <c r="K1125" s="37"/>
      <c r="L1125" s="37"/>
    </row>
    <row r="1126" spans="2:12" x14ac:dyDescent="0.2">
      <c r="B1126" s="36"/>
      <c r="G1126" s="34"/>
      <c r="H1126" s="33"/>
      <c r="I1126" s="33"/>
      <c r="J1126" s="33"/>
      <c r="K1126" s="37"/>
      <c r="L1126" s="37"/>
    </row>
    <row r="1127" spans="2:12" x14ac:dyDescent="0.2">
      <c r="B1127" s="36"/>
      <c r="G1127" s="34"/>
      <c r="H1127" s="33"/>
      <c r="I1127" s="33"/>
      <c r="J1127" s="33"/>
      <c r="K1127" s="37"/>
      <c r="L1127" s="37"/>
    </row>
    <row r="1128" spans="2:12" x14ac:dyDescent="0.2">
      <c r="B1128" s="36"/>
      <c r="G1128" s="34"/>
      <c r="H1128" s="33"/>
      <c r="I1128" s="33"/>
      <c r="J1128" s="33"/>
      <c r="K1128" s="37"/>
      <c r="L1128" s="37"/>
    </row>
    <row r="1129" spans="2:12" x14ac:dyDescent="0.2">
      <c r="B1129" s="36"/>
      <c r="G1129" s="34"/>
      <c r="H1129" s="33"/>
      <c r="I1129" s="33"/>
      <c r="J1129" s="33"/>
      <c r="K1129" s="37"/>
      <c r="L1129" s="37"/>
    </row>
    <row r="1130" spans="2:12" x14ac:dyDescent="0.2">
      <c r="B1130" s="36"/>
      <c r="G1130" s="34"/>
      <c r="H1130" s="33"/>
      <c r="I1130" s="33"/>
      <c r="J1130" s="33"/>
      <c r="K1130" s="37"/>
      <c r="L1130" s="37"/>
    </row>
    <row r="1131" spans="2:12" x14ac:dyDescent="0.2">
      <c r="B1131" s="36"/>
      <c r="G1131" s="34"/>
      <c r="H1131" s="33"/>
      <c r="I1131" s="33"/>
      <c r="J1131" s="33"/>
      <c r="K1131" s="37"/>
      <c r="L1131" s="37"/>
    </row>
    <row r="1132" spans="2:12" x14ac:dyDescent="0.2">
      <c r="B1132" s="36"/>
      <c r="G1132" s="34"/>
      <c r="H1132" s="33"/>
      <c r="I1132" s="33"/>
      <c r="J1132" s="33"/>
      <c r="K1132" s="37"/>
      <c r="L1132" s="37"/>
    </row>
    <row r="1133" spans="2:12" x14ac:dyDescent="0.2">
      <c r="B1133" s="36"/>
      <c r="G1133" s="34"/>
      <c r="H1133" s="33"/>
      <c r="I1133" s="33"/>
      <c r="J1133" s="33"/>
      <c r="K1133" s="37"/>
      <c r="L1133" s="37"/>
    </row>
    <row r="1134" spans="2:12" x14ac:dyDescent="0.2">
      <c r="B1134" s="36"/>
      <c r="G1134" s="34"/>
      <c r="H1134" s="33"/>
      <c r="I1134" s="33"/>
      <c r="J1134" s="33"/>
      <c r="K1134" s="37"/>
      <c r="L1134" s="37"/>
    </row>
    <row r="1135" spans="2:12" x14ac:dyDescent="0.2">
      <c r="B1135" s="36"/>
      <c r="G1135" s="34"/>
      <c r="H1135" s="33"/>
      <c r="I1135" s="33"/>
      <c r="J1135" s="33"/>
      <c r="K1135" s="37"/>
      <c r="L1135" s="37"/>
    </row>
    <row r="1136" spans="2:12" x14ac:dyDescent="0.2">
      <c r="B1136" s="36"/>
      <c r="G1136" s="34"/>
      <c r="H1136" s="33"/>
      <c r="I1136" s="33"/>
      <c r="J1136" s="33"/>
      <c r="K1136" s="37"/>
      <c r="L1136" s="37"/>
    </row>
    <row r="1137" spans="2:12" x14ac:dyDescent="0.2">
      <c r="B1137" s="36"/>
      <c r="G1137" s="34"/>
      <c r="H1137" s="33"/>
      <c r="I1137" s="33"/>
      <c r="J1137" s="33"/>
      <c r="K1137" s="37"/>
      <c r="L1137" s="37"/>
    </row>
    <row r="1138" spans="2:12" x14ac:dyDescent="0.2">
      <c r="B1138" s="36"/>
      <c r="G1138" s="34"/>
      <c r="H1138" s="33"/>
      <c r="I1138" s="33"/>
      <c r="J1138" s="33"/>
      <c r="K1138" s="37"/>
      <c r="L1138" s="37"/>
    </row>
    <row r="1139" spans="2:12" x14ac:dyDescent="0.2">
      <c r="B1139" s="36"/>
      <c r="G1139" s="34"/>
      <c r="H1139" s="33"/>
      <c r="I1139" s="33"/>
      <c r="J1139" s="33"/>
      <c r="K1139" s="37"/>
      <c r="L1139" s="37"/>
    </row>
    <row r="1140" spans="2:12" x14ac:dyDescent="0.2">
      <c r="B1140" s="36"/>
      <c r="G1140" s="34"/>
      <c r="H1140" s="33"/>
      <c r="I1140" s="33"/>
      <c r="J1140" s="33"/>
      <c r="K1140" s="37"/>
      <c r="L1140" s="37"/>
    </row>
    <row r="1141" spans="2:12" x14ac:dyDescent="0.2">
      <c r="B1141" s="36"/>
      <c r="G1141" s="34"/>
      <c r="H1141" s="33"/>
      <c r="I1141" s="33"/>
      <c r="J1141" s="33"/>
      <c r="K1141" s="37"/>
      <c r="L1141" s="37"/>
    </row>
    <row r="1142" spans="2:12" x14ac:dyDescent="0.2">
      <c r="B1142" s="36"/>
      <c r="G1142" s="34"/>
      <c r="H1142" s="33"/>
      <c r="I1142" s="33"/>
      <c r="J1142" s="33"/>
      <c r="K1142" s="37"/>
      <c r="L1142" s="37"/>
    </row>
    <row r="1143" spans="2:12" x14ac:dyDescent="0.2">
      <c r="B1143" s="36"/>
      <c r="G1143" s="34"/>
      <c r="H1143" s="33"/>
      <c r="I1143" s="33"/>
      <c r="J1143" s="33"/>
      <c r="K1143" s="37"/>
      <c r="L1143" s="37"/>
    </row>
    <row r="1144" spans="2:12" x14ac:dyDescent="0.2">
      <c r="B1144" s="36"/>
      <c r="G1144" s="34"/>
      <c r="H1144" s="33"/>
      <c r="I1144" s="33"/>
      <c r="J1144" s="33"/>
      <c r="K1144" s="37"/>
      <c r="L1144" s="37"/>
    </row>
    <row r="1145" spans="2:12" x14ac:dyDescent="0.2">
      <c r="B1145" s="36"/>
      <c r="G1145" s="34"/>
      <c r="H1145" s="33"/>
      <c r="I1145" s="33"/>
      <c r="J1145" s="33"/>
      <c r="K1145" s="37"/>
      <c r="L1145" s="37"/>
    </row>
    <row r="1146" spans="2:12" x14ac:dyDescent="0.2">
      <c r="B1146" s="36"/>
      <c r="G1146" s="34"/>
      <c r="H1146" s="33"/>
      <c r="I1146" s="33"/>
      <c r="J1146" s="33"/>
      <c r="K1146" s="37"/>
      <c r="L1146" s="37"/>
    </row>
    <row r="1147" spans="2:12" x14ac:dyDescent="0.2">
      <c r="B1147" s="36"/>
      <c r="G1147" s="34"/>
      <c r="H1147" s="33"/>
      <c r="I1147" s="33"/>
      <c r="J1147" s="33"/>
      <c r="K1147" s="37"/>
      <c r="L1147" s="37"/>
    </row>
    <row r="1148" spans="2:12" x14ac:dyDescent="0.2">
      <c r="B1148" s="36"/>
      <c r="G1148" s="34"/>
      <c r="H1148" s="33"/>
      <c r="I1148" s="33"/>
      <c r="J1148" s="33"/>
      <c r="K1148" s="37"/>
      <c r="L1148" s="37"/>
    </row>
    <row r="1149" spans="2:12" x14ac:dyDescent="0.2">
      <c r="B1149" s="36"/>
      <c r="G1149" s="34"/>
      <c r="H1149" s="33"/>
      <c r="I1149" s="33"/>
      <c r="J1149" s="33"/>
      <c r="K1149" s="37"/>
      <c r="L1149" s="37"/>
    </row>
    <row r="1150" spans="2:12" x14ac:dyDescent="0.2">
      <c r="B1150" s="36"/>
      <c r="G1150" s="34"/>
      <c r="H1150" s="33"/>
      <c r="I1150" s="33"/>
      <c r="J1150" s="33"/>
      <c r="K1150" s="37"/>
      <c r="L1150" s="37"/>
    </row>
    <row r="1151" spans="2:12" x14ac:dyDescent="0.2">
      <c r="B1151" s="36"/>
      <c r="G1151" s="34"/>
      <c r="H1151" s="33"/>
      <c r="I1151" s="33"/>
      <c r="J1151" s="33"/>
      <c r="K1151" s="37"/>
      <c r="L1151" s="37"/>
    </row>
    <row r="1152" spans="2:12" x14ac:dyDescent="0.2">
      <c r="B1152" s="36"/>
      <c r="G1152" s="34"/>
      <c r="H1152" s="33"/>
      <c r="I1152" s="33"/>
      <c r="J1152" s="33"/>
      <c r="K1152" s="37"/>
      <c r="L1152" s="37"/>
    </row>
    <row r="1153" spans="2:12" x14ac:dyDescent="0.2">
      <c r="B1153" s="36"/>
      <c r="G1153" s="34"/>
      <c r="H1153" s="33"/>
      <c r="I1153" s="33"/>
      <c r="J1153" s="33"/>
      <c r="K1153" s="37"/>
      <c r="L1153" s="37"/>
    </row>
    <row r="1154" spans="2:12" x14ac:dyDescent="0.2">
      <c r="B1154" s="36"/>
      <c r="G1154" s="34"/>
      <c r="H1154" s="33"/>
      <c r="I1154" s="33"/>
      <c r="J1154" s="33"/>
      <c r="K1154" s="37"/>
      <c r="L1154" s="37"/>
    </row>
    <row r="1155" spans="2:12" x14ac:dyDescent="0.2">
      <c r="B1155" s="36"/>
      <c r="G1155" s="34"/>
      <c r="H1155" s="33"/>
      <c r="I1155" s="33"/>
      <c r="J1155" s="33"/>
      <c r="K1155" s="37"/>
      <c r="L1155" s="37"/>
    </row>
    <row r="1156" spans="2:12" x14ac:dyDescent="0.2">
      <c r="B1156" s="36"/>
      <c r="G1156" s="34"/>
      <c r="H1156" s="33"/>
      <c r="I1156" s="33"/>
      <c r="J1156" s="33"/>
      <c r="K1156" s="37"/>
      <c r="L1156" s="37"/>
    </row>
    <row r="1157" spans="2:12" x14ac:dyDescent="0.2">
      <c r="B1157" s="36"/>
      <c r="G1157" s="34"/>
      <c r="H1157" s="33"/>
      <c r="I1157" s="33"/>
      <c r="J1157" s="33"/>
      <c r="K1157" s="37"/>
      <c r="L1157" s="37"/>
    </row>
    <row r="1158" spans="2:12" x14ac:dyDescent="0.2">
      <c r="B1158" s="36"/>
      <c r="G1158" s="34"/>
      <c r="H1158" s="33"/>
      <c r="I1158" s="33"/>
      <c r="J1158" s="33"/>
      <c r="K1158" s="37"/>
      <c r="L1158" s="37"/>
    </row>
    <row r="1159" spans="2:12" x14ac:dyDescent="0.2">
      <c r="B1159" s="36"/>
      <c r="G1159" s="34"/>
      <c r="H1159" s="33"/>
      <c r="I1159" s="33"/>
      <c r="J1159" s="33"/>
      <c r="K1159" s="37"/>
      <c r="L1159" s="37"/>
    </row>
    <row r="1160" spans="2:12" x14ac:dyDescent="0.2">
      <c r="B1160" s="36"/>
      <c r="G1160" s="34"/>
      <c r="H1160" s="33"/>
      <c r="I1160" s="33"/>
      <c r="J1160" s="33"/>
      <c r="K1160" s="37"/>
      <c r="L1160" s="37"/>
    </row>
    <row r="1161" spans="2:12" x14ac:dyDescent="0.2">
      <c r="B1161" s="36"/>
      <c r="G1161" s="34"/>
      <c r="H1161" s="33"/>
      <c r="I1161" s="33"/>
      <c r="J1161" s="33"/>
      <c r="K1161" s="37"/>
      <c r="L1161" s="37"/>
    </row>
    <row r="1162" spans="2:12" x14ac:dyDescent="0.2">
      <c r="B1162" s="36"/>
      <c r="G1162" s="34"/>
      <c r="H1162" s="33"/>
      <c r="I1162" s="33"/>
      <c r="J1162" s="33"/>
      <c r="K1162" s="37"/>
      <c r="L1162" s="37"/>
    </row>
    <row r="1163" spans="2:12" x14ac:dyDescent="0.2">
      <c r="B1163" s="36"/>
      <c r="G1163" s="34"/>
      <c r="H1163" s="33"/>
      <c r="I1163" s="33"/>
      <c r="J1163" s="33"/>
      <c r="K1163" s="37"/>
      <c r="L1163" s="37"/>
    </row>
    <row r="1164" spans="2:12" x14ac:dyDescent="0.2">
      <c r="B1164" s="36"/>
      <c r="G1164" s="34"/>
      <c r="H1164" s="33"/>
      <c r="I1164" s="33"/>
      <c r="J1164" s="33"/>
      <c r="K1164" s="37"/>
      <c r="L1164" s="37"/>
    </row>
    <row r="1165" spans="2:12" x14ac:dyDescent="0.2">
      <c r="B1165" s="36"/>
      <c r="G1165" s="34"/>
      <c r="H1165" s="33"/>
      <c r="I1165" s="33"/>
      <c r="J1165" s="33"/>
      <c r="K1165" s="37"/>
      <c r="L1165" s="37"/>
    </row>
    <row r="1166" spans="2:12" x14ac:dyDescent="0.2">
      <c r="B1166" s="36"/>
      <c r="G1166" s="34"/>
      <c r="H1166" s="33"/>
      <c r="I1166" s="33"/>
      <c r="J1166" s="33"/>
      <c r="K1166" s="37"/>
      <c r="L1166" s="37"/>
    </row>
    <row r="1167" spans="2:12" x14ac:dyDescent="0.2">
      <c r="B1167" s="36"/>
      <c r="G1167" s="34"/>
      <c r="H1167" s="33"/>
      <c r="I1167" s="33"/>
      <c r="J1167" s="33"/>
      <c r="K1167" s="37"/>
      <c r="L1167" s="37"/>
    </row>
    <row r="1168" spans="2:12" x14ac:dyDescent="0.2">
      <c r="B1168" s="36"/>
      <c r="G1168" s="34"/>
      <c r="H1168" s="33"/>
      <c r="I1168" s="33"/>
      <c r="J1168" s="33"/>
      <c r="K1168" s="37"/>
      <c r="L1168" s="37"/>
    </row>
    <row r="1169" spans="2:12" x14ac:dyDescent="0.2">
      <c r="B1169" s="36"/>
      <c r="G1169" s="34"/>
      <c r="H1169" s="33"/>
      <c r="I1169" s="33"/>
      <c r="J1169" s="33"/>
      <c r="K1169" s="37"/>
      <c r="L1169" s="37"/>
    </row>
    <row r="1170" spans="2:12" x14ac:dyDescent="0.2">
      <c r="B1170" s="36"/>
      <c r="G1170" s="34"/>
      <c r="H1170" s="33"/>
      <c r="I1170" s="33"/>
      <c r="J1170" s="33"/>
      <c r="K1170" s="37"/>
      <c r="L1170" s="37"/>
    </row>
    <row r="1171" spans="2:12" x14ac:dyDescent="0.2">
      <c r="B1171" s="36"/>
      <c r="G1171" s="34"/>
      <c r="H1171" s="33"/>
      <c r="I1171" s="33"/>
      <c r="J1171" s="33"/>
      <c r="K1171" s="37"/>
      <c r="L1171" s="37"/>
    </row>
    <row r="1172" spans="2:12" x14ac:dyDescent="0.2">
      <c r="B1172" s="36"/>
      <c r="G1172" s="34"/>
      <c r="H1172" s="33"/>
      <c r="I1172" s="33"/>
      <c r="J1172" s="33"/>
      <c r="K1172" s="37"/>
      <c r="L1172" s="37"/>
    </row>
    <row r="1173" spans="2:12" x14ac:dyDescent="0.2">
      <c r="B1173" s="36"/>
      <c r="G1173" s="34"/>
      <c r="H1173" s="33"/>
      <c r="I1173" s="33"/>
      <c r="J1173" s="33"/>
      <c r="K1173" s="37"/>
      <c r="L1173" s="37"/>
    </row>
    <row r="1174" spans="2:12" x14ac:dyDescent="0.2">
      <c r="B1174" s="36"/>
      <c r="G1174" s="34"/>
      <c r="H1174" s="33"/>
      <c r="I1174" s="33"/>
      <c r="J1174" s="33"/>
      <c r="K1174" s="37"/>
      <c r="L1174" s="37"/>
    </row>
    <row r="1175" spans="2:12" x14ac:dyDescent="0.2">
      <c r="B1175" s="36"/>
      <c r="G1175" s="34"/>
      <c r="H1175" s="33"/>
      <c r="I1175" s="33"/>
      <c r="J1175" s="33"/>
      <c r="K1175" s="37"/>
      <c r="L1175" s="37"/>
    </row>
    <row r="1176" spans="2:12" x14ac:dyDescent="0.2">
      <c r="B1176" s="36"/>
      <c r="G1176" s="34"/>
      <c r="H1176" s="33"/>
      <c r="I1176" s="33"/>
      <c r="J1176" s="33"/>
      <c r="K1176" s="37"/>
      <c r="L1176" s="37"/>
    </row>
    <row r="1177" spans="2:12" x14ac:dyDescent="0.2">
      <c r="B1177" s="36"/>
      <c r="G1177" s="34"/>
      <c r="H1177" s="33"/>
      <c r="I1177" s="33"/>
      <c r="J1177" s="33"/>
      <c r="K1177" s="37"/>
      <c r="L1177" s="37"/>
    </row>
    <row r="1178" spans="2:12" x14ac:dyDescent="0.2">
      <c r="B1178" s="36"/>
      <c r="G1178" s="34"/>
      <c r="H1178" s="33"/>
      <c r="I1178" s="33"/>
      <c r="J1178" s="33"/>
      <c r="K1178" s="37"/>
      <c r="L1178" s="37"/>
    </row>
    <row r="1179" spans="2:12" x14ac:dyDescent="0.2">
      <c r="B1179" s="36"/>
      <c r="G1179" s="34"/>
      <c r="H1179" s="33"/>
      <c r="I1179" s="33"/>
      <c r="J1179" s="33"/>
      <c r="K1179" s="37"/>
      <c r="L1179" s="37"/>
    </row>
    <row r="1180" spans="2:12" x14ac:dyDescent="0.2">
      <c r="B1180" s="36"/>
      <c r="G1180" s="34"/>
      <c r="H1180" s="33"/>
      <c r="I1180" s="33"/>
      <c r="J1180" s="33"/>
      <c r="K1180" s="37"/>
      <c r="L1180" s="37"/>
    </row>
    <row r="1181" spans="2:12" x14ac:dyDescent="0.2">
      <c r="B1181" s="36"/>
      <c r="G1181" s="34"/>
      <c r="H1181" s="33"/>
      <c r="I1181" s="33"/>
      <c r="J1181" s="33"/>
      <c r="K1181" s="37"/>
      <c r="L1181" s="37"/>
    </row>
    <row r="1182" spans="2:12" x14ac:dyDescent="0.2">
      <c r="B1182" s="36"/>
      <c r="G1182" s="34"/>
      <c r="H1182" s="33"/>
      <c r="I1182" s="33"/>
      <c r="J1182" s="33"/>
      <c r="K1182" s="37"/>
      <c r="L1182" s="37"/>
    </row>
    <row r="1183" spans="2:12" x14ac:dyDescent="0.2">
      <c r="B1183" s="36"/>
      <c r="G1183" s="34"/>
      <c r="H1183" s="33"/>
      <c r="I1183" s="33"/>
      <c r="J1183" s="33"/>
      <c r="K1183" s="37"/>
      <c r="L1183" s="37"/>
    </row>
    <row r="1184" spans="2:12" x14ac:dyDescent="0.2">
      <c r="B1184" s="36"/>
      <c r="G1184" s="34"/>
      <c r="H1184" s="33"/>
      <c r="I1184" s="33"/>
      <c r="J1184" s="33"/>
      <c r="K1184" s="37"/>
      <c r="L1184" s="37"/>
    </row>
    <row r="1185" spans="2:12" x14ac:dyDescent="0.2">
      <c r="B1185" s="36"/>
      <c r="G1185" s="34"/>
      <c r="H1185" s="33"/>
      <c r="I1185" s="33"/>
      <c r="J1185" s="33"/>
      <c r="K1185" s="37"/>
      <c r="L1185" s="37"/>
    </row>
    <row r="1186" spans="2:12" x14ac:dyDescent="0.2">
      <c r="B1186" s="36"/>
      <c r="G1186" s="34"/>
      <c r="H1186" s="33"/>
      <c r="I1186" s="33"/>
      <c r="J1186" s="33"/>
      <c r="K1186" s="37"/>
      <c r="L1186" s="37"/>
    </row>
    <row r="1187" spans="2:12" x14ac:dyDescent="0.2">
      <c r="B1187" s="36"/>
      <c r="G1187" s="34"/>
      <c r="H1187" s="33"/>
      <c r="I1187" s="33"/>
      <c r="J1187" s="33"/>
      <c r="K1187" s="37"/>
      <c r="L1187" s="37"/>
    </row>
    <row r="1188" spans="2:12" x14ac:dyDescent="0.2">
      <c r="B1188" s="36"/>
      <c r="G1188" s="34"/>
      <c r="H1188" s="33"/>
      <c r="I1188" s="33"/>
      <c r="J1188" s="33"/>
      <c r="K1188" s="37"/>
      <c r="L1188" s="37"/>
    </row>
    <row r="1189" spans="2:12" x14ac:dyDescent="0.2">
      <c r="B1189" s="36"/>
      <c r="G1189" s="34"/>
      <c r="H1189" s="33"/>
      <c r="I1189" s="33"/>
      <c r="J1189" s="33"/>
      <c r="K1189" s="37"/>
      <c r="L1189" s="37"/>
    </row>
    <row r="1190" spans="2:12" x14ac:dyDescent="0.2">
      <c r="B1190" s="36"/>
      <c r="G1190" s="34"/>
      <c r="H1190" s="33"/>
      <c r="I1190" s="33"/>
      <c r="J1190" s="33"/>
      <c r="K1190" s="37"/>
      <c r="L1190" s="37"/>
    </row>
    <row r="1191" spans="2:12" x14ac:dyDescent="0.2">
      <c r="B1191" s="36"/>
      <c r="G1191" s="34"/>
      <c r="H1191" s="33"/>
      <c r="I1191" s="33"/>
      <c r="J1191" s="33"/>
      <c r="K1191" s="37"/>
      <c r="L1191" s="37"/>
    </row>
    <row r="1192" spans="2:12" x14ac:dyDescent="0.2">
      <c r="B1192" s="36"/>
      <c r="G1192" s="34"/>
      <c r="H1192" s="33"/>
      <c r="I1192" s="33"/>
      <c r="J1192" s="33"/>
      <c r="K1192" s="37"/>
      <c r="L1192" s="37"/>
    </row>
    <row r="1193" spans="2:12" x14ac:dyDescent="0.2">
      <c r="B1193" s="36"/>
      <c r="G1193" s="34"/>
      <c r="H1193" s="33"/>
      <c r="I1193" s="33"/>
      <c r="J1193" s="33"/>
      <c r="K1193" s="37"/>
      <c r="L1193" s="37"/>
    </row>
    <row r="1194" spans="2:12" x14ac:dyDescent="0.2">
      <c r="B1194" s="36"/>
      <c r="G1194" s="34"/>
      <c r="H1194" s="33"/>
      <c r="I1194" s="33"/>
      <c r="J1194" s="33"/>
      <c r="K1194" s="37"/>
      <c r="L1194" s="37"/>
    </row>
    <row r="1195" spans="2:12" x14ac:dyDescent="0.2">
      <c r="B1195" s="36"/>
      <c r="G1195" s="34"/>
      <c r="H1195" s="33"/>
      <c r="I1195" s="33"/>
      <c r="J1195" s="33"/>
      <c r="K1195" s="37"/>
      <c r="L1195" s="37"/>
    </row>
    <row r="1196" spans="2:12" x14ac:dyDescent="0.2">
      <c r="B1196" s="36"/>
      <c r="G1196" s="34"/>
      <c r="H1196" s="33"/>
      <c r="I1196" s="33"/>
      <c r="J1196" s="33"/>
      <c r="K1196" s="37"/>
      <c r="L1196" s="37"/>
    </row>
    <row r="1197" spans="2:12" x14ac:dyDescent="0.2">
      <c r="B1197" s="36"/>
      <c r="G1197" s="34"/>
      <c r="H1197" s="33"/>
      <c r="I1197" s="33"/>
      <c r="J1197" s="33"/>
      <c r="K1197" s="37"/>
      <c r="L1197" s="37"/>
    </row>
    <row r="1198" spans="2:12" x14ac:dyDescent="0.2">
      <c r="B1198" s="36"/>
      <c r="G1198" s="34"/>
      <c r="H1198" s="33"/>
      <c r="I1198" s="33"/>
      <c r="J1198" s="33"/>
      <c r="K1198" s="37"/>
      <c r="L1198" s="37"/>
    </row>
    <row r="1199" spans="2:12" x14ac:dyDescent="0.2">
      <c r="B1199" s="36"/>
      <c r="G1199" s="34"/>
      <c r="H1199" s="33"/>
      <c r="I1199" s="33"/>
      <c r="J1199" s="33"/>
      <c r="K1199" s="37"/>
      <c r="L1199" s="37"/>
    </row>
    <row r="1200" spans="2:12" x14ac:dyDescent="0.2">
      <c r="B1200" s="36"/>
      <c r="G1200" s="34"/>
      <c r="H1200" s="33"/>
      <c r="I1200" s="33"/>
      <c r="J1200" s="33"/>
      <c r="K1200" s="37"/>
      <c r="L1200" s="37"/>
    </row>
    <row r="1201" spans="2:12" x14ac:dyDescent="0.2">
      <c r="B1201" s="36"/>
      <c r="G1201" s="34"/>
      <c r="H1201" s="33"/>
      <c r="I1201" s="33"/>
      <c r="J1201" s="33"/>
      <c r="K1201" s="37"/>
      <c r="L1201" s="37"/>
    </row>
    <row r="1202" spans="2:12" x14ac:dyDescent="0.2">
      <c r="B1202" s="36"/>
      <c r="G1202" s="34"/>
      <c r="H1202" s="33"/>
      <c r="I1202" s="33"/>
      <c r="J1202" s="33"/>
      <c r="K1202" s="37"/>
      <c r="L1202" s="37"/>
    </row>
    <row r="1203" spans="2:12" x14ac:dyDescent="0.2">
      <c r="B1203" s="36"/>
      <c r="G1203" s="34"/>
      <c r="H1203" s="33"/>
      <c r="I1203" s="33"/>
      <c r="J1203" s="33"/>
      <c r="K1203" s="37"/>
      <c r="L1203" s="37"/>
    </row>
    <row r="1204" spans="2:12" x14ac:dyDescent="0.2">
      <c r="B1204" s="36"/>
      <c r="G1204" s="34"/>
      <c r="H1204" s="33"/>
      <c r="I1204" s="33"/>
      <c r="J1204" s="33"/>
      <c r="K1204" s="37"/>
      <c r="L1204" s="37"/>
    </row>
    <row r="1205" spans="2:12" x14ac:dyDescent="0.2">
      <c r="B1205" s="36"/>
      <c r="G1205" s="34"/>
      <c r="H1205" s="33"/>
      <c r="I1205" s="33"/>
      <c r="J1205" s="33"/>
      <c r="K1205" s="37"/>
      <c r="L1205" s="37"/>
    </row>
    <row r="1206" spans="2:12" x14ac:dyDescent="0.2">
      <c r="B1206" s="36"/>
      <c r="G1206" s="34"/>
      <c r="H1206" s="33"/>
      <c r="I1206" s="33"/>
      <c r="J1206" s="33"/>
      <c r="K1206" s="37"/>
      <c r="L1206" s="37"/>
    </row>
    <row r="1207" spans="2:12" x14ac:dyDescent="0.2">
      <c r="B1207" s="36"/>
      <c r="G1207" s="34"/>
      <c r="H1207" s="33"/>
      <c r="I1207" s="33"/>
      <c r="J1207" s="33"/>
      <c r="K1207" s="37"/>
      <c r="L1207" s="37"/>
    </row>
    <row r="1208" spans="2:12" x14ac:dyDescent="0.2">
      <c r="B1208" s="36"/>
      <c r="G1208" s="34"/>
      <c r="H1208" s="33"/>
      <c r="I1208" s="33"/>
      <c r="J1208" s="33"/>
      <c r="K1208" s="37"/>
      <c r="L1208" s="37"/>
    </row>
    <row r="1209" spans="2:12" x14ac:dyDescent="0.2">
      <c r="B1209" s="36"/>
      <c r="G1209" s="34"/>
      <c r="H1209" s="33"/>
      <c r="I1209" s="33"/>
      <c r="J1209" s="33"/>
      <c r="K1209" s="37"/>
      <c r="L1209" s="37"/>
    </row>
    <row r="1210" spans="2:12" x14ac:dyDescent="0.2">
      <c r="B1210" s="36"/>
      <c r="G1210" s="34"/>
      <c r="H1210" s="33"/>
      <c r="I1210" s="33"/>
      <c r="J1210" s="33"/>
      <c r="K1210" s="37"/>
      <c r="L1210" s="37"/>
    </row>
    <row r="1211" spans="2:12" x14ac:dyDescent="0.2">
      <c r="B1211" s="36"/>
      <c r="G1211" s="34"/>
      <c r="H1211" s="33"/>
      <c r="I1211" s="33"/>
      <c r="J1211" s="33"/>
      <c r="K1211" s="37"/>
      <c r="L1211" s="37"/>
    </row>
    <row r="1212" spans="2:12" x14ac:dyDescent="0.2">
      <c r="B1212" s="36"/>
      <c r="G1212" s="34"/>
      <c r="H1212" s="33"/>
      <c r="I1212" s="33"/>
      <c r="J1212" s="33"/>
      <c r="K1212" s="37"/>
      <c r="L1212" s="37"/>
    </row>
    <row r="1213" spans="2:12" x14ac:dyDescent="0.2">
      <c r="B1213" s="36"/>
      <c r="G1213" s="34"/>
      <c r="H1213" s="33"/>
      <c r="I1213" s="33"/>
      <c r="J1213" s="33"/>
      <c r="K1213" s="37"/>
      <c r="L1213" s="37"/>
    </row>
    <row r="1214" spans="2:12" x14ac:dyDescent="0.2">
      <c r="B1214" s="36"/>
      <c r="G1214" s="34"/>
      <c r="H1214" s="33"/>
      <c r="I1214" s="33"/>
      <c r="J1214" s="33"/>
      <c r="K1214" s="37"/>
      <c r="L1214" s="37"/>
    </row>
    <row r="1215" spans="2:12" x14ac:dyDescent="0.2">
      <c r="B1215" s="36"/>
      <c r="G1215" s="34"/>
      <c r="H1215" s="33"/>
      <c r="I1215" s="33"/>
      <c r="J1215" s="33"/>
      <c r="K1215" s="37"/>
      <c r="L1215" s="37"/>
    </row>
    <row r="1216" spans="2:12" x14ac:dyDescent="0.2">
      <c r="B1216" s="36"/>
      <c r="G1216" s="34"/>
      <c r="H1216" s="33"/>
      <c r="I1216" s="33"/>
      <c r="J1216" s="33"/>
      <c r="K1216" s="37"/>
      <c r="L1216" s="37"/>
    </row>
    <row r="1217" spans="2:12" x14ac:dyDescent="0.2">
      <c r="B1217" s="36"/>
      <c r="G1217" s="34"/>
      <c r="H1217" s="33"/>
      <c r="I1217" s="33"/>
      <c r="J1217" s="33"/>
      <c r="K1217" s="37"/>
      <c r="L1217" s="37"/>
    </row>
    <row r="1218" spans="2:12" x14ac:dyDescent="0.2">
      <c r="B1218" s="36"/>
      <c r="G1218" s="34"/>
      <c r="H1218" s="33"/>
      <c r="I1218" s="33"/>
      <c r="J1218" s="33"/>
      <c r="K1218" s="37"/>
      <c r="L1218" s="37"/>
    </row>
    <row r="1219" spans="2:12" x14ac:dyDescent="0.2">
      <c r="B1219" s="36"/>
      <c r="G1219" s="34"/>
      <c r="H1219" s="33"/>
      <c r="I1219" s="33"/>
      <c r="J1219" s="33"/>
      <c r="K1219" s="37"/>
      <c r="L1219" s="37"/>
    </row>
    <row r="1220" spans="2:12" x14ac:dyDescent="0.2">
      <c r="B1220" s="36"/>
      <c r="G1220" s="34"/>
      <c r="H1220" s="33"/>
      <c r="I1220" s="33"/>
      <c r="J1220" s="33"/>
      <c r="K1220" s="37"/>
      <c r="L1220" s="37"/>
    </row>
    <row r="1221" spans="2:12" x14ac:dyDescent="0.2">
      <c r="B1221" s="36"/>
      <c r="G1221" s="34"/>
      <c r="H1221" s="33"/>
      <c r="I1221" s="33"/>
      <c r="J1221" s="33"/>
      <c r="K1221" s="37"/>
      <c r="L1221" s="37"/>
    </row>
    <row r="1222" spans="2:12" x14ac:dyDescent="0.2">
      <c r="B1222" s="36"/>
      <c r="G1222" s="34"/>
      <c r="H1222" s="33"/>
      <c r="I1222" s="33"/>
      <c r="J1222" s="33"/>
      <c r="K1222" s="37"/>
      <c r="L1222" s="37"/>
    </row>
    <row r="1223" spans="2:12" x14ac:dyDescent="0.2">
      <c r="B1223" s="36"/>
      <c r="G1223" s="34"/>
      <c r="H1223" s="33"/>
      <c r="I1223" s="33"/>
      <c r="J1223" s="33"/>
      <c r="K1223" s="37"/>
      <c r="L1223" s="37"/>
    </row>
    <row r="1224" spans="2:12" x14ac:dyDescent="0.2">
      <c r="B1224" s="36"/>
      <c r="G1224" s="34"/>
      <c r="H1224" s="33"/>
      <c r="I1224" s="33"/>
      <c r="J1224" s="33"/>
      <c r="K1224" s="37"/>
      <c r="L1224" s="37"/>
    </row>
    <row r="1225" spans="2:12" x14ac:dyDescent="0.2">
      <c r="B1225" s="36"/>
      <c r="G1225" s="34"/>
      <c r="H1225" s="33"/>
      <c r="I1225" s="33"/>
      <c r="J1225" s="33"/>
      <c r="K1225" s="37"/>
      <c r="L1225" s="37"/>
    </row>
    <row r="1226" spans="2:12" x14ac:dyDescent="0.2">
      <c r="B1226" s="36"/>
      <c r="G1226" s="34"/>
      <c r="H1226" s="33"/>
      <c r="I1226" s="33"/>
      <c r="J1226" s="33"/>
      <c r="K1226" s="37"/>
      <c r="L1226" s="37"/>
    </row>
    <row r="1227" spans="2:12" x14ac:dyDescent="0.2">
      <c r="B1227" s="36"/>
      <c r="G1227" s="34"/>
      <c r="H1227" s="33"/>
      <c r="I1227" s="33"/>
      <c r="J1227" s="33"/>
      <c r="K1227" s="37"/>
      <c r="L1227" s="37"/>
    </row>
    <row r="1228" spans="2:12" x14ac:dyDescent="0.2">
      <c r="B1228" s="36"/>
      <c r="G1228" s="34"/>
      <c r="H1228" s="33"/>
      <c r="I1228" s="33"/>
      <c r="J1228" s="33"/>
      <c r="K1228" s="37"/>
      <c r="L1228" s="37"/>
    </row>
    <row r="1229" spans="2:12" x14ac:dyDescent="0.2">
      <c r="B1229" s="36"/>
      <c r="G1229" s="34"/>
      <c r="H1229" s="33"/>
      <c r="I1229" s="33"/>
      <c r="J1229" s="33"/>
      <c r="K1229" s="37"/>
      <c r="L1229" s="37"/>
    </row>
    <row r="1230" spans="2:12" x14ac:dyDescent="0.2">
      <c r="B1230" s="36"/>
      <c r="G1230" s="34"/>
      <c r="H1230" s="33"/>
      <c r="I1230" s="33"/>
      <c r="J1230" s="33"/>
      <c r="K1230" s="37"/>
      <c r="L1230" s="37"/>
    </row>
    <row r="1231" spans="2:12" x14ac:dyDescent="0.2">
      <c r="B1231" s="36"/>
      <c r="G1231" s="34"/>
      <c r="H1231" s="33"/>
      <c r="I1231" s="33"/>
      <c r="J1231" s="33"/>
      <c r="K1231" s="37"/>
      <c r="L1231" s="37"/>
    </row>
    <row r="1232" spans="2:12" x14ac:dyDescent="0.2">
      <c r="B1232" s="36"/>
      <c r="G1232" s="34"/>
      <c r="H1232" s="33"/>
      <c r="I1232" s="33"/>
      <c r="J1232" s="33"/>
      <c r="K1232" s="37"/>
      <c r="L1232" s="37"/>
    </row>
    <row r="1233" spans="2:12" x14ac:dyDescent="0.2">
      <c r="B1233" s="36"/>
      <c r="G1233" s="34"/>
      <c r="H1233" s="33"/>
      <c r="I1233" s="33"/>
      <c r="J1233" s="33"/>
      <c r="K1233" s="37"/>
      <c r="L1233" s="37"/>
    </row>
    <row r="1234" spans="2:12" x14ac:dyDescent="0.2">
      <c r="B1234" s="36"/>
      <c r="G1234" s="34"/>
      <c r="H1234" s="33"/>
      <c r="I1234" s="33"/>
      <c r="J1234" s="33"/>
      <c r="K1234" s="37"/>
      <c r="L1234" s="37"/>
    </row>
    <row r="1235" spans="2:12" x14ac:dyDescent="0.2">
      <c r="B1235" s="36"/>
      <c r="G1235" s="34"/>
      <c r="H1235" s="33"/>
      <c r="I1235" s="33"/>
      <c r="J1235" s="33"/>
      <c r="K1235" s="37"/>
      <c r="L1235" s="37"/>
    </row>
    <row r="1236" spans="2:12" x14ac:dyDescent="0.2">
      <c r="B1236" s="36"/>
      <c r="G1236" s="34"/>
      <c r="H1236" s="33"/>
      <c r="I1236" s="33"/>
      <c r="J1236" s="33"/>
      <c r="K1236" s="37"/>
      <c r="L1236" s="37"/>
    </row>
    <row r="1237" spans="2:12" x14ac:dyDescent="0.2">
      <c r="B1237" s="36"/>
      <c r="G1237" s="34"/>
      <c r="H1237" s="33"/>
      <c r="I1237" s="33"/>
      <c r="J1237" s="33"/>
      <c r="K1237" s="37"/>
      <c r="L1237" s="37"/>
    </row>
    <row r="1238" spans="2:12" x14ac:dyDescent="0.2">
      <c r="B1238" s="36"/>
      <c r="G1238" s="34"/>
      <c r="H1238" s="33"/>
      <c r="I1238" s="33"/>
      <c r="J1238" s="33"/>
      <c r="K1238" s="37"/>
      <c r="L1238" s="37"/>
    </row>
    <row r="1239" spans="2:12" x14ac:dyDescent="0.2">
      <c r="B1239" s="36"/>
      <c r="G1239" s="34"/>
      <c r="H1239" s="33"/>
      <c r="I1239" s="33"/>
      <c r="J1239" s="33"/>
      <c r="K1239" s="37"/>
      <c r="L1239" s="37"/>
    </row>
    <row r="1240" spans="2:12" x14ac:dyDescent="0.2">
      <c r="B1240" s="36"/>
      <c r="G1240" s="34"/>
      <c r="H1240" s="33"/>
      <c r="I1240" s="33"/>
      <c r="J1240" s="33"/>
      <c r="K1240" s="37"/>
      <c r="L1240" s="37"/>
    </row>
    <row r="1241" spans="2:12" x14ac:dyDescent="0.2">
      <c r="B1241" s="36"/>
      <c r="G1241" s="34"/>
      <c r="H1241" s="33"/>
      <c r="I1241" s="33"/>
      <c r="J1241" s="33"/>
      <c r="K1241" s="37"/>
      <c r="L1241" s="37"/>
    </row>
    <row r="1242" spans="2:12" x14ac:dyDescent="0.2">
      <c r="B1242" s="36"/>
      <c r="G1242" s="34"/>
      <c r="H1242" s="33"/>
      <c r="I1242" s="33"/>
      <c r="J1242" s="33"/>
      <c r="K1242" s="37"/>
      <c r="L1242" s="37"/>
    </row>
    <row r="1243" spans="2:12" x14ac:dyDescent="0.2">
      <c r="B1243" s="36"/>
      <c r="G1243" s="34"/>
      <c r="H1243" s="33"/>
      <c r="I1243" s="33"/>
      <c r="J1243" s="33"/>
      <c r="K1243" s="37"/>
      <c r="L1243" s="37"/>
    </row>
    <row r="1244" spans="2:12" x14ac:dyDescent="0.2">
      <c r="B1244" s="36"/>
      <c r="G1244" s="34"/>
      <c r="H1244" s="33"/>
      <c r="I1244" s="33"/>
      <c r="J1244" s="33"/>
      <c r="K1244" s="37"/>
      <c r="L1244" s="37"/>
    </row>
    <row r="1245" spans="2:12" x14ac:dyDescent="0.2">
      <c r="B1245" s="36"/>
      <c r="G1245" s="34"/>
      <c r="H1245" s="33"/>
      <c r="I1245" s="33"/>
      <c r="J1245" s="33"/>
      <c r="K1245" s="37"/>
      <c r="L1245" s="37"/>
    </row>
    <row r="1246" spans="2:12" x14ac:dyDescent="0.2">
      <c r="B1246" s="36"/>
      <c r="G1246" s="34"/>
      <c r="H1246" s="33"/>
      <c r="I1246" s="33"/>
      <c r="J1246" s="33"/>
      <c r="K1246" s="37"/>
      <c r="L1246" s="37"/>
    </row>
    <row r="1247" spans="2:12" x14ac:dyDescent="0.2">
      <c r="B1247" s="36"/>
      <c r="G1247" s="34"/>
      <c r="H1247" s="33"/>
      <c r="I1247" s="33"/>
      <c r="J1247" s="33"/>
      <c r="K1247" s="37"/>
      <c r="L1247" s="37"/>
    </row>
    <row r="1248" spans="2:12" x14ac:dyDescent="0.2">
      <c r="B1248" s="36"/>
      <c r="G1248" s="34"/>
      <c r="H1248" s="33"/>
      <c r="I1248" s="33"/>
      <c r="J1248" s="33"/>
      <c r="K1248" s="37"/>
      <c r="L1248" s="37"/>
    </row>
    <row r="1249" spans="2:12" x14ac:dyDescent="0.2">
      <c r="B1249" s="36"/>
      <c r="G1249" s="34"/>
      <c r="H1249" s="33"/>
      <c r="I1249" s="33"/>
      <c r="J1249" s="33"/>
      <c r="K1249" s="37"/>
      <c r="L1249" s="37"/>
    </row>
    <row r="1250" spans="2:12" x14ac:dyDescent="0.2">
      <c r="B1250" s="36"/>
      <c r="G1250" s="34"/>
      <c r="H1250" s="33"/>
      <c r="I1250" s="33"/>
      <c r="J1250" s="33"/>
      <c r="K1250" s="37"/>
      <c r="L1250" s="37"/>
    </row>
    <row r="1251" spans="2:12" x14ac:dyDescent="0.2">
      <c r="B1251" s="36"/>
      <c r="G1251" s="34"/>
      <c r="H1251" s="33"/>
      <c r="I1251" s="33"/>
      <c r="J1251" s="33"/>
      <c r="K1251" s="37"/>
      <c r="L1251" s="37"/>
    </row>
    <row r="1252" spans="2:12" x14ac:dyDescent="0.2">
      <c r="B1252" s="36"/>
      <c r="G1252" s="34"/>
      <c r="H1252" s="33"/>
      <c r="I1252" s="33"/>
      <c r="J1252" s="33"/>
      <c r="K1252" s="37"/>
      <c r="L1252" s="37"/>
    </row>
    <row r="1253" spans="2:12" x14ac:dyDescent="0.2">
      <c r="B1253" s="36"/>
      <c r="G1253" s="34"/>
      <c r="H1253" s="33"/>
      <c r="I1253" s="33"/>
      <c r="J1253" s="33"/>
      <c r="K1253" s="37"/>
      <c r="L1253" s="37"/>
    </row>
    <row r="1254" spans="2:12" x14ac:dyDescent="0.2">
      <c r="B1254" s="36"/>
      <c r="G1254" s="34"/>
      <c r="H1254" s="33"/>
      <c r="I1254" s="33"/>
      <c r="J1254" s="33"/>
      <c r="K1254" s="37"/>
      <c r="L1254" s="37"/>
    </row>
    <row r="1255" spans="2:12" x14ac:dyDescent="0.2">
      <c r="B1255" s="36"/>
      <c r="G1255" s="34"/>
      <c r="H1255" s="33"/>
      <c r="I1255" s="33"/>
      <c r="J1255" s="33"/>
      <c r="K1255" s="37"/>
      <c r="L1255" s="37"/>
    </row>
    <row r="1256" spans="2:12" x14ac:dyDescent="0.2">
      <c r="B1256" s="36"/>
      <c r="G1256" s="34"/>
      <c r="H1256" s="33"/>
      <c r="I1256" s="33"/>
      <c r="J1256" s="33"/>
      <c r="K1256" s="37"/>
      <c r="L1256" s="37"/>
    </row>
    <row r="1257" spans="2:12" x14ac:dyDescent="0.2">
      <c r="B1257" s="36"/>
      <c r="G1257" s="34"/>
      <c r="H1257" s="33"/>
      <c r="I1257" s="33"/>
      <c r="J1257" s="33"/>
      <c r="K1257" s="37"/>
      <c r="L1257" s="37"/>
    </row>
    <row r="1258" spans="2:12" x14ac:dyDescent="0.2">
      <c r="B1258" s="36"/>
      <c r="G1258" s="34"/>
      <c r="H1258" s="33"/>
      <c r="I1258" s="33"/>
      <c r="J1258" s="33"/>
      <c r="K1258" s="37"/>
      <c r="L1258" s="37"/>
    </row>
    <row r="1259" spans="2:12" x14ac:dyDescent="0.2">
      <c r="B1259" s="36"/>
      <c r="G1259" s="34"/>
      <c r="H1259" s="33"/>
      <c r="I1259" s="33"/>
      <c r="J1259" s="33"/>
      <c r="K1259" s="37"/>
      <c r="L1259" s="37"/>
    </row>
    <row r="1260" spans="2:12" x14ac:dyDescent="0.2">
      <c r="B1260" s="36"/>
      <c r="G1260" s="34"/>
      <c r="H1260" s="33"/>
      <c r="I1260" s="33"/>
      <c r="J1260" s="33"/>
      <c r="K1260" s="37"/>
      <c r="L1260" s="37"/>
    </row>
    <row r="1261" spans="2:12" x14ac:dyDescent="0.2">
      <c r="B1261" s="36"/>
      <c r="G1261" s="34"/>
      <c r="H1261" s="33"/>
      <c r="I1261" s="33"/>
      <c r="J1261" s="33"/>
      <c r="K1261" s="37"/>
      <c r="L1261" s="37"/>
    </row>
    <row r="1262" spans="2:12" x14ac:dyDescent="0.2">
      <c r="B1262" s="36"/>
      <c r="G1262" s="34"/>
      <c r="H1262" s="33"/>
      <c r="I1262" s="33"/>
      <c r="J1262" s="33"/>
      <c r="K1262" s="37"/>
      <c r="L1262" s="37"/>
    </row>
    <row r="1263" spans="2:12" x14ac:dyDescent="0.2">
      <c r="B1263" s="36"/>
      <c r="G1263" s="34"/>
      <c r="H1263" s="33"/>
      <c r="I1263" s="33"/>
      <c r="J1263" s="33"/>
      <c r="K1263" s="37"/>
      <c r="L1263" s="37"/>
    </row>
    <row r="1264" spans="2:12" x14ac:dyDescent="0.2">
      <c r="B1264" s="36"/>
      <c r="G1264" s="34"/>
      <c r="H1264" s="33"/>
      <c r="I1264" s="33"/>
      <c r="J1264" s="33"/>
      <c r="K1264" s="37"/>
      <c r="L1264" s="37"/>
    </row>
    <row r="1265" spans="2:12" x14ac:dyDescent="0.2">
      <c r="B1265" s="36"/>
      <c r="G1265" s="34"/>
      <c r="H1265" s="33"/>
      <c r="I1265" s="33"/>
      <c r="J1265" s="33"/>
      <c r="K1265" s="37"/>
      <c r="L1265" s="37"/>
    </row>
    <row r="1266" spans="2:12" x14ac:dyDescent="0.2">
      <c r="B1266" s="36"/>
      <c r="G1266" s="34"/>
      <c r="H1266" s="33"/>
      <c r="I1266" s="33"/>
      <c r="J1266" s="33"/>
      <c r="K1266" s="37"/>
      <c r="L1266" s="37"/>
    </row>
    <row r="1267" spans="2:12" x14ac:dyDescent="0.2">
      <c r="B1267" s="36"/>
      <c r="G1267" s="34"/>
      <c r="H1267" s="33"/>
      <c r="I1267" s="33"/>
      <c r="J1267" s="33"/>
      <c r="K1267" s="37"/>
      <c r="L1267" s="37"/>
    </row>
    <row r="1268" spans="2:12" x14ac:dyDescent="0.2">
      <c r="B1268" s="36"/>
      <c r="G1268" s="34"/>
      <c r="H1268" s="33"/>
      <c r="I1268" s="33"/>
      <c r="J1268" s="33"/>
      <c r="K1268" s="37"/>
      <c r="L1268" s="37"/>
    </row>
    <row r="1269" spans="2:12" x14ac:dyDescent="0.2">
      <c r="B1269" s="36"/>
      <c r="G1269" s="34"/>
      <c r="H1269" s="33"/>
      <c r="I1269" s="33"/>
      <c r="J1269" s="33"/>
      <c r="K1269" s="37"/>
      <c r="L1269" s="37"/>
    </row>
    <row r="1270" spans="2:12" x14ac:dyDescent="0.2">
      <c r="B1270" s="36"/>
      <c r="G1270" s="34"/>
      <c r="H1270" s="33"/>
      <c r="I1270" s="33"/>
      <c r="J1270" s="33"/>
      <c r="K1270" s="37"/>
      <c r="L1270" s="37"/>
    </row>
    <row r="1271" spans="2:12" x14ac:dyDescent="0.2">
      <c r="B1271" s="36"/>
      <c r="G1271" s="34"/>
      <c r="H1271" s="33"/>
      <c r="I1271" s="33"/>
      <c r="J1271" s="33"/>
      <c r="K1271" s="37"/>
      <c r="L1271" s="37"/>
    </row>
    <row r="1272" spans="2:12" x14ac:dyDescent="0.2">
      <c r="B1272" s="36"/>
      <c r="G1272" s="34"/>
      <c r="H1272" s="33"/>
      <c r="I1272" s="33"/>
      <c r="J1272" s="33"/>
      <c r="K1272" s="37"/>
      <c r="L1272" s="37"/>
    </row>
    <row r="1273" spans="2:12" x14ac:dyDescent="0.2">
      <c r="B1273" s="36"/>
      <c r="G1273" s="34"/>
      <c r="H1273" s="33"/>
      <c r="I1273" s="33"/>
      <c r="J1273" s="33"/>
      <c r="K1273" s="37"/>
      <c r="L1273" s="37"/>
    </row>
    <row r="1274" spans="2:12" x14ac:dyDescent="0.2">
      <c r="B1274" s="36"/>
      <c r="G1274" s="34"/>
      <c r="H1274" s="33"/>
      <c r="I1274" s="33"/>
      <c r="J1274" s="33"/>
      <c r="K1274" s="37"/>
      <c r="L1274" s="37"/>
    </row>
    <row r="1275" spans="2:12" x14ac:dyDescent="0.2">
      <c r="B1275" s="36"/>
      <c r="G1275" s="34"/>
      <c r="H1275" s="33"/>
      <c r="I1275" s="33"/>
      <c r="J1275" s="33"/>
      <c r="K1275" s="37"/>
      <c r="L1275" s="37"/>
    </row>
    <row r="1276" spans="2:12" x14ac:dyDescent="0.2">
      <c r="B1276" s="36"/>
      <c r="G1276" s="34"/>
      <c r="H1276" s="33"/>
      <c r="I1276" s="33"/>
      <c r="J1276" s="33"/>
      <c r="K1276" s="37"/>
      <c r="L1276" s="37"/>
    </row>
    <row r="1277" spans="2:12" x14ac:dyDescent="0.2">
      <c r="B1277" s="36"/>
      <c r="G1277" s="34"/>
      <c r="H1277" s="33"/>
      <c r="I1277" s="33"/>
      <c r="J1277" s="33"/>
      <c r="K1277" s="37"/>
      <c r="L1277" s="37"/>
    </row>
    <row r="1278" spans="2:12" x14ac:dyDescent="0.2">
      <c r="B1278" s="36"/>
      <c r="G1278" s="34"/>
      <c r="H1278" s="33"/>
      <c r="I1278" s="33"/>
      <c r="J1278" s="33"/>
      <c r="K1278" s="37"/>
      <c r="L1278" s="37"/>
    </row>
    <row r="1279" spans="2:12" x14ac:dyDescent="0.2">
      <c r="B1279" s="36"/>
      <c r="G1279" s="34"/>
      <c r="H1279" s="33"/>
      <c r="I1279" s="33"/>
      <c r="J1279" s="33"/>
      <c r="K1279" s="37"/>
      <c r="L1279" s="37"/>
    </row>
    <row r="1280" spans="2:12" x14ac:dyDescent="0.2">
      <c r="B1280" s="36"/>
      <c r="G1280" s="34"/>
      <c r="H1280" s="33"/>
      <c r="I1280" s="33"/>
      <c r="J1280" s="33"/>
      <c r="K1280" s="37"/>
      <c r="L1280" s="37"/>
    </row>
    <row r="1281" spans="2:12" x14ac:dyDescent="0.2">
      <c r="B1281" s="36"/>
      <c r="G1281" s="34"/>
      <c r="H1281" s="33"/>
      <c r="I1281" s="33"/>
      <c r="J1281" s="33"/>
      <c r="K1281" s="37"/>
      <c r="L1281" s="37"/>
    </row>
    <row r="1282" spans="2:12" x14ac:dyDescent="0.2">
      <c r="B1282" s="36"/>
      <c r="G1282" s="34"/>
      <c r="H1282" s="33"/>
      <c r="I1282" s="33"/>
      <c r="J1282" s="33"/>
      <c r="K1282" s="37"/>
      <c r="L1282" s="37"/>
    </row>
    <row r="1283" spans="2:12" x14ac:dyDescent="0.2">
      <c r="B1283" s="36"/>
      <c r="G1283" s="34"/>
      <c r="H1283" s="33"/>
      <c r="I1283" s="33"/>
      <c r="J1283" s="33"/>
      <c r="K1283" s="37"/>
      <c r="L1283" s="37"/>
    </row>
    <row r="1284" spans="2:12" x14ac:dyDescent="0.2">
      <c r="B1284" s="36"/>
      <c r="G1284" s="34"/>
      <c r="H1284" s="33"/>
      <c r="I1284" s="33"/>
      <c r="J1284" s="33"/>
      <c r="K1284" s="37"/>
      <c r="L1284" s="37"/>
    </row>
    <row r="1285" spans="2:12" x14ac:dyDescent="0.2">
      <c r="B1285" s="36"/>
      <c r="G1285" s="34"/>
      <c r="H1285" s="33"/>
      <c r="I1285" s="33"/>
      <c r="J1285" s="33"/>
      <c r="K1285" s="37"/>
      <c r="L1285" s="37"/>
    </row>
    <row r="1286" spans="2:12" x14ac:dyDescent="0.2">
      <c r="B1286" s="36"/>
      <c r="G1286" s="34"/>
      <c r="H1286" s="33"/>
      <c r="I1286" s="33"/>
      <c r="J1286" s="33"/>
      <c r="K1286" s="37"/>
      <c r="L1286" s="37"/>
    </row>
    <row r="1287" spans="2:12" x14ac:dyDescent="0.2">
      <c r="B1287" s="36"/>
      <c r="G1287" s="34"/>
      <c r="H1287" s="33"/>
      <c r="I1287" s="33"/>
      <c r="J1287" s="33"/>
      <c r="K1287" s="37"/>
      <c r="L1287" s="37"/>
    </row>
    <row r="1288" spans="2:12" x14ac:dyDescent="0.2">
      <c r="B1288" s="36"/>
      <c r="G1288" s="34"/>
      <c r="H1288" s="33"/>
      <c r="I1288" s="33"/>
      <c r="J1288" s="33"/>
      <c r="K1288" s="37"/>
      <c r="L1288" s="37"/>
    </row>
    <row r="1289" spans="2:12" x14ac:dyDescent="0.2">
      <c r="B1289" s="36"/>
      <c r="G1289" s="34"/>
      <c r="H1289" s="33"/>
      <c r="I1289" s="33"/>
      <c r="J1289" s="33"/>
      <c r="K1289" s="37"/>
      <c r="L1289" s="37"/>
    </row>
    <row r="1290" spans="2:12" x14ac:dyDescent="0.2">
      <c r="B1290" s="36"/>
      <c r="G1290" s="34"/>
      <c r="H1290" s="33"/>
      <c r="I1290" s="33"/>
      <c r="J1290" s="33"/>
      <c r="K1290" s="37"/>
      <c r="L1290" s="37"/>
    </row>
    <row r="1291" spans="2:12" x14ac:dyDescent="0.2">
      <c r="B1291" s="36"/>
      <c r="G1291" s="34"/>
      <c r="H1291" s="33"/>
      <c r="I1291" s="33"/>
      <c r="J1291" s="33"/>
      <c r="K1291" s="37"/>
      <c r="L1291" s="37"/>
    </row>
    <row r="1292" spans="2:12" x14ac:dyDescent="0.2">
      <c r="B1292" s="36"/>
      <c r="G1292" s="34"/>
      <c r="H1292" s="33"/>
      <c r="I1292" s="33"/>
      <c r="J1292" s="33"/>
      <c r="K1292" s="37"/>
      <c r="L1292" s="37"/>
    </row>
    <row r="1293" spans="2:12" x14ac:dyDescent="0.2">
      <c r="B1293" s="36"/>
      <c r="G1293" s="34"/>
      <c r="H1293" s="33"/>
      <c r="I1293" s="33"/>
      <c r="J1293" s="33"/>
      <c r="K1293" s="37"/>
      <c r="L1293" s="37"/>
    </row>
    <row r="1294" spans="2:12" x14ac:dyDescent="0.2">
      <c r="B1294" s="36"/>
      <c r="G1294" s="34"/>
      <c r="H1294" s="33"/>
      <c r="I1294" s="33"/>
      <c r="J1294" s="33"/>
      <c r="K1294" s="37"/>
      <c r="L1294" s="37"/>
    </row>
    <row r="1295" spans="2:12" x14ac:dyDescent="0.2">
      <c r="B1295" s="36"/>
      <c r="G1295" s="34"/>
      <c r="H1295" s="33"/>
      <c r="I1295" s="33"/>
      <c r="J1295" s="33"/>
      <c r="K1295" s="37"/>
      <c r="L1295" s="37"/>
    </row>
    <row r="1296" spans="2:12" x14ac:dyDescent="0.2">
      <c r="B1296" s="36"/>
      <c r="G1296" s="34"/>
      <c r="H1296" s="33"/>
      <c r="I1296" s="33"/>
      <c r="J1296" s="33"/>
      <c r="K1296" s="37"/>
      <c r="L1296" s="37"/>
    </row>
    <row r="1297" spans="2:12" x14ac:dyDescent="0.2">
      <c r="B1297" s="36"/>
      <c r="G1297" s="34"/>
      <c r="H1297" s="33"/>
      <c r="I1297" s="33"/>
      <c r="J1297" s="33"/>
      <c r="K1297" s="37"/>
      <c r="L1297" s="37"/>
    </row>
    <row r="1298" spans="2:12" x14ac:dyDescent="0.2">
      <c r="B1298" s="36"/>
      <c r="G1298" s="34"/>
      <c r="H1298" s="33"/>
      <c r="I1298" s="33"/>
      <c r="J1298" s="33"/>
      <c r="K1298" s="37"/>
      <c r="L1298" s="37"/>
    </row>
    <row r="1299" spans="2:12" x14ac:dyDescent="0.2">
      <c r="B1299" s="36"/>
      <c r="G1299" s="34"/>
      <c r="H1299" s="33"/>
      <c r="I1299" s="33"/>
      <c r="J1299" s="33"/>
      <c r="K1299" s="37"/>
      <c r="L1299" s="37"/>
    </row>
    <row r="1300" spans="2:12" x14ac:dyDescent="0.2">
      <c r="B1300" s="36"/>
      <c r="G1300" s="34"/>
      <c r="H1300" s="33"/>
      <c r="I1300" s="33"/>
      <c r="J1300" s="33"/>
      <c r="K1300" s="37"/>
      <c r="L1300" s="37"/>
    </row>
    <row r="1301" spans="2:12" x14ac:dyDescent="0.2">
      <c r="B1301" s="36"/>
      <c r="G1301" s="34"/>
      <c r="H1301" s="33"/>
      <c r="I1301" s="33"/>
      <c r="J1301" s="33"/>
      <c r="K1301" s="37"/>
      <c r="L1301" s="37"/>
    </row>
    <row r="1302" spans="2:12" x14ac:dyDescent="0.2">
      <c r="B1302" s="36"/>
      <c r="G1302" s="34"/>
      <c r="H1302" s="33"/>
      <c r="I1302" s="33"/>
      <c r="J1302" s="33"/>
      <c r="K1302" s="37"/>
      <c r="L1302" s="37"/>
    </row>
    <row r="1303" spans="2:12" x14ac:dyDescent="0.2">
      <c r="B1303" s="36"/>
      <c r="G1303" s="34"/>
      <c r="H1303" s="33"/>
      <c r="I1303" s="33"/>
      <c r="J1303" s="33"/>
      <c r="K1303" s="37"/>
      <c r="L1303" s="37"/>
    </row>
    <row r="1304" spans="2:12" x14ac:dyDescent="0.2">
      <c r="B1304" s="36"/>
      <c r="G1304" s="34"/>
      <c r="H1304" s="33"/>
      <c r="I1304" s="33"/>
      <c r="J1304" s="33"/>
      <c r="K1304" s="37"/>
      <c r="L1304" s="37"/>
    </row>
    <row r="1305" spans="2:12" x14ac:dyDescent="0.2">
      <c r="B1305" s="36"/>
      <c r="G1305" s="34"/>
      <c r="H1305" s="33"/>
      <c r="I1305" s="33"/>
      <c r="J1305" s="33"/>
      <c r="K1305" s="37"/>
      <c r="L1305" s="37"/>
    </row>
    <row r="1306" spans="2:12" x14ac:dyDescent="0.2">
      <c r="B1306" s="36"/>
      <c r="G1306" s="34"/>
      <c r="H1306" s="33"/>
      <c r="I1306" s="33"/>
      <c r="J1306" s="33"/>
      <c r="K1306" s="37"/>
      <c r="L1306" s="37"/>
    </row>
    <row r="1307" spans="2:12" x14ac:dyDescent="0.2">
      <c r="B1307" s="36"/>
      <c r="G1307" s="34"/>
      <c r="H1307" s="33"/>
      <c r="I1307" s="33"/>
      <c r="J1307" s="33"/>
      <c r="K1307" s="37"/>
      <c r="L1307" s="37"/>
    </row>
    <row r="1308" spans="2:12" x14ac:dyDescent="0.2">
      <c r="B1308" s="36"/>
      <c r="G1308" s="34"/>
      <c r="H1308" s="33"/>
      <c r="I1308" s="33"/>
      <c r="J1308" s="33"/>
      <c r="K1308" s="37"/>
      <c r="L1308" s="37"/>
    </row>
    <row r="1309" spans="2:12" x14ac:dyDescent="0.2">
      <c r="B1309" s="36"/>
      <c r="G1309" s="34"/>
      <c r="H1309" s="33"/>
      <c r="I1309" s="33"/>
      <c r="J1309" s="33"/>
      <c r="K1309" s="37"/>
      <c r="L1309" s="37"/>
    </row>
    <row r="1310" spans="2:12" x14ac:dyDescent="0.2">
      <c r="B1310" s="36"/>
      <c r="G1310" s="34"/>
      <c r="H1310" s="33"/>
      <c r="I1310" s="33"/>
      <c r="J1310" s="33"/>
      <c r="K1310" s="37"/>
      <c r="L1310" s="37"/>
    </row>
    <row r="1311" spans="2:12" x14ac:dyDescent="0.2">
      <c r="B1311" s="36"/>
      <c r="G1311" s="34"/>
      <c r="H1311" s="33"/>
      <c r="I1311" s="33"/>
      <c r="J1311" s="33"/>
      <c r="K1311" s="37"/>
      <c r="L1311" s="37"/>
    </row>
    <row r="1312" spans="2:12" x14ac:dyDescent="0.2">
      <c r="B1312" s="36"/>
      <c r="G1312" s="34"/>
      <c r="H1312" s="33"/>
      <c r="I1312" s="33"/>
      <c r="J1312" s="33"/>
      <c r="K1312" s="37"/>
      <c r="L1312" s="37"/>
    </row>
    <row r="1313" spans="2:12" x14ac:dyDescent="0.2">
      <c r="B1313" s="36"/>
      <c r="G1313" s="34"/>
      <c r="H1313" s="33"/>
      <c r="I1313" s="33"/>
      <c r="J1313" s="33"/>
      <c r="K1313" s="37"/>
      <c r="L1313" s="37"/>
    </row>
    <row r="1314" spans="2:12" x14ac:dyDescent="0.2">
      <c r="B1314" s="36"/>
      <c r="G1314" s="34"/>
      <c r="H1314" s="33"/>
      <c r="I1314" s="33"/>
      <c r="J1314" s="33"/>
      <c r="K1314" s="37"/>
      <c r="L1314" s="37"/>
    </row>
    <row r="1315" spans="2:12" x14ac:dyDescent="0.2">
      <c r="B1315" s="36"/>
      <c r="G1315" s="34"/>
      <c r="H1315" s="33"/>
      <c r="I1315" s="33"/>
      <c r="J1315" s="33"/>
      <c r="K1315" s="37"/>
      <c r="L1315" s="37"/>
    </row>
    <row r="1316" spans="2:12" x14ac:dyDescent="0.2">
      <c r="B1316" s="36"/>
      <c r="G1316" s="34"/>
      <c r="H1316" s="33"/>
      <c r="I1316" s="33"/>
      <c r="J1316" s="33"/>
      <c r="K1316" s="37"/>
      <c r="L1316" s="37"/>
    </row>
    <row r="1317" spans="2:12" x14ac:dyDescent="0.2">
      <c r="B1317" s="36"/>
      <c r="G1317" s="34"/>
      <c r="H1317" s="33"/>
      <c r="I1317" s="33"/>
      <c r="J1317" s="33"/>
      <c r="K1317" s="37"/>
      <c r="L1317" s="37"/>
    </row>
    <row r="1318" spans="2:12" x14ac:dyDescent="0.2">
      <c r="B1318" s="36"/>
      <c r="G1318" s="34"/>
      <c r="H1318" s="33"/>
      <c r="I1318" s="33"/>
      <c r="J1318" s="33"/>
      <c r="K1318" s="37"/>
      <c r="L1318" s="37"/>
    </row>
    <row r="1319" spans="2:12" x14ac:dyDescent="0.2">
      <c r="B1319" s="36"/>
      <c r="G1319" s="34"/>
      <c r="H1319" s="33"/>
      <c r="I1319" s="33"/>
      <c r="J1319" s="33"/>
      <c r="K1319" s="37"/>
      <c r="L1319" s="37"/>
    </row>
    <row r="1320" spans="2:12" x14ac:dyDescent="0.2">
      <c r="B1320" s="36"/>
      <c r="G1320" s="34"/>
      <c r="H1320" s="33"/>
      <c r="I1320" s="33"/>
      <c r="J1320" s="33"/>
      <c r="K1320" s="37"/>
      <c r="L1320" s="37"/>
    </row>
    <row r="1321" spans="2:12" x14ac:dyDescent="0.2">
      <c r="B1321" s="36"/>
      <c r="G1321" s="34"/>
      <c r="H1321" s="33"/>
      <c r="I1321" s="33"/>
      <c r="J1321" s="33"/>
      <c r="K1321" s="37"/>
      <c r="L1321" s="37"/>
    </row>
    <row r="1322" spans="2:12" x14ac:dyDescent="0.2">
      <c r="B1322" s="36"/>
      <c r="G1322" s="34"/>
      <c r="H1322" s="33"/>
      <c r="I1322" s="33"/>
      <c r="J1322" s="33"/>
      <c r="K1322" s="37"/>
      <c r="L1322" s="37"/>
    </row>
    <row r="1323" spans="2:12" x14ac:dyDescent="0.2">
      <c r="B1323" s="36"/>
      <c r="G1323" s="34"/>
      <c r="H1323" s="33"/>
      <c r="I1323" s="33"/>
      <c r="J1323" s="33"/>
      <c r="K1323" s="37"/>
      <c r="L1323" s="37"/>
    </row>
    <row r="1324" spans="2:12" x14ac:dyDescent="0.2">
      <c r="B1324" s="36"/>
      <c r="G1324" s="34"/>
      <c r="H1324" s="33"/>
      <c r="I1324" s="33"/>
      <c r="J1324" s="33"/>
      <c r="K1324" s="37"/>
      <c r="L1324" s="37"/>
    </row>
    <row r="1325" spans="2:12" x14ac:dyDescent="0.2">
      <c r="B1325" s="36"/>
      <c r="G1325" s="34"/>
      <c r="H1325" s="33"/>
      <c r="I1325" s="33"/>
      <c r="J1325" s="33"/>
      <c r="K1325" s="37"/>
      <c r="L1325" s="37"/>
    </row>
    <row r="1326" spans="2:12" x14ac:dyDescent="0.2">
      <c r="B1326" s="36"/>
      <c r="G1326" s="34"/>
      <c r="H1326" s="33"/>
      <c r="I1326" s="33"/>
      <c r="J1326" s="33"/>
      <c r="K1326" s="37"/>
      <c r="L1326" s="37"/>
    </row>
    <row r="1327" spans="2:12" x14ac:dyDescent="0.2">
      <c r="B1327" s="36"/>
      <c r="G1327" s="34"/>
      <c r="H1327" s="33"/>
      <c r="I1327" s="33"/>
      <c r="J1327" s="33"/>
      <c r="K1327" s="37"/>
      <c r="L1327" s="37"/>
    </row>
    <row r="1328" spans="2:12" x14ac:dyDescent="0.2">
      <c r="B1328" s="36"/>
      <c r="G1328" s="34"/>
      <c r="H1328" s="33"/>
      <c r="I1328" s="33"/>
      <c r="J1328" s="33"/>
      <c r="K1328" s="37"/>
      <c r="L1328" s="37"/>
    </row>
    <row r="1329" spans="2:12" x14ac:dyDescent="0.2">
      <c r="B1329" s="36"/>
      <c r="G1329" s="34"/>
      <c r="H1329" s="33"/>
      <c r="I1329" s="33"/>
      <c r="J1329" s="33"/>
      <c r="K1329" s="37"/>
      <c r="L1329" s="37"/>
    </row>
    <row r="1330" spans="2:12" x14ac:dyDescent="0.2">
      <c r="B1330" s="36"/>
      <c r="G1330" s="34"/>
      <c r="H1330" s="33"/>
      <c r="I1330" s="33"/>
      <c r="J1330" s="33"/>
      <c r="K1330" s="37"/>
      <c r="L1330" s="37"/>
    </row>
    <row r="1331" spans="2:12" x14ac:dyDescent="0.2">
      <c r="B1331" s="36"/>
      <c r="G1331" s="34"/>
      <c r="H1331" s="33"/>
      <c r="I1331" s="33"/>
      <c r="J1331" s="33"/>
      <c r="K1331" s="37"/>
      <c r="L1331" s="37"/>
    </row>
    <row r="1332" spans="2:12" x14ac:dyDescent="0.2">
      <c r="B1332" s="36"/>
      <c r="G1332" s="34"/>
      <c r="H1332" s="33"/>
      <c r="I1332" s="33"/>
      <c r="J1332" s="33"/>
      <c r="K1332" s="37"/>
      <c r="L1332" s="37"/>
    </row>
    <row r="1333" spans="2:12" x14ac:dyDescent="0.2">
      <c r="B1333" s="36"/>
      <c r="G1333" s="34"/>
      <c r="H1333" s="33"/>
      <c r="I1333" s="33"/>
      <c r="J1333" s="33"/>
      <c r="K1333" s="37"/>
      <c r="L1333" s="37"/>
    </row>
    <row r="1334" spans="2:12" x14ac:dyDescent="0.2">
      <c r="B1334" s="36"/>
      <c r="G1334" s="34"/>
      <c r="H1334" s="33"/>
      <c r="I1334" s="33"/>
      <c r="J1334" s="33"/>
      <c r="K1334" s="37"/>
      <c r="L1334" s="37"/>
    </row>
    <row r="1335" spans="2:12" x14ac:dyDescent="0.2">
      <c r="B1335" s="36"/>
      <c r="G1335" s="34"/>
      <c r="H1335" s="33"/>
      <c r="I1335" s="33"/>
      <c r="J1335" s="33"/>
      <c r="K1335" s="37"/>
      <c r="L1335" s="37"/>
    </row>
    <row r="1336" spans="2:12" x14ac:dyDescent="0.2">
      <c r="B1336" s="36"/>
      <c r="G1336" s="34"/>
      <c r="H1336" s="33"/>
      <c r="I1336" s="33"/>
      <c r="J1336" s="33"/>
      <c r="K1336" s="37"/>
      <c r="L1336" s="37"/>
    </row>
    <row r="1337" spans="2:12" x14ac:dyDescent="0.2">
      <c r="B1337" s="36"/>
      <c r="G1337" s="34"/>
      <c r="H1337" s="33"/>
      <c r="I1337" s="33"/>
      <c r="J1337" s="33"/>
      <c r="K1337" s="37"/>
      <c r="L1337" s="37"/>
    </row>
    <row r="1338" spans="2:12" x14ac:dyDescent="0.2">
      <c r="B1338" s="36"/>
      <c r="G1338" s="34"/>
      <c r="H1338" s="33"/>
      <c r="I1338" s="33"/>
      <c r="J1338" s="33"/>
      <c r="K1338" s="37"/>
      <c r="L1338" s="37"/>
    </row>
    <row r="1339" spans="2:12" x14ac:dyDescent="0.2">
      <c r="B1339" s="36"/>
      <c r="G1339" s="34"/>
      <c r="H1339" s="33"/>
      <c r="I1339" s="33"/>
      <c r="J1339" s="33"/>
      <c r="K1339" s="37"/>
      <c r="L1339" s="37"/>
    </row>
    <row r="1340" spans="2:12" x14ac:dyDescent="0.2">
      <c r="B1340" s="36"/>
      <c r="G1340" s="34"/>
      <c r="H1340" s="33"/>
      <c r="I1340" s="33"/>
      <c r="J1340" s="33"/>
      <c r="K1340" s="37"/>
      <c r="L1340" s="37"/>
    </row>
    <row r="1341" spans="2:12" x14ac:dyDescent="0.2">
      <c r="B1341" s="36"/>
      <c r="G1341" s="34"/>
      <c r="H1341" s="33"/>
      <c r="I1341" s="33"/>
      <c r="J1341" s="33"/>
      <c r="K1341" s="37"/>
      <c r="L1341" s="37"/>
    </row>
    <row r="1342" spans="2:12" x14ac:dyDescent="0.2">
      <c r="B1342" s="36"/>
      <c r="G1342" s="34"/>
      <c r="H1342" s="33"/>
      <c r="I1342" s="33"/>
      <c r="J1342" s="33"/>
      <c r="K1342" s="37"/>
      <c r="L1342" s="37"/>
    </row>
    <row r="1343" spans="2:12" x14ac:dyDescent="0.2">
      <c r="B1343" s="36"/>
      <c r="G1343" s="34"/>
      <c r="H1343" s="33"/>
      <c r="I1343" s="33"/>
      <c r="J1343" s="33"/>
      <c r="K1343" s="37"/>
      <c r="L1343" s="37"/>
    </row>
    <row r="1344" spans="2:12" x14ac:dyDescent="0.2">
      <c r="B1344" s="36"/>
      <c r="G1344" s="34"/>
      <c r="H1344" s="33"/>
      <c r="I1344" s="33"/>
      <c r="J1344" s="33"/>
      <c r="K1344" s="37"/>
      <c r="L1344" s="37"/>
    </row>
    <row r="1345" spans="2:12" x14ac:dyDescent="0.2">
      <c r="B1345" s="36"/>
      <c r="G1345" s="34"/>
      <c r="H1345" s="33"/>
      <c r="I1345" s="33"/>
      <c r="J1345" s="33"/>
      <c r="K1345" s="37"/>
      <c r="L1345" s="37"/>
    </row>
    <row r="1346" spans="2:12" x14ac:dyDescent="0.2">
      <c r="B1346" s="36"/>
      <c r="G1346" s="34"/>
      <c r="H1346" s="33"/>
      <c r="I1346" s="33"/>
      <c r="J1346" s="33"/>
      <c r="K1346" s="37"/>
      <c r="L1346" s="37"/>
    </row>
    <row r="1347" spans="2:12" x14ac:dyDescent="0.2">
      <c r="B1347" s="36"/>
      <c r="G1347" s="34"/>
      <c r="H1347" s="33"/>
      <c r="I1347" s="33"/>
      <c r="J1347" s="33"/>
      <c r="K1347" s="37"/>
      <c r="L1347" s="37"/>
    </row>
    <row r="1348" spans="2:12" x14ac:dyDescent="0.2">
      <c r="B1348" s="36"/>
      <c r="G1348" s="34"/>
      <c r="H1348" s="33"/>
      <c r="I1348" s="33"/>
      <c r="J1348" s="33"/>
      <c r="K1348" s="37"/>
      <c r="L1348" s="37"/>
    </row>
    <row r="1349" spans="2:12" x14ac:dyDescent="0.2">
      <c r="B1349" s="36"/>
      <c r="G1349" s="34"/>
      <c r="H1349" s="33"/>
      <c r="I1349" s="33"/>
      <c r="J1349" s="33"/>
      <c r="K1349" s="37"/>
      <c r="L1349" s="37"/>
    </row>
    <row r="1350" spans="2:12" x14ac:dyDescent="0.2">
      <c r="B1350" s="36"/>
      <c r="G1350" s="34"/>
      <c r="H1350" s="33"/>
      <c r="I1350" s="33"/>
      <c r="J1350" s="33"/>
      <c r="K1350" s="37"/>
      <c r="L1350" s="37"/>
    </row>
    <row r="1351" spans="2:12" x14ac:dyDescent="0.2">
      <c r="B1351" s="36"/>
      <c r="G1351" s="34"/>
      <c r="H1351" s="33"/>
      <c r="I1351" s="33"/>
      <c r="J1351" s="33"/>
      <c r="K1351" s="37"/>
      <c r="L1351" s="37"/>
    </row>
    <row r="1352" spans="2:12" x14ac:dyDescent="0.2">
      <c r="B1352" s="36"/>
      <c r="G1352" s="34"/>
      <c r="H1352" s="33"/>
      <c r="I1352" s="33"/>
      <c r="J1352" s="33"/>
      <c r="K1352" s="37"/>
      <c r="L1352" s="37"/>
    </row>
    <row r="1353" spans="2:12" x14ac:dyDescent="0.2">
      <c r="B1353" s="36"/>
      <c r="G1353" s="34"/>
      <c r="H1353" s="33"/>
      <c r="I1353" s="33"/>
      <c r="J1353" s="33"/>
      <c r="K1353" s="37"/>
      <c r="L1353" s="37"/>
    </row>
    <row r="1354" spans="2:12" x14ac:dyDescent="0.2">
      <c r="B1354" s="36"/>
      <c r="G1354" s="34"/>
      <c r="H1354" s="33"/>
      <c r="I1354" s="33"/>
      <c r="J1354" s="33"/>
      <c r="K1354" s="37"/>
      <c r="L1354" s="37"/>
    </row>
    <row r="1355" spans="2:12" x14ac:dyDescent="0.2">
      <c r="B1355" s="36"/>
      <c r="G1355" s="34"/>
      <c r="H1355" s="33"/>
      <c r="I1355" s="33"/>
      <c r="J1355" s="33"/>
      <c r="K1355" s="37"/>
      <c r="L1355" s="37"/>
    </row>
    <row r="1356" spans="2:12" x14ac:dyDescent="0.2">
      <c r="B1356" s="36"/>
      <c r="G1356" s="34"/>
      <c r="H1356" s="33"/>
      <c r="I1356" s="33"/>
      <c r="J1356" s="33"/>
      <c r="K1356" s="37"/>
      <c r="L1356" s="37"/>
    </row>
    <row r="1357" spans="2:12" x14ac:dyDescent="0.2">
      <c r="B1357" s="36"/>
      <c r="G1357" s="34"/>
      <c r="H1357" s="33"/>
      <c r="I1357" s="33"/>
      <c r="J1357" s="33"/>
      <c r="K1357" s="37"/>
      <c r="L1357" s="37"/>
    </row>
    <row r="1358" spans="2:12" x14ac:dyDescent="0.2">
      <c r="B1358" s="36"/>
      <c r="G1358" s="34"/>
      <c r="H1358" s="33"/>
      <c r="I1358" s="33"/>
      <c r="J1358" s="33"/>
      <c r="K1358" s="37"/>
      <c r="L1358" s="37"/>
    </row>
    <row r="1359" spans="2:12" x14ac:dyDescent="0.2">
      <c r="B1359" s="36"/>
      <c r="G1359" s="34"/>
      <c r="H1359" s="33"/>
      <c r="I1359" s="33"/>
      <c r="J1359" s="33"/>
      <c r="K1359" s="37"/>
      <c r="L1359" s="37"/>
    </row>
    <row r="1360" spans="2:12" x14ac:dyDescent="0.2">
      <c r="B1360" s="36"/>
      <c r="G1360" s="34"/>
      <c r="H1360" s="33"/>
      <c r="I1360" s="33"/>
      <c r="J1360" s="33"/>
      <c r="K1360" s="37"/>
      <c r="L1360" s="37"/>
    </row>
    <row r="1361" spans="2:12" x14ac:dyDescent="0.2">
      <c r="B1361" s="36"/>
      <c r="G1361" s="34"/>
      <c r="H1361" s="33"/>
      <c r="I1361" s="33"/>
      <c r="J1361" s="33"/>
      <c r="K1361" s="37"/>
      <c r="L1361" s="37"/>
    </row>
    <row r="1362" spans="2:12" x14ac:dyDescent="0.2">
      <c r="B1362" s="36"/>
      <c r="G1362" s="34"/>
      <c r="H1362" s="33"/>
      <c r="I1362" s="33"/>
      <c r="J1362" s="33"/>
      <c r="K1362" s="37"/>
      <c r="L1362" s="37"/>
    </row>
    <row r="1363" spans="2:12" x14ac:dyDescent="0.2">
      <c r="B1363" s="36"/>
      <c r="G1363" s="34"/>
      <c r="H1363" s="33"/>
      <c r="I1363" s="33"/>
      <c r="J1363" s="33"/>
      <c r="K1363" s="37"/>
      <c r="L1363" s="37"/>
    </row>
    <row r="1364" spans="2:12" x14ac:dyDescent="0.2">
      <c r="B1364" s="36"/>
      <c r="G1364" s="34"/>
      <c r="H1364" s="33"/>
      <c r="I1364" s="33"/>
      <c r="J1364" s="33"/>
      <c r="K1364" s="37"/>
      <c r="L1364" s="37"/>
    </row>
    <row r="1365" spans="2:12" x14ac:dyDescent="0.2">
      <c r="B1365" s="36"/>
      <c r="G1365" s="34"/>
      <c r="H1365" s="33"/>
      <c r="I1365" s="33"/>
      <c r="J1365" s="33"/>
      <c r="K1365" s="37"/>
      <c r="L1365" s="37"/>
    </row>
    <row r="1366" spans="2:12" x14ac:dyDescent="0.2">
      <c r="B1366" s="36"/>
      <c r="G1366" s="34"/>
      <c r="H1366" s="33"/>
      <c r="I1366" s="33"/>
      <c r="J1366" s="33"/>
      <c r="K1366" s="37"/>
      <c r="L1366" s="37"/>
    </row>
    <row r="1367" spans="2:12" x14ac:dyDescent="0.2">
      <c r="B1367" s="36"/>
      <c r="G1367" s="34"/>
      <c r="H1367" s="33"/>
      <c r="I1367" s="33"/>
      <c r="J1367" s="33"/>
      <c r="K1367" s="37"/>
      <c r="L1367" s="37"/>
    </row>
    <row r="1368" spans="2:12" x14ac:dyDescent="0.2">
      <c r="B1368" s="36"/>
      <c r="G1368" s="34"/>
      <c r="H1368" s="33"/>
      <c r="I1368" s="33"/>
      <c r="J1368" s="33"/>
      <c r="K1368" s="37"/>
      <c r="L1368" s="37"/>
    </row>
    <row r="1369" spans="2:12" x14ac:dyDescent="0.2">
      <c r="B1369" s="36"/>
      <c r="G1369" s="34"/>
      <c r="H1369" s="33"/>
      <c r="I1369" s="33"/>
      <c r="J1369" s="33"/>
      <c r="K1369" s="37"/>
      <c r="L1369" s="37"/>
    </row>
    <row r="1370" spans="2:12" x14ac:dyDescent="0.2">
      <c r="B1370" s="36"/>
      <c r="G1370" s="34"/>
      <c r="H1370" s="33"/>
      <c r="I1370" s="33"/>
      <c r="J1370" s="33"/>
      <c r="K1370" s="37"/>
      <c r="L1370" s="37"/>
    </row>
    <row r="1371" spans="2:12" x14ac:dyDescent="0.2">
      <c r="B1371" s="36"/>
      <c r="G1371" s="34"/>
      <c r="H1371" s="33"/>
      <c r="I1371" s="33"/>
      <c r="J1371" s="33"/>
      <c r="K1371" s="37"/>
      <c r="L1371" s="37"/>
    </row>
    <row r="1372" spans="2:12" x14ac:dyDescent="0.2">
      <c r="B1372" s="36"/>
      <c r="G1372" s="34"/>
      <c r="H1372" s="33"/>
      <c r="I1372" s="33"/>
      <c r="J1372" s="33"/>
      <c r="K1372" s="37"/>
      <c r="L1372" s="37"/>
    </row>
    <row r="1373" spans="2:12" x14ac:dyDescent="0.2">
      <c r="B1373" s="36"/>
      <c r="G1373" s="34"/>
      <c r="H1373" s="33"/>
      <c r="I1373" s="33"/>
      <c r="J1373" s="33"/>
      <c r="K1373" s="37"/>
      <c r="L1373" s="37"/>
    </row>
    <row r="1374" spans="2:12" x14ac:dyDescent="0.2">
      <c r="B1374" s="36"/>
      <c r="G1374" s="34"/>
      <c r="H1374" s="33"/>
      <c r="I1374" s="33"/>
      <c r="J1374" s="33"/>
      <c r="K1374" s="37"/>
      <c r="L1374" s="37"/>
    </row>
    <row r="1375" spans="2:12" x14ac:dyDescent="0.2">
      <c r="B1375" s="36"/>
      <c r="G1375" s="34"/>
      <c r="H1375" s="33"/>
      <c r="I1375" s="33"/>
      <c r="J1375" s="33"/>
      <c r="K1375" s="37"/>
      <c r="L1375" s="37"/>
    </row>
    <row r="1376" spans="2:12" x14ac:dyDescent="0.2">
      <c r="B1376" s="36"/>
      <c r="G1376" s="34"/>
      <c r="H1376" s="33"/>
      <c r="I1376" s="33"/>
      <c r="J1376" s="33"/>
      <c r="K1376" s="37"/>
      <c r="L1376" s="37"/>
    </row>
    <row r="1377" spans="2:12" x14ac:dyDescent="0.2">
      <c r="B1377" s="36"/>
      <c r="G1377" s="34"/>
      <c r="H1377" s="33"/>
      <c r="I1377" s="33"/>
      <c r="J1377" s="33"/>
      <c r="K1377" s="37"/>
      <c r="L1377" s="37"/>
    </row>
    <row r="1378" spans="2:12" x14ac:dyDescent="0.2">
      <c r="B1378" s="36"/>
      <c r="G1378" s="34"/>
      <c r="H1378" s="33"/>
      <c r="I1378" s="33"/>
      <c r="J1378" s="33"/>
      <c r="K1378" s="37"/>
      <c r="L1378" s="37"/>
    </row>
    <row r="1379" spans="2:12" x14ac:dyDescent="0.2">
      <c r="B1379" s="36"/>
      <c r="G1379" s="34"/>
      <c r="H1379" s="33"/>
      <c r="I1379" s="33"/>
      <c r="J1379" s="33"/>
      <c r="K1379" s="37"/>
      <c r="L1379" s="37"/>
    </row>
    <row r="1380" spans="2:12" x14ac:dyDescent="0.2">
      <c r="B1380" s="36"/>
      <c r="G1380" s="34"/>
      <c r="H1380" s="33"/>
      <c r="I1380" s="33"/>
      <c r="J1380" s="33"/>
      <c r="K1380" s="37"/>
      <c r="L1380" s="37"/>
    </row>
    <row r="1381" spans="2:12" x14ac:dyDescent="0.2">
      <c r="B1381" s="36"/>
      <c r="G1381" s="34"/>
      <c r="H1381" s="33"/>
      <c r="I1381" s="33"/>
      <c r="J1381" s="33"/>
      <c r="K1381" s="37"/>
      <c r="L1381" s="37"/>
    </row>
    <row r="1382" spans="2:12" x14ac:dyDescent="0.2">
      <c r="B1382" s="36"/>
      <c r="G1382" s="34"/>
      <c r="H1382" s="33"/>
      <c r="I1382" s="33"/>
      <c r="J1382" s="33"/>
      <c r="K1382" s="37"/>
      <c r="L1382" s="37"/>
    </row>
    <row r="1383" spans="2:12" x14ac:dyDescent="0.2">
      <c r="B1383" s="36"/>
      <c r="G1383" s="34"/>
      <c r="H1383" s="33"/>
      <c r="I1383" s="33"/>
      <c r="J1383" s="33"/>
      <c r="K1383" s="37"/>
      <c r="L1383" s="37"/>
    </row>
    <row r="1384" spans="2:12" x14ac:dyDescent="0.2">
      <c r="B1384" s="36"/>
      <c r="G1384" s="34"/>
      <c r="H1384" s="33"/>
      <c r="I1384" s="33"/>
      <c r="J1384" s="33"/>
      <c r="K1384" s="37"/>
      <c r="L1384" s="37"/>
    </row>
    <row r="1385" spans="2:12" x14ac:dyDescent="0.2">
      <c r="B1385" s="36"/>
      <c r="G1385" s="34"/>
      <c r="H1385" s="33"/>
      <c r="I1385" s="33"/>
      <c r="J1385" s="33"/>
      <c r="K1385" s="37"/>
      <c r="L1385" s="37"/>
    </row>
    <row r="1386" spans="2:12" x14ac:dyDescent="0.2">
      <c r="B1386" s="36"/>
      <c r="G1386" s="34"/>
      <c r="H1386" s="33"/>
      <c r="I1386" s="33"/>
      <c r="J1386" s="33"/>
      <c r="K1386" s="37"/>
      <c r="L1386" s="37"/>
    </row>
    <row r="1387" spans="2:12" x14ac:dyDescent="0.2">
      <c r="B1387" s="36"/>
      <c r="G1387" s="34"/>
      <c r="H1387" s="33"/>
      <c r="I1387" s="33"/>
      <c r="J1387" s="33"/>
      <c r="K1387" s="37"/>
      <c r="L1387" s="37"/>
    </row>
    <row r="1388" spans="2:12" x14ac:dyDescent="0.2">
      <c r="B1388" s="36"/>
      <c r="G1388" s="34"/>
      <c r="H1388" s="33"/>
      <c r="I1388" s="33"/>
      <c r="J1388" s="33"/>
      <c r="K1388" s="37"/>
      <c r="L1388" s="37"/>
    </row>
    <row r="1389" spans="2:12" x14ac:dyDescent="0.2">
      <c r="B1389" s="36"/>
      <c r="G1389" s="34"/>
      <c r="H1389" s="33"/>
      <c r="I1389" s="33"/>
      <c r="J1389" s="33"/>
      <c r="K1389" s="37"/>
      <c r="L1389" s="37"/>
    </row>
    <row r="1390" spans="2:12" x14ac:dyDescent="0.2">
      <c r="B1390" s="36"/>
      <c r="G1390" s="34"/>
      <c r="H1390" s="33"/>
      <c r="I1390" s="33"/>
      <c r="J1390" s="33"/>
      <c r="K1390" s="37"/>
      <c r="L1390" s="37"/>
    </row>
    <row r="1391" spans="2:12" x14ac:dyDescent="0.2">
      <c r="B1391" s="36"/>
      <c r="G1391" s="34"/>
      <c r="H1391" s="33"/>
      <c r="I1391" s="33"/>
      <c r="J1391" s="33"/>
      <c r="K1391" s="37"/>
      <c r="L1391" s="37"/>
    </row>
    <row r="1392" spans="2:12" x14ac:dyDescent="0.2">
      <c r="B1392" s="36"/>
      <c r="G1392" s="34"/>
      <c r="H1392" s="33"/>
      <c r="I1392" s="33"/>
      <c r="J1392" s="33"/>
      <c r="K1392" s="37"/>
      <c r="L1392" s="37"/>
    </row>
    <row r="1393" spans="2:12" x14ac:dyDescent="0.2">
      <c r="B1393" s="36"/>
      <c r="G1393" s="34"/>
      <c r="H1393" s="33"/>
      <c r="I1393" s="33"/>
      <c r="J1393" s="33"/>
      <c r="K1393" s="37"/>
      <c r="L1393" s="37"/>
    </row>
    <row r="1394" spans="2:12" x14ac:dyDescent="0.2">
      <c r="B1394" s="36"/>
      <c r="G1394" s="34"/>
      <c r="H1394" s="33"/>
      <c r="I1394" s="33"/>
      <c r="J1394" s="33"/>
      <c r="K1394" s="37"/>
      <c r="L1394" s="37"/>
    </row>
    <row r="1395" spans="2:12" x14ac:dyDescent="0.2">
      <c r="B1395" s="36"/>
      <c r="G1395" s="34"/>
      <c r="H1395" s="33"/>
      <c r="I1395" s="33"/>
      <c r="J1395" s="33"/>
      <c r="K1395" s="37"/>
      <c r="L1395" s="37"/>
    </row>
    <row r="1396" spans="2:12" x14ac:dyDescent="0.2">
      <c r="B1396" s="36"/>
      <c r="G1396" s="34"/>
      <c r="H1396" s="33"/>
      <c r="I1396" s="33"/>
      <c r="J1396" s="33"/>
      <c r="K1396" s="37"/>
      <c r="L1396" s="37"/>
    </row>
    <row r="1397" spans="2:12" x14ac:dyDescent="0.2">
      <c r="B1397" s="36"/>
      <c r="G1397" s="34"/>
      <c r="H1397" s="33"/>
      <c r="I1397" s="33"/>
      <c r="J1397" s="33"/>
      <c r="K1397" s="37"/>
      <c r="L1397" s="37"/>
    </row>
    <row r="1398" spans="2:12" x14ac:dyDescent="0.2">
      <c r="B1398" s="36"/>
      <c r="G1398" s="34"/>
      <c r="H1398" s="33"/>
      <c r="I1398" s="33"/>
      <c r="J1398" s="33"/>
      <c r="K1398" s="37"/>
      <c r="L1398" s="37"/>
    </row>
    <row r="1399" spans="2:12" x14ac:dyDescent="0.2">
      <c r="B1399" s="36"/>
      <c r="G1399" s="34"/>
      <c r="H1399" s="33"/>
      <c r="I1399" s="33"/>
      <c r="J1399" s="33"/>
      <c r="K1399" s="37"/>
      <c r="L1399" s="37"/>
    </row>
    <row r="1400" spans="2:12" x14ac:dyDescent="0.2">
      <c r="B1400" s="36"/>
      <c r="G1400" s="34"/>
      <c r="H1400" s="33"/>
      <c r="I1400" s="33"/>
      <c r="J1400" s="33"/>
      <c r="K1400" s="37"/>
      <c r="L1400" s="37"/>
    </row>
    <row r="1401" spans="2:12" x14ac:dyDescent="0.2">
      <c r="B1401" s="36"/>
      <c r="G1401" s="34"/>
      <c r="H1401" s="33"/>
      <c r="I1401" s="33"/>
      <c r="J1401" s="33"/>
      <c r="K1401" s="37"/>
      <c r="L1401" s="37"/>
    </row>
    <row r="1402" spans="2:12" x14ac:dyDescent="0.2">
      <c r="B1402" s="36"/>
      <c r="G1402" s="34"/>
      <c r="H1402" s="33"/>
      <c r="I1402" s="33"/>
      <c r="J1402" s="33"/>
      <c r="K1402" s="37"/>
      <c r="L1402" s="37"/>
    </row>
    <row r="1403" spans="2:12" x14ac:dyDescent="0.2">
      <c r="B1403" s="36"/>
      <c r="G1403" s="34"/>
      <c r="H1403" s="33"/>
      <c r="I1403" s="33"/>
      <c r="J1403" s="33"/>
      <c r="K1403" s="37"/>
      <c r="L1403" s="37"/>
    </row>
    <row r="1404" spans="2:12" x14ac:dyDescent="0.2">
      <c r="B1404" s="36"/>
      <c r="G1404" s="34"/>
      <c r="H1404" s="33"/>
      <c r="I1404" s="33"/>
      <c r="J1404" s="33"/>
      <c r="K1404" s="37"/>
      <c r="L1404" s="37"/>
    </row>
    <row r="1405" spans="2:12" x14ac:dyDescent="0.2">
      <c r="B1405" s="36"/>
      <c r="G1405" s="34"/>
      <c r="H1405" s="33"/>
      <c r="I1405" s="33"/>
      <c r="J1405" s="33"/>
      <c r="K1405" s="37"/>
      <c r="L1405" s="37"/>
    </row>
    <row r="1406" spans="2:12" x14ac:dyDescent="0.2">
      <c r="B1406" s="36"/>
      <c r="G1406" s="34"/>
      <c r="H1406" s="33"/>
      <c r="I1406" s="33"/>
      <c r="J1406" s="33"/>
      <c r="K1406" s="37"/>
      <c r="L1406" s="37"/>
    </row>
    <row r="1407" spans="2:12" x14ac:dyDescent="0.2">
      <c r="B1407" s="36"/>
      <c r="G1407" s="34"/>
      <c r="H1407" s="33"/>
      <c r="I1407" s="33"/>
      <c r="J1407" s="33"/>
      <c r="K1407" s="37"/>
      <c r="L1407" s="37"/>
    </row>
    <row r="1408" spans="2:12" x14ac:dyDescent="0.2">
      <c r="B1408" s="36"/>
      <c r="G1408" s="34"/>
      <c r="H1408" s="33"/>
      <c r="I1408" s="33"/>
      <c r="J1408" s="33"/>
      <c r="K1408" s="37"/>
      <c r="L1408" s="37"/>
    </row>
    <row r="1409" spans="2:12" x14ac:dyDescent="0.2">
      <c r="B1409" s="36"/>
      <c r="G1409" s="34"/>
      <c r="H1409" s="33"/>
      <c r="I1409" s="33"/>
      <c r="J1409" s="33"/>
      <c r="K1409" s="37"/>
      <c r="L1409" s="37"/>
    </row>
    <row r="1410" spans="2:12" x14ac:dyDescent="0.2">
      <c r="B1410" s="36"/>
      <c r="G1410" s="34"/>
      <c r="H1410" s="33"/>
      <c r="I1410" s="33"/>
      <c r="J1410" s="33"/>
      <c r="K1410" s="37"/>
      <c r="L1410" s="37"/>
    </row>
    <row r="1411" spans="2:12" x14ac:dyDescent="0.2">
      <c r="B1411" s="36"/>
      <c r="G1411" s="34"/>
      <c r="H1411" s="33"/>
      <c r="I1411" s="33"/>
      <c r="J1411" s="33"/>
      <c r="K1411" s="37"/>
      <c r="L1411" s="37"/>
    </row>
    <row r="1412" spans="2:12" x14ac:dyDescent="0.2">
      <c r="B1412" s="36"/>
      <c r="G1412" s="34"/>
      <c r="H1412" s="33"/>
      <c r="I1412" s="33"/>
      <c r="J1412" s="33"/>
      <c r="K1412" s="37"/>
      <c r="L1412" s="37"/>
    </row>
    <row r="1413" spans="2:12" x14ac:dyDescent="0.2">
      <c r="B1413" s="36"/>
      <c r="G1413" s="34"/>
      <c r="H1413" s="33"/>
      <c r="I1413" s="33"/>
      <c r="J1413" s="33"/>
      <c r="K1413" s="37"/>
      <c r="L1413" s="37"/>
    </row>
    <row r="1414" spans="2:12" x14ac:dyDescent="0.2">
      <c r="B1414" s="36"/>
      <c r="G1414" s="34"/>
      <c r="H1414" s="33"/>
      <c r="I1414" s="33"/>
      <c r="J1414" s="33"/>
      <c r="K1414" s="37"/>
      <c r="L1414" s="37"/>
    </row>
    <row r="1415" spans="2:12" x14ac:dyDescent="0.2">
      <c r="B1415" s="36"/>
      <c r="G1415" s="34"/>
      <c r="H1415" s="33"/>
      <c r="I1415" s="33"/>
      <c r="J1415" s="33"/>
      <c r="K1415" s="37"/>
      <c r="L1415" s="37"/>
    </row>
    <row r="1416" spans="2:12" x14ac:dyDescent="0.2">
      <c r="B1416" s="36"/>
      <c r="G1416" s="34"/>
      <c r="H1416" s="33"/>
      <c r="I1416" s="33"/>
      <c r="J1416" s="33"/>
      <c r="K1416" s="37"/>
      <c r="L1416" s="37"/>
    </row>
    <row r="1417" spans="2:12" x14ac:dyDescent="0.2">
      <c r="B1417" s="36"/>
      <c r="G1417" s="34"/>
      <c r="H1417" s="33"/>
      <c r="I1417" s="33"/>
      <c r="J1417" s="33"/>
      <c r="K1417" s="37"/>
      <c r="L1417" s="37"/>
    </row>
    <row r="1418" spans="2:12" x14ac:dyDescent="0.2">
      <c r="B1418" s="36"/>
      <c r="G1418" s="34"/>
      <c r="H1418" s="33"/>
      <c r="I1418" s="33"/>
      <c r="J1418" s="33"/>
      <c r="K1418" s="37"/>
      <c r="L1418" s="37"/>
    </row>
    <row r="1419" spans="2:12" x14ac:dyDescent="0.2">
      <c r="B1419" s="36"/>
      <c r="G1419" s="34"/>
      <c r="H1419" s="33"/>
      <c r="I1419" s="33"/>
      <c r="J1419" s="33"/>
      <c r="K1419" s="37"/>
      <c r="L1419" s="37"/>
    </row>
    <row r="1420" spans="2:12" x14ac:dyDescent="0.2">
      <c r="B1420" s="36"/>
      <c r="G1420" s="34"/>
      <c r="H1420" s="33"/>
      <c r="I1420" s="33"/>
      <c r="J1420" s="33"/>
      <c r="K1420" s="37"/>
      <c r="L1420" s="37"/>
    </row>
    <row r="1421" spans="2:12" x14ac:dyDescent="0.2">
      <c r="B1421" s="36"/>
      <c r="G1421" s="34"/>
      <c r="H1421" s="33"/>
      <c r="I1421" s="33"/>
      <c r="J1421" s="33"/>
      <c r="K1421" s="37"/>
      <c r="L1421" s="37"/>
    </row>
    <row r="1422" spans="2:12" x14ac:dyDescent="0.2">
      <c r="B1422" s="36"/>
      <c r="G1422" s="34"/>
      <c r="H1422" s="33"/>
      <c r="I1422" s="33"/>
      <c r="J1422" s="33"/>
      <c r="K1422" s="37"/>
      <c r="L1422" s="37"/>
    </row>
    <row r="1423" spans="2:12" x14ac:dyDescent="0.2">
      <c r="B1423" s="36"/>
      <c r="G1423" s="34"/>
      <c r="H1423" s="33"/>
      <c r="I1423" s="33"/>
      <c r="J1423" s="33"/>
      <c r="K1423" s="37"/>
      <c r="L1423" s="37"/>
    </row>
    <row r="1424" spans="2:12" x14ac:dyDescent="0.2">
      <c r="B1424" s="36"/>
      <c r="G1424" s="34"/>
      <c r="H1424" s="33"/>
      <c r="I1424" s="33"/>
      <c r="J1424" s="33"/>
      <c r="K1424" s="37"/>
      <c r="L1424" s="37"/>
    </row>
    <row r="1425" spans="2:12" x14ac:dyDescent="0.2">
      <c r="B1425" s="36"/>
      <c r="G1425" s="34"/>
      <c r="H1425" s="33"/>
      <c r="I1425" s="33"/>
      <c r="J1425" s="33"/>
      <c r="K1425" s="37"/>
      <c r="L1425" s="37"/>
    </row>
    <row r="1426" spans="2:12" x14ac:dyDescent="0.2">
      <c r="B1426" s="36"/>
      <c r="G1426" s="34"/>
      <c r="H1426" s="33"/>
      <c r="I1426" s="33"/>
      <c r="J1426" s="33"/>
      <c r="K1426" s="37"/>
      <c r="L1426" s="37"/>
    </row>
    <row r="1427" spans="2:12" x14ac:dyDescent="0.2">
      <c r="B1427" s="36"/>
      <c r="G1427" s="34"/>
      <c r="H1427" s="33"/>
      <c r="I1427" s="33"/>
      <c r="J1427" s="33"/>
      <c r="K1427" s="37"/>
      <c r="L1427" s="37"/>
    </row>
    <row r="1428" spans="2:12" x14ac:dyDescent="0.2">
      <c r="B1428" s="36"/>
      <c r="G1428" s="34"/>
      <c r="H1428" s="33"/>
      <c r="I1428" s="33"/>
      <c r="J1428" s="33"/>
      <c r="K1428" s="37"/>
      <c r="L1428" s="37"/>
    </row>
    <row r="1429" spans="2:12" x14ac:dyDescent="0.2">
      <c r="B1429" s="36"/>
      <c r="G1429" s="34"/>
      <c r="H1429" s="33"/>
      <c r="I1429" s="33"/>
      <c r="J1429" s="33"/>
      <c r="K1429" s="37"/>
      <c r="L1429" s="37"/>
    </row>
    <row r="1430" spans="2:12" x14ac:dyDescent="0.2">
      <c r="B1430" s="36"/>
      <c r="G1430" s="34"/>
      <c r="H1430" s="33"/>
      <c r="I1430" s="33"/>
      <c r="J1430" s="33"/>
      <c r="K1430" s="37"/>
      <c r="L1430" s="37"/>
    </row>
    <row r="1431" spans="2:12" x14ac:dyDescent="0.2">
      <c r="B1431" s="36"/>
      <c r="G1431" s="34"/>
      <c r="H1431" s="33"/>
      <c r="I1431" s="33"/>
      <c r="J1431" s="33"/>
      <c r="K1431" s="37"/>
      <c r="L1431" s="37"/>
    </row>
    <row r="1432" spans="2:12" x14ac:dyDescent="0.2">
      <c r="B1432" s="36"/>
      <c r="G1432" s="34"/>
      <c r="H1432" s="33"/>
      <c r="I1432" s="33"/>
      <c r="J1432" s="33"/>
      <c r="K1432" s="37"/>
      <c r="L1432" s="37"/>
    </row>
    <row r="1433" spans="2:12" x14ac:dyDescent="0.2">
      <c r="B1433" s="36"/>
      <c r="G1433" s="34"/>
      <c r="H1433" s="33"/>
      <c r="I1433" s="33"/>
      <c r="J1433" s="33"/>
      <c r="K1433" s="37"/>
      <c r="L1433" s="37"/>
    </row>
    <row r="1434" spans="2:12" x14ac:dyDescent="0.2">
      <c r="B1434" s="36"/>
      <c r="G1434" s="34"/>
      <c r="H1434" s="33"/>
      <c r="I1434" s="33"/>
      <c r="J1434" s="33"/>
      <c r="K1434" s="37"/>
      <c r="L1434" s="37"/>
    </row>
    <row r="1435" spans="2:12" x14ac:dyDescent="0.2">
      <c r="B1435" s="36"/>
      <c r="G1435" s="34"/>
      <c r="H1435" s="33"/>
      <c r="I1435" s="33"/>
      <c r="J1435" s="33"/>
      <c r="K1435" s="37"/>
      <c r="L1435" s="37"/>
    </row>
    <row r="1436" spans="2:12" x14ac:dyDescent="0.2">
      <c r="B1436" s="36"/>
      <c r="G1436" s="34"/>
      <c r="H1436" s="33"/>
      <c r="I1436" s="33"/>
      <c r="J1436" s="33"/>
      <c r="K1436" s="37"/>
      <c r="L1436" s="37"/>
    </row>
    <row r="1437" spans="2:12" x14ac:dyDescent="0.2">
      <c r="B1437" s="36"/>
      <c r="G1437" s="34"/>
      <c r="H1437" s="33"/>
      <c r="I1437" s="33"/>
      <c r="J1437" s="33"/>
      <c r="K1437" s="37"/>
      <c r="L1437" s="37"/>
    </row>
    <row r="1438" spans="2:12" x14ac:dyDescent="0.2">
      <c r="B1438" s="36"/>
      <c r="G1438" s="34"/>
      <c r="H1438" s="33"/>
      <c r="I1438" s="33"/>
      <c r="J1438" s="33"/>
      <c r="K1438" s="37"/>
      <c r="L1438" s="37"/>
    </row>
    <row r="1439" spans="2:12" x14ac:dyDescent="0.2">
      <c r="B1439" s="36"/>
      <c r="G1439" s="34"/>
      <c r="H1439" s="33"/>
      <c r="I1439" s="33"/>
      <c r="J1439" s="33"/>
      <c r="K1439" s="37"/>
      <c r="L1439" s="37"/>
    </row>
    <row r="1440" spans="2:12" x14ac:dyDescent="0.2">
      <c r="B1440" s="36"/>
      <c r="G1440" s="34"/>
      <c r="H1440" s="33"/>
      <c r="I1440" s="33"/>
      <c r="J1440" s="33"/>
      <c r="K1440" s="37"/>
      <c r="L1440" s="37"/>
    </row>
    <row r="1441" spans="2:12" x14ac:dyDescent="0.2">
      <c r="B1441" s="36"/>
      <c r="G1441" s="34"/>
      <c r="H1441" s="33"/>
      <c r="I1441" s="33"/>
      <c r="J1441" s="33"/>
      <c r="K1441" s="37"/>
      <c r="L1441" s="37"/>
    </row>
    <row r="1442" spans="2:12" x14ac:dyDescent="0.2">
      <c r="B1442" s="36"/>
      <c r="G1442" s="34"/>
      <c r="H1442" s="33"/>
      <c r="I1442" s="33"/>
      <c r="J1442" s="33"/>
      <c r="K1442" s="37"/>
      <c r="L1442" s="37"/>
    </row>
    <row r="1443" spans="2:12" x14ac:dyDescent="0.2">
      <c r="B1443" s="36"/>
      <c r="G1443" s="34"/>
      <c r="H1443" s="33"/>
      <c r="I1443" s="33"/>
      <c r="J1443" s="33"/>
      <c r="K1443" s="37"/>
      <c r="L1443" s="37"/>
    </row>
    <row r="1444" spans="2:12" x14ac:dyDescent="0.2">
      <c r="B1444" s="36"/>
      <c r="G1444" s="34"/>
      <c r="H1444" s="33"/>
      <c r="I1444" s="33"/>
      <c r="J1444" s="33"/>
      <c r="K1444" s="37"/>
      <c r="L1444" s="37"/>
    </row>
    <row r="1445" spans="2:12" x14ac:dyDescent="0.2">
      <c r="B1445" s="36"/>
      <c r="G1445" s="34"/>
      <c r="H1445" s="33"/>
      <c r="I1445" s="33"/>
      <c r="J1445" s="33"/>
      <c r="K1445" s="37"/>
      <c r="L1445" s="37"/>
    </row>
    <row r="1446" spans="2:12" x14ac:dyDescent="0.2">
      <c r="B1446" s="36"/>
      <c r="G1446" s="34"/>
      <c r="H1446" s="33"/>
      <c r="I1446" s="33"/>
      <c r="J1446" s="33"/>
      <c r="K1446" s="37"/>
      <c r="L1446" s="37"/>
    </row>
    <row r="1447" spans="2:12" x14ac:dyDescent="0.2">
      <c r="B1447" s="36"/>
      <c r="G1447" s="34"/>
      <c r="H1447" s="33"/>
      <c r="I1447" s="33"/>
      <c r="J1447" s="33"/>
      <c r="K1447" s="37"/>
      <c r="L1447" s="37"/>
    </row>
    <row r="1448" spans="2:12" x14ac:dyDescent="0.2">
      <c r="B1448" s="36"/>
      <c r="G1448" s="34"/>
      <c r="H1448" s="33"/>
      <c r="I1448" s="33"/>
      <c r="J1448" s="33"/>
      <c r="K1448" s="37"/>
      <c r="L1448" s="37"/>
    </row>
    <row r="1449" spans="2:12" x14ac:dyDescent="0.2">
      <c r="B1449" s="36"/>
      <c r="G1449" s="34"/>
      <c r="H1449" s="33"/>
      <c r="I1449" s="33"/>
      <c r="J1449" s="33"/>
      <c r="K1449" s="37"/>
      <c r="L1449" s="37"/>
    </row>
    <row r="1450" spans="2:12" x14ac:dyDescent="0.2">
      <c r="B1450" s="36"/>
      <c r="G1450" s="34"/>
      <c r="H1450" s="33"/>
      <c r="I1450" s="33"/>
      <c r="J1450" s="33"/>
      <c r="K1450" s="37"/>
      <c r="L1450" s="37"/>
    </row>
    <row r="1451" spans="2:12" x14ac:dyDescent="0.2">
      <c r="B1451" s="36"/>
      <c r="G1451" s="34"/>
      <c r="H1451" s="33"/>
      <c r="I1451" s="33"/>
      <c r="J1451" s="33"/>
      <c r="K1451" s="37"/>
      <c r="L1451" s="37"/>
    </row>
    <row r="1452" spans="2:12" x14ac:dyDescent="0.2">
      <c r="B1452" s="36"/>
      <c r="G1452" s="34"/>
      <c r="H1452" s="33"/>
      <c r="I1452" s="33"/>
      <c r="J1452" s="33"/>
      <c r="K1452" s="37"/>
      <c r="L1452" s="37"/>
    </row>
    <row r="1453" spans="2:12" x14ac:dyDescent="0.2">
      <c r="B1453" s="36"/>
      <c r="G1453" s="34"/>
      <c r="H1453" s="33"/>
      <c r="I1453" s="33"/>
      <c r="J1453" s="33"/>
      <c r="K1453" s="37"/>
      <c r="L1453" s="37"/>
    </row>
    <row r="1454" spans="2:12" x14ac:dyDescent="0.2">
      <c r="B1454" s="36"/>
      <c r="G1454" s="34"/>
      <c r="H1454" s="33"/>
      <c r="I1454" s="33"/>
      <c r="J1454" s="33"/>
      <c r="K1454" s="37"/>
      <c r="L1454" s="37"/>
    </row>
    <row r="1455" spans="2:12" x14ac:dyDescent="0.2">
      <c r="B1455" s="36"/>
      <c r="G1455" s="34"/>
      <c r="H1455" s="33"/>
      <c r="I1455" s="33"/>
      <c r="J1455" s="33"/>
      <c r="K1455" s="37"/>
      <c r="L1455" s="37"/>
    </row>
    <row r="1456" spans="2:12" x14ac:dyDescent="0.2">
      <c r="B1456" s="36"/>
      <c r="G1456" s="34"/>
      <c r="H1456" s="33"/>
      <c r="I1456" s="33"/>
      <c r="J1456" s="33"/>
      <c r="K1456" s="37"/>
      <c r="L1456" s="37"/>
    </row>
    <row r="1457" spans="2:12" x14ac:dyDescent="0.2">
      <c r="B1457" s="36"/>
      <c r="G1457" s="34"/>
      <c r="H1457" s="33"/>
      <c r="I1457" s="33"/>
      <c r="J1457" s="33"/>
      <c r="K1457" s="37"/>
      <c r="L1457" s="37"/>
    </row>
    <row r="1458" spans="2:12" x14ac:dyDescent="0.2">
      <c r="B1458" s="36"/>
      <c r="G1458" s="34"/>
      <c r="H1458" s="33"/>
      <c r="I1458" s="33"/>
      <c r="J1458" s="33"/>
      <c r="K1458" s="37"/>
      <c r="L1458" s="37"/>
    </row>
    <row r="1459" spans="2:12" x14ac:dyDescent="0.2">
      <c r="B1459" s="36"/>
      <c r="G1459" s="34"/>
      <c r="H1459" s="33"/>
      <c r="I1459" s="33"/>
      <c r="J1459" s="33"/>
      <c r="K1459" s="37"/>
      <c r="L1459" s="37"/>
    </row>
    <row r="1460" spans="2:12" x14ac:dyDescent="0.2">
      <c r="B1460" s="36"/>
      <c r="G1460" s="34"/>
      <c r="H1460" s="33"/>
      <c r="I1460" s="33"/>
      <c r="J1460" s="33"/>
      <c r="K1460" s="37"/>
      <c r="L1460" s="37"/>
    </row>
    <row r="1461" spans="2:12" x14ac:dyDescent="0.2">
      <c r="B1461" s="36"/>
      <c r="G1461" s="34"/>
      <c r="H1461" s="33"/>
      <c r="I1461" s="33"/>
      <c r="J1461" s="33"/>
      <c r="K1461" s="37"/>
      <c r="L1461" s="37"/>
    </row>
    <row r="1462" spans="2:12" x14ac:dyDescent="0.2">
      <c r="B1462" s="36"/>
      <c r="G1462" s="34"/>
      <c r="H1462" s="33"/>
      <c r="I1462" s="33"/>
      <c r="J1462" s="33"/>
      <c r="K1462" s="37"/>
      <c r="L1462" s="37"/>
    </row>
    <row r="1463" spans="2:12" x14ac:dyDescent="0.2">
      <c r="B1463" s="36"/>
      <c r="G1463" s="34"/>
      <c r="H1463" s="33"/>
      <c r="I1463" s="33"/>
      <c r="J1463" s="33"/>
      <c r="K1463" s="37"/>
      <c r="L1463" s="37"/>
    </row>
    <row r="1464" spans="2:12" x14ac:dyDescent="0.2">
      <c r="B1464" s="36"/>
      <c r="G1464" s="34"/>
      <c r="H1464" s="33"/>
      <c r="I1464" s="33"/>
      <c r="J1464" s="33"/>
      <c r="K1464" s="37"/>
      <c r="L1464" s="37"/>
    </row>
    <row r="1465" spans="2:12" x14ac:dyDescent="0.2">
      <c r="B1465" s="36"/>
      <c r="G1465" s="34"/>
      <c r="H1465" s="33"/>
      <c r="I1465" s="33"/>
      <c r="J1465" s="33"/>
      <c r="K1465" s="37"/>
      <c r="L1465" s="37"/>
    </row>
    <row r="1466" spans="2:12" x14ac:dyDescent="0.2">
      <c r="B1466" s="36"/>
      <c r="G1466" s="34"/>
      <c r="H1466" s="33"/>
      <c r="I1466" s="33"/>
      <c r="J1466" s="33"/>
      <c r="K1466" s="37"/>
      <c r="L1466" s="37"/>
    </row>
    <row r="1467" spans="2:12" x14ac:dyDescent="0.2">
      <c r="B1467" s="36"/>
      <c r="G1467" s="34"/>
      <c r="H1467" s="33"/>
      <c r="I1467" s="33"/>
      <c r="J1467" s="33"/>
      <c r="K1467" s="37"/>
      <c r="L1467" s="37"/>
    </row>
    <row r="1468" spans="2:12" x14ac:dyDescent="0.2">
      <c r="B1468" s="36"/>
      <c r="G1468" s="34"/>
      <c r="H1468" s="33"/>
      <c r="I1468" s="33"/>
      <c r="J1468" s="33"/>
      <c r="K1468" s="37"/>
      <c r="L1468" s="37"/>
    </row>
    <row r="1469" spans="2:12" x14ac:dyDescent="0.2">
      <c r="B1469" s="36"/>
      <c r="G1469" s="34"/>
      <c r="H1469" s="33"/>
      <c r="I1469" s="33"/>
      <c r="J1469" s="33"/>
      <c r="K1469" s="37"/>
      <c r="L1469" s="37"/>
    </row>
    <row r="1470" spans="2:12" x14ac:dyDescent="0.2">
      <c r="B1470" s="36"/>
      <c r="G1470" s="34"/>
      <c r="H1470" s="33"/>
      <c r="I1470" s="33"/>
      <c r="J1470" s="33"/>
      <c r="K1470" s="37"/>
      <c r="L1470" s="37"/>
    </row>
    <row r="1471" spans="2:12" x14ac:dyDescent="0.2">
      <c r="B1471" s="36"/>
      <c r="G1471" s="34"/>
      <c r="H1471" s="33"/>
      <c r="I1471" s="33"/>
      <c r="J1471" s="33"/>
      <c r="K1471" s="37"/>
      <c r="L1471" s="37"/>
    </row>
    <row r="1472" spans="2:12" x14ac:dyDescent="0.2">
      <c r="B1472" s="36"/>
      <c r="G1472" s="34"/>
      <c r="H1472" s="33"/>
      <c r="I1472" s="33"/>
      <c r="J1472" s="33"/>
      <c r="K1472" s="37"/>
      <c r="L1472" s="37"/>
    </row>
    <row r="1473" spans="2:12" x14ac:dyDescent="0.2">
      <c r="B1473" s="36"/>
      <c r="G1473" s="34"/>
      <c r="H1473" s="33"/>
      <c r="I1473" s="33"/>
      <c r="J1473" s="33"/>
      <c r="K1473" s="37"/>
      <c r="L1473" s="37"/>
    </row>
    <row r="1474" spans="2:12" x14ac:dyDescent="0.2">
      <c r="B1474" s="36"/>
      <c r="G1474" s="34"/>
      <c r="H1474" s="33"/>
      <c r="I1474" s="33"/>
      <c r="J1474" s="33"/>
      <c r="K1474" s="37"/>
      <c r="L1474" s="37"/>
    </row>
    <row r="1475" spans="2:12" x14ac:dyDescent="0.2">
      <c r="B1475" s="36"/>
      <c r="G1475" s="34"/>
      <c r="H1475" s="33"/>
      <c r="I1475" s="33"/>
      <c r="J1475" s="33"/>
      <c r="K1475" s="37"/>
      <c r="L1475" s="37"/>
    </row>
    <row r="1476" spans="2:12" x14ac:dyDescent="0.2">
      <c r="B1476" s="36"/>
      <c r="G1476" s="34"/>
      <c r="H1476" s="33"/>
      <c r="I1476" s="33"/>
      <c r="J1476" s="33"/>
      <c r="K1476" s="37"/>
      <c r="L1476" s="37"/>
    </row>
    <row r="1477" spans="2:12" x14ac:dyDescent="0.2">
      <c r="B1477" s="36"/>
      <c r="G1477" s="34"/>
      <c r="H1477" s="33"/>
      <c r="I1477" s="33"/>
      <c r="J1477" s="33"/>
      <c r="K1477" s="37"/>
      <c r="L1477" s="37"/>
    </row>
    <row r="1478" spans="2:12" x14ac:dyDescent="0.2">
      <c r="B1478" s="36"/>
      <c r="G1478" s="34"/>
      <c r="H1478" s="33"/>
      <c r="I1478" s="33"/>
      <c r="J1478" s="33"/>
      <c r="K1478" s="37"/>
      <c r="L1478" s="37"/>
    </row>
    <row r="1479" spans="2:12" x14ac:dyDescent="0.2">
      <c r="B1479" s="36"/>
      <c r="G1479" s="34"/>
      <c r="H1479" s="33"/>
      <c r="I1479" s="33"/>
      <c r="J1479" s="33"/>
      <c r="K1479" s="37"/>
      <c r="L1479" s="37"/>
    </row>
    <row r="1480" spans="2:12" x14ac:dyDescent="0.2">
      <c r="B1480" s="36"/>
      <c r="G1480" s="34"/>
      <c r="H1480" s="33"/>
      <c r="I1480" s="33"/>
      <c r="J1480" s="33"/>
      <c r="K1480" s="37"/>
      <c r="L1480" s="37"/>
    </row>
    <row r="1481" spans="2:12" x14ac:dyDescent="0.2">
      <c r="B1481" s="36"/>
      <c r="G1481" s="34"/>
      <c r="H1481" s="33"/>
      <c r="I1481" s="33"/>
      <c r="J1481" s="33"/>
      <c r="K1481" s="37"/>
      <c r="L1481" s="37"/>
    </row>
    <row r="1482" spans="2:12" x14ac:dyDescent="0.2">
      <c r="B1482" s="36"/>
      <c r="G1482" s="34"/>
      <c r="H1482" s="33"/>
      <c r="I1482" s="33"/>
      <c r="J1482" s="33"/>
      <c r="K1482" s="37"/>
      <c r="L1482" s="37"/>
    </row>
    <row r="1483" spans="2:12" x14ac:dyDescent="0.2">
      <c r="B1483" s="36"/>
      <c r="G1483" s="34"/>
      <c r="H1483" s="33"/>
      <c r="I1483" s="33"/>
      <c r="J1483" s="33"/>
      <c r="K1483" s="37"/>
      <c r="L1483" s="37"/>
    </row>
    <row r="1484" spans="2:12" x14ac:dyDescent="0.2">
      <c r="B1484" s="36"/>
      <c r="G1484" s="34"/>
      <c r="H1484" s="33"/>
      <c r="I1484" s="33"/>
      <c r="J1484" s="33"/>
      <c r="K1484" s="37"/>
      <c r="L1484" s="37"/>
    </row>
    <row r="1485" spans="2:12" x14ac:dyDescent="0.2">
      <c r="B1485" s="36"/>
      <c r="G1485" s="34"/>
      <c r="H1485" s="33"/>
      <c r="I1485" s="33"/>
      <c r="J1485" s="33"/>
      <c r="K1485" s="37"/>
      <c r="L1485" s="37"/>
    </row>
    <row r="1486" spans="2:12" x14ac:dyDescent="0.2">
      <c r="B1486" s="36"/>
      <c r="G1486" s="34"/>
      <c r="H1486" s="33"/>
      <c r="I1486" s="33"/>
      <c r="J1486" s="33"/>
      <c r="K1486" s="37"/>
      <c r="L1486" s="37"/>
    </row>
    <row r="1487" spans="2:12" x14ac:dyDescent="0.2">
      <c r="B1487" s="36"/>
      <c r="G1487" s="34"/>
      <c r="H1487" s="33"/>
      <c r="I1487" s="33"/>
      <c r="J1487" s="33"/>
      <c r="K1487" s="37"/>
      <c r="L1487" s="37"/>
    </row>
    <row r="1488" spans="2:12" x14ac:dyDescent="0.2">
      <c r="B1488" s="36"/>
      <c r="G1488" s="34"/>
      <c r="H1488" s="33"/>
      <c r="I1488" s="33"/>
      <c r="J1488" s="33"/>
      <c r="K1488" s="37"/>
      <c r="L1488" s="37"/>
    </row>
    <row r="1489" spans="2:12" x14ac:dyDescent="0.2">
      <c r="B1489" s="36"/>
      <c r="G1489" s="34"/>
      <c r="H1489" s="33"/>
      <c r="I1489" s="33"/>
      <c r="J1489" s="33"/>
      <c r="K1489" s="37"/>
      <c r="L1489" s="37"/>
    </row>
    <row r="1490" spans="2:12" x14ac:dyDescent="0.2">
      <c r="B1490" s="36"/>
      <c r="G1490" s="34"/>
      <c r="H1490" s="33"/>
      <c r="I1490" s="33"/>
      <c r="J1490" s="33"/>
      <c r="K1490" s="37"/>
      <c r="L1490" s="37"/>
    </row>
    <row r="1491" spans="2:12" x14ac:dyDescent="0.2">
      <c r="B1491" s="36"/>
      <c r="G1491" s="34"/>
      <c r="H1491" s="33"/>
      <c r="I1491" s="33"/>
      <c r="J1491" s="33"/>
      <c r="K1491" s="37"/>
      <c r="L1491" s="37"/>
    </row>
    <row r="1492" spans="2:12" x14ac:dyDescent="0.2">
      <c r="B1492" s="36"/>
      <c r="G1492" s="34"/>
      <c r="H1492" s="33"/>
      <c r="I1492" s="33"/>
      <c r="J1492" s="33"/>
      <c r="K1492" s="37"/>
      <c r="L1492" s="37"/>
    </row>
    <row r="1493" spans="2:12" x14ac:dyDescent="0.2">
      <c r="B1493" s="36"/>
      <c r="G1493" s="34"/>
      <c r="H1493" s="33"/>
      <c r="I1493" s="33"/>
      <c r="J1493" s="33"/>
      <c r="K1493" s="37"/>
      <c r="L1493" s="37"/>
    </row>
    <row r="1494" spans="2:12" x14ac:dyDescent="0.2">
      <c r="B1494" s="36"/>
      <c r="G1494" s="34"/>
      <c r="H1494" s="33"/>
      <c r="I1494" s="33"/>
      <c r="J1494" s="33"/>
      <c r="K1494" s="37"/>
      <c r="L1494" s="37"/>
    </row>
    <row r="1495" spans="2:12" x14ac:dyDescent="0.2">
      <c r="B1495" s="36"/>
      <c r="G1495" s="34"/>
      <c r="H1495" s="33"/>
      <c r="I1495" s="33"/>
      <c r="J1495" s="33"/>
      <c r="K1495" s="37"/>
      <c r="L1495" s="37"/>
    </row>
    <row r="1496" spans="2:12" x14ac:dyDescent="0.2">
      <c r="B1496" s="36"/>
      <c r="G1496" s="34"/>
      <c r="H1496" s="33"/>
      <c r="I1496" s="33"/>
      <c r="J1496" s="33"/>
      <c r="K1496" s="37"/>
      <c r="L1496" s="37"/>
    </row>
    <row r="1497" spans="2:12" x14ac:dyDescent="0.2">
      <c r="B1497" s="36"/>
      <c r="G1497" s="34"/>
      <c r="H1497" s="33"/>
      <c r="I1497" s="33"/>
      <c r="J1497" s="33"/>
      <c r="K1497" s="37"/>
      <c r="L1497" s="37"/>
    </row>
    <row r="1498" spans="2:12" x14ac:dyDescent="0.2">
      <c r="B1498" s="36"/>
      <c r="G1498" s="34"/>
      <c r="H1498" s="33"/>
      <c r="I1498" s="33"/>
      <c r="J1498" s="33"/>
      <c r="K1498" s="37"/>
      <c r="L1498" s="37"/>
    </row>
    <row r="1499" spans="2:12" x14ac:dyDescent="0.2">
      <c r="B1499" s="36"/>
      <c r="G1499" s="34"/>
      <c r="H1499" s="33"/>
      <c r="I1499" s="33"/>
      <c r="J1499" s="33"/>
      <c r="K1499" s="37"/>
      <c r="L1499" s="37"/>
    </row>
    <row r="1500" spans="2:12" x14ac:dyDescent="0.2">
      <c r="B1500" s="36"/>
      <c r="G1500" s="34"/>
      <c r="H1500" s="33"/>
      <c r="I1500" s="33"/>
      <c r="J1500" s="33"/>
      <c r="K1500" s="37"/>
      <c r="L1500" s="37"/>
    </row>
    <row r="1501" spans="2:12" x14ac:dyDescent="0.2">
      <c r="B1501" s="36"/>
      <c r="G1501" s="34"/>
      <c r="H1501" s="33"/>
      <c r="I1501" s="33"/>
      <c r="J1501" s="33"/>
      <c r="K1501" s="37"/>
      <c r="L1501" s="37"/>
    </row>
    <row r="1502" spans="2:12" x14ac:dyDescent="0.2">
      <c r="B1502" s="36"/>
      <c r="G1502" s="34"/>
      <c r="H1502" s="33"/>
      <c r="I1502" s="33"/>
      <c r="J1502" s="33"/>
      <c r="K1502" s="37"/>
      <c r="L1502" s="37"/>
    </row>
    <row r="1503" spans="2:12" x14ac:dyDescent="0.2">
      <c r="B1503" s="36"/>
      <c r="G1503" s="34"/>
      <c r="H1503" s="33"/>
      <c r="I1503" s="33"/>
      <c r="J1503" s="33"/>
      <c r="K1503" s="37"/>
      <c r="L1503" s="37"/>
    </row>
    <row r="1504" spans="2:12" x14ac:dyDescent="0.2">
      <c r="B1504" s="36"/>
      <c r="G1504" s="34"/>
      <c r="H1504" s="33"/>
      <c r="I1504" s="33"/>
      <c r="J1504" s="33"/>
      <c r="K1504" s="37"/>
      <c r="L1504" s="37"/>
    </row>
    <row r="1505" spans="2:12" x14ac:dyDescent="0.2">
      <c r="B1505" s="36"/>
      <c r="G1505" s="34"/>
      <c r="H1505" s="33"/>
      <c r="I1505" s="33"/>
      <c r="J1505" s="33"/>
      <c r="K1505" s="37"/>
      <c r="L1505" s="37"/>
    </row>
    <row r="1506" spans="2:12" x14ac:dyDescent="0.2">
      <c r="B1506" s="36"/>
      <c r="G1506" s="34"/>
      <c r="H1506" s="33"/>
      <c r="I1506" s="33"/>
      <c r="J1506" s="33"/>
      <c r="K1506" s="37"/>
      <c r="L1506" s="37"/>
    </row>
    <row r="1507" spans="2:12" x14ac:dyDescent="0.2">
      <c r="B1507" s="36"/>
      <c r="G1507" s="34"/>
      <c r="H1507" s="33"/>
      <c r="I1507" s="33"/>
      <c r="J1507" s="33"/>
      <c r="K1507" s="37"/>
      <c r="L1507" s="37"/>
    </row>
    <row r="1508" spans="2:12" x14ac:dyDescent="0.2">
      <c r="B1508" s="36"/>
      <c r="G1508" s="34"/>
      <c r="H1508" s="33"/>
      <c r="I1508" s="33"/>
      <c r="J1508" s="33"/>
      <c r="K1508" s="37"/>
      <c r="L1508" s="37"/>
    </row>
    <row r="1509" spans="2:12" x14ac:dyDescent="0.2">
      <c r="B1509" s="36"/>
      <c r="G1509" s="34"/>
      <c r="H1509" s="33"/>
      <c r="I1509" s="33"/>
      <c r="J1509" s="33"/>
      <c r="K1509" s="37"/>
      <c r="L1509" s="37"/>
    </row>
    <row r="1510" spans="2:12" x14ac:dyDescent="0.2">
      <c r="B1510" s="36"/>
      <c r="G1510" s="34"/>
      <c r="H1510" s="33"/>
      <c r="I1510" s="33"/>
      <c r="J1510" s="33"/>
      <c r="K1510" s="37"/>
      <c r="L1510" s="37"/>
    </row>
    <row r="1511" spans="2:12" x14ac:dyDescent="0.2">
      <c r="B1511" s="36"/>
      <c r="G1511" s="34"/>
      <c r="H1511" s="33"/>
      <c r="I1511" s="33"/>
      <c r="J1511" s="33"/>
      <c r="K1511" s="37"/>
      <c r="L1511" s="37"/>
    </row>
    <row r="1512" spans="2:12" x14ac:dyDescent="0.2">
      <c r="B1512" s="36"/>
      <c r="G1512" s="34"/>
      <c r="H1512" s="33"/>
      <c r="I1512" s="33"/>
      <c r="J1512" s="33"/>
      <c r="K1512" s="37"/>
      <c r="L1512" s="37"/>
    </row>
    <row r="1513" spans="2:12" x14ac:dyDescent="0.2">
      <c r="B1513" s="36"/>
      <c r="G1513" s="34"/>
      <c r="H1513" s="33"/>
      <c r="I1513" s="33"/>
      <c r="J1513" s="33"/>
      <c r="K1513" s="37"/>
      <c r="L1513" s="37"/>
    </row>
    <row r="1514" spans="2:12" x14ac:dyDescent="0.2">
      <c r="B1514" s="36"/>
      <c r="G1514" s="34"/>
      <c r="H1514" s="33"/>
      <c r="I1514" s="33"/>
      <c r="J1514" s="33"/>
      <c r="K1514" s="37"/>
      <c r="L1514" s="37"/>
    </row>
    <row r="1515" spans="2:12" x14ac:dyDescent="0.2">
      <c r="B1515" s="36"/>
      <c r="G1515" s="34"/>
      <c r="H1515" s="33"/>
      <c r="I1515" s="33"/>
      <c r="J1515" s="33"/>
      <c r="K1515" s="37"/>
      <c r="L1515" s="37"/>
    </row>
    <row r="1516" spans="2:12" x14ac:dyDescent="0.2">
      <c r="B1516" s="36"/>
      <c r="G1516" s="34"/>
      <c r="H1516" s="33"/>
      <c r="I1516" s="33"/>
      <c r="J1516" s="33"/>
      <c r="K1516" s="37"/>
      <c r="L1516" s="37"/>
    </row>
    <row r="1517" spans="2:12" x14ac:dyDescent="0.2">
      <c r="B1517" s="36"/>
      <c r="G1517" s="34"/>
      <c r="H1517" s="33"/>
      <c r="I1517" s="33"/>
      <c r="J1517" s="33"/>
      <c r="K1517" s="37"/>
      <c r="L1517" s="37"/>
    </row>
    <row r="1518" spans="2:12" x14ac:dyDescent="0.2">
      <c r="B1518" s="36"/>
      <c r="G1518" s="34"/>
      <c r="H1518" s="33"/>
      <c r="I1518" s="33"/>
      <c r="J1518" s="33"/>
      <c r="K1518" s="37"/>
      <c r="L1518" s="37"/>
    </row>
    <row r="1519" spans="2:12" x14ac:dyDescent="0.2">
      <c r="B1519" s="36"/>
      <c r="G1519" s="34"/>
      <c r="H1519" s="33"/>
      <c r="I1519" s="33"/>
      <c r="J1519" s="33"/>
      <c r="K1519" s="37"/>
      <c r="L1519" s="37"/>
    </row>
    <row r="1520" spans="2:12" x14ac:dyDescent="0.2">
      <c r="B1520" s="36"/>
      <c r="G1520" s="34"/>
      <c r="H1520" s="33"/>
      <c r="I1520" s="33"/>
      <c r="J1520" s="33"/>
      <c r="K1520" s="37"/>
      <c r="L1520" s="37"/>
    </row>
    <row r="1521" spans="2:12" x14ac:dyDescent="0.2">
      <c r="B1521" s="36"/>
      <c r="G1521" s="34"/>
      <c r="H1521" s="33"/>
      <c r="I1521" s="33"/>
      <c r="J1521" s="33"/>
      <c r="K1521" s="37"/>
      <c r="L1521" s="37"/>
    </row>
    <row r="1522" spans="2:12" x14ac:dyDescent="0.2">
      <c r="B1522" s="36"/>
      <c r="G1522" s="34"/>
      <c r="H1522" s="33"/>
      <c r="I1522" s="33"/>
      <c r="J1522" s="33"/>
      <c r="K1522" s="37"/>
      <c r="L1522" s="37"/>
    </row>
    <row r="1523" spans="2:12" x14ac:dyDescent="0.2">
      <c r="B1523" s="36"/>
      <c r="G1523" s="34"/>
      <c r="H1523" s="33"/>
      <c r="I1523" s="33"/>
      <c r="J1523" s="33"/>
      <c r="K1523" s="37"/>
      <c r="L1523" s="37"/>
    </row>
    <row r="1524" spans="2:12" x14ac:dyDescent="0.2">
      <c r="B1524" s="36"/>
      <c r="G1524" s="34"/>
      <c r="H1524" s="33"/>
      <c r="I1524" s="33"/>
      <c r="J1524" s="33"/>
      <c r="K1524" s="37"/>
      <c r="L1524" s="37"/>
    </row>
    <row r="1525" spans="2:12" x14ac:dyDescent="0.2">
      <c r="B1525" s="36"/>
      <c r="G1525" s="34"/>
      <c r="H1525" s="33"/>
      <c r="I1525" s="33"/>
      <c r="J1525" s="33"/>
      <c r="K1525" s="37"/>
      <c r="L1525" s="37"/>
    </row>
    <row r="1526" spans="2:12" x14ac:dyDescent="0.2">
      <c r="B1526" s="36"/>
      <c r="G1526" s="34"/>
      <c r="H1526" s="33"/>
      <c r="I1526" s="33"/>
      <c r="J1526" s="33"/>
      <c r="K1526" s="37"/>
      <c r="L1526" s="37"/>
    </row>
    <row r="1527" spans="2:12" x14ac:dyDescent="0.2">
      <c r="B1527" s="36"/>
      <c r="G1527" s="34"/>
      <c r="H1527" s="33"/>
      <c r="I1527" s="33"/>
      <c r="J1527" s="33"/>
      <c r="K1527" s="37"/>
      <c r="L1527" s="37"/>
    </row>
    <row r="1528" spans="2:12" x14ac:dyDescent="0.2">
      <c r="B1528" s="36"/>
      <c r="G1528" s="34"/>
      <c r="H1528" s="33"/>
      <c r="I1528" s="33"/>
      <c r="J1528" s="33"/>
      <c r="K1528" s="37"/>
      <c r="L1528" s="37"/>
    </row>
    <row r="1529" spans="2:12" x14ac:dyDescent="0.2">
      <c r="B1529" s="36"/>
      <c r="G1529" s="34"/>
      <c r="H1529" s="33"/>
      <c r="I1529" s="33"/>
      <c r="J1529" s="33"/>
      <c r="K1529" s="37"/>
      <c r="L1529" s="37"/>
    </row>
    <row r="1530" spans="2:12" x14ac:dyDescent="0.2">
      <c r="B1530" s="36"/>
      <c r="G1530" s="34"/>
      <c r="H1530" s="33"/>
      <c r="I1530" s="33"/>
      <c r="J1530" s="33"/>
      <c r="K1530" s="37"/>
      <c r="L1530" s="37"/>
    </row>
    <row r="1531" spans="2:12" x14ac:dyDescent="0.2">
      <c r="B1531" s="36"/>
      <c r="G1531" s="34"/>
      <c r="H1531" s="33"/>
      <c r="I1531" s="33"/>
      <c r="J1531" s="33"/>
      <c r="K1531" s="37"/>
      <c r="L1531" s="37"/>
    </row>
    <row r="1532" spans="2:12" x14ac:dyDescent="0.2">
      <c r="B1532" s="36"/>
      <c r="G1532" s="34"/>
      <c r="H1532" s="33"/>
      <c r="I1532" s="33"/>
      <c r="J1532" s="33"/>
      <c r="K1532" s="37"/>
      <c r="L1532" s="37"/>
    </row>
    <row r="1533" spans="2:12" x14ac:dyDescent="0.2">
      <c r="B1533" s="36"/>
      <c r="G1533" s="34"/>
      <c r="H1533" s="33"/>
      <c r="I1533" s="33"/>
      <c r="J1533" s="33"/>
      <c r="K1533" s="37"/>
      <c r="L1533" s="37"/>
    </row>
    <row r="1534" spans="2:12" x14ac:dyDescent="0.2">
      <c r="B1534" s="36"/>
      <c r="G1534" s="34"/>
      <c r="H1534" s="33"/>
      <c r="I1534" s="33"/>
      <c r="J1534" s="33"/>
      <c r="K1534" s="37"/>
      <c r="L1534" s="37"/>
    </row>
    <row r="1535" spans="2:12" x14ac:dyDescent="0.2">
      <c r="B1535" s="36"/>
      <c r="G1535" s="34"/>
      <c r="H1535" s="33"/>
      <c r="I1535" s="33"/>
      <c r="J1535" s="33"/>
      <c r="K1535" s="37"/>
      <c r="L1535" s="37"/>
    </row>
    <row r="1536" spans="2:12" x14ac:dyDescent="0.2">
      <c r="B1536" s="36"/>
      <c r="G1536" s="34"/>
      <c r="H1536" s="33"/>
      <c r="I1536" s="33"/>
      <c r="J1536" s="33"/>
      <c r="K1536" s="37"/>
      <c r="L1536" s="37"/>
    </row>
    <row r="1537" spans="2:12" x14ac:dyDescent="0.2">
      <c r="B1537" s="36"/>
      <c r="G1537" s="34"/>
      <c r="H1537" s="33"/>
      <c r="I1537" s="33"/>
      <c r="J1537" s="33"/>
      <c r="K1537" s="37"/>
      <c r="L1537" s="37"/>
    </row>
    <row r="1538" spans="2:12" x14ac:dyDescent="0.2">
      <c r="B1538" s="36"/>
      <c r="G1538" s="34"/>
      <c r="H1538" s="33"/>
      <c r="I1538" s="33"/>
      <c r="J1538" s="33"/>
      <c r="K1538" s="37"/>
      <c r="L1538" s="37"/>
    </row>
    <row r="1539" spans="2:12" x14ac:dyDescent="0.2">
      <c r="B1539" s="36"/>
      <c r="G1539" s="34"/>
      <c r="H1539" s="33"/>
      <c r="I1539" s="33"/>
      <c r="J1539" s="33"/>
      <c r="K1539" s="37"/>
      <c r="L1539" s="37"/>
    </row>
    <row r="1540" spans="2:12" x14ac:dyDescent="0.2">
      <c r="B1540" s="36"/>
      <c r="G1540" s="34"/>
      <c r="H1540" s="33"/>
      <c r="I1540" s="33"/>
      <c r="J1540" s="33"/>
      <c r="K1540" s="37"/>
      <c r="L1540" s="37"/>
    </row>
    <row r="1541" spans="2:12" x14ac:dyDescent="0.2">
      <c r="B1541" s="36"/>
      <c r="G1541" s="34"/>
      <c r="H1541" s="33"/>
      <c r="I1541" s="33"/>
      <c r="J1541" s="33"/>
      <c r="K1541" s="37"/>
      <c r="L1541" s="37"/>
    </row>
    <row r="1542" spans="2:12" x14ac:dyDescent="0.2">
      <c r="B1542" s="36"/>
      <c r="G1542" s="34"/>
      <c r="H1542" s="33"/>
      <c r="I1542" s="33"/>
      <c r="J1542" s="33"/>
      <c r="K1542" s="37"/>
      <c r="L1542" s="37"/>
    </row>
    <row r="1543" spans="2:12" x14ac:dyDescent="0.2">
      <c r="B1543" s="36"/>
      <c r="G1543" s="34"/>
      <c r="H1543" s="33"/>
      <c r="I1543" s="33"/>
      <c r="J1543" s="33"/>
      <c r="K1543" s="37"/>
      <c r="L1543" s="37"/>
    </row>
    <row r="1544" spans="2:12" x14ac:dyDescent="0.2">
      <c r="B1544" s="36"/>
      <c r="G1544" s="34"/>
      <c r="H1544" s="33"/>
      <c r="I1544" s="33"/>
      <c r="J1544" s="33"/>
      <c r="K1544" s="37"/>
      <c r="L1544" s="37"/>
    </row>
    <row r="1545" spans="2:12" x14ac:dyDescent="0.2">
      <c r="B1545" s="36"/>
      <c r="G1545" s="34"/>
      <c r="H1545" s="33"/>
      <c r="I1545" s="33"/>
      <c r="J1545" s="33"/>
      <c r="K1545" s="37"/>
      <c r="L1545" s="37"/>
    </row>
    <row r="1546" spans="2:12" x14ac:dyDescent="0.2">
      <c r="B1546" s="36"/>
      <c r="G1546" s="34"/>
      <c r="H1546" s="33"/>
      <c r="I1546" s="33"/>
      <c r="J1546" s="33"/>
      <c r="K1546" s="37"/>
      <c r="L1546" s="37"/>
    </row>
    <row r="1547" spans="2:12" x14ac:dyDescent="0.2">
      <c r="B1547" s="36"/>
      <c r="G1547" s="34"/>
      <c r="H1547" s="33"/>
      <c r="I1547" s="33"/>
      <c r="J1547" s="33"/>
      <c r="K1547" s="37"/>
      <c r="L1547" s="37"/>
    </row>
    <row r="1548" spans="2:12" x14ac:dyDescent="0.2">
      <c r="B1548" s="36"/>
      <c r="G1548" s="34"/>
      <c r="H1548" s="33"/>
      <c r="I1548" s="33"/>
      <c r="J1548" s="33"/>
      <c r="K1548" s="37"/>
      <c r="L1548" s="37"/>
    </row>
    <row r="1549" spans="2:12" x14ac:dyDescent="0.2">
      <c r="B1549" s="36"/>
      <c r="G1549" s="34"/>
      <c r="H1549" s="33"/>
      <c r="I1549" s="33"/>
      <c r="J1549" s="33"/>
      <c r="K1549" s="37"/>
      <c r="L1549" s="37"/>
    </row>
    <row r="1550" spans="2:12" x14ac:dyDescent="0.2">
      <c r="B1550" s="36"/>
      <c r="G1550" s="34"/>
      <c r="H1550" s="33"/>
      <c r="I1550" s="33"/>
      <c r="J1550" s="33"/>
      <c r="K1550" s="37"/>
      <c r="L1550" s="37"/>
    </row>
    <row r="1551" spans="2:12" x14ac:dyDescent="0.2">
      <c r="B1551" s="36"/>
      <c r="G1551" s="34"/>
      <c r="H1551" s="33"/>
      <c r="I1551" s="33"/>
      <c r="J1551" s="33"/>
      <c r="K1551" s="37"/>
      <c r="L1551" s="37"/>
    </row>
    <row r="1552" spans="2:12" x14ac:dyDescent="0.2">
      <c r="B1552" s="36"/>
      <c r="G1552" s="34"/>
      <c r="H1552" s="33"/>
      <c r="I1552" s="33"/>
      <c r="J1552" s="33"/>
      <c r="K1552" s="37"/>
      <c r="L1552" s="37"/>
    </row>
    <row r="1553" spans="2:12" x14ac:dyDescent="0.2">
      <c r="B1553" s="36"/>
      <c r="G1553" s="34"/>
      <c r="H1553" s="33"/>
      <c r="I1553" s="33"/>
      <c r="J1553" s="33"/>
      <c r="K1553" s="37"/>
      <c r="L1553" s="37"/>
    </row>
    <row r="1554" spans="2:12" x14ac:dyDescent="0.2">
      <c r="B1554" s="36"/>
      <c r="G1554" s="34"/>
      <c r="H1554" s="33"/>
      <c r="I1554" s="33"/>
      <c r="J1554" s="33"/>
      <c r="K1554" s="37"/>
      <c r="L1554" s="37"/>
    </row>
    <row r="1555" spans="2:12" x14ac:dyDescent="0.2">
      <c r="B1555" s="36"/>
      <c r="G1555" s="34"/>
      <c r="H1555" s="33"/>
      <c r="I1555" s="33"/>
      <c r="J1555" s="33"/>
      <c r="K1555" s="37"/>
      <c r="L1555" s="37"/>
    </row>
    <row r="1556" spans="2:12" x14ac:dyDescent="0.2">
      <c r="B1556" s="36"/>
      <c r="G1556" s="34"/>
      <c r="H1556" s="33"/>
      <c r="I1556" s="33"/>
      <c r="J1556" s="33"/>
      <c r="K1556" s="37"/>
      <c r="L1556" s="37"/>
    </row>
    <row r="1557" spans="2:12" x14ac:dyDescent="0.2">
      <c r="B1557" s="36"/>
      <c r="G1557" s="34"/>
      <c r="H1557" s="33"/>
      <c r="I1557" s="33"/>
      <c r="J1557" s="33"/>
      <c r="K1557" s="37"/>
      <c r="L1557" s="37"/>
    </row>
    <row r="1558" spans="2:12" x14ac:dyDescent="0.2">
      <c r="B1558" s="36"/>
      <c r="G1558" s="34"/>
      <c r="H1558" s="33"/>
      <c r="I1558" s="33"/>
      <c r="J1558" s="33"/>
      <c r="K1558" s="37"/>
      <c r="L1558" s="37"/>
    </row>
    <row r="1559" spans="2:12" x14ac:dyDescent="0.2">
      <c r="B1559" s="36"/>
      <c r="G1559" s="34"/>
      <c r="H1559" s="33"/>
      <c r="I1559" s="33"/>
      <c r="J1559" s="33"/>
      <c r="K1559" s="37"/>
      <c r="L1559" s="37"/>
    </row>
    <row r="1560" spans="2:12" x14ac:dyDescent="0.2">
      <c r="B1560" s="36"/>
      <c r="G1560" s="34"/>
      <c r="H1560" s="33"/>
      <c r="I1560" s="33"/>
      <c r="J1560" s="33"/>
      <c r="K1560" s="37"/>
      <c r="L1560" s="37"/>
    </row>
    <row r="1561" spans="2:12" x14ac:dyDescent="0.2">
      <c r="B1561" s="36"/>
      <c r="G1561" s="34"/>
      <c r="H1561" s="33"/>
      <c r="I1561" s="33"/>
      <c r="J1561" s="33"/>
      <c r="K1561" s="37"/>
      <c r="L1561" s="37"/>
    </row>
    <row r="1562" spans="2:12" x14ac:dyDescent="0.2">
      <c r="B1562" s="36"/>
      <c r="G1562" s="34"/>
      <c r="H1562" s="33"/>
      <c r="I1562" s="33"/>
      <c r="J1562" s="33"/>
      <c r="K1562" s="37"/>
      <c r="L1562" s="37"/>
    </row>
    <row r="1563" spans="2:12" x14ac:dyDescent="0.2">
      <c r="B1563" s="36"/>
      <c r="G1563" s="34"/>
      <c r="H1563" s="33"/>
      <c r="I1563" s="33"/>
      <c r="J1563" s="33"/>
      <c r="K1563" s="37"/>
      <c r="L1563" s="37"/>
    </row>
    <row r="1564" spans="2:12" x14ac:dyDescent="0.2">
      <c r="B1564" s="36"/>
      <c r="G1564" s="34"/>
      <c r="H1564" s="33"/>
      <c r="I1564" s="33"/>
      <c r="J1564" s="33"/>
      <c r="K1564" s="37"/>
      <c r="L1564" s="37"/>
    </row>
    <row r="1565" spans="2:12" x14ac:dyDescent="0.2">
      <c r="B1565" s="36"/>
      <c r="G1565" s="34"/>
      <c r="H1565" s="33"/>
      <c r="I1565" s="33"/>
      <c r="J1565" s="33"/>
      <c r="K1565" s="37"/>
      <c r="L1565" s="37"/>
    </row>
    <row r="1566" spans="2:12" x14ac:dyDescent="0.2">
      <c r="B1566" s="36"/>
      <c r="G1566" s="34"/>
      <c r="H1566" s="33"/>
      <c r="I1566" s="33"/>
      <c r="J1566" s="33"/>
      <c r="K1566" s="37"/>
      <c r="L1566" s="37"/>
    </row>
    <row r="1567" spans="2:12" x14ac:dyDescent="0.2">
      <c r="B1567" s="36"/>
      <c r="G1567" s="34"/>
      <c r="H1567" s="33"/>
      <c r="I1567" s="33"/>
      <c r="J1567" s="33"/>
      <c r="K1567" s="37"/>
      <c r="L1567" s="37"/>
    </row>
    <row r="1568" spans="2:12" x14ac:dyDescent="0.2">
      <c r="B1568" s="36"/>
      <c r="G1568" s="34"/>
      <c r="H1568" s="33"/>
      <c r="I1568" s="33"/>
      <c r="J1568" s="33"/>
      <c r="K1568" s="37"/>
      <c r="L1568" s="37"/>
    </row>
    <row r="1569" spans="2:12" x14ac:dyDescent="0.2">
      <c r="B1569" s="36"/>
      <c r="G1569" s="34"/>
      <c r="H1569" s="33"/>
      <c r="I1569" s="33"/>
      <c r="J1569" s="33"/>
      <c r="K1569" s="37"/>
      <c r="L1569" s="37"/>
    </row>
    <row r="1570" spans="2:12" x14ac:dyDescent="0.2">
      <c r="B1570" s="36"/>
      <c r="G1570" s="34"/>
      <c r="H1570" s="33"/>
      <c r="I1570" s="33"/>
      <c r="J1570" s="33"/>
      <c r="K1570" s="37"/>
      <c r="L1570" s="37"/>
    </row>
    <row r="1571" spans="2:12" x14ac:dyDescent="0.2">
      <c r="B1571" s="36"/>
      <c r="G1571" s="34"/>
      <c r="H1571" s="33"/>
      <c r="I1571" s="33"/>
      <c r="J1571" s="33"/>
      <c r="K1571" s="37"/>
      <c r="L1571" s="37"/>
    </row>
    <row r="1572" spans="2:12" x14ac:dyDescent="0.2">
      <c r="B1572" s="36"/>
      <c r="G1572" s="34"/>
      <c r="H1572" s="33"/>
      <c r="I1572" s="33"/>
      <c r="J1572" s="33"/>
      <c r="K1572" s="37"/>
      <c r="L1572" s="37"/>
    </row>
    <row r="1573" spans="2:12" x14ac:dyDescent="0.2">
      <c r="B1573" s="36"/>
      <c r="G1573" s="34"/>
      <c r="H1573" s="33"/>
      <c r="I1573" s="33"/>
      <c r="J1573" s="33"/>
      <c r="K1573" s="37"/>
      <c r="L1573" s="37"/>
    </row>
    <row r="1574" spans="2:12" x14ac:dyDescent="0.2">
      <c r="B1574" s="36"/>
      <c r="G1574" s="34"/>
      <c r="H1574" s="33"/>
      <c r="I1574" s="33"/>
      <c r="J1574" s="33"/>
      <c r="K1574" s="37"/>
      <c r="L1574" s="37"/>
    </row>
    <row r="1575" spans="2:12" x14ac:dyDescent="0.2">
      <c r="B1575" s="36"/>
      <c r="G1575" s="34"/>
      <c r="H1575" s="33"/>
      <c r="I1575" s="33"/>
      <c r="J1575" s="33"/>
      <c r="K1575" s="37"/>
      <c r="L1575" s="37"/>
    </row>
    <row r="1576" spans="2:12" x14ac:dyDescent="0.2">
      <c r="B1576" s="36"/>
      <c r="G1576" s="34"/>
      <c r="H1576" s="33"/>
      <c r="I1576" s="33"/>
      <c r="J1576" s="33"/>
      <c r="K1576" s="37"/>
      <c r="L1576" s="37"/>
    </row>
    <row r="1577" spans="2:12" x14ac:dyDescent="0.2">
      <c r="B1577" s="36"/>
      <c r="G1577" s="34"/>
      <c r="H1577" s="33"/>
      <c r="I1577" s="33"/>
      <c r="J1577" s="33"/>
      <c r="K1577" s="37"/>
      <c r="L1577" s="37"/>
    </row>
    <row r="1578" spans="2:12" x14ac:dyDescent="0.2">
      <c r="B1578" s="36"/>
      <c r="G1578" s="34"/>
      <c r="H1578" s="33"/>
      <c r="I1578" s="33"/>
      <c r="J1578" s="33"/>
      <c r="K1578" s="37"/>
      <c r="L1578" s="37"/>
    </row>
    <row r="1579" spans="2:12" x14ac:dyDescent="0.2">
      <c r="B1579" s="36"/>
      <c r="G1579" s="34"/>
      <c r="H1579" s="33"/>
      <c r="I1579" s="33"/>
      <c r="J1579" s="33"/>
      <c r="K1579" s="37"/>
      <c r="L1579" s="37"/>
    </row>
    <row r="1580" spans="2:12" x14ac:dyDescent="0.2">
      <c r="B1580" s="36"/>
      <c r="G1580" s="34"/>
      <c r="H1580" s="33"/>
      <c r="I1580" s="33"/>
      <c r="J1580" s="33"/>
      <c r="K1580" s="37"/>
      <c r="L1580" s="37"/>
    </row>
    <row r="1581" spans="2:12" x14ac:dyDescent="0.2">
      <c r="B1581" s="36"/>
      <c r="G1581" s="34"/>
      <c r="H1581" s="33"/>
      <c r="I1581" s="33"/>
      <c r="J1581" s="33"/>
      <c r="K1581" s="37"/>
      <c r="L1581" s="37"/>
    </row>
    <row r="1582" spans="2:12" x14ac:dyDescent="0.2">
      <c r="B1582" s="36"/>
      <c r="G1582" s="34"/>
      <c r="H1582" s="33"/>
      <c r="I1582" s="33"/>
      <c r="J1582" s="33"/>
      <c r="K1582" s="37"/>
      <c r="L1582" s="37"/>
    </row>
    <row r="1583" spans="2:12" x14ac:dyDescent="0.2">
      <c r="B1583" s="36"/>
      <c r="G1583" s="34"/>
      <c r="H1583" s="33"/>
      <c r="I1583" s="33"/>
      <c r="J1583" s="33"/>
      <c r="K1583" s="37"/>
      <c r="L1583" s="37"/>
    </row>
    <row r="1584" spans="2:12" x14ac:dyDescent="0.2">
      <c r="B1584" s="36"/>
      <c r="G1584" s="34"/>
      <c r="H1584" s="33"/>
      <c r="I1584" s="33"/>
      <c r="J1584" s="33"/>
      <c r="K1584" s="37"/>
      <c r="L1584" s="37"/>
    </row>
    <row r="1585" spans="2:12" x14ac:dyDescent="0.2">
      <c r="B1585" s="36"/>
      <c r="G1585" s="34"/>
      <c r="H1585" s="33"/>
      <c r="I1585" s="33"/>
      <c r="J1585" s="33"/>
      <c r="K1585" s="37"/>
      <c r="L1585" s="37"/>
    </row>
    <row r="1586" spans="2:12" x14ac:dyDescent="0.2">
      <c r="B1586" s="36"/>
      <c r="G1586" s="34"/>
      <c r="H1586" s="33"/>
      <c r="I1586" s="33"/>
      <c r="J1586" s="33"/>
      <c r="K1586" s="37"/>
      <c r="L1586" s="37"/>
    </row>
    <row r="1587" spans="2:12" x14ac:dyDescent="0.2">
      <c r="B1587" s="36"/>
      <c r="G1587" s="34"/>
      <c r="H1587" s="33"/>
      <c r="I1587" s="33"/>
      <c r="J1587" s="33"/>
      <c r="K1587" s="37"/>
      <c r="L1587" s="37"/>
    </row>
    <row r="1588" spans="2:12" x14ac:dyDescent="0.2">
      <c r="B1588" s="36"/>
      <c r="G1588" s="34"/>
      <c r="H1588" s="33"/>
      <c r="I1588" s="33"/>
      <c r="J1588" s="33"/>
      <c r="K1588" s="37"/>
      <c r="L1588" s="37"/>
    </row>
    <row r="1589" spans="2:12" x14ac:dyDescent="0.2">
      <c r="B1589" s="36"/>
      <c r="G1589" s="34"/>
      <c r="H1589" s="33"/>
      <c r="I1589" s="33"/>
      <c r="J1589" s="33"/>
      <c r="K1589" s="37"/>
      <c r="L1589" s="37"/>
    </row>
    <row r="1590" spans="2:12" x14ac:dyDescent="0.2">
      <c r="B1590" s="36"/>
      <c r="G1590" s="34"/>
      <c r="H1590" s="33"/>
      <c r="I1590" s="33"/>
      <c r="J1590" s="33"/>
      <c r="K1590" s="37"/>
      <c r="L1590" s="37"/>
    </row>
    <row r="1591" spans="2:12" x14ac:dyDescent="0.2">
      <c r="B1591" s="36"/>
      <c r="G1591" s="34"/>
      <c r="H1591" s="33"/>
      <c r="I1591" s="33"/>
      <c r="J1591" s="33"/>
      <c r="K1591" s="37"/>
      <c r="L1591" s="37"/>
    </row>
    <row r="1592" spans="2:12" x14ac:dyDescent="0.2">
      <c r="B1592" s="36"/>
      <c r="G1592" s="34"/>
      <c r="H1592" s="33"/>
      <c r="I1592" s="33"/>
      <c r="J1592" s="33"/>
      <c r="K1592" s="37"/>
      <c r="L1592" s="37"/>
    </row>
    <row r="1593" spans="2:12" x14ac:dyDescent="0.2">
      <c r="B1593" s="36"/>
      <c r="G1593" s="34"/>
      <c r="H1593" s="33"/>
      <c r="I1593" s="33"/>
      <c r="J1593" s="33"/>
      <c r="K1593" s="37"/>
      <c r="L1593" s="37"/>
    </row>
    <row r="1594" spans="2:12" x14ac:dyDescent="0.2">
      <c r="B1594" s="36"/>
      <c r="G1594" s="34"/>
      <c r="H1594" s="33"/>
      <c r="I1594" s="33"/>
      <c r="J1594" s="33"/>
      <c r="K1594" s="37"/>
      <c r="L1594" s="37"/>
    </row>
    <row r="1595" spans="2:12" x14ac:dyDescent="0.2">
      <c r="B1595" s="36"/>
      <c r="G1595" s="34"/>
      <c r="H1595" s="33"/>
      <c r="I1595" s="33"/>
      <c r="J1595" s="33"/>
      <c r="K1595" s="37"/>
      <c r="L1595" s="37"/>
    </row>
    <row r="1596" spans="2:12" x14ac:dyDescent="0.2">
      <c r="B1596" s="36"/>
      <c r="G1596" s="34"/>
      <c r="H1596" s="33"/>
      <c r="I1596" s="33"/>
      <c r="J1596" s="33"/>
      <c r="K1596" s="37"/>
      <c r="L1596" s="37"/>
    </row>
    <row r="1597" spans="2:12" x14ac:dyDescent="0.2">
      <c r="B1597" s="36"/>
      <c r="G1597" s="34"/>
      <c r="H1597" s="33"/>
      <c r="I1597" s="33"/>
      <c r="J1597" s="33"/>
      <c r="K1597" s="37"/>
      <c r="L1597" s="37"/>
    </row>
    <row r="1598" spans="2:12" x14ac:dyDescent="0.2">
      <c r="B1598" s="36"/>
      <c r="G1598" s="34"/>
      <c r="H1598" s="33"/>
      <c r="I1598" s="33"/>
      <c r="J1598" s="33"/>
      <c r="K1598" s="37"/>
      <c r="L1598" s="37"/>
    </row>
    <row r="1599" spans="2:12" x14ac:dyDescent="0.2">
      <c r="B1599" s="36"/>
      <c r="G1599" s="34"/>
      <c r="H1599" s="33"/>
      <c r="I1599" s="33"/>
      <c r="J1599" s="33"/>
      <c r="K1599" s="37"/>
      <c r="L1599" s="37"/>
    </row>
    <row r="1600" spans="2:12" x14ac:dyDescent="0.2">
      <c r="B1600" s="36"/>
      <c r="G1600" s="34"/>
      <c r="H1600" s="33"/>
      <c r="I1600" s="33"/>
      <c r="J1600" s="33"/>
      <c r="K1600" s="37"/>
      <c r="L1600" s="37"/>
    </row>
    <row r="1601" spans="2:12" x14ac:dyDescent="0.2">
      <c r="B1601" s="36"/>
      <c r="G1601" s="34"/>
      <c r="H1601" s="33"/>
      <c r="I1601" s="33"/>
      <c r="J1601" s="33"/>
      <c r="K1601" s="37"/>
      <c r="L1601" s="37"/>
    </row>
    <row r="1602" spans="2:12" x14ac:dyDescent="0.2">
      <c r="B1602" s="36"/>
      <c r="G1602" s="34"/>
      <c r="H1602" s="33"/>
      <c r="I1602" s="33"/>
      <c r="J1602" s="33"/>
      <c r="K1602" s="37"/>
      <c r="L1602" s="37"/>
    </row>
    <row r="1603" spans="2:12" x14ac:dyDescent="0.2">
      <c r="B1603" s="36"/>
      <c r="G1603" s="34"/>
      <c r="H1603" s="33"/>
      <c r="I1603" s="33"/>
      <c r="J1603" s="33"/>
      <c r="K1603" s="37"/>
      <c r="L1603" s="37"/>
    </row>
    <row r="1604" spans="2:12" x14ac:dyDescent="0.2">
      <c r="B1604" s="36"/>
      <c r="G1604" s="34"/>
      <c r="H1604" s="33"/>
      <c r="I1604" s="33"/>
      <c r="J1604" s="33"/>
      <c r="K1604" s="37"/>
      <c r="L1604" s="37"/>
    </row>
    <row r="1605" spans="2:12" x14ac:dyDescent="0.2">
      <c r="B1605" s="36"/>
      <c r="G1605" s="34"/>
      <c r="H1605" s="33"/>
      <c r="I1605" s="33"/>
      <c r="J1605" s="33"/>
      <c r="K1605" s="37"/>
      <c r="L1605" s="37"/>
    </row>
    <row r="1606" spans="2:12" x14ac:dyDescent="0.2">
      <c r="B1606" s="36"/>
      <c r="G1606" s="34"/>
      <c r="H1606" s="33"/>
      <c r="I1606" s="33"/>
      <c r="J1606" s="33"/>
      <c r="K1606" s="37"/>
      <c r="L1606" s="37"/>
    </row>
    <row r="1607" spans="2:12" x14ac:dyDescent="0.2">
      <c r="B1607" s="36"/>
      <c r="G1607" s="34"/>
      <c r="H1607" s="33"/>
      <c r="I1607" s="33"/>
      <c r="J1607" s="33"/>
      <c r="K1607" s="37"/>
      <c r="L1607" s="37"/>
    </row>
    <row r="1608" spans="2:12" x14ac:dyDescent="0.2">
      <c r="B1608" s="36"/>
      <c r="G1608" s="34"/>
      <c r="H1608" s="33"/>
      <c r="I1608" s="33"/>
      <c r="J1608" s="33"/>
      <c r="K1608" s="37"/>
      <c r="L1608" s="37"/>
    </row>
    <row r="1609" spans="2:12" x14ac:dyDescent="0.2">
      <c r="B1609" s="36"/>
      <c r="G1609" s="34"/>
      <c r="H1609" s="33"/>
      <c r="I1609" s="33"/>
      <c r="J1609" s="33"/>
      <c r="K1609" s="37"/>
      <c r="L1609" s="37"/>
    </row>
    <row r="1610" spans="2:12" x14ac:dyDescent="0.2">
      <c r="B1610" s="36"/>
      <c r="G1610" s="34"/>
      <c r="H1610" s="33"/>
      <c r="I1610" s="33"/>
      <c r="J1610" s="33"/>
      <c r="K1610" s="37"/>
      <c r="L1610" s="37"/>
    </row>
    <row r="1611" spans="2:12" x14ac:dyDescent="0.2">
      <c r="B1611" s="36"/>
      <c r="G1611" s="34"/>
      <c r="H1611" s="33"/>
      <c r="I1611" s="33"/>
      <c r="J1611" s="33"/>
      <c r="K1611" s="37"/>
      <c r="L1611" s="37"/>
    </row>
    <row r="1612" spans="2:12" x14ac:dyDescent="0.2">
      <c r="B1612" s="36"/>
      <c r="G1612" s="34"/>
      <c r="H1612" s="33"/>
      <c r="I1612" s="33"/>
      <c r="J1612" s="33"/>
      <c r="K1612" s="37"/>
      <c r="L1612" s="37"/>
    </row>
    <row r="1613" spans="2:12" x14ac:dyDescent="0.2">
      <c r="B1613" s="36"/>
      <c r="G1613" s="34"/>
      <c r="H1613" s="33"/>
      <c r="I1613" s="33"/>
      <c r="J1613" s="33"/>
      <c r="K1613" s="37"/>
      <c r="L1613" s="37"/>
    </row>
    <row r="1614" spans="2:12" x14ac:dyDescent="0.2">
      <c r="B1614" s="36"/>
      <c r="G1614" s="34"/>
      <c r="H1614" s="33"/>
      <c r="I1614" s="33"/>
      <c r="J1614" s="33"/>
      <c r="K1614" s="37"/>
      <c r="L1614" s="37"/>
    </row>
    <row r="1615" spans="2:12" x14ac:dyDescent="0.2">
      <c r="B1615" s="36"/>
      <c r="G1615" s="34"/>
      <c r="H1615" s="33"/>
      <c r="I1615" s="33"/>
      <c r="J1615" s="33"/>
      <c r="K1615" s="37"/>
      <c r="L1615" s="37"/>
    </row>
    <row r="1616" spans="2:12" x14ac:dyDescent="0.2">
      <c r="B1616" s="36"/>
      <c r="G1616" s="34"/>
      <c r="H1616" s="33"/>
      <c r="I1616" s="33"/>
      <c r="J1616" s="33"/>
      <c r="K1616" s="37"/>
      <c r="L1616" s="37"/>
    </row>
    <row r="1617" spans="2:12" x14ac:dyDescent="0.2">
      <c r="B1617" s="36"/>
      <c r="G1617" s="34"/>
      <c r="H1617" s="33"/>
      <c r="I1617" s="33"/>
      <c r="J1617" s="33"/>
      <c r="K1617" s="37"/>
      <c r="L1617" s="37"/>
    </row>
    <row r="1618" spans="2:12" x14ac:dyDescent="0.2">
      <c r="B1618" s="36"/>
      <c r="G1618" s="34"/>
      <c r="H1618" s="33"/>
      <c r="I1618" s="33"/>
      <c r="J1618" s="33"/>
      <c r="K1618" s="37"/>
      <c r="L1618" s="37"/>
    </row>
    <row r="1619" spans="2:12" x14ac:dyDescent="0.2">
      <c r="B1619" s="36"/>
      <c r="G1619" s="34"/>
      <c r="H1619" s="33"/>
      <c r="I1619" s="33"/>
      <c r="J1619" s="33"/>
      <c r="K1619" s="37"/>
      <c r="L1619" s="37"/>
    </row>
    <row r="1620" spans="2:12" x14ac:dyDescent="0.2">
      <c r="B1620" s="36"/>
      <c r="G1620" s="34"/>
      <c r="H1620" s="33"/>
      <c r="I1620" s="33"/>
      <c r="J1620" s="33"/>
      <c r="K1620" s="37"/>
      <c r="L1620" s="37"/>
    </row>
    <row r="1621" spans="2:12" x14ac:dyDescent="0.2">
      <c r="B1621" s="36"/>
      <c r="G1621" s="34"/>
      <c r="H1621" s="33"/>
      <c r="I1621" s="33"/>
      <c r="J1621" s="33"/>
      <c r="K1621" s="37"/>
      <c r="L1621" s="37"/>
    </row>
    <row r="1622" spans="2:12" x14ac:dyDescent="0.2">
      <c r="B1622" s="36"/>
      <c r="G1622" s="34"/>
      <c r="H1622" s="33"/>
      <c r="I1622" s="33"/>
      <c r="J1622" s="33"/>
      <c r="K1622" s="37"/>
      <c r="L1622" s="37"/>
    </row>
    <row r="1623" spans="2:12" x14ac:dyDescent="0.2">
      <c r="B1623" s="36"/>
      <c r="G1623" s="34"/>
      <c r="H1623" s="33"/>
      <c r="I1623" s="33"/>
      <c r="J1623" s="33"/>
      <c r="K1623" s="37"/>
      <c r="L1623" s="37"/>
    </row>
    <row r="1624" spans="2:12" x14ac:dyDescent="0.2">
      <c r="B1624" s="36"/>
      <c r="G1624" s="34"/>
      <c r="H1624" s="33"/>
      <c r="I1624" s="33"/>
      <c r="J1624" s="33"/>
      <c r="K1624" s="37"/>
      <c r="L1624" s="37"/>
    </row>
    <row r="1625" spans="2:12" x14ac:dyDescent="0.2">
      <c r="B1625" s="36"/>
      <c r="G1625" s="34"/>
      <c r="H1625" s="33"/>
      <c r="I1625" s="33"/>
      <c r="J1625" s="33"/>
      <c r="K1625" s="37"/>
      <c r="L1625" s="37"/>
    </row>
    <row r="1626" spans="2:12" x14ac:dyDescent="0.2">
      <c r="B1626" s="36"/>
      <c r="G1626" s="34"/>
      <c r="H1626" s="33"/>
      <c r="I1626" s="33"/>
      <c r="J1626" s="33"/>
      <c r="K1626" s="37"/>
      <c r="L1626" s="37"/>
    </row>
    <row r="1627" spans="2:12" x14ac:dyDescent="0.2">
      <c r="B1627" s="36"/>
      <c r="G1627" s="34"/>
      <c r="H1627" s="33"/>
      <c r="I1627" s="33"/>
      <c r="J1627" s="33"/>
      <c r="K1627" s="37"/>
      <c r="L1627" s="37"/>
    </row>
    <row r="1628" spans="2:12" x14ac:dyDescent="0.2">
      <c r="B1628" s="36"/>
      <c r="G1628" s="34"/>
      <c r="H1628" s="33"/>
      <c r="I1628" s="33"/>
      <c r="J1628" s="33"/>
      <c r="K1628" s="37"/>
      <c r="L1628" s="37"/>
    </row>
    <row r="1629" spans="2:12" x14ac:dyDescent="0.2">
      <c r="B1629" s="36"/>
      <c r="G1629" s="34"/>
      <c r="H1629" s="33"/>
      <c r="I1629" s="33"/>
      <c r="J1629" s="33"/>
      <c r="K1629" s="37"/>
      <c r="L1629" s="37"/>
    </row>
    <row r="1630" spans="2:12" x14ac:dyDescent="0.2">
      <c r="B1630" s="36"/>
      <c r="G1630" s="34"/>
      <c r="H1630" s="33"/>
      <c r="I1630" s="33"/>
      <c r="J1630" s="33"/>
      <c r="K1630" s="37"/>
      <c r="L1630" s="37"/>
    </row>
    <row r="1631" spans="2:12" x14ac:dyDescent="0.2">
      <c r="B1631" s="36"/>
      <c r="G1631" s="34"/>
      <c r="H1631" s="33"/>
      <c r="I1631" s="33"/>
      <c r="J1631" s="33"/>
      <c r="K1631" s="37"/>
      <c r="L1631" s="37"/>
    </row>
    <row r="1632" spans="2:12" x14ac:dyDescent="0.2">
      <c r="B1632" s="36"/>
      <c r="G1632" s="34"/>
      <c r="H1632" s="33"/>
      <c r="I1632" s="33"/>
      <c r="J1632" s="33"/>
      <c r="K1632" s="37"/>
      <c r="L1632" s="37"/>
    </row>
    <row r="1633" spans="2:12" x14ac:dyDescent="0.2">
      <c r="B1633" s="36"/>
      <c r="G1633" s="34"/>
      <c r="H1633" s="33"/>
      <c r="I1633" s="33"/>
      <c r="J1633" s="33"/>
      <c r="K1633" s="37"/>
      <c r="L1633" s="37"/>
    </row>
    <row r="1634" spans="2:12" x14ac:dyDescent="0.2">
      <c r="B1634" s="36"/>
      <c r="G1634" s="34"/>
      <c r="H1634" s="33"/>
      <c r="I1634" s="33"/>
      <c r="J1634" s="33"/>
      <c r="K1634" s="37"/>
      <c r="L1634" s="37"/>
    </row>
    <row r="1635" spans="2:12" x14ac:dyDescent="0.2">
      <c r="B1635" s="36"/>
      <c r="G1635" s="34"/>
      <c r="H1635" s="33"/>
      <c r="I1635" s="33"/>
      <c r="J1635" s="33"/>
      <c r="K1635" s="37"/>
      <c r="L1635" s="37"/>
    </row>
    <row r="1636" spans="2:12" x14ac:dyDescent="0.2">
      <c r="B1636" s="36"/>
      <c r="G1636" s="34"/>
      <c r="H1636" s="33"/>
      <c r="I1636" s="33"/>
      <c r="J1636" s="33"/>
      <c r="K1636" s="37"/>
      <c r="L1636" s="37"/>
    </row>
    <row r="1637" spans="2:12" x14ac:dyDescent="0.2">
      <c r="B1637" s="36"/>
      <c r="G1637" s="34"/>
      <c r="H1637" s="33"/>
      <c r="I1637" s="33"/>
      <c r="J1637" s="33"/>
      <c r="K1637" s="37"/>
      <c r="L1637" s="37"/>
    </row>
    <row r="1638" spans="2:12" x14ac:dyDescent="0.2">
      <c r="B1638" s="36"/>
      <c r="G1638" s="34"/>
      <c r="H1638" s="33"/>
      <c r="I1638" s="33"/>
      <c r="J1638" s="33"/>
      <c r="K1638" s="37"/>
      <c r="L1638" s="37"/>
    </row>
    <row r="1639" spans="2:12" x14ac:dyDescent="0.2">
      <c r="B1639" s="36"/>
      <c r="G1639" s="34"/>
      <c r="H1639" s="33"/>
      <c r="I1639" s="33"/>
      <c r="J1639" s="33"/>
      <c r="K1639" s="37"/>
      <c r="L1639" s="37"/>
    </row>
    <row r="1640" spans="2:12" x14ac:dyDescent="0.2">
      <c r="B1640" s="36"/>
      <c r="G1640" s="34"/>
      <c r="H1640" s="33"/>
      <c r="I1640" s="33"/>
      <c r="J1640" s="33"/>
      <c r="K1640" s="37"/>
      <c r="L1640" s="37"/>
    </row>
    <row r="1641" spans="2:12" x14ac:dyDescent="0.2">
      <c r="B1641" s="36"/>
      <c r="G1641" s="34"/>
      <c r="H1641" s="33"/>
      <c r="I1641" s="33"/>
      <c r="J1641" s="33"/>
      <c r="K1641" s="37"/>
      <c r="L1641" s="37"/>
    </row>
    <row r="1642" spans="2:12" x14ac:dyDescent="0.2">
      <c r="B1642" s="36"/>
      <c r="G1642" s="34"/>
      <c r="H1642" s="33"/>
      <c r="I1642" s="33"/>
      <c r="J1642" s="33"/>
      <c r="K1642" s="37"/>
      <c r="L1642" s="37"/>
    </row>
    <row r="1643" spans="2:12" x14ac:dyDescent="0.2">
      <c r="B1643" s="36"/>
      <c r="G1643" s="34"/>
      <c r="H1643" s="33"/>
      <c r="I1643" s="33"/>
      <c r="J1643" s="33"/>
      <c r="K1643" s="37"/>
      <c r="L1643" s="37"/>
    </row>
    <row r="1644" spans="2:12" x14ac:dyDescent="0.2">
      <c r="B1644" s="36"/>
      <c r="G1644" s="34"/>
      <c r="H1644" s="33"/>
      <c r="I1644" s="33"/>
      <c r="J1644" s="33"/>
      <c r="K1644" s="37"/>
      <c r="L1644" s="37"/>
    </row>
    <row r="1645" spans="2:12" x14ac:dyDescent="0.2">
      <c r="B1645" s="36"/>
      <c r="G1645" s="34"/>
      <c r="H1645" s="33"/>
      <c r="I1645" s="33"/>
      <c r="J1645" s="33"/>
      <c r="K1645" s="37"/>
      <c r="L1645" s="37"/>
    </row>
    <row r="1646" spans="2:12" x14ac:dyDescent="0.2">
      <c r="B1646" s="36"/>
      <c r="G1646" s="34"/>
      <c r="H1646" s="33"/>
      <c r="I1646" s="33"/>
      <c r="J1646" s="33"/>
      <c r="K1646" s="37"/>
      <c r="L1646" s="37"/>
    </row>
    <row r="1647" spans="2:12" x14ac:dyDescent="0.2">
      <c r="B1647" s="36"/>
      <c r="G1647" s="34"/>
      <c r="H1647" s="33"/>
      <c r="I1647" s="33"/>
      <c r="J1647" s="33"/>
      <c r="K1647" s="37"/>
      <c r="L1647" s="37"/>
    </row>
    <row r="1648" spans="2:12" x14ac:dyDescent="0.2">
      <c r="B1648" s="36"/>
      <c r="G1648" s="34"/>
      <c r="H1648" s="33"/>
      <c r="I1648" s="33"/>
      <c r="J1648" s="33"/>
      <c r="K1648" s="37"/>
      <c r="L1648" s="37"/>
    </row>
    <row r="1649" spans="2:12" x14ac:dyDescent="0.2">
      <c r="B1649" s="36"/>
      <c r="G1649" s="34"/>
      <c r="H1649" s="33"/>
      <c r="I1649" s="33"/>
      <c r="J1649" s="33"/>
      <c r="K1649" s="37"/>
      <c r="L1649" s="37"/>
    </row>
    <row r="1650" spans="2:12" x14ac:dyDescent="0.2">
      <c r="B1650" s="36"/>
      <c r="G1650" s="34"/>
      <c r="H1650" s="33"/>
      <c r="I1650" s="33"/>
      <c r="J1650" s="33"/>
      <c r="K1650" s="37"/>
      <c r="L1650" s="37"/>
    </row>
    <row r="1651" spans="2:12" x14ac:dyDescent="0.2">
      <c r="B1651" s="36"/>
      <c r="G1651" s="34"/>
      <c r="H1651" s="33"/>
      <c r="I1651" s="33"/>
      <c r="J1651" s="33"/>
      <c r="K1651" s="37"/>
      <c r="L1651" s="37"/>
    </row>
    <row r="1652" spans="2:12" x14ac:dyDescent="0.2">
      <c r="B1652" s="36"/>
      <c r="G1652" s="34"/>
      <c r="H1652" s="33"/>
      <c r="I1652" s="33"/>
      <c r="J1652" s="33"/>
      <c r="K1652" s="37"/>
      <c r="L1652" s="37"/>
    </row>
    <row r="1653" spans="2:12" x14ac:dyDescent="0.2">
      <c r="B1653" s="36"/>
      <c r="G1653" s="34"/>
      <c r="H1653" s="33"/>
      <c r="I1653" s="33"/>
      <c r="J1653" s="33"/>
      <c r="K1653" s="37"/>
      <c r="L1653" s="37"/>
    </row>
    <row r="1654" spans="2:12" x14ac:dyDescent="0.2">
      <c r="B1654" s="36"/>
      <c r="G1654" s="34"/>
      <c r="H1654" s="33"/>
      <c r="I1654" s="33"/>
      <c r="J1654" s="33"/>
      <c r="K1654" s="37"/>
      <c r="L1654" s="37"/>
    </row>
    <row r="1655" spans="2:12" x14ac:dyDescent="0.2">
      <c r="B1655" s="36"/>
      <c r="G1655" s="34"/>
      <c r="H1655" s="33"/>
      <c r="I1655" s="33"/>
      <c r="J1655" s="33"/>
      <c r="K1655" s="37"/>
      <c r="L1655" s="37"/>
    </row>
    <row r="1656" spans="2:12" x14ac:dyDescent="0.2">
      <c r="B1656" s="36"/>
      <c r="G1656" s="34"/>
      <c r="H1656" s="33"/>
      <c r="I1656" s="33"/>
      <c r="J1656" s="33"/>
      <c r="K1656" s="37"/>
      <c r="L1656" s="37"/>
    </row>
    <row r="1657" spans="2:12" x14ac:dyDescent="0.2">
      <c r="B1657" s="36"/>
      <c r="G1657" s="34"/>
      <c r="H1657" s="33"/>
      <c r="I1657" s="33"/>
      <c r="J1657" s="33"/>
      <c r="K1657" s="37"/>
      <c r="L1657" s="37"/>
    </row>
    <row r="1658" spans="2:12" x14ac:dyDescent="0.2">
      <c r="B1658" s="36"/>
      <c r="G1658" s="34"/>
      <c r="H1658" s="33"/>
      <c r="I1658" s="33"/>
      <c r="J1658" s="33"/>
      <c r="K1658" s="37"/>
      <c r="L1658" s="37"/>
    </row>
    <row r="1659" spans="2:12" x14ac:dyDescent="0.2">
      <c r="B1659" s="36"/>
      <c r="G1659" s="34"/>
      <c r="H1659" s="33"/>
      <c r="I1659" s="33"/>
      <c r="J1659" s="33"/>
      <c r="K1659" s="37"/>
      <c r="L1659" s="37"/>
    </row>
    <row r="1660" spans="2:12" x14ac:dyDescent="0.2">
      <c r="B1660" s="36"/>
      <c r="G1660" s="34"/>
      <c r="H1660" s="33"/>
      <c r="I1660" s="33"/>
      <c r="J1660" s="33"/>
      <c r="K1660" s="37"/>
      <c r="L1660" s="37"/>
    </row>
    <row r="1661" spans="2:12" x14ac:dyDescent="0.2">
      <c r="B1661" s="36"/>
      <c r="G1661" s="34"/>
      <c r="H1661" s="33"/>
      <c r="I1661" s="33"/>
      <c r="J1661" s="33"/>
      <c r="K1661" s="37"/>
      <c r="L1661" s="37"/>
    </row>
    <row r="1662" spans="2:12" x14ac:dyDescent="0.2">
      <c r="B1662" s="36"/>
      <c r="G1662" s="34"/>
      <c r="H1662" s="33"/>
      <c r="I1662" s="33"/>
      <c r="J1662" s="33"/>
      <c r="K1662" s="37"/>
      <c r="L1662" s="37"/>
    </row>
    <row r="1663" spans="2:12" x14ac:dyDescent="0.2">
      <c r="B1663" s="36"/>
      <c r="G1663" s="34"/>
      <c r="H1663" s="33"/>
      <c r="I1663" s="33"/>
      <c r="J1663" s="33"/>
      <c r="K1663" s="37"/>
      <c r="L1663" s="37"/>
    </row>
    <row r="1664" spans="2:12" x14ac:dyDescent="0.2">
      <c r="B1664" s="36"/>
      <c r="G1664" s="34"/>
      <c r="H1664" s="33"/>
      <c r="I1664" s="33"/>
      <c r="J1664" s="33"/>
      <c r="K1664" s="37"/>
      <c r="L1664" s="37"/>
    </row>
    <row r="1665" spans="2:12" x14ac:dyDescent="0.2">
      <c r="B1665" s="36"/>
      <c r="G1665" s="34"/>
      <c r="H1665" s="33"/>
      <c r="I1665" s="33"/>
      <c r="J1665" s="33"/>
      <c r="K1665" s="37"/>
      <c r="L1665" s="37"/>
    </row>
    <row r="1666" spans="2:12" x14ac:dyDescent="0.2">
      <c r="B1666" s="36"/>
      <c r="G1666" s="34"/>
      <c r="H1666" s="33"/>
      <c r="I1666" s="33"/>
      <c r="J1666" s="33"/>
      <c r="K1666" s="37"/>
      <c r="L1666" s="37"/>
    </row>
    <row r="1667" spans="2:12" x14ac:dyDescent="0.2">
      <c r="B1667" s="36"/>
      <c r="G1667" s="34"/>
      <c r="H1667" s="33"/>
      <c r="I1667" s="33"/>
      <c r="J1667" s="33"/>
      <c r="K1667" s="37"/>
      <c r="L1667" s="37"/>
    </row>
    <row r="1668" spans="2:12" x14ac:dyDescent="0.2">
      <c r="B1668" s="36"/>
      <c r="G1668" s="34"/>
      <c r="H1668" s="33"/>
      <c r="I1668" s="33"/>
      <c r="J1668" s="33"/>
      <c r="K1668" s="37"/>
      <c r="L1668" s="37"/>
    </row>
    <row r="1669" spans="2:12" x14ac:dyDescent="0.2">
      <c r="B1669" s="36"/>
      <c r="G1669" s="34"/>
      <c r="H1669" s="33"/>
      <c r="I1669" s="33"/>
      <c r="J1669" s="33"/>
      <c r="K1669" s="37"/>
      <c r="L1669" s="37"/>
    </row>
    <row r="1670" spans="2:12" x14ac:dyDescent="0.2">
      <c r="B1670" s="36"/>
      <c r="G1670" s="34"/>
      <c r="H1670" s="33"/>
      <c r="I1670" s="33"/>
      <c r="J1670" s="33"/>
      <c r="K1670" s="37"/>
      <c r="L1670" s="37"/>
    </row>
    <row r="1671" spans="2:12" x14ac:dyDescent="0.2">
      <c r="B1671" s="36"/>
      <c r="G1671" s="34"/>
      <c r="H1671" s="33"/>
      <c r="I1671" s="33"/>
      <c r="J1671" s="33"/>
      <c r="K1671" s="37"/>
      <c r="L1671" s="37"/>
    </row>
    <row r="1672" spans="2:12" x14ac:dyDescent="0.2">
      <c r="B1672" s="36"/>
      <c r="G1672" s="34"/>
      <c r="H1672" s="33"/>
      <c r="I1672" s="33"/>
      <c r="J1672" s="33"/>
      <c r="K1672" s="37"/>
      <c r="L1672" s="37"/>
    </row>
    <row r="1673" spans="2:12" x14ac:dyDescent="0.2">
      <c r="B1673" s="36"/>
      <c r="G1673" s="34"/>
      <c r="H1673" s="33"/>
      <c r="I1673" s="33"/>
      <c r="J1673" s="33"/>
      <c r="K1673" s="37"/>
      <c r="L1673" s="37"/>
    </row>
    <row r="1674" spans="2:12" x14ac:dyDescent="0.2">
      <c r="B1674" s="36"/>
      <c r="G1674" s="34"/>
      <c r="H1674" s="33"/>
      <c r="I1674" s="33"/>
      <c r="J1674" s="33"/>
      <c r="K1674" s="37"/>
      <c r="L1674" s="37"/>
    </row>
    <row r="1675" spans="2:12" x14ac:dyDescent="0.2">
      <c r="B1675" s="36"/>
      <c r="G1675" s="34"/>
      <c r="H1675" s="33"/>
      <c r="I1675" s="33"/>
      <c r="J1675" s="33"/>
      <c r="K1675" s="37"/>
      <c r="L1675" s="37"/>
    </row>
    <row r="1676" spans="2:12" x14ac:dyDescent="0.2">
      <c r="B1676" s="36"/>
      <c r="G1676" s="34"/>
      <c r="H1676" s="33"/>
      <c r="I1676" s="33"/>
      <c r="J1676" s="33"/>
      <c r="K1676" s="37"/>
      <c r="L1676" s="37"/>
    </row>
    <row r="1677" spans="2:12" x14ac:dyDescent="0.2">
      <c r="B1677" s="36"/>
      <c r="G1677" s="34"/>
      <c r="H1677" s="33"/>
      <c r="I1677" s="33"/>
      <c r="J1677" s="33"/>
      <c r="K1677" s="37"/>
      <c r="L1677" s="37"/>
    </row>
    <row r="1678" spans="2:12" x14ac:dyDescent="0.2">
      <c r="B1678" s="36"/>
      <c r="G1678" s="34"/>
      <c r="H1678" s="33"/>
      <c r="I1678" s="33"/>
      <c r="J1678" s="33"/>
      <c r="K1678" s="37"/>
      <c r="L1678" s="37"/>
    </row>
    <row r="1679" spans="2:12" x14ac:dyDescent="0.2">
      <c r="B1679" s="36"/>
      <c r="G1679" s="34"/>
      <c r="H1679" s="33"/>
      <c r="I1679" s="33"/>
      <c r="J1679" s="33"/>
      <c r="K1679" s="37"/>
      <c r="L1679" s="37"/>
    </row>
    <row r="1680" spans="2:12" x14ac:dyDescent="0.2">
      <c r="B1680" s="36"/>
      <c r="G1680" s="34"/>
      <c r="H1680" s="33"/>
      <c r="I1680" s="33"/>
      <c r="J1680" s="33"/>
      <c r="K1680" s="37"/>
      <c r="L1680" s="37"/>
    </row>
    <row r="1681" spans="2:12" x14ac:dyDescent="0.2">
      <c r="B1681" s="36"/>
      <c r="G1681" s="34"/>
      <c r="H1681" s="33"/>
      <c r="I1681" s="33"/>
      <c r="J1681" s="33"/>
      <c r="K1681" s="37"/>
      <c r="L1681" s="37"/>
    </row>
    <row r="1682" spans="2:12" x14ac:dyDescent="0.2">
      <c r="B1682" s="36"/>
      <c r="G1682" s="34"/>
      <c r="H1682" s="33"/>
      <c r="I1682" s="33"/>
      <c r="J1682" s="33"/>
      <c r="K1682" s="37"/>
      <c r="L1682" s="37"/>
    </row>
    <row r="1683" spans="2:12" x14ac:dyDescent="0.2">
      <c r="B1683" s="36"/>
      <c r="G1683" s="34"/>
      <c r="H1683" s="33"/>
      <c r="I1683" s="33"/>
      <c r="J1683" s="33"/>
      <c r="K1683" s="37"/>
      <c r="L1683" s="37"/>
    </row>
    <row r="1684" spans="2:12" x14ac:dyDescent="0.2">
      <c r="B1684" s="36"/>
      <c r="G1684" s="34"/>
      <c r="H1684" s="33"/>
      <c r="I1684" s="33"/>
      <c r="J1684" s="33"/>
      <c r="K1684" s="37"/>
      <c r="L1684" s="37"/>
    </row>
    <row r="1685" spans="2:12" x14ac:dyDescent="0.2">
      <c r="B1685" s="36"/>
      <c r="G1685" s="34"/>
      <c r="H1685" s="33"/>
      <c r="I1685" s="33"/>
      <c r="J1685" s="33"/>
      <c r="K1685" s="37"/>
      <c r="L1685" s="37"/>
    </row>
    <row r="1686" spans="2:12" x14ac:dyDescent="0.2">
      <c r="B1686" s="36"/>
      <c r="G1686" s="34"/>
      <c r="H1686" s="33"/>
      <c r="I1686" s="33"/>
      <c r="J1686" s="33"/>
      <c r="K1686" s="37"/>
      <c r="L1686" s="37"/>
    </row>
    <row r="1687" spans="2:12" x14ac:dyDescent="0.2">
      <c r="B1687" s="36"/>
      <c r="G1687" s="34"/>
      <c r="H1687" s="33"/>
      <c r="I1687" s="33"/>
      <c r="J1687" s="33"/>
      <c r="K1687" s="37"/>
      <c r="L1687" s="37"/>
    </row>
    <row r="1688" spans="2:12" x14ac:dyDescent="0.2">
      <c r="B1688" s="36"/>
      <c r="G1688" s="34"/>
      <c r="H1688" s="33"/>
      <c r="I1688" s="33"/>
      <c r="J1688" s="33"/>
      <c r="K1688" s="37"/>
      <c r="L1688" s="37"/>
    </row>
    <row r="1689" spans="2:12" x14ac:dyDescent="0.2">
      <c r="B1689" s="36"/>
      <c r="G1689" s="34"/>
      <c r="H1689" s="33"/>
      <c r="I1689" s="33"/>
      <c r="J1689" s="33"/>
      <c r="K1689" s="37"/>
      <c r="L1689" s="37"/>
    </row>
    <row r="1690" spans="2:12" x14ac:dyDescent="0.2">
      <c r="B1690" s="36"/>
      <c r="G1690" s="34"/>
      <c r="H1690" s="33"/>
      <c r="I1690" s="33"/>
      <c r="J1690" s="33"/>
      <c r="K1690" s="37"/>
      <c r="L1690" s="37"/>
    </row>
    <row r="1691" spans="2:12" x14ac:dyDescent="0.2">
      <c r="B1691" s="36"/>
      <c r="G1691" s="34"/>
      <c r="H1691" s="33"/>
      <c r="I1691" s="33"/>
      <c r="J1691" s="33"/>
      <c r="K1691" s="37"/>
      <c r="L1691" s="37"/>
    </row>
    <row r="1692" spans="2:12" x14ac:dyDescent="0.2">
      <c r="B1692" s="36"/>
      <c r="G1692" s="34"/>
      <c r="H1692" s="33"/>
      <c r="I1692" s="33"/>
      <c r="J1692" s="33"/>
      <c r="K1692" s="37"/>
      <c r="L1692" s="37"/>
    </row>
    <row r="1693" spans="2:12" x14ac:dyDescent="0.2">
      <c r="B1693" s="36"/>
      <c r="G1693" s="34"/>
      <c r="H1693" s="33"/>
      <c r="I1693" s="33"/>
      <c r="J1693" s="33"/>
      <c r="K1693" s="37"/>
      <c r="L1693" s="37"/>
    </row>
    <row r="1694" spans="2:12" x14ac:dyDescent="0.2">
      <c r="B1694" s="36"/>
      <c r="G1694" s="34"/>
      <c r="H1694" s="33"/>
      <c r="I1694" s="33"/>
      <c r="J1694" s="33"/>
      <c r="K1694" s="37"/>
      <c r="L1694" s="37"/>
    </row>
    <row r="1695" spans="2:12" x14ac:dyDescent="0.2">
      <c r="B1695" s="36"/>
      <c r="G1695" s="34"/>
      <c r="H1695" s="33"/>
      <c r="I1695" s="33"/>
      <c r="J1695" s="33"/>
      <c r="K1695" s="37"/>
      <c r="L1695" s="37"/>
    </row>
    <row r="1696" spans="2:12" x14ac:dyDescent="0.2">
      <c r="B1696" s="36"/>
      <c r="G1696" s="34"/>
      <c r="H1696" s="33"/>
      <c r="I1696" s="33"/>
      <c r="J1696" s="33"/>
      <c r="K1696" s="37"/>
      <c r="L1696" s="37"/>
    </row>
    <row r="1697" spans="2:12" x14ac:dyDescent="0.2">
      <c r="B1697" s="36"/>
      <c r="G1697" s="34"/>
      <c r="H1697" s="33"/>
      <c r="I1697" s="33"/>
      <c r="J1697" s="33"/>
      <c r="K1697" s="37"/>
      <c r="L1697" s="37"/>
    </row>
    <row r="1698" spans="2:12" x14ac:dyDescent="0.2">
      <c r="B1698" s="36"/>
      <c r="G1698" s="34"/>
      <c r="H1698" s="33"/>
      <c r="I1698" s="33"/>
      <c r="J1698" s="33"/>
      <c r="K1698" s="37"/>
      <c r="L1698" s="37"/>
    </row>
    <row r="1699" spans="2:12" x14ac:dyDescent="0.2">
      <c r="B1699" s="36"/>
      <c r="G1699" s="34"/>
      <c r="H1699" s="33"/>
      <c r="I1699" s="33"/>
      <c r="J1699" s="33"/>
      <c r="K1699" s="37"/>
      <c r="L1699" s="37"/>
    </row>
    <row r="1700" spans="2:12" x14ac:dyDescent="0.2">
      <c r="B1700" s="36"/>
      <c r="G1700" s="34"/>
      <c r="H1700" s="33"/>
      <c r="I1700" s="33"/>
      <c r="J1700" s="33"/>
      <c r="K1700" s="37"/>
      <c r="L1700" s="37"/>
    </row>
    <row r="1701" spans="2:12" x14ac:dyDescent="0.2">
      <c r="B1701" s="36"/>
      <c r="G1701" s="34"/>
      <c r="H1701" s="33"/>
      <c r="I1701" s="33"/>
      <c r="J1701" s="33"/>
      <c r="K1701" s="37"/>
      <c r="L1701" s="37"/>
    </row>
    <row r="1702" spans="2:12" x14ac:dyDescent="0.2">
      <c r="B1702" s="36"/>
      <c r="G1702" s="34"/>
      <c r="H1702" s="33"/>
      <c r="I1702" s="33"/>
      <c r="J1702" s="33"/>
      <c r="K1702" s="37"/>
      <c r="L1702" s="37"/>
    </row>
    <row r="1703" spans="2:12" x14ac:dyDescent="0.2">
      <c r="B1703" s="36"/>
      <c r="G1703" s="34"/>
      <c r="H1703" s="33"/>
      <c r="I1703" s="33"/>
      <c r="J1703" s="33"/>
      <c r="K1703" s="37"/>
      <c r="L1703" s="37"/>
    </row>
    <row r="1704" spans="2:12" x14ac:dyDescent="0.2">
      <c r="B1704" s="36"/>
      <c r="G1704" s="34"/>
      <c r="H1704" s="33"/>
      <c r="I1704" s="33"/>
      <c r="J1704" s="33"/>
      <c r="K1704" s="37"/>
      <c r="L1704" s="37"/>
    </row>
    <row r="1705" spans="2:12" x14ac:dyDescent="0.2">
      <c r="B1705" s="36"/>
      <c r="G1705" s="34"/>
      <c r="H1705" s="33"/>
      <c r="I1705" s="33"/>
      <c r="J1705" s="33"/>
      <c r="K1705" s="37"/>
      <c r="L1705" s="37"/>
    </row>
    <row r="1706" spans="2:12" x14ac:dyDescent="0.2">
      <c r="B1706" s="36"/>
      <c r="G1706" s="34"/>
      <c r="H1706" s="33"/>
      <c r="I1706" s="33"/>
      <c r="J1706" s="33"/>
      <c r="K1706" s="37"/>
      <c r="L1706" s="37"/>
    </row>
    <row r="1707" spans="2:12" x14ac:dyDescent="0.2">
      <c r="B1707" s="36"/>
      <c r="G1707" s="34"/>
      <c r="H1707" s="33"/>
      <c r="I1707" s="33"/>
      <c r="J1707" s="33"/>
      <c r="K1707" s="37"/>
      <c r="L1707" s="37"/>
    </row>
    <row r="1708" spans="2:12" x14ac:dyDescent="0.2">
      <c r="B1708" s="36"/>
      <c r="G1708" s="34"/>
      <c r="H1708" s="33"/>
      <c r="I1708" s="33"/>
      <c r="J1708" s="33"/>
      <c r="K1708" s="37"/>
      <c r="L1708" s="37"/>
    </row>
    <row r="1709" spans="2:12" x14ac:dyDescent="0.2">
      <c r="B1709" s="36"/>
      <c r="G1709" s="34"/>
      <c r="H1709" s="33"/>
      <c r="I1709" s="33"/>
      <c r="J1709" s="33"/>
      <c r="K1709" s="37"/>
      <c r="L1709" s="37"/>
    </row>
    <row r="1710" spans="2:12" x14ac:dyDescent="0.2">
      <c r="B1710" s="36"/>
      <c r="G1710" s="34"/>
      <c r="H1710" s="33"/>
      <c r="I1710" s="33"/>
      <c r="J1710" s="33"/>
      <c r="K1710" s="37"/>
      <c r="L1710" s="37"/>
    </row>
    <row r="1711" spans="2:12" x14ac:dyDescent="0.2">
      <c r="B1711" s="36"/>
      <c r="G1711" s="34"/>
      <c r="H1711" s="33"/>
      <c r="I1711" s="33"/>
      <c r="J1711" s="33"/>
      <c r="K1711" s="37"/>
      <c r="L1711" s="37"/>
    </row>
    <row r="1712" spans="2:12" x14ac:dyDescent="0.2">
      <c r="B1712" s="36"/>
      <c r="G1712" s="34"/>
      <c r="H1712" s="33"/>
      <c r="I1712" s="33"/>
      <c r="J1712" s="33"/>
      <c r="K1712" s="37"/>
      <c r="L1712" s="37"/>
    </row>
    <row r="1713" spans="2:12" x14ac:dyDescent="0.2">
      <c r="B1713" s="36"/>
      <c r="G1713" s="34"/>
      <c r="H1713" s="33"/>
      <c r="I1713" s="33"/>
      <c r="J1713" s="33"/>
      <c r="K1713" s="37"/>
      <c r="L1713" s="37"/>
    </row>
    <row r="1714" spans="2:12" x14ac:dyDescent="0.2">
      <c r="B1714" s="36"/>
      <c r="G1714" s="34"/>
      <c r="H1714" s="33"/>
      <c r="I1714" s="33"/>
      <c r="J1714" s="33"/>
      <c r="K1714" s="37"/>
      <c r="L1714" s="37"/>
    </row>
    <row r="1715" spans="2:12" x14ac:dyDescent="0.2">
      <c r="B1715" s="36"/>
      <c r="G1715" s="34"/>
      <c r="H1715" s="33"/>
      <c r="I1715" s="33"/>
      <c r="J1715" s="33"/>
      <c r="K1715" s="37"/>
      <c r="L1715" s="37"/>
    </row>
    <row r="1716" spans="2:12" x14ac:dyDescent="0.2">
      <c r="B1716" s="36"/>
      <c r="G1716" s="34"/>
      <c r="H1716" s="33"/>
      <c r="I1716" s="33"/>
      <c r="J1716" s="33"/>
      <c r="K1716" s="37"/>
      <c r="L1716" s="37"/>
    </row>
    <row r="1717" spans="2:12" x14ac:dyDescent="0.2">
      <c r="B1717" s="36"/>
      <c r="G1717" s="34"/>
      <c r="H1717" s="33"/>
      <c r="I1717" s="33"/>
      <c r="J1717" s="33"/>
      <c r="K1717" s="37"/>
      <c r="L1717" s="37"/>
    </row>
    <row r="1718" spans="2:12" x14ac:dyDescent="0.2">
      <c r="B1718" s="36"/>
      <c r="G1718" s="34"/>
      <c r="H1718" s="33"/>
      <c r="I1718" s="33"/>
      <c r="J1718" s="33"/>
      <c r="K1718" s="37"/>
      <c r="L1718" s="37"/>
    </row>
    <row r="1719" spans="2:12" x14ac:dyDescent="0.2">
      <c r="B1719" s="36"/>
      <c r="G1719" s="34"/>
      <c r="H1719" s="33"/>
      <c r="I1719" s="33"/>
      <c r="J1719" s="33"/>
      <c r="K1719" s="37"/>
      <c r="L1719" s="37"/>
    </row>
    <row r="1720" spans="2:12" x14ac:dyDescent="0.2">
      <c r="B1720" s="36"/>
      <c r="G1720" s="34"/>
      <c r="H1720" s="33"/>
      <c r="I1720" s="33"/>
      <c r="J1720" s="33"/>
      <c r="K1720" s="37"/>
      <c r="L1720" s="37"/>
    </row>
    <row r="1721" spans="2:12" x14ac:dyDescent="0.2">
      <c r="B1721" s="36"/>
      <c r="G1721" s="34"/>
      <c r="H1721" s="33"/>
      <c r="I1721" s="33"/>
      <c r="J1721" s="33"/>
      <c r="K1721" s="37"/>
      <c r="L1721" s="37"/>
    </row>
    <row r="1722" spans="2:12" x14ac:dyDescent="0.2">
      <c r="B1722" s="36"/>
      <c r="G1722" s="34"/>
      <c r="H1722" s="33"/>
      <c r="I1722" s="33"/>
      <c r="J1722" s="33"/>
      <c r="K1722" s="37"/>
      <c r="L1722" s="37"/>
    </row>
    <row r="1723" spans="2:12" x14ac:dyDescent="0.2">
      <c r="B1723" s="36"/>
      <c r="G1723" s="34"/>
      <c r="H1723" s="33"/>
      <c r="I1723" s="33"/>
      <c r="J1723" s="33"/>
      <c r="K1723" s="37"/>
      <c r="L1723" s="37"/>
    </row>
    <row r="1724" spans="2:12" x14ac:dyDescent="0.2">
      <c r="B1724" s="36"/>
      <c r="G1724" s="34"/>
      <c r="H1724" s="33"/>
      <c r="I1724" s="33"/>
      <c r="J1724" s="33"/>
      <c r="K1724" s="37"/>
      <c r="L1724" s="37"/>
    </row>
    <row r="1725" spans="2:12" x14ac:dyDescent="0.2">
      <c r="B1725" s="36"/>
      <c r="G1725" s="34"/>
      <c r="H1725" s="33"/>
      <c r="I1725" s="33"/>
      <c r="J1725" s="33"/>
      <c r="K1725" s="37"/>
      <c r="L1725" s="37"/>
    </row>
    <row r="1726" spans="2:12" x14ac:dyDescent="0.2">
      <c r="B1726" s="36"/>
      <c r="G1726" s="34"/>
      <c r="H1726" s="33"/>
      <c r="I1726" s="33"/>
      <c r="J1726" s="33"/>
      <c r="K1726" s="37"/>
      <c r="L1726" s="37"/>
    </row>
    <row r="1727" spans="2:12" x14ac:dyDescent="0.2">
      <c r="B1727" s="36"/>
      <c r="G1727" s="34"/>
      <c r="H1727" s="33"/>
      <c r="I1727" s="33"/>
      <c r="J1727" s="33"/>
      <c r="K1727" s="37"/>
      <c r="L1727" s="37"/>
    </row>
    <row r="1728" spans="2:12" x14ac:dyDescent="0.2">
      <c r="B1728" s="36"/>
      <c r="G1728" s="34"/>
      <c r="H1728" s="33"/>
      <c r="I1728" s="33"/>
      <c r="J1728" s="33"/>
      <c r="K1728" s="37"/>
      <c r="L1728" s="37"/>
    </row>
    <row r="1729" spans="2:12" x14ac:dyDescent="0.2">
      <c r="B1729" s="36"/>
      <c r="G1729" s="34"/>
      <c r="H1729" s="33"/>
      <c r="I1729" s="33"/>
      <c r="J1729" s="33"/>
      <c r="K1729" s="37"/>
      <c r="L1729" s="37"/>
    </row>
    <row r="1730" spans="2:12" x14ac:dyDescent="0.2">
      <c r="B1730" s="36"/>
      <c r="G1730" s="34"/>
      <c r="H1730" s="33"/>
      <c r="I1730" s="33"/>
      <c r="J1730" s="33"/>
      <c r="K1730" s="37"/>
      <c r="L1730" s="37"/>
    </row>
    <row r="1731" spans="2:12" x14ac:dyDescent="0.2">
      <c r="B1731" s="36"/>
      <c r="G1731" s="34"/>
      <c r="H1731" s="33"/>
      <c r="I1731" s="33"/>
      <c r="J1731" s="33"/>
      <c r="K1731" s="37"/>
      <c r="L1731" s="37"/>
    </row>
    <row r="1732" spans="2:12" x14ac:dyDescent="0.2">
      <c r="B1732" s="36"/>
      <c r="G1732" s="34"/>
      <c r="H1732" s="33"/>
      <c r="I1732" s="33"/>
      <c r="J1732" s="33"/>
      <c r="K1732" s="37"/>
      <c r="L1732" s="37"/>
    </row>
    <row r="1733" spans="2:12" x14ac:dyDescent="0.2">
      <c r="B1733" s="36"/>
      <c r="G1733" s="34"/>
      <c r="H1733" s="33"/>
      <c r="I1733" s="33"/>
      <c r="J1733" s="33"/>
      <c r="K1733" s="37"/>
      <c r="L1733" s="37"/>
    </row>
    <row r="1734" spans="2:12" x14ac:dyDescent="0.2">
      <c r="B1734" s="36"/>
      <c r="G1734" s="34"/>
      <c r="H1734" s="33"/>
      <c r="I1734" s="33"/>
      <c r="J1734" s="33"/>
      <c r="K1734" s="37"/>
      <c r="L1734" s="37"/>
    </row>
    <row r="1735" spans="2:12" x14ac:dyDescent="0.2">
      <c r="B1735" s="36"/>
      <c r="G1735" s="34"/>
      <c r="H1735" s="33"/>
      <c r="I1735" s="33"/>
      <c r="J1735" s="33"/>
      <c r="K1735" s="37"/>
      <c r="L1735" s="37"/>
    </row>
    <row r="1736" spans="2:12" x14ac:dyDescent="0.2">
      <c r="B1736" s="36"/>
      <c r="G1736" s="34"/>
      <c r="H1736" s="33"/>
      <c r="I1736" s="33"/>
      <c r="J1736" s="33"/>
      <c r="K1736" s="37"/>
      <c r="L1736" s="37"/>
    </row>
    <row r="1737" spans="2:12" x14ac:dyDescent="0.2">
      <c r="B1737" s="36"/>
      <c r="G1737" s="34"/>
      <c r="H1737" s="33"/>
      <c r="I1737" s="33"/>
      <c r="J1737" s="33"/>
      <c r="K1737" s="37"/>
      <c r="L1737" s="37"/>
    </row>
    <row r="1738" spans="2:12" x14ac:dyDescent="0.2">
      <c r="B1738" s="36"/>
      <c r="G1738" s="34"/>
      <c r="H1738" s="33"/>
      <c r="I1738" s="33"/>
      <c r="J1738" s="33"/>
      <c r="K1738" s="37"/>
      <c r="L1738" s="37"/>
    </row>
    <row r="1739" spans="2:12" x14ac:dyDescent="0.2">
      <c r="B1739" s="36"/>
      <c r="G1739" s="34"/>
      <c r="H1739" s="33"/>
      <c r="I1739" s="33"/>
      <c r="J1739" s="33"/>
      <c r="K1739" s="37"/>
      <c r="L1739" s="37"/>
    </row>
    <row r="1740" spans="2:12" x14ac:dyDescent="0.2">
      <c r="B1740" s="36"/>
      <c r="G1740" s="34"/>
      <c r="H1740" s="33"/>
      <c r="I1740" s="33"/>
      <c r="J1740" s="33"/>
      <c r="K1740" s="37"/>
      <c r="L1740" s="37"/>
    </row>
    <row r="1741" spans="2:12" x14ac:dyDescent="0.2">
      <c r="B1741" s="36"/>
      <c r="G1741" s="34"/>
      <c r="H1741" s="33"/>
      <c r="I1741" s="33"/>
      <c r="J1741" s="33"/>
      <c r="K1741" s="37"/>
      <c r="L1741" s="37"/>
    </row>
    <row r="1742" spans="2:12" x14ac:dyDescent="0.2">
      <c r="B1742" s="36"/>
      <c r="G1742" s="34"/>
      <c r="H1742" s="33"/>
      <c r="I1742" s="33"/>
      <c r="J1742" s="33"/>
      <c r="K1742" s="37"/>
      <c r="L1742" s="37"/>
    </row>
    <row r="1743" spans="2:12" x14ac:dyDescent="0.2">
      <c r="B1743" s="36"/>
      <c r="G1743" s="34"/>
      <c r="H1743" s="33"/>
      <c r="I1743" s="33"/>
      <c r="J1743" s="33"/>
      <c r="K1743" s="37"/>
      <c r="L1743" s="37"/>
    </row>
    <row r="1744" spans="2:12" x14ac:dyDescent="0.2">
      <c r="B1744" s="36"/>
      <c r="G1744" s="34"/>
      <c r="H1744" s="33"/>
      <c r="I1744" s="33"/>
      <c r="J1744" s="33"/>
      <c r="K1744" s="37"/>
      <c r="L1744" s="37"/>
    </row>
    <row r="1745" spans="2:12" x14ac:dyDescent="0.2">
      <c r="B1745" s="36"/>
      <c r="G1745" s="34"/>
      <c r="H1745" s="33"/>
      <c r="I1745" s="33"/>
      <c r="J1745" s="33"/>
      <c r="K1745" s="37"/>
      <c r="L1745" s="37"/>
    </row>
    <row r="1746" spans="2:12" x14ac:dyDescent="0.2">
      <c r="B1746" s="36"/>
      <c r="G1746" s="34"/>
      <c r="H1746" s="33"/>
      <c r="I1746" s="33"/>
      <c r="J1746" s="33"/>
      <c r="K1746" s="37"/>
      <c r="L1746" s="37"/>
    </row>
    <row r="1747" spans="2:12" x14ac:dyDescent="0.2">
      <c r="B1747" s="36"/>
      <c r="G1747" s="34"/>
      <c r="H1747" s="33"/>
      <c r="I1747" s="33"/>
      <c r="J1747" s="33"/>
      <c r="K1747" s="37"/>
      <c r="L1747" s="37"/>
    </row>
    <row r="1748" spans="2:12" x14ac:dyDescent="0.2">
      <c r="B1748" s="36"/>
      <c r="G1748" s="34"/>
      <c r="H1748" s="33"/>
      <c r="I1748" s="33"/>
      <c r="J1748" s="33"/>
      <c r="K1748" s="37"/>
      <c r="L1748" s="37"/>
    </row>
    <row r="1749" spans="2:12" x14ac:dyDescent="0.2">
      <c r="B1749" s="36"/>
      <c r="G1749" s="34"/>
      <c r="H1749" s="33"/>
      <c r="I1749" s="33"/>
      <c r="J1749" s="33"/>
      <c r="K1749" s="37"/>
      <c r="L1749" s="37"/>
    </row>
    <row r="1750" spans="2:12" x14ac:dyDescent="0.2">
      <c r="B1750" s="36"/>
      <c r="G1750" s="34"/>
      <c r="H1750" s="33"/>
      <c r="I1750" s="33"/>
      <c r="J1750" s="33"/>
      <c r="K1750" s="37"/>
      <c r="L1750" s="37"/>
    </row>
    <row r="1751" spans="2:12" x14ac:dyDescent="0.2">
      <c r="B1751" s="36"/>
      <c r="G1751" s="34"/>
      <c r="H1751" s="33"/>
      <c r="I1751" s="33"/>
      <c r="J1751" s="33"/>
      <c r="K1751" s="37"/>
      <c r="L1751" s="37"/>
    </row>
    <row r="1752" spans="2:12" x14ac:dyDescent="0.2">
      <c r="B1752" s="36"/>
      <c r="G1752" s="34"/>
      <c r="H1752" s="33"/>
      <c r="I1752" s="33"/>
      <c r="J1752" s="33"/>
      <c r="K1752" s="37"/>
      <c r="L1752" s="37"/>
    </row>
    <row r="1753" spans="2:12" x14ac:dyDescent="0.2">
      <c r="B1753" s="36"/>
      <c r="G1753" s="34"/>
      <c r="H1753" s="33"/>
      <c r="I1753" s="33"/>
      <c r="J1753" s="33"/>
      <c r="K1753" s="37"/>
      <c r="L1753" s="37"/>
    </row>
    <row r="1754" spans="2:12" x14ac:dyDescent="0.2">
      <c r="B1754" s="36"/>
      <c r="G1754" s="34"/>
      <c r="H1754" s="33"/>
      <c r="I1754" s="33"/>
      <c r="J1754" s="33"/>
      <c r="K1754" s="37"/>
      <c r="L1754" s="37"/>
    </row>
    <row r="1755" spans="2:12" x14ac:dyDescent="0.2">
      <c r="B1755" s="36"/>
      <c r="G1755" s="34"/>
      <c r="H1755" s="33"/>
      <c r="I1755" s="33"/>
      <c r="J1755" s="33"/>
      <c r="K1755" s="37"/>
      <c r="L1755" s="37"/>
    </row>
    <row r="1756" spans="2:12" x14ac:dyDescent="0.2">
      <c r="B1756" s="36"/>
      <c r="G1756" s="34"/>
      <c r="H1756" s="33"/>
      <c r="I1756" s="33"/>
      <c r="J1756" s="33"/>
      <c r="K1756" s="37"/>
      <c r="L1756" s="37"/>
    </row>
    <row r="1757" spans="2:12" x14ac:dyDescent="0.2">
      <c r="B1757" s="36"/>
      <c r="G1757" s="34"/>
      <c r="H1757" s="33"/>
      <c r="I1757" s="33"/>
      <c r="J1757" s="33"/>
      <c r="K1757" s="37"/>
      <c r="L1757" s="37"/>
    </row>
    <row r="1758" spans="2:12" x14ac:dyDescent="0.2">
      <c r="B1758" s="36"/>
      <c r="G1758" s="34"/>
      <c r="H1758" s="33"/>
      <c r="I1758" s="33"/>
      <c r="J1758" s="33"/>
      <c r="K1758" s="37"/>
      <c r="L1758" s="37"/>
    </row>
    <row r="1759" spans="2:12" x14ac:dyDescent="0.2">
      <c r="B1759" s="36"/>
      <c r="G1759" s="34"/>
      <c r="H1759" s="33"/>
      <c r="I1759" s="33"/>
      <c r="J1759" s="33"/>
      <c r="K1759" s="37"/>
      <c r="L1759" s="37"/>
    </row>
    <row r="1760" spans="2:12" x14ac:dyDescent="0.2">
      <c r="B1760" s="36"/>
      <c r="G1760" s="34"/>
      <c r="H1760" s="33"/>
      <c r="I1760" s="33"/>
      <c r="J1760" s="33"/>
      <c r="K1760" s="37"/>
      <c r="L1760" s="37"/>
    </row>
    <row r="1761" spans="2:12" x14ac:dyDescent="0.2">
      <c r="B1761" s="36"/>
      <c r="G1761" s="34"/>
      <c r="H1761" s="33"/>
      <c r="I1761" s="33"/>
      <c r="J1761" s="33"/>
      <c r="K1761" s="37"/>
      <c r="L1761" s="37"/>
    </row>
    <row r="1762" spans="2:12" x14ac:dyDescent="0.2">
      <c r="B1762" s="36"/>
      <c r="G1762" s="34"/>
      <c r="H1762" s="33"/>
      <c r="I1762" s="33"/>
      <c r="J1762" s="33"/>
      <c r="K1762" s="37"/>
      <c r="L1762" s="37"/>
    </row>
    <row r="1763" spans="2:12" x14ac:dyDescent="0.2">
      <c r="B1763" s="36"/>
      <c r="G1763" s="34"/>
      <c r="H1763" s="33"/>
      <c r="I1763" s="33"/>
      <c r="J1763" s="33"/>
      <c r="K1763" s="37"/>
      <c r="L1763" s="37"/>
    </row>
    <row r="1764" spans="2:12" x14ac:dyDescent="0.2">
      <c r="B1764" s="36"/>
      <c r="G1764" s="34"/>
      <c r="H1764" s="33"/>
      <c r="I1764" s="33"/>
      <c r="J1764" s="33"/>
      <c r="K1764" s="37"/>
      <c r="L1764" s="37"/>
    </row>
    <row r="1765" spans="2:12" x14ac:dyDescent="0.2">
      <c r="B1765" s="36"/>
      <c r="G1765" s="34"/>
      <c r="H1765" s="33"/>
      <c r="I1765" s="33"/>
      <c r="J1765" s="33"/>
      <c r="K1765" s="37"/>
      <c r="L1765" s="37"/>
    </row>
    <row r="1766" spans="2:12" x14ac:dyDescent="0.2">
      <c r="B1766" s="36"/>
      <c r="G1766" s="34"/>
      <c r="H1766" s="33"/>
      <c r="I1766" s="33"/>
      <c r="J1766" s="33"/>
      <c r="K1766" s="37"/>
      <c r="L1766" s="37"/>
    </row>
    <row r="1767" spans="2:12" x14ac:dyDescent="0.2">
      <c r="B1767" s="36"/>
      <c r="G1767" s="34"/>
      <c r="H1767" s="33"/>
      <c r="I1767" s="33"/>
      <c r="J1767" s="33"/>
      <c r="K1767" s="37"/>
      <c r="L1767" s="37"/>
    </row>
    <row r="1768" spans="2:12" x14ac:dyDescent="0.2">
      <c r="B1768" s="36"/>
      <c r="G1768" s="34"/>
      <c r="H1768" s="33"/>
      <c r="I1768" s="33"/>
      <c r="J1768" s="33"/>
      <c r="K1768" s="37"/>
      <c r="L1768" s="37"/>
    </row>
    <row r="1769" spans="2:12" x14ac:dyDescent="0.2">
      <c r="B1769" s="36"/>
      <c r="G1769" s="34"/>
      <c r="H1769" s="33"/>
      <c r="I1769" s="33"/>
      <c r="J1769" s="33"/>
      <c r="K1769" s="37"/>
      <c r="L1769" s="37"/>
    </row>
    <row r="1770" spans="2:12" x14ac:dyDescent="0.2">
      <c r="B1770" s="36"/>
      <c r="G1770" s="34"/>
      <c r="H1770" s="33"/>
      <c r="I1770" s="33"/>
      <c r="J1770" s="33"/>
      <c r="K1770" s="37"/>
      <c r="L1770" s="37"/>
    </row>
    <row r="1771" spans="2:12" x14ac:dyDescent="0.2">
      <c r="B1771" s="36"/>
      <c r="G1771" s="34"/>
      <c r="H1771" s="33"/>
      <c r="I1771" s="33"/>
      <c r="J1771" s="33"/>
      <c r="K1771" s="37"/>
      <c r="L1771" s="37"/>
    </row>
    <row r="1772" spans="2:12" x14ac:dyDescent="0.2">
      <c r="B1772" s="36"/>
      <c r="G1772" s="34"/>
      <c r="H1772" s="33"/>
      <c r="I1772" s="33"/>
      <c r="J1772" s="33"/>
      <c r="K1772" s="37"/>
      <c r="L1772" s="37"/>
    </row>
    <row r="1773" spans="2:12" x14ac:dyDescent="0.2">
      <c r="B1773" s="36"/>
      <c r="G1773" s="34"/>
      <c r="H1773" s="33"/>
      <c r="I1773" s="33"/>
      <c r="J1773" s="33"/>
      <c r="K1773" s="37"/>
      <c r="L1773" s="37"/>
    </row>
    <row r="1774" spans="2:12" x14ac:dyDescent="0.2">
      <c r="B1774" s="36"/>
      <c r="G1774" s="34"/>
      <c r="H1774" s="33"/>
      <c r="I1774" s="33"/>
      <c r="J1774" s="33"/>
      <c r="K1774" s="37"/>
      <c r="L1774" s="37"/>
    </row>
    <row r="1775" spans="2:12" x14ac:dyDescent="0.2">
      <c r="B1775" s="36"/>
      <c r="G1775" s="34"/>
      <c r="H1775" s="33"/>
      <c r="I1775" s="33"/>
      <c r="J1775" s="33"/>
      <c r="K1775" s="37"/>
      <c r="L1775" s="37"/>
    </row>
    <row r="1776" spans="2:12" x14ac:dyDescent="0.2">
      <c r="B1776" s="36"/>
      <c r="G1776" s="34"/>
      <c r="H1776" s="33"/>
      <c r="I1776" s="33"/>
      <c r="J1776" s="33"/>
      <c r="K1776" s="37"/>
      <c r="L1776" s="37"/>
    </row>
    <row r="1777" spans="2:12" x14ac:dyDescent="0.2">
      <c r="B1777" s="36"/>
      <c r="G1777" s="34"/>
      <c r="H1777" s="33"/>
      <c r="I1777" s="33"/>
      <c r="J1777" s="33"/>
      <c r="K1777" s="37"/>
      <c r="L1777" s="37"/>
    </row>
    <row r="1778" spans="2:12" x14ac:dyDescent="0.2">
      <c r="B1778" s="36"/>
      <c r="G1778" s="34"/>
      <c r="H1778" s="33"/>
      <c r="I1778" s="33"/>
      <c r="J1778" s="33"/>
      <c r="K1778" s="37"/>
      <c r="L1778" s="37"/>
    </row>
    <row r="1779" spans="2:12" x14ac:dyDescent="0.2">
      <c r="B1779" s="36"/>
      <c r="G1779" s="34"/>
      <c r="H1779" s="33"/>
      <c r="I1779" s="33"/>
      <c r="J1779" s="33"/>
      <c r="K1779" s="37"/>
      <c r="L1779" s="37"/>
    </row>
    <row r="1780" spans="2:12" x14ac:dyDescent="0.2">
      <c r="B1780" s="36"/>
      <c r="G1780" s="34"/>
      <c r="H1780" s="33"/>
      <c r="I1780" s="33"/>
      <c r="J1780" s="33"/>
      <c r="K1780" s="37"/>
      <c r="L1780" s="37"/>
    </row>
    <row r="1781" spans="2:12" x14ac:dyDescent="0.2">
      <c r="B1781" s="36"/>
      <c r="G1781" s="34"/>
      <c r="H1781" s="33"/>
      <c r="I1781" s="33"/>
      <c r="J1781" s="33"/>
      <c r="K1781" s="37"/>
      <c r="L1781" s="37"/>
    </row>
    <row r="1782" spans="2:12" x14ac:dyDescent="0.2">
      <c r="B1782" s="36"/>
      <c r="G1782" s="34"/>
      <c r="H1782" s="33"/>
      <c r="I1782" s="33"/>
      <c r="J1782" s="33"/>
      <c r="K1782" s="37"/>
      <c r="L1782" s="37"/>
    </row>
    <row r="1783" spans="2:12" x14ac:dyDescent="0.2">
      <c r="B1783" s="36"/>
      <c r="G1783" s="34"/>
      <c r="H1783" s="33"/>
      <c r="I1783" s="33"/>
      <c r="J1783" s="33"/>
      <c r="K1783" s="37"/>
      <c r="L1783" s="37"/>
    </row>
    <row r="1784" spans="2:12" x14ac:dyDescent="0.2">
      <c r="B1784" s="36"/>
      <c r="G1784" s="34"/>
      <c r="H1784" s="33"/>
      <c r="I1784" s="33"/>
      <c r="J1784" s="33"/>
      <c r="K1784" s="37"/>
      <c r="L1784" s="37"/>
    </row>
    <row r="1785" spans="2:12" x14ac:dyDescent="0.2">
      <c r="B1785" s="36"/>
      <c r="G1785" s="34"/>
      <c r="H1785" s="33"/>
      <c r="I1785" s="33"/>
      <c r="J1785" s="33"/>
      <c r="K1785" s="37"/>
      <c r="L1785" s="37"/>
    </row>
    <row r="1786" spans="2:12" x14ac:dyDescent="0.2">
      <c r="B1786" s="36"/>
      <c r="G1786" s="34"/>
      <c r="H1786" s="33"/>
      <c r="I1786" s="33"/>
      <c r="J1786" s="33"/>
      <c r="K1786" s="37"/>
      <c r="L1786" s="37"/>
    </row>
    <row r="1787" spans="2:12" x14ac:dyDescent="0.2">
      <c r="B1787" s="36"/>
      <c r="G1787" s="34"/>
      <c r="H1787" s="33"/>
      <c r="I1787" s="33"/>
      <c r="J1787" s="33"/>
      <c r="K1787" s="37"/>
      <c r="L1787" s="37"/>
    </row>
    <row r="1788" spans="2:12" x14ac:dyDescent="0.2">
      <c r="B1788" s="36"/>
      <c r="G1788" s="34"/>
      <c r="H1788" s="33"/>
      <c r="I1788" s="33"/>
      <c r="J1788" s="33"/>
      <c r="K1788" s="37"/>
      <c r="L1788" s="37"/>
    </row>
    <row r="1789" spans="2:12" x14ac:dyDescent="0.2">
      <c r="B1789" s="36"/>
      <c r="G1789" s="34"/>
      <c r="H1789" s="33"/>
      <c r="I1789" s="33"/>
      <c r="J1789" s="33"/>
      <c r="K1789" s="37"/>
      <c r="L1789" s="37"/>
    </row>
    <row r="1790" spans="2:12" x14ac:dyDescent="0.2">
      <c r="B1790" s="36"/>
      <c r="G1790" s="34"/>
      <c r="H1790" s="33"/>
      <c r="I1790" s="33"/>
      <c r="J1790" s="33"/>
      <c r="K1790" s="37"/>
      <c r="L1790" s="37"/>
    </row>
    <row r="1791" spans="2:12" x14ac:dyDescent="0.2">
      <c r="B1791" s="36"/>
      <c r="G1791" s="34"/>
      <c r="H1791" s="33"/>
      <c r="I1791" s="33"/>
      <c r="J1791" s="33"/>
      <c r="K1791" s="37"/>
      <c r="L1791" s="37"/>
    </row>
    <row r="1792" spans="2:12" x14ac:dyDescent="0.2">
      <c r="B1792" s="36"/>
      <c r="G1792" s="34"/>
      <c r="H1792" s="33"/>
      <c r="I1792" s="33"/>
      <c r="J1792" s="33"/>
      <c r="K1792" s="37"/>
      <c r="L1792" s="37"/>
    </row>
    <row r="1793" spans="2:12" x14ac:dyDescent="0.2">
      <c r="B1793" s="36"/>
      <c r="G1793" s="34"/>
      <c r="H1793" s="33"/>
      <c r="I1793" s="33"/>
      <c r="J1793" s="33"/>
      <c r="K1793" s="37"/>
      <c r="L1793" s="37"/>
    </row>
    <row r="1794" spans="2:12" x14ac:dyDescent="0.2">
      <c r="B1794" s="36"/>
      <c r="G1794" s="34"/>
      <c r="H1794" s="33"/>
      <c r="I1794" s="33"/>
      <c r="J1794" s="33"/>
      <c r="K1794" s="37"/>
      <c r="L1794" s="37"/>
    </row>
    <row r="1795" spans="2:12" x14ac:dyDescent="0.2">
      <c r="B1795" s="36"/>
      <c r="G1795" s="34"/>
      <c r="H1795" s="33"/>
      <c r="I1795" s="33"/>
      <c r="J1795" s="33"/>
      <c r="K1795" s="37"/>
      <c r="L1795" s="37"/>
    </row>
    <row r="1796" spans="2:12" x14ac:dyDescent="0.2">
      <c r="B1796" s="36"/>
      <c r="G1796" s="34"/>
      <c r="H1796" s="33"/>
      <c r="I1796" s="33"/>
      <c r="J1796" s="33"/>
      <c r="K1796" s="37"/>
      <c r="L1796" s="37"/>
    </row>
    <row r="1797" spans="2:12" x14ac:dyDescent="0.2">
      <c r="B1797" s="36"/>
      <c r="G1797" s="34"/>
      <c r="H1797" s="33"/>
      <c r="I1797" s="33"/>
      <c r="J1797" s="33"/>
      <c r="K1797" s="37"/>
      <c r="L1797" s="37"/>
    </row>
    <row r="1798" spans="2:12" x14ac:dyDescent="0.2">
      <c r="B1798" s="36"/>
      <c r="G1798" s="34"/>
      <c r="H1798" s="33"/>
      <c r="I1798" s="33"/>
      <c r="J1798" s="33"/>
      <c r="K1798" s="37"/>
      <c r="L1798" s="37"/>
    </row>
    <row r="1799" spans="2:12" x14ac:dyDescent="0.2">
      <c r="B1799" s="36"/>
      <c r="G1799" s="34"/>
      <c r="H1799" s="33"/>
      <c r="I1799" s="33"/>
      <c r="J1799" s="33"/>
      <c r="K1799" s="37"/>
      <c r="L1799" s="37"/>
    </row>
    <row r="1800" spans="2:12" x14ac:dyDescent="0.2">
      <c r="B1800" s="36"/>
      <c r="G1800" s="34"/>
      <c r="H1800" s="33"/>
      <c r="I1800" s="33"/>
      <c r="J1800" s="33"/>
      <c r="K1800" s="37"/>
      <c r="L1800" s="37"/>
    </row>
    <row r="1801" spans="2:12" x14ac:dyDescent="0.2">
      <c r="B1801" s="36"/>
      <c r="G1801" s="34"/>
      <c r="H1801" s="33"/>
      <c r="I1801" s="33"/>
      <c r="J1801" s="33"/>
      <c r="K1801" s="37"/>
      <c r="L1801" s="37"/>
    </row>
    <row r="1802" spans="2:12" x14ac:dyDescent="0.2">
      <c r="B1802" s="36"/>
      <c r="G1802" s="34"/>
      <c r="H1802" s="33"/>
      <c r="I1802" s="33"/>
      <c r="J1802" s="33"/>
      <c r="K1802" s="37"/>
      <c r="L1802" s="37"/>
    </row>
    <row r="1803" spans="2:12" x14ac:dyDescent="0.2">
      <c r="B1803" s="36"/>
      <c r="G1803" s="34"/>
      <c r="H1803" s="33"/>
      <c r="I1803" s="33"/>
      <c r="J1803" s="33"/>
      <c r="K1803" s="37"/>
      <c r="L1803" s="37"/>
    </row>
    <row r="1804" spans="2:12" x14ac:dyDescent="0.2">
      <c r="B1804" s="36"/>
      <c r="G1804" s="34"/>
      <c r="H1804" s="33"/>
      <c r="I1804" s="33"/>
      <c r="J1804" s="33"/>
      <c r="K1804" s="37"/>
      <c r="L1804" s="37"/>
    </row>
    <row r="1805" spans="2:12" x14ac:dyDescent="0.2">
      <c r="B1805" s="36"/>
      <c r="G1805" s="34"/>
      <c r="H1805" s="33"/>
      <c r="I1805" s="33"/>
      <c r="J1805" s="33"/>
      <c r="K1805" s="37"/>
      <c r="L1805" s="37"/>
    </row>
    <row r="1806" spans="2:12" x14ac:dyDescent="0.2">
      <c r="B1806" s="36"/>
      <c r="G1806" s="34"/>
      <c r="H1806" s="33"/>
      <c r="I1806" s="33"/>
      <c r="J1806" s="33"/>
      <c r="K1806" s="37"/>
      <c r="L1806" s="37"/>
    </row>
    <row r="1807" spans="2:12" x14ac:dyDescent="0.2">
      <c r="B1807" s="36"/>
      <c r="G1807" s="34"/>
      <c r="H1807" s="33"/>
      <c r="I1807" s="33"/>
      <c r="J1807" s="33"/>
      <c r="K1807" s="37"/>
      <c r="L1807" s="37"/>
    </row>
    <row r="1808" spans="2:12" x14ac:dyDescent="0.2">
      <c r="B1808" s="36"/>
      <c r="G1808" s="34"/>
      <c r="H1808" s="33"/>
      <c r="I1808" s="33"/>
      <c r="J1808" s="33"/>
      <c r="K1808" s="37"/>
      <c r="L1808" s="37"/>
    </row>
    <row r="1809" spans="2:12" x14ac:dyDescent="0.2">
      <c r="B1809" s="36"/>
      <c r="G1809" s="34"/>
      <c r="H1809" s="33"/>
      <c r="I1809" s="33"/>
      <c r="J1809" s="33"/>
      <c r="K1809" s="37"/>
      <c r="L1809" s="37"/>
    </row>
    <row r="1810" spans="2:12" x14ac:dyDescent="0.2">
      <c r="B1810" s="36"/>
      <c r="G1810" s="34"/>
      <c r="H1810" s="33"/>
      <c r="I1810" s="33"/>
      <c r="J1810" s="33"/>
      <c r="K1810" s="37"/>
      <c r="L1810" s="37"/>
    </row>
    <row r="1811" spans="2:12" x14ac:dyDescent="0.2">
      <c r="B1811" s="36"/>
      <c r="G1811" s="34"/>
      <c r="H1811" s="33"/>
      <c r="I1811" s="33"/>
      <c r="J1811" s="33"/>
      <c r="K1811" s="37"/>
      <c r="L1811" s="37"/>
    </row>
    <row r="1812" spans="2:12" x14ac:dyDescent="0.2">
      <c r="B1812" s="36"/>
      <c r="G1812" s="34"/>
      <c r="H1812" s="33"/>
      <c r="I1812" s="33"/>
      <c r="J1812" s="33"/>
      <c r="K1812" s="37"/>
      <c r="L1812" s="37"/>
    </row>
    <row r="1813" spans="2:12" x14ac:dyDescent="0.2">
      <c r="B1813" s="36"/>
      <c r="G1813" s="34"/>
      <c r="H1813" s="33"/>
      <c r="I1813" s="33"/>
      <c r="J1813" s="33"/>
      <c r="K1813" s="37"/>
      <c r="L1813" s="37"/>
    </row>
    <row r="1814" spans="2:12" x14ac:dyDescent="0.2">
      <c r="B1814" s="36"/>
      <c r="G1814" s="34"/>
      <c r="H1814" s="33"/>
      <c r="I1814" s="33"/>
      <c r="J1814" s="33"/>
      <c r="K1814" s="37"/>
      <c r="L1814" s="37"/>
    </row>
    <row r="1815" spans="2:12" x14ac:dyDescent="0.2">
      <c r="B1815" s="36"/>
      <c r="G1815" s="34"/>
      <c r="H1815" s="33"/>
      <c r="I1815" s="33"/>
      <c r="J1815" s="33"/>
      <c r="K1815" s="37"/>
      <c r="L1815" s="37"/>
    </row>
    <row r="1816" spans="2:12" x14ac:dyDescent="0.2">
      <c r="B1816" s="36"/>
      <c r="G1816" s="34"/>
      <c r="H1816" s="33"/>
      <c r="I1816" s="33"/>
      <c r="J1816" s="33"/>
      <c r="K1816" s="37"/>
      <c r="L1816" s="37"/>
    </row>
    <row r="1817" spans="2:12" x14ac:dyDescent="0.2">
      <c r="B1817" s="36"/>
      <c r="G1817" s="34"/>
      <c r="H1817" s="33"/>
      <c r="I1817" s="33"/>
      <c r="J1817" s="33"/>
      <c r="K1817" s="37"/>
      <c r="L1817" s="37"/>
    </row>
    <row r="1818" spans="2:12" x14ac:dyDescent="0.2">
      <c r="B1818" s="36"/>
      <c r="G1818" s="34"/>
      <c r="H1818" s="33"/>
      <c r="I1818" s="33"/>
      <c r="J1818" s="33"/>
      <c r="K1818" s="37"/>
      <c r="L1818" s="37"/>
    </row>
    <row r="1819" spans="2:12" x14ac:dyDescent="0.2">
      <c r="B1819" s="36"/>
      <c r="G1819" s="34"/>
      <c r="H1819" s="33"/>
      <c r="I1819" s="33"/>
      <c r="J1819" s="33"/>
      <c r="K1819" s="37"/>
      <c r="L1819" s="37"/>
    </row>
    <row r="1820" spans="2:12" x14ac:dyDescent="0.2">
      <c r="B1820" s="36"/>
      <c r="G1820" s="34"/>
      <c r="H1820" s="33"/>
      <c r="I1820" s="33"/>
      <c r="J1820" s="33"/>
      <c r="K1820" s="37"/>
      <c r="L1820" s="37"/>
    </row>
    <row r="1821" spans="2:12" x14ac:dyDescent="0.2">
      <c r="B1821" s="36"/>
      <c r="G1821" s="34"/>
      <c r="H1821" s="33"/>
      <c r="I1821" s="33"/>
      <c r="J1821" s="33"/>
      <c r="K1821" s="37"/>
      <c r="L1821" s="37"/>
    </row>
    <row r="1822" spans="2:12" x14ac:dyDescent="0.2">
      <c r="B1822" s="36"/>
      <c r="G1822" s="34"/>
      <c r="H1822" s="33"/>
      <c r="I1822" s="33"/>
      <c r="J1822" s="33"/>
      <c r="K1822" s="37"/>
      <c r="L1822" s="37"/>
    </row>
    <row r="1823" spans="2:12" x14ac:dyDescent="0.2">
      <c r="B1823" s="36"/>
      <c r="G1823" s="34"/>
      <c r="H1823" s="33"/>
      <c r="I1823" s="33"/>
      <c r="J1823" s="33"/>
      <c r="K1823" s="37"/>
      <c r="L1823" s="37"/>
    </row>
    <row r="1824" spans="2:12" x14ac:dyDescent="0.2">
      <c r="B1824" s="36"/>
      <c r="G1824" s="34"/>
      <c r="H1824" s="33"/>
      <c r="I1824" s="33"/>
      <c r="J1824" s="33"/>
      <c r="K1824" s="37"/>
      <c r="L1824" s="37"/>
    </row>
    <row r="1825" spans="2:12" x14ac:dyDescent="0.2">
      <c r="B1825" s="36"/>
      <c r="G1825" s="34"/>
      <c r="H1825" s="33"/>
      <c r="I1825" s="33"/>
      <c r="J1825" s="33"/>
      <c r="K1825" s="37"/>
      <c r="L1825" s="37"/>
    </row>
    <row r="1826" spans="2:12" x14ac:dyDescent="0.2">
      <c r="B1826" s="36"/>
      <c r="G1826" s="34"/>
      <c r="H1826" s="33"/>
      <c r="I1826" s="33"/>
      <c r="J1826" s="33"/>
      <c r="K1826" s="37"/>
      <c r="L1826" s="37"/>
    </row>
    <row r="1827" spans="2:12" x14ac:dyDescent="0.2">
      <c r="B1827" s="36"/>
      <c r="G1827" s="34"/>
      <c r="H1827" s="33"/>
      <c r="I1827" s="33"/>
      <c r="J1827" s="33"/>
      <c r="K1827" s="37"/>
      <c r="L1827" s="37"/>
    </row>
    <row r="1828" spans="2:12" x14ac:dyDescent="0.2">
      <c r="B1828" s="36"/>
      <c r="G1828" s="34"/>
      <c r="H1828" s="33"/>
      <c r="I1828" s="33"/>
      <c r="J1828" s="33"/>
      <c r="K1828" s="37"/>
      <c r="L1828" s="37"/>
    </row>
    <row r="1829" spans="2:12" x14ac:dyDescent="0.2">
      <c r="B1829" s="36"/>
      <c r="G1829" s="34"/>
      <c r="H1829" s="33"/>
      <c r="I1829" s="33"/>
      <c r="J1829" s="33"/>
      <c r="K1829" s="37"/>
      <c r="L1829" s="37"/>
    </row>
    <row r="1830" spans="2:12" x14ac:dyDescent="0.2">
      <c r="B1830" s="36"/>
      <c r="G1830" s="34"/>
      <c r="H1830" s="33"/>
      <c r="I1830" s="33"/>
      <c r="J1830" s="33"/>
      <c r="K1830" s="37"/>
      <c r="L1830" s="37"/>
    </row>
    <row r="1831" spans="2:12" x14ac:dyDescent="0.2">
      <c r="B1831" s="36"/>
      <c r="G1831" s="34"/>
      <c r="H1831" s="33"/>
      <c r="I1831" s="33"/>
      <c r="J1831" s="33"/>
      <c r="K1831" s="37"/>
      <c r="L1831" s="37"/>
    </row>
    <row r="1832" spans="2:12" x14ac:dyDescent="0.2">
      <c r="B1832" s="36"/>
      <c r="G1832" s="34"/>
      <c r="H1832" s="33"/>
      <c r="I1832" s="33"/>
      <c r="J1832" s="33"/>
      <c r="K1832" s="37"/>
      <c r="L1832" s="37"/>
    </row>
    <row r="1833" spans="2:12" x14ac:dyDescent="0.2">
      <c r="B1833" s="36"/>
      <c r="G1833" s="34"/>
      <c r="H1833" s="33"/>
      <c r="I1833" s="33"/>
      <c r="J1833" s="33"/>
      <c r="K1833" s="37"/>
      <c r="L1833" s="37"/>
    </row>
    <row r="1834" spans="2:12" x14ac:dyDescent="0.2">
      <c r="B1834" s="36"/>
      <c r="G1834" s="34"/>
      <c r="H1834" s="33"/>
      <c r="I1834" s="33"/>
      <c r="J1834" s="33"/>
      <c r="K1834" s="37"/>
      <c r="L1834" s="37"/>
    </row>
    <row r="1835" spans="2:12" x14ac:dyDescent="0.2">
      <c r="B1835" s="36"/>
      <c r="G1835" s="34"/>
      <c r="H1835" s="33"/>
      <c r="I1835" s="33"/>
      <c r="J1835" s="33"/>
      <c r="K1835" s="37"/>
      <c r="L1835" s="37"/>
    </row>
    <row r="1836" spans="2:12" x14ac:dyDescent="0.2">
      <c r="B1836" s="36"/>
      <c r="G1836" s="34"/>
      <c r="H1836" s="33"/>
      <c r="I1836" s="33"/>
      <c r="J1836" s="33"/>
      <c r="K1836" s="37"/>
      <c r="L1836" s="37"/>
    </row>
    <row r="1837" spans="2:12" x14ac:dyDescent="0.2">
      <c r="B1837" s="36"/>
      <c r="G1837" s="34"/>
      <c r="H1837" s="33"/>
      <c r="I1837" s="33"/>
      <c r="J1837" s="33"/>
      <c r="K1837" s="37"/>
      <c r="L1837" s="37"/>
    </row>
    <row r="1838" spans="2:12" x14ac:dyDescent="0.2">
      <c r="B1838" s="36"/>
      <c r="G1838" s="34"/>
      <c r="H1838" s="33"/>
      <c r="I1838" s="33"/>
      <c r="J1838" s="33"/>
      <c r="K1838" s="37"/>
      <c r="L1838" s="37"/>
    </row>
    <row r="1839" spans="2:12" x14ac:dyDescent="0.2">
      <c r="B1839" s="36"/>
      <c r="G1839" s="34"/>
      <c r="H1839" s="33"/>
      <c r="I1839" s="33"/>
      <c r="J1839" s="33"/>
      <c r="K1839" s="37"/>
      <c r="L1839" s="37"/>
    </row>
    <row r="1840" spans="2:12" x14ac:dyDescent="0.2">
      <c r="B1840" s="36"/>
      <c r="G1840" s="34"/>
      <c r="H1840" s="33"/>
      <c r="I1840" s="33"/>
      <c r="J1840" s="33"/>
      <c r="K1840" s="37"/>
      <c r="L1840" s="37"/>
    </row>
    <row r="1841" spans="2:12" x14ac:dyDescent="0.2">
      <c r="B1841" s="36"/>
      <c r="G1841" s="34"/>
      <c r="H1841" s="33"/>
      <c r="I1841" s="33"/>
      <c r="J1841" s="33"/>
      <c r="K1841" s="37"/>
      <c r="L1841" s="37"/>
    </row>
    <row r="1842" spans="2:12" x14ac:dyDescent="0.2">
      <c r="B1842" s="36"/>
      <c r="G1842" s="34"/>
      <c r="H1842" s="33"/>
      <c r="I1842" s="33"/>
      <c r="J1842" s="33"/>
      <c r="K1842" s="37"/>
      <c r="L1842" s="37"/>
    </row>
    <row r="1843" spans="2:12" x14ac:dyDescent="0.2">
      <c r="B1843" s="36"/>
      <c r="G1843" s="34"/>
      <c r="H1843" s="33"/>
      <c r="I1843" s="33"/>
      <c r="J1843" s="33"/>
      <c r="K1843" s="37"/>
      <c r="L1843" s="37"/>
    </row>
    <row r="1844" spans="2:12" x14ac:dyDescent="0.2">
      <c r="B1844" s="36"/>
      <c r="G1844" s="34"/>
      <c r="H1844" s="33"/>
      <c r="I1844" s="33"/>
      <c r="J1844" s="33"/>
      <c r="K1844" s="37"/>
      <c r="L1844" s="37"/>
    </row>
    <row r="1845" spans="2:12" x14ac:dyDescent="0.2">
      <c r="B1845" s="36"/>
      <c r="G1845" s="34"/>
      <c r="H1845" s="33"/>
      <c r="I1845" s="33"/>
      <c r="J1845" s="33"/>
      <c r="K1845" s="37"/>
      <c r="L1845" s="37"/>
    </row>
    <row r="1846" spans="2:12" x14ac:dyDescent="0.2">
      <c r="B1846" s="36"/>
      <c r="G1846" s="34"/>
      <c r="H1846" s="33"/>
      <c r="I1846" s="33"/>
      <c r="J1846" s="33"/>
      <c r="K1846" s="37"/>
      <c r="L1846" s="37"/>
    </row>
    <row r="1847" spans="2:12" x14ac:dyDescent="0.2">
      <c r="B1847" s="36"/>
      <c r="G1847" s="34"/>
      <c r="H1847" s="33"/>
      <c r="I1847" s="33"/>
      <c r="J1847" s="33"/>
      <c r="K1847" s="37"/>
      <c r="L1847" s="37"/>
    </row>
    <row r="1848" spans="2:12" x14ac:dyDescent="0.2">
      <c r="B1848" s="36"/>
      <c r="G1848" s="34"/>
      <c r="H1848" s="33"/>
      <c r="I1848" s="33"/>
      <c r="J1848" s="33"/>
      <c r="K1848" s="37"/>
      <c r="L1848" s="37"/>
    </row>
    <row r="1849" spans="2:12" x14ac:dyDescent="0.2">
      <c r="B1849" s="36"/>
      <c r="G1849" s="34"/>
      <c r="H1849" s="33"/>
      <c r="I1849" s="33"/>
      <c r="J1849" s="33"/>
      <c r="K1849" s="37"/>
      <c r="L1849" s="37"/>
    </row>
    <row r="1850" spans="2:12" x14ac:dyDescent="0.2">
      <c r="B1850" s="36"/>
      <c r="G1850" s="34"/>
      <c r="H1850" s="33"/>
      <c r="I1850" s="33"/>
      <c r="J1850" s="33"/>
      <c r="K1850" s="37"/>
      <c r="L1850" s="37"/>
    </row>
    <row r="1851" spans="2:12" x14ac:dyDescent="0.2">
      <c r="B1851" s="36"/>
      <c r="G1851" s="34"/>
      <c r="H1851" s="33"/>
      <c r="I1851" s="33"/>
      <c r="J1851" s="33"/>
      <c r="K1851" s="37"/>
      <c r="L1851" s="37"/>
    </row>
    <row r="1852" spans="2:12" x14ac:dyDescent="0.2">
      <c r="B1852" s="36"/>
      <c r="G1852" s="34"/>
      <c r="H1852" s="33"/>
      <c r="I1852" s="33"/>
      <c r="J1852" s="33"/>
      <c r="K1852" s="37"/>
      <c r="L1852" s="37"/>
    </row>
    <row r="1853" spans="2:12" x14ac:dyDescent="0.2">
      <c r="B1853" s="36"/>
      <c r="G1853" s="34"/>
      <c r="H1853" s="33"/>
      <c r="I1853" s="33"/>
      <c r="J1853" s="33"/>
      <c r="K1853" s="37"/>
      <c r="L1853" s="37"/>
    </row>
    <row r="1854" spans="2:12" x14ac:dyDescent="0.2">
      <c r="B1854" s="36"/>
      <c r="G1854" s="34"/>
      <c r="H1854" s="33"/>
      <c r="I1854" s="33"/>
      <c r="J1854" s="33"/>
      <c r="K1854" s="37"/>
      <c r="L1854" s="37"/>
    </row>
    <row r="1855" spans="2:12" x14ac:dyDescent="0.2">
      <c r="B1855" s="36"/>
      <c r="G1855" s="34"/>
      <c r="H1855" s="33"/>
      <c r="I1855" s="33"/>
      <c r="J1855" s="33"/>
      <c r="K1855" s="37"/>
      <c r="L1855" s="37"/>
    </row>
    <row r="1856" spans="2:12" x14ac:dyDescent="0.2">
      <c r="B1856" s="36"/>
      <c r="G1856" s="34"/>
      <c r="H1856" s="33"/>
      <c r="I1856" s="33"/>
      <c r="J1856" s="33"/>
      <c r="K1856" s="37"/>
      <c r="L1856" s="37"/>
    </row>
    <row r="1857" spans="2:12" x14ac:dyDescent="0.2">
      <c r="B1857" s="36"/>
      <c r="G1857" s="34"/>
      <c r="H1857" s="33"/>
      <c r="I1857" s="33"/>
      <c r="J1857" s="33"/>
      <c r="K1857" s="37"/>
      <c r="L1857" s="37"/>
    </row>
    <row r="1858" spans="2:12" x14ac:dyDescent="0.2">
      <c r="B1858" s="36"/>
      <c r="G1858" s="34"/>
      <c r="H1858" s="33"/>
      <c r="I1858" s="33"/>
      <c r="J1858" s="33"/>
      <c r="K1858" s="37"/>
      <c r="L1858" s="37"/>
    </row>
    <row r="1859" spans="2:12" x14ac:dyDescent="0.2">
      <c r="B1859" s="36"/>
      <c r="G1859" s="34"/>
      <c r="H1859" s="33"/>
      <c r="I1859" s="33"/>
      <c r="J1859" s="33"/>
      <c r="K1859" s="37"/>
      <c r="L1859" s="37"/>
    </row>
    <row r="1860" spans="2:12" x14ac:dyDescent="0.2">
      <c r="B1860" s="36"/>
      <c r="G1860" s="34"/>
      <c r="H1860" s="33"/>
      <c r="I1860" s="33"/>
      <c r="J1860" s="33"/>
      <c r="K1860" s="37"/>
      <c r="L1860" s="37"/>
    </row>
    <row r="1861" spans="2:12" x14ac:dyDescent="0.2">
      <c r="B1861" s="36"/>
      <c r="G1861" s="34"/>
      <c r="H1861" s="33"/>
      <c r="I1861" s="33"/>
      <c r="J1861" s="33"/>
      <c r="K1861" s="37"/>
      <c r="L1861" s="37"/>
    </row>
    <row r="1862" spans="2:12" x14ac:dyDescent="0.2">
      <c r="B1862" s="36"/>
      <c r="G1862" s="34"/>
      <c r="H1862" s="33"/>
      <c r="I1862" s="33"/>
      <c r="J1862" s="33"/>
      <c r="K1862" s="37"/>
      <c r="L1862" s="37"/>
    </row>
    <row r="1863" spans="2:12" x14ac:dyDescent="0.2">
      <c r="B1863" s="36"/>
      <c r="G1863" s="34"/>
      <c r="H1863" s="33"/>
      <c r="I1863" s="33"/>
      <c r="J1863" s="33"/>
      <c r="K1863" s="37"/>
      <c r="L1863" s="37"/>
    </row>
    <row r="1864" spans="2:12" x14ac:dyDescent="0.2">
      <c r="B1864" s="36"/>
      <c r="G1864" s="34"/>
      <c r="H1864" s="33"/>
      <c r="I1864" s="33"/>
      <c r="J1864" s="33"/>
      <c r="K1864" s="37"/>
      <c r="L1864" s="37"/>
    </row>
    <row r="1865" spans="2:12" x14ac:dyDescent="0.2">
      <c r="B1865" s="36"/>
      <c r="G1865" s="34"/>
      <c r="H1865" s="33"/>
      <c r="I1865" s="33"/>
      <c r="J1865" s="33"/>
      <c r="K1865" s="37"/>
      <c r="L1865" s="37"/>
    </row>
    <row r="1866" spans="2:12" x14ac:dyDescent="0.2">
      <c r="B1866" s="36"/>
      <c r="G1866" s="34"/>
      <c r="H1866" s="33"/>
      <c r="I1866" s="33"/>
      <c r="J1866" s="33"/>
      <c r="K1866" s="37"/>
      <c r="L1866" s="37"/>
    </row>
    <row r="1867" spans="2:12" x14ac:dyDescent="0.2">
      <c r="B1867" s="36"/>
      <c r="G1867" s="34"/>
      <c r="H1867" s="33"/>
      <c r="I1867" s="33"/>
      <c r="J1867" s="33"/>
      <c r="K1867" s="37"/>
      <c r="L1867" s="37"/>
    </row>
    <row r="1868" spans="2:12" x14ac:dyDescent="0.2">
      <c r="B1868" s="36"/>
      <c r="G1868" s="34"/>
      <c r="H1868" s="33"/>
      <c r="I1868" s="33"/>
      <c r="J1868" s="33"/>
      <c r="K1868" s="37"/>
      <c r="L1868" s="37"/>
    </row>
    <row r="1869" spans="2:12" x14ac:dyDescent="0.2">
      <c r="B1869" s="36"/>
      <c r="G1869" s="34"/>
      <c r="H1869" s="33"/>
      <c r="I1869" s="33"/>
      <c r="J1869" s="33"/>
      <c r="K1869" s="37"/>
      <c r="L1869" s="37"/>
    </row>
    <row r="1870" spans="2:12" x14ac:dyDescent="0.2">
      <c r="B1870" s="36"/>
      <c r="G1870" s="34"/>
      <c r="H1870" s="33"/>
      <c r="I1870" s="33"/>
      <c r="J1870" s="33"/>
      <c r="K1870" s="37"/>
      <c r="L1870" s="37"/>
    </row>
    <row r="1871" spans="2:12" x14ac:dyDescent="0.2">
      <c r="B1871" s="36"/>
      <c r="G1871" s="34"/>
      <c r="H1871" s="33"/>
      <c r="I1871" s="33"/>
      <c r="J1871" s="33"/>
      <c r="K1871" s="37"/>
      <c r="L1871" s="37"/>
    </row>
    <row r="1872" spans="2:12" x14ac:dyDescent="0.2">
      <c r="B1872" s="36"/>
      <c r="G1872" s="34"/>
      <c r="H1872" s="33"/>
      <c r="I1872" s="33"/>
      <c r="J1872" s="33"/>
      <c r="K1872" s="37"/>
      <c r="L1872" s="37"/>
    </row>
    <row r="1873" spans="2:12" x14ac:dyDescent="0.2">
      <c r="B1873" s="36"/>
      <c r="G1873" s="34"/>
      <c r="H1873" s="33"/>
      <c r="I1873" s="33"/>
      <c r="J1873" s="33"/>
      <c r="K1873" s="37"/>
      <c r="L1873" s="37"/>
    </row>
    <row r="1874" spans="2:12" x14ac:dyDescent="0.2">
      <c r="B1874" s="36"/>
      <c r="G1874" s="34"/>
      <c r="H1874" s="33"/>
      <c r="I1874" s="33"/>
      <c r="J1874" s="33"/>
      <c r="K1874" s="37"/>
      <c r="L1874" s="37"/>
    </row>
    <row r="1875" spans="2:12" x14ac:dyDescent="0.2">
      <c r="B1875" s="36"/>
      <c r="G1875" s="34"/>
      <c r="H1875" s="33"/>
      <c r="I1875" s="33"/>
      <c r="J1875" s="33"/>
      <c r="K1875" s="37"/>
      <c r="L1875" s="37"/>
    </row>
    <row r="1876" spans="2:12" x14ac:dyDescent="0.2">
      <c r="B1876" s="36"/>
      <c r="G1876" s="34"/>
      <c r="H1876" s="33"/>
      <c r="I1876" s="33"/>
      <c r="J1876" s="33"/>
      <c r="K1876" s="37"/>
      <c r="L1876" s="37"/>
    </row>
    <row r="1877" spans="2:12" x14ac:dyDescent="0.2">
      <c r="B1877" s="36"/>
      <c r="G1877" s="34"/>
      <c r="H1877" s="33"/>
      <c r="I1877" s="33"/>
      <c r="J1877" s="33"/>
      <c r="K1877" s="37"/>
      <c r="L1877" s="37"/>
    </row>
    <row r="1878" spans="2:12" x14ac:dyDescent="0.2">
      <c r="B1878" s="36"/>
      <c r="G1878" s="34"/>
      <c r="H1878" s="33"/>
      <c r="I1878" s="33"/>
      <c r="J1878" s="33"/>
      <c r="K1878" s="37"/>
      <c r="L1878" s="37"/>
    </row>
    <row r="1879" spans="2:12" x14ac:dyDescent="0.2">
      <c r="B1879" s="36"/>
      <c r="G1879" s="34"/>
      <c r="H1879" s="33"/>
      <c r="I1879" s="33"/>
      <c r="J1879" s="33"/>
      <c r="K1879" s="37"/>
      <c r="L1879" s="37"/>
    </row>
    <row r="1880" spans="2:12" x14ac:dyDescent="0.2">
      <c r="B1880" s="36"/>
      <c r="G1880" s="34"/>
      <c r="H1880" s="33"/>
      <c r="I1880" s="33"/>
      <c r="J1880" s="33"/>
      <c r="K1880" s="37"/>
      <c r="L1880" s="37"/>
    </row>
    <row r="1881" spans="2:12" x14ac:dyDescent="0.2">
      <c r="B1881" s="36"/>
      <c r="G1881" s="34"/>
      <c r="H1881" s="33"/>
      <c r="I1881" s="33"/>
      <c r="J1881" s="33"/>
      <c r="K1881" s="37"/>
      <c r="L1881" s="37"/>
    </row>
    <row r="1882" spans="2:12" x14ac:dyDescent="0.2">
      <c r="B1882" s="36"/>
      <c r="G1882" s="34"/>
      <c r="H1882" s="33"/>
      <c r="I1882" s="33"/>
      <c r="J1882" s="33"/>
      <c r="K1882" s="37"/>
      <c r="L1882" s="37"/>
    </row>
    <row r="1883" spans="2:12" x14ac:dyDescent="0.2">
      <c r="B1883" s="36"/>
      <c r="G1883" s="34"/>
      <c r="H1883" s="33"/>
      <c r="I1883" s="33"/>
      <c r="J1883" s="33"/>
      <c r="K1883" s="37"/>
      <c r="L1883" s="37"/>
    </row>
    <row r="1884" spans="2:12" x14ac:dyDescent="0.2">
      <c r="B1884" s="36"/>
      <c r="G1884" s="34"/>
      <c r="H1884" s="33"/>
      <c r="I1884" s="33"/>
      <c r="J1884" s="33"/>
      <c r="K1884" s="37"/>
      <c r="L1884" s="37"/>
    </row>
    <row r="1885" spans="2:12" x14ac:dyDescent="0.2">
      <c r="B1885" s="36"/>
      <c r="G1885" s="34"/>
      <c r="H1885" s="33"/>
      <c r="I1885" s="33"/>
      <c r="J1885" s="33"/>
      <c r="K1885" s="37"/>
      <c r="L1885" s="37"/>
    </row>
    <row r="1886" spans="2:12" x14ac:dyDescent="0.2">
      <c r="B1886" s="36"/>
      <c r="G1886" s="34"/>
      <c r="H1886" s="33"/>
      <c r="I1886" s="33"/>
      <c r="J1886" s="33"/>
      <c r="K1886" s="37"/>
      <c r="L1886" s="37"/>
    </row>
    <row r="1887" spans="2:12" x14ac:dyDescent="0.2">
      <c r="B1887" s="36"/>
      <c r="G1887" s="34"/>
      <c r="H1887" s="33"/>
      <c r="I1887" s="33"/>
      <c r="J1887" s="33"/>
      <c r="K1887" s="37"/>
      <c r="L1887" s="37"/>
    </row>
    <row r="1888" spans="2:12" x14ac:dyDescent="0.2">
      <c r="B1888" s="36"/>
      <c r="G1888" s="34"/>
      <c r="H1888" s="33"/>
      <c r="I1888" s="33"/>
      <c r="J1888" s="33"/>
      <c r="K1888" s="37"/>
      <c r="L1888" s="37"/>
    </row>
    <row r="1889" spans="2:12" x14ac:dyDescent="0.2">
      <c r="B1889" s="36"/>
      <c r="G1889" s="34"/>
      <c r="H1889" s="33"/>
      <c r="I1889" s="33"/>
      <c r="J1889" s="33"/>
      <c r="K1889" s="37"/>
      <c r="L1889" s="37"/>
    </row>
    <row r="1890" spans="2:12" x14ac:dyDescent="0.2">
      <c r="B1890" s="36"/>
      <c r="G1890" s="34"/>
      <c r="H1890" s="33"/>
      <c r="I1890" s="33"/>
      <c r="J1890" s="33"/>
      <c r="K1890" s="37"/>
      <c r="L1890" s="37"/>
    </row>
    <row r="1891" spans="2:12" x14ac:dyDescent="0.2">
      <c r="B1891" s="36"/>
      <c r="G1891" s="34"/>
      <c r="H1891" s="33"/>
      <c r="I1891" s="33"/>
      <c r="J1891" s="33"/>
      <c r="K1891" s="37"/>
      <c r="L1891" s="37"/>
    </row>
    <row r="1892" spans="2:12" x14ac:dyDescent="0.2">
      <c r="B1892" s="36"/>
      <c r="G1892" s="34"/>
      <c r="H1892" s="33"/>
      <c r="I1892" s="33"/>
      <c r="J1892" s="33"/>
      <c r="K1892" s="37"/>
      <c r="L1892" s="37"/>
    </row>
    <row r="1893" spans="2:12" x14ac:dyDescent="0.2">
      <c r="B1893" s="36"/>
      <c r="G1893" s="34"/>
      <c r="H1893" s="33"/>
      <c r="I1893" s="33"/>
      <c r="J1893" s="33"/>
      <c r="K1893" s="37"/>
      <c r="L1893" s="37"/>
    </row>
    <row r="1894" spans="2:12" x14ac:dyDescent="0.2">
      <c r="B1894" s="36"/>
      <c r="G1894" s="34"/>
      <c r="H1894" s="33"/>
      <c r="I1894" s="33"/>
      <c r="J1894" s="33"/>
      <c r="K1894" s="37"/>
      <c r="L1894" s="37"/>
    </row>
    <row r="1895" spans="2:12" x14ac:dyDescent="0.2">
      <c r="B1895" s="36"/>
      <c r="G1895" s="34"/>
      <c r="H1895" s="33"/>
      <c r="I1895" s="33"/>
      <c r="J1895" s="33"/>
      <c r="K1895" s="37"/>
      <c r="L1895" s="37"/>
    </row>
    <row r="1896" spans="2:12" x14ac:dyDescent="0.2">
      <c r="B1896" s="36"/>
      <c r="G1896" s="34"/>
      <c r="H1896" s="33"/>
      <c r="I1896" s="33"/>
      <c r="J1896" s="33"/>
      <c r="K1896" s="37"/>
      <c r="L1896" s="37"/>
    </row>
    <row r="1897" spans="2:12" x14ac:dyDescent="0.2">
      <c r="B1897" s="36"/>
      <c r="G1897" s="34"/>
      <c r="H1897" s="33"/>
      <c r="I1897" s="33"/>
      <c r="J1897" s="33"/>
      <c r="K1897" s="37"/>
      <c r="L1897" s="37"/>
    </row>
    <row r="1898" spans="2:12" x14ac:dyDescent="0.2">
      <c r="B1898" s="36"/>
      <c r="G1898" s="34"/>
      <c r="H1898" s="33"/>
      <c r="I1898" s="33"/>
      <c r="J1898" s="33"/>
      <c r="K1898" s="37"/>
      <c r="L1898" s="37"/>
    </row>
    <row r="1899" spans="2:12" x14ac:dyDescent="0.2">
      <c r="B1899" s="36"/>
      <c r="G1899" s="34"/>
      <c r="H1899" s="33"/>
      <c r="I1899" s="33"/>
      <c r="J1899" s="33"/>
      <c r="K1899" s="37"/>
      <c r="L1899" s="37"/>
    </row>
    <row r="1900" spans="2:12" x14ac:dyDescent="0.2">
      <c r="B1900" s="36"/>
      <c r="G1900" s="34"/>
      <c r="H1900" s="33"/>
      <c r="I1900" s="33"/>
      <c r="J1900" s="33"/>
      <c r="K1900" s="37"/>
      <c r="L1900" s="37"/>
    </row>
    <row r="1901" spans="2:12" x14ac:dyDescent="0.2">
      <c r="B1901" s="36"/>
      <c r="G1901" s="34"/>
      <c r="H1901" s="33"/>
      <c r="I1901" s="33"/>
      <c r="J1901" s="33"/>
      <c r="K1901" s="37"/>
      <c r="L1901" s="37"/>
    </row>
    <row r="1902" spans="2:12" x14ac:dyDescent="0.2">
      <c r="B1902" s="36"/>
      <c r="G1902" s="34"/>
      <c r="H1902" s="33"/>
      <c r="I1902" s="33"/>
      <c r="J1902" s="33"/>
      <c r="K1902" s="37"/>
      <c r="L1902" s="37"/>
    </row>
    <row r="1903" spans="2:12" x14ac:dyDescent="0.2">
      <c r="B1903" s="36"/>
      <c r="G1903" s="34"/>
      <c r="H1903" s="33"/>
      <c r="I1903" s="33"/>
      <c r="J1903" s="33"/>
      <c r="K1903" s="37"/>
      <c r="L1903" s="37"/>
    </row>
    <row r="1904" spans="2:12" x14ac:dyDescent="0.2">
      <c r="B1904" s="36"/>
      <c r="G1904" s="34"/>
      <c r="H1904" s="33"/>
      <c r="I1904" s="33"/>
      <c r="J1904" s="33"/>
      <c r="K1904" s="37"/>
      <c r="L1904" s="37"/>
    </row>
    <row r="1905" spans="2:12" x14ac:dyDescent="0.2">
      <c r="B1905" s="36"/>
      <c r="G1905" s="34"/>
      <c r="H1905" s="33"/>
      <c r="I1905" s="33"/>
      <c r="J1905" s="33"/>
      <c r="K1905" s="37"/>
      <c r="L1905" s="37"/>
    </row>
    <row r="1906" spans="2:12" x14ac:dyDescent="0.2">
      <c r="B1906" s="36"/>
      <c r="G1906" s="34"/>
      <c r="H1906" s="33"/>
      <c r="I1906" s="33"/>
      <c r="J1906" s="33"/>
      <c r="K1906" s="37"/>
      <c r="L1906" s="37"/>
    </row>
    <row r="1907" spans="2:12" x14ac:dyDescent="0.2">
      <c r="B1907" s="36"/>
      <c r="G1907" s="34"/>
      <c r="H1907" s="33"/>
      <c r="I1907" s="33"/>
      <c r="J1907" s="33"/>
      <c r="K1907" s="37"/>
      <c r="L1907" s="37"/>
    </row>
    <row r="1908" spans="2:12" x14ac:dyDescent="0.2">
      <c r="B1908" s="36"/>
      <c r="G1908" s="34"/>
      <c r="H1908" s="33"/>
      <c r="I1908" s="33"/>
      <c r="J1908" s="33"/>
      <c r="K1908" s="37"/>
      <c r="L1908" s="37"/>
    </row>
    <row r="1909" spans="2:12" x14ac:dyDescent="0.2">
      <c r="B1909" s="36"/>
      <c r="G1909" s="34"/>
      <c r="H1909" s="33"/>
      <c r="I1909" s="33"/>
      <c r="J1909" s="33"/>
      <c r="K1909" s="37"/>
      <c r="L1909" s="37"/>
    </row>
    <row r="1910" spans="2:12" x14ac:dyDescent="0.2">
      <c r="B1910" s="36"/>
      <c r="G1910" s="34"/>
      <c r="H1910" s="33"/>
      <c r="I1910" s="33"/>
      <c r="J1910" s="33"/>
      <c r="K1910" s="37"/>
      <c r="L1910" s="37"/>
    </row>
    <row r="1911" spans="2:12" x14ac:dyDescent="0.2">
      <c r="B1911" s="36"/>
      <c r="G1911" s="34"/>
      <c r="H1911" s="33"/>
      <c r="I1911" s="33"/>
      <c r="J1911" s="33"/>
      <c r="K1911" s="37"/>
      <c r="L1911" s="37"/>
    </row>
    <row r="1912" spans="2:12" x14ac:dyDescent="0.2">
      <c r="B1912" s="36"/>
      <c r="G1912" s="34"/>
      <c r="H1912" s="33"/>
      <c r="I1912" s="33"/>
      <c r="J1912" s="33"/>
      <c r="K1912" s="37"/>
      <c r="L1912" s="37"/>
    </row>
    <row r="1913" spans="2:12" x14ac:dyDescent="0.2">
      <c r="B1913" s="36"/>
      <c r="G1913" s="34"/>
      <c r="H1913" s="33"/>
      <c r="I1913" s="33"/>
      <c r="J1913" s="33"/>
      <c r="K1913" s="37"/>
      <c r="L1913" s="37"/>
    </row>
    <row r="1914" spans="2:12" x14ac:dyDescent="0.2">
      <c r="B1914" s="36"/>
      <c r="G1914" s="34"/>
      <c r="H1914" s="33"/>
      <c r="I1914" s="33"/>
      <c r="J1914" s="33"/>
      <c r="K1914" s="37"/>
      <c r="L1914" s="37"/>
    </row>
    <row r="1915" spans="2:12" x14ac:dyDescent="0.2">
      <c r="B1915" s="36"/>
      <c r="G1915" s="34"/>
      <c r="H1915" s="33"/>
      <c r="I1915" s="33"/>
      <c r="J1915" s="33"/>
      <c r="K1915" s="37"/>
      <c r="L1915" s="37"/>
    </row>
    <row r="1916" spans="2:12" x14ac:dyDescent="0.2">
      <c r="B1916" s="36"/>
      <c r="G1916" s="34"/>
      <c r="H1916" s="33"/>
      <c r="I1916" s="33"/>
      <c r="J1916" s="33"/>
      <c r="K1916" s="37"/>
      <c r="L1916" s="37"/>
    </row>
    <row r="1917" spans="2:12" x14ac:dyDescent="0.2">
      <c r="B1917" s="36"/>
      <c r="G1917" s="34"/>
      <c r="H1917" s="33"/>
      <c r="I1917" s="33"/>
      <c r="J1917" s="33"/>
      <c r="K1917" s="37"/>
      <c r="L1917" s="37"/>
    </row>
    <row r="1918" spans="2:12" x14ac:dyDescent="0.2">
      <c r="B1918" s="36"/>
      <c r="G1918" s="34"/>
      <c r="H1918" s="33"/>
      <c r="I1918" s="33"/>
      <c r="J1918" s="33"/>
      <c r="K1918" s="37"/>
      <c r="L1918" s="37"/>
    </row>
    <row r="1919" spans="2:12" x14ac:dyDescent="0.2">
      <c r="B1919" s="36"/>
      <c r="G1919" s="34"/>
      <c r="H1919" s="33"/>
      <c r="I1919" s="33"/>
      <c r="J1919" s="33"/>
      <c r="K1919" s="37"/>
      <c r="L1919" s="37"/>
    </row>
    <row r="1920" spans="2:12" x14ac:dyDescent="0.2">
      <c r="B1920" s="36"/>
      <c r="G1920" s="34"/>
      <c r="H1920" s="33"/>
      <c r="I1920" s="33"/>
      <c r="J1920" s="33"/>
      <c r="K1920" s="37"/>
      <c r="L1920" s="37"/>
    </row>
    <row r="1921" spans="2:12" x14ac:dyDescent="0.2">
      <c r="B1921" s="36"/>
      <c r="G1921" s="34"/>
      <c r="H1921" s="33"/>
      <c r="I1921" s="33"/>
      <c r="J1921" s="33"/>
      <c r="K1921" s="37"/>
      <c r="L1921" s="37"/>
    </row>
    <row r="1922" spans="2:12" x14ac:dyDescent="0.2">
      <c r="B1922" s="36"/>
      <c r="G1922" s="34"/>
      <c r="H1922" s="33"/>
      <c r="I1922" s="33"/>
      <c r="J1922" s="33"/>
      <c r="K1922" s="37"/>
      <c r="L1922" s="37"/>
    </row>
    <row r="1923" spans="2:12" x14ac:dyDescent="0.2">
      <c r="B1923" s="36"/>
      <c r="G1923" s="34"/>
      <c r="H1923" s="33"/>
      <c r="I1923" s="33"/>
      <c r="J1923" s="33"/>
      <c r="K1923" s="37"/>
      <c r="L1923" s="37"/>
    </row>
    <row r="1924" spans="2:12" x14ac:dyDescent="0.2">
      <c r="B1924" s="36"/>
      <c r="G1924" s="34"/>
      <c r="H1924" s="33"/>
      <c r="I1924" s="33"/>
      <c r="J1924" s="33"/>
      <c r="K1924" s="37"/>
      <c r="L1924" s="37"/>
    </row>
    <row r="1925" spans="2:12" x14ac:dyDescent="0.2">
      <c r="B1925" s="36"/>
      <c r="G1925" s="34"/>
      <c r="H1925" s="33"/>
      <c r="I1925" s="33"/>
      <c r="J1925" s="33"/>
      <c r="K1925" s="37"/>
      <c r="L1925" s="37"/>
    </row>
    <row r="1926" spans="2:12" x14ac:dyDescent="0.2">
      <c r="B1926" s="36"/>
      <c r="G1926" s="34"/>
      <c r="H1926" s="33"/>
      <c r="I1926" s="33"/>
      <c r="J1926" s="33"/>
      <c r="K1926" s="37"/>
      <c r="L1926" s="37"/>
    </row>
    <row r="1927" spans="2:12" x14ac:dyDescent="0.2">
      <c r="B1927" s="36"/>
      <c r="G1927" s="34"/>
      <c r="H1927" s="33"/>
      <c r="I1927" s="33"/>
      <c r="J1927" s="33"/>
      <c r="K1927" s="37"/>
      <c r="L1927" s="37"/>
    </row>
    <row r="1928" spans="2:12" x14ac:dyDescent="0.2">
      <c r="B1928" s="36"/>
      <c r="G1928" s="34"/>
      <c r="H1928" s="33"/>
      <c r="I1928" s="33"/>
      <c r="J1928" s="33"/>
      <c r="K1928" s="37"/>
      <c r="L1928" s="37"/>
    </row>
    <row r="1929" spans="2:12" x14ac:dyDescent="0.2">
      <c r="B1929" s="36"/>
      <c r="G1929" s="34"/>
      <c r="H1929" s="33"/>
      <c r="I1929" s="33"/>
      <c r="J1929" s="33"/>
      <c r="K1929" s="37"/>
      <c r="L1929" s="37"/>
    </row>
    <row r="1930" spans="2:12" x14ac:dyDescent="0.2">
      <c r="B1930" s="36"/>
      <c r="G1930" s="34"/>
      <c r="H1930" s="33"/>
      <c r="I1930" s="33"/>
      <c r="J1930" s="33"/>
      <c r="K1930" s="37"/>
      <c r="L1930" s="37"/>
    </row>
    <row r="1931" spans="2:12" x14ac:dyDescent="0.2">
      <c r="B1931" s="36"/>
      <c r="G1931" s="34"/>
      <c r="H1931" s="33"/>
      <c r="I1931" s="33"/>
      <c r="J1931" s="33"/>
      <c r="K1931" s="37"/>
      <c r="L1931" s="37"/>
    </row>
    <row r="1932" spans="2:12" x14ac:dyDescent="0.2">
      <c r="B1932" s="36"/>
      <c r="G1932" s="34"/>
      <c r="H1932" s="33"/>
      <c r="I1932" s="33"/>
      <c r="J1932" s="33"/>
      <c r="K1932" s="37"/>
      <c r="L1932" s="37"/>
    </row>
    <row r="1933" spans="2:12" x14ac:dyDescent="0.2">
      <c r="B1933" s="36"/>
      <c r="G1933" s="34"/>
      <c r="H1933" s="33"/>
      <c r="I1933" s="33"/>
      <c r="J1933" s="33"/>
      <c r="K1933" s="37"/>
      <c r="L1933" s="37"/>
    </row>
    <row r="1934" spans="2:12" x14ac:dyDescent="0.2">
      <c r="B1934" s="36"/>
      <c r="G1934" s="34"/>
      <c r="H1934" s="33"/>
      <c r="I1934" s="33"/>
      <c r="J1934" s="33"/>
      <c r="K1934" s="37"/>
      <c r="L1934" s="37"/>
    </row>
    <row r="1935" spans="2:12" x14ac:dyDescent="0.2">
      <c r="B1935" s="36"/>
      <c r="G1935" s="34"/>
      <c r="H1935" s="33"/>
      <c r="I1935" s="33"/>
      <c r="J1935" s="33"/>
      <c r="K1935" s="37"/>
      <c r="L1935" s="37"/>
    </row>
    <row r="1936" spans="2:12" x14ac:dyDescent="0.2">
      <c r="B1936" s="36"/>
      <c r="G1936" s="34"/>
      <c r="H1936" s="33"/>
      <c r="I1936" s="33"/>
      <c r="J1936" s="33"/>
      <c r="K1936" s="37"/>
      <c r="L1936" s="37"/>
    </row>
    <row r="1937" spans="2:12" x14ac:dyDescent="0.2">
      <c r="B1937" s="36"/>
      <c r="G1937" s="34"/>
      <c r="H1937" s="33"/>
      <c r="I1937" s="33"/>
      <c r="J1937" s="33"/>
      <c r="K1937" s="37"/>
      <c r="L1937" s="37"/>
    </row>
    <row r="1938" spans="2:12" x14ac:dyDescent="0.2">
      <c r="B1938" s="36"/>
      <c r="G1938" s="34"/>
      <c r="H1938" s="33"/>
      <c r="I1938" s="33"/>
      <c r="J1938" s="33"/>
      <c r="K1938" s="37"/>
      <c r="L1938" s="37"/>
    </row>
    <row r="1939" spans="2:12" x14ac:dyDescent="0.2">
      <c r="B1939" s="36"/>
      <c r="G1939" s="34"/>
      <c r="H1939" s="33"/>
      <c r="I1939" s="33"/>
      <c r="J1939" s="33"/>
      <c r="K1939" s="37"/>
      <c r="L1939" s="37"/>
    </row>
    <row r="1940" spans="2:12" x14ac:dyDescent="0.2">
      <c r="B1940" s="36"/>
      <c r="G1940" s="34"/>
      <c r="H1940" s="33"/>
      <c r="I1940" s="33"/>
      <c r="J1940" s="33"/>
      <c r="K1940" s="37"/>
      <c r="L1940" s="37"/>
    </row>
    <row r="1941" spans="2:12" x14ac:dyDescent="0.2">
      <c r="B1941" s="36"/>
      <c r="G1941" s="34"/>
      <c r="H1941" s="33"/>
      <c r="I1941" s="33"/>
      <c r="J1941" s="33"/>
      <c r="K1941" s="37"/>
      <c r="L1941" s="37"/>
    </row>
    <row r="1942" spans="2:12" x14ac:dyDescent="0.2">
      <c r="B1942" s="36"/>
      <c r="G1942" s="34"/>
      <c r="H1942" s="33"/>
      <c r="I1942" s="33"/>
      <c r="J1942" s="33"/>
      <c r="K1942" s="37"/>
      <c r="L1942" s="37"/>
    </row>
    <row r="1943" spans="2:12" x14ac:dyDescent="0.2">
      <c r="B1943" s="36"/>
      <c r="G1943" s="34"/>
      <c r="H1943" s="33"/>
      <c r="I1943" s="33"/>
      <c r="J1943" s="33"/>
      <c r="K1943" s="37"/>
      <c r="L1943" s="37"/>
    </row>
    <row r="1944" spans="2:12" x14ac:dyDescent="0.2">
      <c r="B1944" s="36"/>
      <c r="G1944" s="34"/>
      <c r="H1944" s="33"/>
      <c r="I1944" s="33"/>
      <c r="J1944" s="33"/>
      <c r="K1944" s="37"/>
      <c r="L1944" s="37"/>
    </row>
    <row r="1945" spans="2:12" x14ac:dyDescent="0.2">
      <c r="B1945" s="36"/>
      <c r="G1945" s="34"/>
      <c r="H1945" s="33"/>
      <c r="I1945" s="33"/>
      <c r="J1945" s="33"/>
      <c r="K1945" s="37"/>
      <c r="L1945" s="37"/>
    </row>
    <row r="1946" spans="2:12" x14ac:dyDescent="0.2">
      <c r="B1946" s="36"/>
      <c r="G1946" s="34"/>
      <c r="H1946" s="33"/>
      <c r="I1946" s="33"/>
      <c r="J1946" s="33"/>
      <c r="K1946" s="37"/>
      <c r="L1946" s="37"/>
    </row>
    <row r="1947" spans="2:12" x14ac:dyDescent="0.2">
      <c r="B1947" s="36"/>
      <c r="G1947" s="34"/>
      <c r="H1947" s="33"/>
      <c r="I1947" s="33"/>
      <c r="J1947" s="33"/>
      <c r="K1947" s="37"/>
      <c r="L1947" s="37"/>
    </row>
    <row r="1948" spans="2:12" x14ac:dyDescent="0.2">
      <c r="B1948" s="36"/>
      <c r="G1948" s="34"/>
      <c r="H1948" s="33"/>
      <c r="I1948" s="33"/>
      <c r="J1948" s="33"/>
      <c r="K1948" s="37"/>
      <c r="L1948" s="37"/>
    </row>
    <row r="1949" spans="2:12" x14ac:dyDescent="0.2">
      <c r="B1949" s="36"/>
      <c r="G1949" s="34"/>
      <c r="H1949" s="33"/>
      <c r="I1949" s="33"/>
      <c r="J1949" s="33"/>
      <c r="K1949" s="37"/>
      <c r="L1949" s="37"/>
    </row>
    <row r="1950" spans="2:12" x14ac:dyDescent="0.2">
      <c r="B1950" s="36"/>
      <c r="G1950" s="34"/>
      <c r="H1950" s="33"/>
      <c r="I1950" s="33"/>
      <c r="J1950" s="33"/>
      <c r="K1950" s="37"/>
      <c r="L1950" s="37"/>
    </row>
    <row r="1951" spans="2:12" x14ac:dyDescent="0.2">
      <c r="B1951" s="36"/>
      <c r="G1951" s="34"/>
      <c r="H1951" s="33"/>
      <c r="I1951" s="33"/>
      <c r="J1951" s="33"/>
      <c r="K1951" s="37"/>
      <c r="L1951" s="37"/>
    </row>
    <row r="1952" spans="2:12" x14ac:dyDescent="0.2">
      <c r="B1952" s="36"/>
      <c r="G1952" s="34"/>
      <c r="H1952" s="33"/>
      <c r="I1952" s="33"/>
      <c r="J1952" s="33"/>
      <c r="K1952" s="37"/>
      <c r="L1952" s="37"/>
    </row>
    <row r="1953" spans="2:12" x14ac:dyDescent="0.2">
      <c r="B1953" s="36"/>
      <c r="G1953" s="34"/>
      <c r="H1953" s="33"/>
      <c r="I1953" s="33"/>
      <c r="J1953" s="33"/>
      <c r="K1953" s="37"/>
      <c r="L1953" s="37"/>
    </row>
    <row r="1954" spans="2:12" x14ac:dyDescent="0.2">
      <c r="B1954" s="36"/>
      <c r="G1954" s="34"/>
      <c r="H1954" s="33"/>
      <c r="I1954" s="33"/>
      <c r="J1954" s="33"/>
      <c r="K1954" s="37"/>
      <c r="L1954" s="37"/>
    </row>
    <row r="1955" spans="2:12" x14ac:dyDescent="0.2">
      <c r="B1955" s="36"/>
      <c r="G1955" s="34"/>
      <c r="H1955" s="33"/>
      <c r="I1955" s="33"/>
      <c r="J1955" s="33"/>
      <c r="K1955" s="37"/>
      <c r="L1955" s="37"/>
    </row>
    <row r="1956" spans="2:12" x14ac:dyDescent="0.2">
      <c r="B1956" s="36"/>
      <c r="G1956" s="34"/>
      <c r="H1956" s="33"/>
      <c r="I1956" s="33"/>
      <c r="J1956" s="33"/>
      <c r="K1956" s="37"/>
      <c r="L1956" s="37"/>
    </row>
    <row r="1957" spans="2:12" x14ac:dyDescent="0.2">
      <c r="B1957" s="36"/>
      <c r="G1957" s="34"/>
      <c r="H1957" s="33"/>
      <c r="I1957" s="33"/>
      <c r="J1957" s="33"/>
      <c r="K1957" s="37"/>
      <c r="L1957" s="37"/>
    </row>
    <row r="1958" spans="2:12" x14ac:dyDescent="0.2">
      <c r="B1958" s="36"/>
      <c r="G1958" s="34"/>
      <c r="H1958" s="33"/>
      <c r="I1958" s="33"/>
      <c r="J1958" s="33"/>
      <c r="K1958" s="37"/>
      <c r="L1958" s="37"/>
    </row>
    <row r="1959" spans="2:12" x14ac:dyDescent="0.2">
      <c r="B1959" s="36"/>
      <c r="G1959" s="34"/>
      <c r="H1959" s="33"/>
      <c r="I1959" s="33"/>
      <c r="J1959" s="33"/>
      <c r="K1959" s="37"/>
      <c r="L1959" s="37"/>
    </row>
    <row r="1960" spans="2:12" x14ac:dyDescent="0.2">
      <c r="B1960" s="36"/>
      <c r="G1960" s="34"/>
      <c r="H1960" s="33"/>
      <c r="I1960" s="33"/>
      <c r="J1960" s="33"/>
      <c r="K1960" s="37"/>
      <c r="L1960" s="37"/>
    </row>
    <row r="1961" spans="2:12" x14ac:dyDescent="0.2">
      <c r="B1961" s="36"/>
      <c r="G1961" s="34"/>
      <c r="H1961" s="33"/>
      <c r="I1961" s="33"/>
      <c r="J1961" s="33"/>
      <c r="K1961" s="37"/>
      <c r="L1961" s="37"/>
    </row>
    <row r="1962" spans="2:12" x14ac:dyDescent="0.2">
      <c r="B1962" s="36"/>
      <c r="G1962" s="34"/>
      <c r="H1962" s="33"/>
      <c r="I1962" s="33"/>
      <c r="J1962" s="33"/>
      <c r="K1962" s="37"/>
      <c r="L1962" s="37"/>
    </row>
    <row r="1963" spans="2:12" x14ac:dyDescent="0.2">
      <c r="B1963" s="36"/>
      <c r="G1963" s="34"/>
      <c r="H1963" s="33"/>
      <c r="I1963" s="33"/>
      <c r="J1963" s="33"/>
      <c r="K1963" s="37"/>
      <c r="L1963" s="37"/>
    </row>
    <row r="1964" spans="2:12" x14ac:dyDescent="0.2">
      <c r="B1964" s="36"/>
      <c r="G1964" s="34"/>
      <c r="H1964" s="33"/>
      <c r="I1964" s="33"/>
      <c r="J1964" s="33"/>
      <c r="K1964" s="37"/>
      <c r="L1964" s="37"/>
    </row>
    <row r="1965" spans="2:12" x14ac:dyDescent="0.2">
      <c r="B1965" s="36"/>
      <c r="G1965" s="34"/>
      <c r="H1965" s="33"/>
      <c r="I1965" s="33"/>
      <c r="J1965" s="33"/>
      <c r="K1965" s="37"/>
      <c r="L1965" s="37"/>
    </row>
    <row r="1966" spans="2:12" x14ac:dyDescent="0.2">
      <c r="B1966" s="36"/>
      <c r="G1966" s="34"/>
      <c r="H1966" s="33"/>
      <c r="I1966" s="33"/>
      <c r="J1966" s="33"/>
      <c r="K1966" s="37"/>
      <c r="L1966" s="37"/>
    </row>
    <row r="1967" spans="2:12" x14ac:dyDescent="0.2">
      <c r="B1967" s="36"/>
      <c r="G1967" s="34"/>
      <c r="H1967" s="33"/>
      <c r="I1967" s="33"/>
      <c r="J1967" s="33"/>
      <c r="K1967" s="37"/>
      <c r="L1967" s="37"/>
    </row>
    <row r="1968" spans="2:12" x14ac:dyDescent="0.2">
      <c r="B1968" s="36"/>
      <c r="G1968" s="34"/>
      <c r="H1968" s="33"/>
      <c r="I1968" s="33"/>
      <c r="J1968" s="33"/>
      <c r="K1968" s="37"/>
      <c r="L1968" s="37"/>
    </row>
    <row r="1969" spans="2:12" x14ac:dyDescent="0.2">
      <c r="B1969" s="36"/>
      <c r="G1969" s="34"/>
      <c r="H1969" s="33"/>
      <c r="I1969" s="33"/>
      <c r="J1969" s="33"/>
      <c r="K1969" s="37"/>
      <c r="L1969" s="37"/>
    </row>
    <row r="1970" spans="2:12" x14ac:dyDescent="0.2">
      <c r="B1970" s="36"/>
      <c r="G1970" s="34"/>
      <c r="H1970" s="33"/>
      <c r="I1970" s="33"/>
      <c r="J1970" s="33"/>
      <c r="K1970" s="37"/>
      <c r="L1970" s="37"/>
    </row>
    <row r="1971" spans="2:12" x14ac:dyDescent="0.2">
      <c r="B1971" s="36"/>
      <c r="G1971" s="34"/>
      <c r="H1971" s="33"/>
      <c r="I1971" s="33"/>
      <c r="J1971" s="33"/>
      <c r="K1971" s="37"/>
      <c r="L1971" s="37"/>
    </row>
    <row r="1972" spans="2:12" x14ac:dyDescent="0.2">
      <c r="B1972" s="36"/>
      <c r="G1972" s="34"/>
      <c r="H1972" s="33"/>
      <c r="I1972" s="33"/>
      <c r="J1972" s="33"/>
      <c r="K1972" s="37"/>
      <c r="L1972" s="37"/>
    </row>
    <row r="1973" spans="2:12" x14ac:dyDescent="0.2">
      <c r="B1973" s="36"/>
      <c r="G1973" s="34"/>
      <c r="H1973" s="33"/>
      <c r="I1973" s="33"/>
      <c r="J1973" s="33"/>
      <c r="K1973" s="37"/>
      <c r="L1973" s="37"/>
    </row>
    <row r="1974" spans="2:12" x14ac:dyDescent="0.2">
      <c r="B1974" s="36"/>
      <c r="G1974" s="34"/>
      <c r="H1974" s="33"/>
      <c r="I1974" s="33"/>
      <c r="J1974" s="33"/>
      <c r="K1974" s="37"/>
      <c r="L1974" s="37"/>
    </row>
    <row r="1975" spans="2:12" x14ac:dyDescent="0.2">
      <c r="B1975" s="36"/>
      <c r="G1975" s="34"/>
      <c r="H1975" s="33"/>
      <c r="I1975" s="33"/>
      <c r="J1975" s="33"/>
      <c r="K1975" s="37"/>
      <c r="L1975" s="37"/>
    </row>
    <row r="1976" spans="2:12" x14ac:dyDescent="0.2">
      <c r="B1976" s="36"/>
      <c r="G1976" s="34"/>
      <c r="H1976" s="33"/>
      <c r="I1976" s="33"/>
      <c r="J1976" s="33"/>
      <c r="K1976" s="37"/>
      <c r="L1976" s="37"/>
    </row>
    <row r="1977" spans="2:12" x14ac:dyDescent="0.2">
      <c r="B1977" s="36"/>
      <c r="G1977" s="34"/>
      <c r="H1977" s="33"/>
      <c r="I1977" s="33"/>
      <c r="J1977" s="33"/>
      <c r="K1977" s="37"/>
      <c r="L1977" s="37"/>
    </row>
    <row r="1978" spans="2:12" x14ac:dyDescent="0.2">
      <c r="B1978" s="36"/>
      <c r="G1978" s="34"/>
      <c r="H1978" s="33"/>
      <c r="I1978" s="33"/>
      <c r="J1978" s="33"/>
      <c r="K1978" s="37"/>
      <c r="L1978" s="37"/>
    </row>
    <row r="1979" spans="2:12" x14ac:dyDescent="0.2">
      <c r="B1979" s="36"/>
      <c r="G1979" s="34"/>
      <c r="H1979" s="33"/>
      <c r="I1979" s="33"/>
      <c r="J1979" s="33"/>
      <c r="K1979" s="37"/>
      <c r="L1979" s="37"/>
    </row>
    <row r="1980" spans="2:12" x14ac:dyDescent="0.2">
      <c r="B1980" s="36"/>
      <c r="G1980" s="34"/>
      <c r="H1980" s="33"/>
      <c r="I1980" s="33"/>
      <c r="J1980" s="33"/>
      <c r="K1980" s="37"/>
      <c r="L1980" s="37"/>
    </row>
    <row r="1981" spans="2:12" x14ac:dyDescent="0.2">
      <c r="B1981" s="36"/>
      <c r="G1981" s="34"/>
      <c r="H1981" s="33"/>
      <c r="I1981" s="33"/>
      <c r="J1981" s="33"/>
      <c r="K1981" s="37"/>
      <c r="L1981" s="37"/>
    </row>
    <row r="1982" spans="2:12" x14ac:dyDescent="0.2">
      <c r="B1982" s="36"/>
      <c r="G1982" s="34"/>
      <c r="H1982" s="33"/>
      <c r="I1982" s="33"/>
      <c r="J1982" s="33"/>
      <c r="K1982" s="37"/>
      <c r="L1982" s="37"/>
    </row>
    <row r="1983" spans="2:12" x14ac:dyDescent="0.2">
      <c r="B1983" s="36"/>
      <c r="G1983" s="34"/>
      <c r="H1983" s="33"/>
      <c r="I1983" s="33"/>
      <c r="J1983" s="33"/>
      <c r="K1983" s="37"/>
      <c r="L1983" s="37"/>
    </row>
    <row r="1984" spans="2:12" x14ac:dyDescent="0.2">
      <c r="B1984" s="36"/>
      <c r="G1984" s="34"/>
      <c r="H1984" s="33"/>
      <c r="I1984" s="33"/>
      <c r="J1984" s="33"/>
      <c r="K1984" s="37"/>
      <c r="L1984" s="37"/>
    </row>
    <row r="1985" spans="2:12" x14ac:dyDescent="0.2">
      <c r="B1985" s="36"/>
      <c r="G1985" s="34"/>
      <c r="H1985" s="33"/>
      <c r="I1985" s="33"/>
      <c r="J1985" s="33"/>
      <c r="K1985" s="37"/>
      <c r="L1985" s="37"/>
    </row>
    <row r="1986" spans="2:12" x14ac:dyDescent="0.2">
      <c r="B1986" s="36"/>
      <c r="G1986" s="34"/>
      <c r="H1986" s="33"/>
      <c r="I1986" s="33"/>
      <c r="J1986" s="33"/>
      <c r="K1986" s="37"/>
      <c r="L1986" s="37"/>
    </row>
    <row r="1987" spans="2:12" x14ac:dyDescent="0.2">
      <c r="B1987" s="36"/>
      <c r="G1987" s="34"/>
      <c r="H1987" s="33"/>
      <c r="I1987" s="33"/>
      <c r="J1987" s="33"/>
      <c r="K1987" s="37"/>
      <c r="L1987" s="37"/>
    </row>
    <row r="1988" spans="2:12" x14ac:dyDescent="0.2">
      <c r="B1988" s="36"/>
      <c r="G1988" s="34"/>
      <c r="H1988" s="33"/>
      <c r="I1988" s="33"/>
      <c r="J1988" s="33"/>
      <c r="K1988" s="37"/>
      <c r="L1988" s="37"/>
    </row>
    <row r="1989" spans="2:12" x14ac:dyDescent="0.2">
      <c r="B1989" s="36"/>
      <c r="G1989" s="34"/>
      <c r="H1989" s="33"/>
      <c r="I1989" s="33"/>
      <c r="J1989" s="33"/>
      <c r="K1989" s="37"/>
      <c r="L1989" s="37"/>
    </row>
    <row r="1990" spans="2:12" x14ac:dyDescent="0.2">
      <c r="B1990" s="36"/>
      <c r="G1990" s="34"/>
      <c r="H1990" s="33"/>
      <c r="I1990" s="33"/>
      <c r="J1990" s="33"/>
      <c r="K1990" s="37"/>
      <c r="L1990" s="37"/>
    </row>
    <row r="1991" spans="2:12" x14ac:dyDescent="0.2">
      <c r="B1991" s="36"/>
      <c r="G1991" s="34"/>
      <c r="H1991" s="33"/>
      <c r="I1991" s="33"/>
      <c r="J1991" s="33"/>
      <c r="K1991" s="37"/>
      <c r="L1991" s="37"/>
    </row>
    <row r="1992" spans="2:12" x14ac:dyDescent="0.2">
      <c r="B1992" s="36"/>
      <c r="G1992" s="34"/>
      <c r="H1992" s="33"/>
      <c r="I1992" s="33"/>
      <c r="J1992" s="33"/>
      <c r="K1992" s="37"/>
      <c r="L1992" s="37"/>
    </row>
    <row r="1993" spans="2:12" x14ac:dyDescent="0.2">
      <c r="B1993" s="36"/>
      <c r="G1993" s="34"/>
      <c r="H1993" s="33"/>
      <c r="I1993" s="33"/>
      <c r="J1993" s="33"/>
      <c r="K1993" s="37"/>
      <c r="L1993" s="37"/>
    </row>
    <row r="1994" spans="2:12" x14ac:dyDescent="0.2">
      <c r="B1994" s="36"/>
      <c r="G1994" s="34"/>
      <c r="H1994" s="33"/>
      <c r="I1994" s="33"/>
      <c r="J1994" s="33"/>
      <c r="K1994" s="37"/>
      <c r="L1994" s="37"/>
    </row>
    <row r="1995" spans="2:12" x14ac:dyDescent="0.2">
      <c r="B1995" s="36"/>
      <c r="G1995" s="34"/>
      <c r="H1995" s="33"/>
      <c r="I1995" s="33"/>
      <c r="J1995" s="33"/>
      <c r="K1995" s="37"/>
      <c r="L1995" s="37"/>
    </row>
    <row r="1996" spans="2:12" x14ac:dyDescent="0.2">
      <c r="B1996" s="36"/>
      <c r="G1996" s="34"/>
      <c r="H1996" s="33"/>
      <c r="I1996" s="33"/>
      <c r="J1996" s="33"/>
      <c r="K1996" s="37"/>
      <c r="L1996" s="37"/>
    </row>
    <row r="1997" spans="2:12" x14ac:dyDescent="0.2">
      <c r="B1997" s="36"/>
      <c r="G1997" s="34"/>
      <c r="H1997" s="33"/>
      <c r="I1997" s="33"/>
      <c r="J1997" s="33"/>
      <c r="K1997" s="37"/>
      <c r="L1997" s="37"/>
    </row>
    <row r="1998" spans="2:12" x14ac:dyDescent="0.2">
      <c r="B1998" s="36"/>
      <c r="G1998" s="34"/>
      <c r="H1998" s="33"/>
      <c r="I1998" s="33"/>
      <c r="J1998" s="33"/>
      <c r="K1998" s="37"/>
      <c r="L1998" s="37"/>
    </row>
    <row r="1999" spans="2:12" x14ac:dyDescent="0.2">
      <c r="B1999" s="36"/>
      <c r="G1999" s="34"/>
      <c r="H1999" s="33"/>
      <c r="I1999" s="33"/>
      <c r="J1999" s="33"/>
      <c r="K1999" s="37"/>
      <c r="L1999" s="37"/>
    </row>
    <row r="2000" spans="2:12" x14ac:dyDescent="0.2">
      <c r="B2000" s="36"/>
      <c r="G2000" s="34"/>
      <c r="H2000" s="33"/>
      <c r="I2000" s="33"/>
      <c r="J2000" s="33"/>
      <c r="K2000" s="37"/>
      <c r="L2000" s="37"/>
    </row>
    <row r="2001" spans="2:12" x14ac:dyDescent="0.2">
      <c r="B2001" s="36"/>
      <c r="G2001" s="34"/>
      <c r="H2001" s="33"/>
      <c r="I2001" s="33"/>
      <c r="J2001" s="33"/>
      <c r="K2001" s="37"/>
      <c r="L2001" s="37"/>
    </row>
    <row r="2002" spans="2:12" x14ac:dyDescent="0.2">
      <c r="B2002" s="36"/>
      <c r="G2002" s="34"/>
      <c r="H2002" s="33"/>
      <c r="I2002" s="33"/>
      <c r="J2002" s="33"/>
      <c r="K2002" s="37"/>
      <c r="L2002" s="37"/>
    </row>
    <row r="2003" spans="2:12" x14ac:dyDescent="0.2">
      <c r="B2003" s="36"/>
      <c r="G2003" s="34"/>
      <c r="H2003" s="33"/>
      <c r="I2003" s="33"/>
      <c r="J2003" s="33"/>
      <c r="K2003" s="37"/>
      <c r="L2003" s="37"/>
    </row>
    <row r="2004" spans="2:12" x14ac:dyDescent="0.2">
      <c r="B2004" s="36"/>
      <c r="G2004" s="34"/>
      <c r="H2004" s="33"/>
      <c r="I2004" s="33"/>
      <c r="J2004" s="33"/>
      <c r="K2004" s="37"/>
      <c r="L2004" s="37"/>
    </row>
    <row r="2005" spans="2:12" x14ac:dyDescent="0.2">
      <c r="B2005" s="36"/>
      <c r="G2005" s="34"/>
      <c r="H2005" s="33"/>
      <c r="I2005" s="33"/>
      <c r="J2005" s="33"/>
      <c r="K2005" s="37"/>
      <c r="L2005" s="37"/>
    </row>
    <row r="2006" spans="2:12" x14ac:dyDescent="0.2">
      <c r="B2006" s="36"/>
      <c r="G2006" s="34"/>
      <c r="H2006" s="33"/>
      <c r="I2006" s="33"/>
      <c r="J2006" s="33"/>
      <c r="K2006" s="37"/>
      <c r="L2006" s="37"/>
    </row>
    <row r="2007" spans="2:12" x14ac:dyDescent="0.2">
      <c r="B2007" s="36"/>
      <c r="G2007" s="34"/>
      <c r="H2007" s="33"/>
      <c r="I2007" s="33"/>
      <c r="J2007" s="33"/>
      <c r="K2007" s="37"/>
      <c r="L2007" s="37"/>
    </row>
    <row r="2008" spans="2:12" x14ac:dyDescent="0.2">
      <c r="B2008" s="36"/>
      <c r="G2008" s="34"/>
      <c r="H2008" s="33"/>
      <c r="I2008" s="33"/>
      <c r="J2008" s="33"/>
      <c r="K2008" s="37"/>
      <c r="L2008" s="37"/>
    </row>
    <row r="2009" spans="2:12" x14ac:dyDescent="0.2">
      <c r="B2009" s="36"/>
      <c r="G2009" s="34"/>
      <c r="H2009" s="33"/>
      <c r="I2009" s="33"/>
      <c r="J2009" s="33"/>
      <c r="K2009" s="37"/>
      <c r="L2009" s="37"/>
    </row>
    <row r="2010" spans="2:12" x14ac:dyDescent="0.2">
      <c r="B2010" s="36"/>
      <c r="G2010" s="34"/>
      <c r="H2010" s="33"/>
      <c r="I2010" s="33"/>
      <c r="J2010" s="33"/>
      <c r="K2010" s="37"/>
      <c r="L2010" s="37"/>
    </row>
    <row r="2011" spans="2:12" x14ac:dyDescent="0.2">
      <c r="B2011" s="36"/>
      <c r="G2011" s="34"/>
      <c r="H2011" s="33"/>
      <c r="I2011" s="33"/>
      <c r="J2011" s="33"/>
      <c r="K2011" s="37"/>
      <c r="L2011" s="37"/>
    </row>
    <row r="2012" spans="2:12" x14ac:dyDescent="0.2">
      <c r="B2012" s="36"/>
      <c r="G2012" s="34"/>
      <c r="H2012" s="33"/>
      <c r="I2012" s="33"/>
      <c r="J2012" s="33"/>
      <c r="K2012" s="37"/>
      <c r="L2012" s="37"/>
    </row>
    <row r="2013" spans="2:12" x14ac:dyDescent="0.2">
      <c r="B2013" s="36"/>
      <c r="G2013" s="34"/>
      <c r="H2013" s="33"/>
      <c r="I2013" s="33"/>
      <c r="J2013" s="33"/>
      <c r="K2013" s="37"/>
      <c r="L2013" s="37"/>
    </row>
    <row r="2014" spans="2:12" x14ac:dyDescent="0.2">
      <c r="B2014" s="36"/>
      <c r="G2014" s="34"/>
      <c r="H2014" s="33"/>
      <c r="I2014" s="33"/>
      <c r="J2014" s="33"/>
      <c r="K2014" s="37"/>
      <c r="L2014" s="37"/>
    </row>
    <row r="2015" spans="2:12" x14ac:dyDescent="0.2">
      <c r="B2015" s="36"/>
      <c r="G2015" s="34"/>
      <c r="H2015" s="33"/>
      <c r="I2015" s="33"/>
      <c r="J2015" s="33"/>
      <c r="K2015" s="37"/>
      <c r="L2015" s="37"/>
    </row>
    <row r="2016" spans="2:12" x14ac:dyDescent="0.2">
      <c r="B2016" s="36"/>
      <c r="G2016" s="34"/>
      <c r="H2016" s="33"/>
      <c r="I2016" s="33"/>
      <c r="J2016" s="33"/>
      <c r="K2016" s="37"/>
      <c r="L2016" s="37"/>
    </row>
    <row r="2017" spans="2:12" x14ac:dyDescent="0.2">
      <c r="B2017" s="36"/>
      <c r="G2017" s="34"/>
      <c r="H2017" s="33"/>
      <c r="I2017" s="33"/>
      <c r="J2017" s="33"/>
      <c r="K2017" s="37"/>
      <c r="L2017" s="37"/>
    </row>
    <row r="2018" spans="2:12" x14ac:dyDescent="0.2">
      <c r="B2018" s="36"/>
      <c r="G2018" s="34"/>
      <c r="H2018" s="33"/>
      <c r="I2018" s="33"/>
      <c r="J2018" s="33"/>
      <c r="K2018" s="37"/>
      <c r="L2018" s="37"/>
    </row>
    <row r="2019" spans="2:12" x14ac:dyDescent="0.2">
      <c r="B2019" s="36"/>
      <c r="G2019" s="34"/>
      <c r="H2019" s="33"/>
      <c r="I2019" s="33"/>
      <c r="J2019" s="33"/>
      <c r="K2019" s="37"/>
      <c r="L2019" s="37"/>
    </row>
    <row r="2020" spans="2:12" x14ac:dyDescent="0.2">
      <c r="B2020" s="36"/>
      <c r="G2020" s="34"/>
      <c r="H2020" s="33"/>
      <c r="I2020" s="33"/>
      <c r="J2020" s="33"/>
      <c r="K2020" s="37"/>
      <c r="L2020" s="37"/>
    </row>
    <row r="2021" spans="2:12" x14ac:dyDescent="0.2">
      <c r="B2021" s="36"/>
      <c r="G2021" s="34"/>
      <c r="H2021" s="33"/>
      <c r="I2021" s="33"/>
      <c r="J2021" s="33"/>
      <c r="K2021" s="37"/>
      <c r="L2021" s="37"/>
    </row>
    <row r="2022" spans="2:12" x14ac:dyDescent="0.2">
      <c r="B2022" s="36"/>
      <c r="G2022" s="34"/>
      <c r="H2022" s="33"/>
      <c r="I2022" s="33"/>
      <c r="J2022" s="33"/>
      <c r="K2022" s="37"/>
      <c r="L2022" s="37"/>
    </row>
    <row r="2023" spans="2:12" x14ac:dyDescent="0.2">
      <c r="B2023" s="36"/>
      <c r="G2023" s="34"/>
      <c r="H2023" s="33"/>
      <c r="I2023" s="33"/>
      <c r="J2023" s="33"/>
      <c r="K2023" s="37"/>
      <c r="L2023" s="37"/>
    </row>
    <row r="2024" spans="2:12" x14ac:dyDescent="0.2">
      <c r="B2024" s="36"/>
      <c r="G2024" s="34"/>
      <c r="H2024" s="33"/>
      <c r="I2024" s="33"/>
      <c r="J2024" s="33"/>
      <c r="K2024" s="37"/>
      <c r="L2024" s="37"/>
    </row>
    <row r="2025" spans="2:12" x14ac:dyDescent="0.2">
      <c r="B2025" s="36"/>
      <c r="G2025" s="34"/>
      <c r="H2025" s="33"/>
      <c r="I2025" s="33"/>
      <c r="J2025" s="33"/>
      <c r="K2025" s="37"/>
      <c r="L2025" s="37"/>
    </row>
    <row r="2026" spans="2:12" x14ac:dyDescent="0.2">
      <c r="B2026" s="36"/>
      <c r="G2026" s="34"/>
      <c r="H2026" s="33"/>
      <c r="I2026" s="33"/>
      <c r="J2026" s="33"/>
      <c r="K2026" s="37"/>
      <c r="L2026" s="37"/>
    </row>
    <row r="2027" spans="2:12" x14ac:dyDescent="0.2">
      <c r="B2027" s="36"/>
      <c r="G2027" s="34"/>
      <c r="H2027" s="33"/>
      <c r="I2027" s="33"/>
      <c r="J2027" s="33"/>
      <c r="K2027" s="37"/>
      <c r="L2027" s="37"/>
    </row>
    <row r="2028" spans="2:12" x14ac:dyDescent="0.2">
      <c r="B2028" s="36"/>
      <c r="G2028" s="34"/>
      <c r="H2028" s="33"/>
      <c r="I2028" s="33"/>
      <c r="J2028" s="33"/>
      <c r="K2028" s="37"/>
      <c r="L2028" s="37"/>
    </row>
    <row r="2029" spans="2:12" x14ac:dyDescent="0.2">
      <c r="B2029" s="36"/>
      <c r="G2029" s="34"/>
      <c r="H2029" s="33"/>
      <c r="I2029" s="33"/>
      <c r="J2029" s="33"/>
      <c r="K2029" s="37"/>
      <c r="L2029" s="37"/>
    </row>
    <row r="2030" spans="2:12" x14ac:dyDescent="0.2">
      <c r="B2030" s="36"/>
      <c r="G2030" s="34"/>
      <c r="H2030" s="33"/>
      <c r="I2030" s="33"/>
      <c r="J2030" s="33"/>
      <c r="K2030" s="37"/>
      <c r="L2030" s="37"/>
    </row>
    <row r="2031" spans="2:12" x14ac:dyDescent="0.2">
      <c r="B2031" s="36"/>
      <c r="G2031" s="34"/>
      <c r="H2031" s="33"/>
      <c r="I2031" s="33"/>
      <c r="J2031" s="33"/>
      <c r="K2031" s="37"/>
      <c r="L2031" s="37"/>
    </row>
    <row r="2032" spans="2:12" x14ac:dyDescent="0.2">
      <c r="B2032" s="36"/>
      <c r="G2032" s="34"/>
      <c r="H2032" s="33"/>
      <c r="I2032" s="33"/>
      <c r="J2032" s="33"/>
      <c r="K2032" s="37"/>
      <c r="L2032" s="37"/>
    </row>
    <row r="2033" spans="2:12" x14ac:dyDescent="0.2">
      <c r="B2033" s="36"/>
      <c r="G2033" s="34"/>
      <c r="H2033" s="33"/>
      <c r="I2033" s="33"/>
      <c r="J2033" s="33"/>
      <c r="K2033" s="37"/>
      <c r="L2033" s="37"/>
    </row>
    <row r="2034" spans="2:12" x14ac:dyDescent="0.2">
      <c r="B2034" s="36"/>
      <c r="G2034" s="34"/>
      <c r="H2034" s="33"/>
      <c r="I2034" s="33"/>
      <c r="J2034" s="33"/>
      <c r="K2034" s="37"/>
      <c r="L2034" s="37"/>
    </row>
    <row r="2035" spans="2:12" x14ac:dyDescent="0.2">
      <c r="B2035" s="36"/>
      <c r="G2035" s="34"/>
      <c r="H2035" s="33"/>
      <c r="I2035" s="33"/>
      <c r="J2035" s="33"/>
      <c r="K2035" s="37"/>
      <c r="L2035" s="37"/>
    </row>
    <row r="2036" spans="2:12" x14ac:dyDescent="0.2">
      <c r="B2036" s="36"/>
      <c r="G2036" s="34"/>
      <c r="H2036" s="33"/>
      <c r="I2036" s="33"/>
      <c r="J2036" s="33"/>
      <c r="K2036" s="37"/>
      <c r="L2036" s="37"/>
    </row>
    <row r="2037" spans="2:12" x14ac:dyDescent="0.2">
      <c r="B2037" s="36"/>
      <c r="G2037" s="34"/>
      <c r="H2037" s="33"/>
      <c r="I2037" s="33"/>
      <c r="J2037" s="33"/>
      <c r="K2037" s="37"/>
      <c r="L2037" s="37"/>
    </row>
    <row r="2038" spans="2:12" x14ac:dyDescent="0.2">
      <c r="B2038" s="36"/>
      <c r="G2038" s="34"/>
      <c r="H2038" s="33"/>
      <c r="I2038" s="33"/>
      <c r="J2038" s="33"/>
      <c r="K2038" s="37"/>
      <c r="L2038" s="37"/>
    </row>
    <row r="2039" spans="2:12" x14ac:dyDescent="0.2">
      <c r="B2039" s="36"/>
      <c r="G2039" s="34"/>
      <c r="H2039" s="33"/>
      <c r="I2039" s="33"/>
      <c r="J2039" s="33"/>
      <c r="K2039" s="37"/>
      <c r="L2039" s="37"/>
    </row>
    <row r="2040" spans="2:12" x14ac:dyDescent="0.2">
      <c r="B2040" s="36"/>
      <c r="G2040" s="34"/>
      <c r="H2040" s="33"/>
      <c r="I2040" s="33"/>
      <c r="J2040" s="33"/>
      <c r="K2040" s="37"/>
      <c r="L2040" s="37"/>
    </row>
    <row r="2041" spans="2:12" x14ac:dyDescent="0.2">
      <c r="B2041" s="36"/>
      <c r="G2041" s="34"/>
      <c r="H2041" s="33"/>
      <c r="I2041" s="33"/>
      <c r="J2041" s="33"/>
      <c r="K2041" s="37"/>
      <c r="L2041" s="37"/>
    </row>
    <row r="2042" spans="2:12" x14ac:dyDescent="0.2">
      <c r="B2042" s="36"/>
      <c r="G2042" s="34"/>
      <c r="H2042" s="33"/>
      <c r="I2042" s="33"/>
      <c r="J2042" s="33"/>
      <c r="K2042" s="37"/>
      <c r="L2042" s="37"/>
    </row>
    <row r="2043" spans="2:12" x14ac:dyDescent="0.2">
      <c r="B2043" s="36"/>
      <c r="G2043" s="34"/>
      <c r="H2043" s="33"/>
      <c r="I2043" s="33"/>
      <c r="J2043" s="33"/>
      <c r="K2043" s="37"/>
      <c r="L2043" s="37"/>
    </row>
    <row r="2044" spans="2:12" x14ac:dyDescent="0.2">
      <c r="B2044" s="36"/>
      <c r="G2044" s="34"/>
      <c r="H2044" s="33"/>
      <c r="I2044" s="33"/>
      <c r="J2044" s="33"/>
      <c r="K2044" s="37"/>
      <c r="L2044" s="37"/>
    </row>
    <row r="2045" spans="2:12" x14ac:dyDescent="0.2">
      <c r="B2045" s="36"/>
      <c r="G2045" s="34"/>
      <c r="H2045" s="33"/>
      <c r="I2045" s="33"/>
      <c r="J2045" s="33"/>
      <c r="K2045" s="37"/>
      <c r="L2045" s="37"/>
    </row>
    <row r="2046" spans="2:12" x14ac:dyDescent="0.2">
      <c r="B2046" s="36"/>
      <c r="G2046" s="34"/>
      <c r="H2046" s="33"/>
      <c r="I2046" s="33"/>
      <c r="J2046" s="33"/>
      <c r="K2046" s="37"/>
      <c r="L2046" s="37"/>
    </row>
    <row r="2047" spans="2:12" x14ac:dyDescent="0.2">
      <c r="B2047" s="36"/>
      <c r="G2047" s="34"/>
      <c r="H2047" s="33"/>
      <c r="I2047" s="33"/>
      <c r="J2047" s="33"/>
      <c r="K2047" s="37"/>
      <c r="L2047" s="37"/>
    </row>
    <row r="2048" spans="2:12" x14ac:dyDescent="0.2">
      <c r="B2048" s="36"/>
      <c r="G2048" s="34"/>
      <c r="H2048" s="33"/>
      <c r="I2048" s="33"/>
      <c r="J2048" s="33"/>
      <c r="K2048" s="37"/>
      <c r="L2048" s="37"/>
    </row>
    <row r="2049" spans="2:12" x14ac:dyDescent="0.2">
      <c r="B2049" s="36"/>
      <c r="G2049" s="34"/>
      <c r="H2049" s="33"/>
      <c r="I2049" s="33"/>
      <c r="J2049" s="33"/>
      <c r="K2049" s="37"/>
      <c r="L2049" s="37"/>
    </row>
    <row r="2050" spans="2:12" x14ac:dyDescent="0.2">
      <c r="B2050" s="36"/>
      <c r="G2050" s="34"/>
      <c r="H2050" s="33"/>
      <c r="I2050" s="33"/>
      <c r="J2050" s="33"/>
      <c r="K2050" s="37"/>
      <c r="L2050" s="37"/>
    </row>
    <row r="2051" spans="2:12" x14ac:dyDescent="0.2">
      <c r="B2051" s="36"/>
      <c r="G2051" s="34"/>
      <c r="H2051" s="33"/>
      <c r="I2051" s="33"/>
      <c r="J2051" s="33"/>
      <c r="K2051" s="37"/>
      <c r="L2051" s="37"/>
    </row>
    <row r="2052" spans="2:12" x14ac:dyDescent="0.2">
      <c r="B2052" s="36"/>
      <c r="G2052" s="34"/>
      <c r="H2052" s="33"/>
      <c r="I2052" s="33"/>
      <c r="J2052" s="33"/>
      <c r="K2052" s="37"/>
      <c r="L2052" s="37"/>
    </row>
    <row r="2053" spans="2:12" x14ac:dyDescent="0.2">
      <c r="B2053" s="36"/>
      <c r="G2053" s="34"/>
      <c r="H2053" s="33"/>
      <c r="I2053" s="33"/>
      <c r="J2053" s="33"/>
      <c r="K2053" s="37"/>
      <c r="L2053" s="37"/>
    </row>
    <row r="2054" spans="2:12" x14ac:dyDescent="0.2">
      <c r="B2054" s="36"/>
      <c r="G2054" s="34"/>
      <c r="H2054" s="33"/>
      <c r="I2054" s="33"/>
      <c r="J2054" s="33"/>
      <c r="K2054" s="37"/>
      <c r="L2054" s="37"/>
    </row>
    <row r="2055" spans="2:12" x14ac:dyDescent="0.2">
      <c r="B2055" s="36"/>
      <c r="G2055" s="34"/>
      <c r="H2055" s="33"/>
      <c r="I2055" s="33"/>
      <c r="J2055" s="33"/>
      <c r="K2055" s="37"/>
      <c r="L2055" s="37"/>
    </row>
    <row r="2056" spans="2:12" x14ac:dyDescent="0.2">
      <c r="B2056" s="36"/>
      <c r="G2056" s="34"/>
      <c r="H2056" s="33"/>
      <c r="I2056" s="33"/>
      <c r="J2056" s="33"/>
      <c r="K2056" s="37"/>
      <c r="L2056" s="37"/>
    </row>
    <row r="2057" spans="2:12" x14ac:dyDescent="0.2">
      <c r="B2057" s="36"/>
      <c r="G2057" s="34"/>
      <c r="H2057" s="33"/>
      <c r="I2057" s="33"/>
      <c r="J2057" s="33"/>
      <c r="K2057" s="37"/>
      <c r="L2057" s="37"/>
    </row>
    <row r="2058" spans="2:12" x14ac:dyDescent="0.2">
      <c r="B2058" s="36"/>
      <c r="G2058" s="34"/>
      <c r="H2058" s="33"/>
      <c r="I2058" s="33"/>
      <c r="J2058" s="33"/>
      <c r="K2058" s="37"/>
      <c r="L2058" s="37"/>
    </row>
    <row r="2059" spans="2:12" x14ac:dyDescent="0.2">
      <c r="B2059" s="36"/>
      <c r="G2059" s="34"/>
      <c r="H2059" s="33"/>
      <c r="I2059" s="33"/>
      <c r="J2059" s="33"/>
      <c r="K2059" s="37"/>
      <c r="L2059" s="37"/>
    </row>
    <row r="2060" spans="2:12" x14ac:dyDescent="0.2">
      <c r="B2060" s="36"/>
      <c r="G2060" s="34"/>
      <c r="H2060" s="33"/>
      <c r="I2060" s="33"/>
      <c r="J2060" s="33"/>
      <c r="K2060" s="37"/>
      <c r="L2060" s="37"/>
    </row>
    <row r="2061" spans="2:12" x14ac:dyDescent="0.2">
      <c r="B2061" s="36"/>
      <c r="G2061" s="34"/>
      <c r="H2061" s="33"/>
      <c r="I2061" s="33"/>
      <c r="J2061" s="33"/>
      <c r="K2061" s="37"/>
      <c r="L2061" s="37"/>
    </row>
    <row r="2062" spans="2:12" x14ac:dyDescent="0.2">
      <c r="B2062" s="36"/>
      <c r="G2062" s="34"/>
      <c r="H2062" s="33"/>
      <c r="I2062" s="33"/>
      <c r="J2062" s="33"/>
      <c r="K2062" s="37"/>
      <c r="L2062" s="37"/>
    </row>
    <row r="2063" spans="2:12" x14ac:dyDescent="0.2">
      <c r="B2063" s="36"/>
      <c r="G2063" s="34"/>
      <c r="H2063" s="33"/>
      <c r="I2063" s="33"/>
      <c r="J2063" s="33"/>
      <c r="K2063" s="37"/>
      <c r="L2063" s="37"/>
    </row>
    <row r="2064" spans="2:12" x14ac:dyDescent="0.2">
      <c r="B2064" s="36"/>
      <c r="G2064" s="34"/>
      <c r="H2064" s="33"/>
      <c r="I2064" s="33"/>
      <c r="J2064" s="33"/>
      <c r="K2064" s="37"/>
      <c r="L2064" s="37"/>
    </row>
    <row r="2065" spans="2:12" x14ac:dyDescent="0.2">
      <c r="B2065" s="36"/>
      <c r="G2065" s="34"/>
      <c r="H2065" s="33"/>
      <c r="I2065" s="33"/>
      <c r="J2065" s="33"/>
      <c r="K2065" s="37"/>
      <c r="L2065" s="37"/>
    </row>
    <row r="2066" spans="2:12" x14ac:dyDescent="0.2">
      <c r="B2066" s="36"/>
      <c r="G2066" s="34"/>
      <c r="H2066" s="33"/>
      <c r="I2066" s="33"/>
      <c r="J2066" s="33"/>
      <c r="K2066" s="37"/>
      <c r="L2066" s="37"/>
    </row>
    <row r="2067" spans="2:12" x14ac:dyDescent="0.2">
      <c r="B2067" s="36"/>
      <c r="G2067" s="34"/>
      <c r="H2067" s="33"/>
      <c r="I2067" s="33"/>
      <c r="J2067" s="33"/>
      <c r="K2067" s="37"/>
      <c r="L2067" s="37"/>
    </row>
    <row r="2068" spans="2:12" x14ac:dyDescent="0.2">
      <c r="B2068" s="36"/>
      <c r="G2068" s="34"/>
      <c r="H2068" s="33"/>
      <c r="I2068" s="33"/>
      <c r="J2068" s="33"/>
      <c r="K2068" s="37"/>
      <c r="L2068" s="37"/>
    </row>
    <row r="2069" spans="2:12" x14ac:dyDescent="0.2">
      <c r="B2069" s="36"/>
      <c r="G2069" s="34"/>
      <c r="H2069" s="33"/>
      <c r="I2069" s="33"/>
      <c r="J2069" s="33"/>
      <c r="K2069" s="37"/>
      <c r="L2069" s="37"/>
    </row>
    <row r="2070" spans="2:12" x14ac:dyDescent="0.2">
      <c r="B2070" s="36"/>
      <c r="G2070" s="34"/>
      <c r="H2070" s="33"/>
      <c r="I2070" s="33"/>
      <c r="J2070" s="33"/>
      <c r="K2070" s="37"/>
      <c r="L2070" s="37"/>
    </row>
    <row r="2071" spans="2:12" x14ac:dyDescent="0.2">
      <c r="B2071" s="36"/>
      <c r="G2071" s="34"/>
      <c r="H2071" s="33"/>
      <c r="I2071" s="33"/>
      <c r="J2071" s="33"/>
      <c r="K2071" s="37"/>
      <c r="L2071" s="37"/>
    </row>
    <row r="2072" spans="2:12" x14ac:dyDescent="0.2">
      <c r="B2072" s="36"/>
      <c r="G2072" s="34"/>
      <c r="H2072" s="33"/>
      <c r="I2072" s="33"/>
      <c r="J2072" s="33"/>
      <c r="K2072" s="37"/>
      <c r="L2072" s="37"/>
    </row>
    <row r="2073" spans="2:12" x14ac:dyDescent="0.2">
      <c r="B2073" s="36"/>
      <c r="G2073" s="34"/>
      <c r="H2073" s="33"/>
      <c r="I2073" s="33"/>
      <c r="J2073" s="33"/>
      <c r="K2073" s="37"/>
      <c r="L2073" s="37"/>
    </row>
    <row r="2074" spans="2:12" x14ac:dyDescent="0.2">
      <c r="B2074" s="36"/>
      <c r="G2074" s="34"/>
      <c r="H2074" s="33"/>
      <c r="I2074" s="33"/>
      <c r="J2074" s="33"/>
      <c r="K2074" s="37"/>
      <c r="L2074" s="37"/>
    </row>
    <row r="2075" spans="2:12" x14ac:dyDescent="0.2">
      <c r="B2075" s="36"/>
      <c r="G2075" s="34"/>
      <c r="H2075" s="33"/>
      <c r="I2075" s="33"/>
      <c r="J2075" s="33"/>
      <c r="K2075" s="37"/>
      <c r="L2075" s="37"/>
    </row>
    <row r="2076" spans="2:12" x14ac:dyDescent="0.2">
      <c r="B2076" s="36"/>
      <c r="G2076" s="34"/>
      <c r="H2076" s="33"/>
      <c r="I2076" s="33"/>
      <c r="J2076" s="33"/>
      <c r="K2076" s="37"/>
      <c r="L2076" s="37"/>
    </row>
    <row r="2077" spans="2:12" x14ac:dyDescent="0.2">
      <c r="B2077" s="36"/>
      <c r="G2077" s="34"/>
      <c r="H2077" s="33"/>
      <c r="I2077" s="33"/>
      <c r="J2077" s="33"/>
      <c r="K2077" s="37"/>
      <c r="L2077" s="37"/>
    </row>
    <row r="2078" spans="2:12" x14ac:dyDescent="0.2">
      <c r="B2078" s="36"/>
      <c r="G2078" s="34"/>
      <c r="H2078" s="33"/>
      <c r="I2078" s="33"/>
      <c r="J2078" s="33"/>
      <c r="K2078" s="37"/>
      <c r="L2078" s="37"/>
    </row>
    <row r="2079" spans="2:12" x14ac:dyDescent="0.2">
      <c r="B2079" s="36"/>
      <c r="G2079" s="34"/>
      <c r="H2079" s="33"/>
      <c r="I2079" s="33"/>
      <c r="J2079" s="33"/>
      <c r="K2079" s="37"/>
      <c r="L2079" s="37"/>
    </row>
    <row r="2080" spans="2:12" x14ac:dyDescent="0.2">
      <c r="B2080" s="36"/>
      <c r="G2080" s="34"/>
      <c r="H2080" s="33"/>
      <c r="I2080" s="33"/>
      <c r="J2080" s="33"/>
      <c r="K2080" s="37"/>
      <c r="L2080" s="37"/>
    </row>
    <row r="2081" spans="2:12" x14ac:dyDescent="0.2">
      <c r="B2081" s="36"/>
      <c r="G2081" s="34"/>
      <c r="H2081" s="33"/>
      <c r="I2081" s="33"/>
      <c r="J2081" s="33"/>
      <c r="K2081" s="37"/>
      <c r="L2081" s="37"/>
    </row>
    <row r="2082" spans="2:12" x14ac:dyDescent="0.2">
      <c r="B2082" s="36"/>
      <c r="G2082" s="34"/>
      <c r="H2082" s="33"/>
      <c r="I2082" s="33"/>
      <c r="J2082" s="33"/>
      <c r="K2082" s="37"/>
      <c r="L2082" s="37"/>
    </row>
    <row r="2083" spans="2:12" x14ac:dyDescent="0.2">
      <c r="B2083" s="36"/>
      <c r="G2083" s="34"/>
      <c r="H2083" s="33"/>
      <c r="I2083" s="33"/>
      <c r="J2083" s="33"/>
      <c r="K2083" s="37"/>
      <c r="L2083" s="37"/>
    </row>
    <row r="2084" spans="2:12" x14ac:dyDescent="0.2">
      <c r="B2084" s="36"/>
      <c r="G2084" s="34"/>
      <c r="H2084" s="33"/>
      <c r="I2084" s="33"/>
      <c r="J2084" s="33"/>
      <c r="K2084" s="37"/>
      <c r="L2084" s="37"/>
    </row>
    <row r="2085" spans="2:12" x14ac:dyDescent="0.2">
      <c r="B2085" s="36"/>
      <c r="G2085" s="34"/>
      <c r="H2085" s="33"/>
      <c r="I2085" s="33"/>
      <c r="J2085" s="33"/>
      <c r="K2085" s="37"/>
      <c r="L2085" s="37"/>
    </row>
    <row r="2086" spans="2:12" x14ac:dyDescent="0.2">
      <c r="B2086" s="36"/>
      <c r="G2086" s="34"/>
      <c r="H2086" s="33"/>
      <c r="I2086" s="33"/>
      <c r="J2086" s="33"/>
      <c r="K2086" s="37"/>
      <c r="L2086" s="37"/>
    </row>
    <row r="2087" spans="2:12" x14ac:dyDescent="0.2">
      <c r="B2087" s="36"/>
      <c r="G2087" s="34"/>
      <c r="H2087" s="33"/>
      <c r="I2087" s="33"/>
      <c r="J2087" s="33"/>
      <c r="K2087" s="37"/>
      <c r="L2087" s="37"/>
    </row>
    <row r="2088" spans="2:12" x14ac:dyDescent="0.2">
      <c r="B2088" s="36"/>
      <c r="G2088" s="34"/>
      <c r="H2088" s="33"/>
      <c r="I2088" s="33"/>
      <c r="J2088" s="33"/>
      <c r="K2088" s="37"/>
      <c r="L2088" s="37"/>
    </row>
    <row r="2089" spans="2:12" x14ac:dyDescent="0.2">
      <c r="B2089" s="36"/>
      <c r="G2089" s="34"/>
      <c r="H2089" s="33"/>
      <c r="I2089" s="33"/>
      <c r="J2089" s="33"/>
      <c r="K2089" s="37"/>
      <c r="L2089" s="37"/>
    </row>
    <row r="2090" spans="2:12" x14ac:dyDescent="0.2">
      <c r="B2090" s="36"/>
      <c r="G2090" s="34"/>
      <c r="H2090" s="33"/>
      <c r="I2090" s="33"/>
      <c r="J2090" s="33"/>
      <c r="K2090" s="37"/>
      <c r="L2090" s="37"/>
    </row>
    <row r="2091" spans="2:12" x14ac:dyDescent="0.2">
      <c r="B2091" s="36"/>
      <c r="G2091" s="34"/>
      <c r="H2091" s="33"/>
      <c r="I2091" s="33"/>
      <c r="J2091" s="33"/>
      <c r="K2091" s="37"/>
      <c r="L2091" s="37"/>
    </row>
    <row r="2092" spans="2:12" x14ac:dyDescent="0.2">
      <c r="B2092" s="36"/>
      <c r="G2092" s="34"/>
      <c r="H2092" s="33"/>
      <c r="I2092" s="33"/>
      <c r="J2092" s="33"/>
      <c r="K2092" s="37"/>
      <c r="L2092" s="37"/>
    </row>
    <row r="2093" spans="2:12" x14ac:dyDescent="0.2">
      <c r="B2093" s="36"/>
      <c r="G2093" s="34"/>
      <c r="H2093" s="33"/>
      <c r="I2093" s="33"/>
      <c r="J2093" s="33"/>
      <c r="K2093" s="37"/>
      <c r="L2093" s="37"/>
    </row>
    <row r="2094" spans="2:12" x14ac:dyDescent="0.2">
      <c r="B2094" s="36"/>
      <c r="G2094" s="34"/>
      <c r="H2094" s="33"/>
      <c r="I2094" s="33"/>
      <c r="J2094" s="33"/>
      <c r="K2094" s="37"/>
      <c r="L2094" s="37"/>
    </row>
    <row r="2095" spans="2:12" x14ac:dyDescent="0.2">
      <c r="B2095" s="36"/>
      <c r="G2095" s="34"/>
      <c r="H2095" s="33"/>
      <c r="I2095" s="33"/>
      <c r="J2095" s="33"/>
      <c r="K2095" s="37"/>
      <c r="L2095" s="37"/>
    </row>
    <row r="2096" spans="2:12" x14ac:dyDescent="0.2">
      <c r="B2096" s="36"/>
      <c r="G2096" s="34"/>
      <c r="H2096" s="33"/>
      <c r="I2096" s="33"/>
      <c r="J2096" s="33"/>
      <c r="K2096" s="37"/>
      <c r="L2096" s="37"/>
    </row>
    <row r="2097" spans="2:12" x14ac:dyDescent="0.2">
      <c r="B2097" s="36"/>
      <c r="G2097" s="34"/>
      <c r="H2097" s="33"/>
      <c r="I2097" s="33"/>
      <c r="J2097" s="33"/>
      <c r="K2097" s="37"/>
      <c r="L2097" s="37"/>
    </row>
    <row r="2098" spans="2:12" x14ac:dyDescent="0.2">
      <c r="B2098" s="36"/>
      <c r="G2098" s="34"/>
      <c r="H2098" s="33"/>
      <c r="I2098" s="33"/>
      <c r="J2098" s="33"/>
      <c r="K2098" s="37"/>
      <c r="L2098" s="37"/>
    </row>
    <row r="2099" spans="2:12" x14ac:dyDescent="0.2">
      <c r="B2099" s="36"/>
      <c r="G2099" s="34"/>
      <c r="H2099" s="33"/>
      <c r="I2099" s="33"/>
      <c r="J2099" s="33"/>
      <c r="K2099" s="37"/>
      <c r="L2099" s="37"/>
    </row>
    <row r="2100" spans="2:12" x14ac:dyDescent="0.2">
      <c r="B2100" s="36"/>
      <c r="G2100" s="34"/>
      <c r="H2100" s="33"/>
      <c r="I2100" s="33"/>
      <c r="J2100" s="33"/>
      <c r="K2100" s="37"/>
      <c r="L2100" s="37"/>
    </row>
    <row r="2101" spans="2:12" x14ac:dyDescent="0.2">
      <c r="B2101" s="36"/>
      <c r="G2101" s="34"/>
      <c r="H2101" s="33"/>
      <c r="I2101" s="33"/>
      <c r="J2101" s="33"/>
      <c r="K2101" s="37"/>
      <c r="L2101" s="37"/>
    </row>
    <row r="2102" spans="2:12" x14ac:dyDescent="0.2">
      <c r="B2102" s="36"/>
      <c r="G2102" s="34"/>
      <c r="H2102" s="33"/>
      <c r="I2102" s="33"/>
      <c r="J2102" s="33"/>
      <c r="K2102" s="37"/>
      <c r="L2102" s="37"/>
    </row>
    <row r="2103" spans="2:12" x14ac:dyDescent="0.2">
      <c r="B2103" s="36"/>
      <c r="G2103" s="34"/>
      <c r="H2103" s="33"/>
      <c r="I2103" s="33"/>
      <c r="J2103" s="33"/>
      <c r="K2103" s="37"/>
      <c r="L2103" s="37"/>
    </row>
    <row r="2104" spans="2:12" x14ac:dyDescent="0.2">
      <c r="B2104" s="36"/>
      <c r="G2104" s="34"/>
      <c r="H2104" s="33"/>
      <c r="I2104" s="33"/>
      <c r="J2104" s="33"/>
      <c r="K2104" s="37"/>
      <c r="L2104" s="37"/>
    </row>
    <row r="2105" spans="2:12" x14ac:dyDescent="0.2">
      <c r="B2105" s="36"/>
      <c r="G2105" s="34"/>
      <c r="H2105" s="33"/>
      <c r="I2105" s="33"/>
      <c r="J2105" s="33"/>
      <c r="K2105" s="37"/>
      <c r="L2105" s="37"/>
    </row>
    <row r="2106" spans="2:12" x14ac:dyDescent="0.2">
      <c r="B2106" s="36"/>
      <c r="G2106" s="34"/>
      <c r="H2106" s="33"/>
      <c r="I2106" s="33"/>
      <c r="J2106" s="33"/>
      <c r="K2106" s="37"/>
      <c r="L2106" s="37"/>
    </row>
    <row r="2107" spans="2:12" x14ac:dyDescent="0.2">
      <c r="B2107" s="36"/>
      <c r="G2107" s="34"/>
      <c r="H2107" s="33"/>
      <c r="I2107" s="33"/>
      <c r="J2107" s="33"/>
      <c r="K2107" s="37"/>
      <c r="L2107" s="37"/>
    </row>
    <row r="2108" spans="2:12" x14ac:dyDescent="0.2">
      <c r="B2108" s="36"/>
      <c r="G2108" s="34"/>
      <c r="H2108" s="33"/>
      <c r="I2108" s="33"/>
      <c r="J2108" s="33"/>
      <c r="K2108" s="37"/>
      <c r="L2108" s="37"/>
    </row>
    <row r="2109" spans="2:12" x14ac:dyDescent="0.2">
      <c r="B2109" s="36"/>
      <c r="G2109" s="34"/>
      <c r="H2109" s="33"/>
      <c r="I2109" s="33"/>
      <c r="J2109" s="33"/>
      <c r="K2109" s="37"/>
      <c r="L2109" s="37"/>
    </row>
    <row r="2110" spans="2:12" x14ac:dyDescent="0.2">
      <c r="B2110" s="36"/>
      <c r="G2110" s="34"/>
      <c r="H2110" s="33"/>
      <c r="I2110" s="33"/>
      <c r="J2110" s="33"/>
      <c r="K2110" s="37"/>
      <c r="L2110" s="37"/>
    </row>
    <row r="2111" spans="2:12" x14ac:dyDescent="0.2">
      <c r="B2111" s="36"/>
      <c r="G2111" s="34"/>
      <c r="H2111" s="33"/>
      <c r="I2111" s="33"/>
      <c r="J2111" s="33"/>
      <c r="K2111" s="37"/>
      <c r="L2111" s="37"/>
    </row>
    <row r="2112" spans="2:12" x14ac:dyDescent="0.2">
      <c r="B2112" s="36"/>
      <c r="G2112" s="34"/>
      <c r="H2112" s="33"/>
      <c r="I2112" s="33"/>
      <c r="J2112" s="33"/>
      <c r="K2112" s="37"/>
      <c r="L2112" s="37"/>
    </row>
    <row r="2113" spans="2:12" x14ac:dyDescent="0.2">
      <c r="B2113" s="36"/>
      <c r="G2113" s="34"/>
      <c r="H2113" s="33"/>
      <c r="I2113" s="33"/>
      <c r="J2113" s="33"/>
      <c r="K2113" s="37"/>
      <c r="L2113" s="37"/>
    </row>
    <row r="2114" spans="2:12" x14ac:dyDescent="0.2">
      <c r="B2114" s="36"/>
      <c r="G2114" s="34"/>
      <c r="H2114" s="33"/>
      <c r="I2114" s="33"/>
      <c r="J2114" s="33"/>
      <c r="K2114" s="37"/>
      <c r="L2114" s="37"/>
    </row>
    <row r="2115" spans="2:12" x14ac:dyDescent="0.2">
      <c r="B2115" s="36"/>
      <c r="G2115" s="34"/>
      <c r="H2115" s="33"/>
      <c r="I2115" s="33"/>
      <c r="J2115" s="33"/>
      <c r="K2115" s="37"/>
      <c r="L2115" s="37"/>
    </row>
    <row r="2116" spans="2:12" x14ac:dyDescent="0.2">
      <c r="B2116" s="36"/>
      <c r="G2116" s="34"/>
      <c r="H2116" s="33"/>
      <c r="I2116" s="33"/>
      <c r="J2116" s="33"/>
      <c r="K2116" s="37"/>
      <c r="L2116" s="37"/>
    </row>
    <row r="2117" spans="2:12" x14ac:dyDescent="0.2">
      <c r="B2117" s="36"/>
      <c r="G2117" s="34"/>
      <c r="H2117" s="33"/>
      <c r="I2117" s="33"/>
      <c r="J2117" s="33"/>
      <c r="K2117" s="37"/>
      <c r="L2117" s="37"/>
    </row>
    <row r="2118" spans="2:12" x14ac:dyDescent="0.2">
      <c r="B2118" s="36"/>
      <c r="G2118" s="34"/>
      <c r="H2118" s="33"/>
      <c r="I2118" s="33"/>
      <c r="J2118" s="33"/>
      <c r="K2118" s="37"/>
      <c r="L2118" s="37"/>
    </row>
    <row r="2119" spans="2:12" x14ac:dyDescent="0.2">
      <c r="B2119" s="36"/>
      <c r="G2119" s="34"/>
      <c r="H2119" s="33"/>
      <c r="I2119" s="33"/>
      <c r="J2119" s="33"/>
      <c r="K2119" s="37"/>
      <c r="L2119" s="37"/>
    </row>
    <row r="2120" spans="2:12" x14ac:dyDescent="0.2">
      <c r="B2120" s="36"/>
      <c r="G2120" s="34"/>
      <c r="H2120" s="33"/>
      <c r="I2120" s="33"/>
      <c r="J2120" s="33"/>
      <c r="K2120" s="37"/>
      <c r="L2120" s="37"/>
    </row>
    <row r="2121" spans="2:12" x14ac:dyDescent="0.2">
      <c r="B2121" s="36"/>
      <c r="G2121" s="34"/>
      <c r="H2121" s="33"/>
      <c r="I2121" s="33"/>
      <c r="J2121" s="33"/>
      <c r="K2121" s="37"/>
      <c r="L2121" s="37"/>
    </row>
    <row r="2122" spans="2:12" x14ac:dyDescent="0.2">
      <c r="B2122" s="36"/>
      <c r="G2122" s="34"/>
      <c r="H2122" s="33"/>
      <c r="I2122" s="33"/>
      <c r="J2122" s="33"/>
      <c r="K2122" s="37"/>
      <c r="L2122" s="37"/>
    </row>
    <row r="2123" spans="2:12" x14ac:dyDescent="0.2">
      <c r="B2123" s="36"/>
      <c r="G2123" s="34"/>
      <c r="H2123" s="33"/>
      <c r="I2123" s="33"/>
      <c r="J2123" s="33"/>
      <c r="K2123" s="37"/>
      <c r="L2123" s="37"/>
    </row>
    <row r="2124" spans="2:12" x14ac:dyDescent="0.2">
      <c r="B2124" s="36"/>
      <c r="G2124" s="34"/>
      <c r="H2124" s="33"/>
      <c r="I2124" s="33"/>
      <c r="J2124" s="33"/>
      <c r="K2124" s="37"/>
      <c r="L2124" s="37"/>
    </row>
    <row r="2125" spans="2:12" x14ac:dyDescent="0.2">
      <c r="B2125" s="36"/>
      <c r="G2125" s="34"/>
      <c r="H2125" s="33"/>
      <c r="I2125" s="33"/>
      <c r="J2125" s="33"/>
      <c r="K2125" s="37"/>
      <c r="L2125" s="37"/>
    </row>
    <row r="2126" spans="2:12" x14ac:dyDescent="0.2">
      <c r="B2126" s="36"/>
      <c r="G2126" s="34"/>
      <c r="H2126" s="33"/>
      <c r="I2126" s="33"/>
      <c r="J2126" s="33"/>
      <c r="K2126" s="37"/>
      <c r="L2126" s="37"/>
    </row>
    <row r="2127" spans="2:12" x14ac:dyDescent="0.2">
      <c r="B2127" s="36"/>
      <c r="G2127" s="34"/>
      <c r="H2127" s="33"/>
      <c r="I2127" s="33"/>
      <c r="J2127" s="33"/>
      <c r="K2127" s="37"/>
      <c r="L2127" s="37"/>
    </row>
    <row r="2128" spans="2:12" x14ac:dyDescent="0.2">
      <c r="B2128" s="36"/>
      <c r="G2128" s="34"/>
      <c r="H2128" s="33"/>
      <c r="I2128" s="33"/>
      <c r="J2128" s="33"/>
      <c r="K2128" s="37"/>
      <c r="L2128" s="37"/>
    </row>
    <row r="2129" spans="2:12" x14ac:dyDescent="0.2">
      <c r="B2129" s="36"/>
      <c r="G2129" s="34"/>
      <c r="H2129" s="33"/>
      <c r="I2129" s="33"/>
      <c r="J2129" s="33"/>
      <c r="K2129" s="37"/>
      <c r="L2129" s="37"/>
    </row>
    <row r="2130" spans="2:12" x14ac:dyDescent="0.2">
      <c r="B2130" s="36"/>
      <c r="G2130" s="34"/>
      <c r="H2130" s="33"/>
      <c r="I2130" s="33"/>
      <c r="J2130" s="33"/>
      <c r="K2130" s="37"/>
      <c r="L2130" s="37"/>
    </row>
    <row r="2131" spans="2:12" x14ac:dyDescent="0.2">
      <c r="B2131" s="36"/>
      <c r="G2131" s="34"/>
      <c r="H2131" s="33"/>
      <c r="I2131" s="33"/>
      <c r="J2131" s="33"/>
      <c r="K2131" s="37"/>
      <c r="L2131" s="37"/>
    </row>
    <row r="2132" spans="2:12" x14ac:dyDescent="0.2">
      <c r="B2132" s="36"/>
      <c r="G2132" s="34"/>
      <c r="H2132" s="33"/>
      <c r="I2132" s="33"/>
      <c r="J2132" s="33"/>
      <c r="K2132" s="37"/>
      <c r="L2132" s="37"/>
    </row>
    <row r="2133" spans="2:12" x14ac:dyDescent="0.2">
      <c r="B2133" s="36"/>
      <c r="G2133" s="34"/>
      <c r="H2133" s="33"/>
      <c r="I2133" s="33"/>
      <c r="J2133" s="33"/>
      <c r="K2133" s="37"/>
      <c r="L2133" s="37"/>
    </row>
    <row r="2134" spans="2:12" x14ac:dyDescent="0.2">
      <c r="B2134" s="36"/>
      <c r="G2134" s="34"/>
      <c r="H2134" s="33"/>
      <c r="I2134" s="33"/>
      <c r="J2134" s="33"/>
      <c r="K2134" s="37"/>
      <c r="L2134" s="37"/>
    </row>
    <row r="2135" spans="2:12" x14ac:dyDescent="0.2">
      <c r="B2135" s="36"/>
      <c r="G2135" s="34"/>
      <c r="H2135" s="33"/>
      <c r="I2135" s="33"/>
      <c r="J2135" s="33"/>
      <c r="K2135" s="37"/>
      <c r="L2135" s="37"/>
    </row>
    <row r="2136" spans="2:12" x14ac:dyDescent="0.2">
      <c r="B2136" s="36"/>
      <c r="G2136" s="34"/>
      <c r="H2136" s="33"/>
      <c r="I2136" s="33"/>
      <c r="J2136" s="33"/>
      <c r="K2136" s="37"/>
      <c r="L2136" s="37"/>
    </row>
    <row r="2137" spans="2:12" x14ac:dyDescent="0.2">
      <c r="B2137" s="36"/>
      <c r="G2137" s="34"/>
      <c r="H2137" s="33"/>
      <c r="I2137" s="33"/>
      <c r="J2137" s="33"/>
      <c r="K2137" s="37"/>
      <c r="L2137" s="37"/>
    </row>
    <row r="2138" spans="2:12" x14ac:dyDescent="0.2">
      <c r="B2138" s="36"/>
      <c r="G2138" s="34"/>
      <c r="H2138" s="33"/>
      <c r="I2138" s="33"/>
      <c r="J2138" s="33"/>
      <c r="K2138" s="37"/>
      <c r="L2138" s="37"/>
    </row>
    <row r="2139" spans="2:12" x14ac:dyDescent="0.2">
      <c r="B2139" s="36"/>
      <c r="G2139" s="34"/>
      <c r="H2139" s="33"/>
      <c r="I2139" s="33"/>
      <c r="J2139" s="33"/>
      <c r="K2139" s="37"/>
      <c r="L2139" s="37"/>
    </row>
    <row r="2140" spans="2:12" x14ac:dyDescent="0.2">
      <c r="B2140" s="36"/>
      <c r="G2140" s="34"/>
      <c r="H2140" s="33"/>
      <c r="I2140" s="33"/>
      <c r="J2140" s="33"/>
      <c r="K2140" s="37"/>
      <c r="L2140" s="37"/>
    </row>
    <row r="2141" spans="2:12" x14ac:dyDescent="0.2">
      <c r="B2141" s="36"/>
      <c r="G2141" s="34"/>
      <c r="H2141" s="33"/>
      <c r="I2141" s="33"/>
      <c r="J2141" s="33"/>
      <c r="K2141" s="37"/>
      <c r="L2141" s="37"/>
    </row>
    <row r="2142" spans="2:12" x14ac:dyDescent="0.2">
      <c r="B2142" s="36"/>
      <c r="G2142" s="34"/>
      <c r="H2142" s="33"/>
      <c r="I2142" s="33"/>
      <c r="J2142" s="33"/>
      <c r="K2142" s="37"/>
      <c r="L2142" s="37"/>
    </row>
    <row r="2143" spans="2:12" x14ac:dyDescent="0.2">
      <c r="B2143" s="36"/>
      <c r="G2143" s="34"/>
      <c r="H2143" s="33"/>
      <c r="I2143" s="33"/>
      <c r="J2143" s="33"/>
      <c r="K2143" s="37"/>
      <c r="L2143" s="37"/>
    </row>
    <row r="2144" spans="2:12" x14ac:dyDescent="0.2">
      <c r="B2144" s="36"/>
      <c r="G2144" s="34"/>
      <c r="H2144" s="33"/>
      <c r="I2144" s="33"/>
      <c r="J2144" s="33"/>
      <c r="K2144" s="37"/>
      <c r="L2144" s="37"/>
    </row>
    <row r="2145" spans="2:12" x14ac:dyDescent="0.2">
      <c r="B2145" s="36"/>
      <c r="G2145" s="34"/>
      <c r="H2145" s="33"/>
      <c r="I2145" s="33"/>
      <c r="J2145" s="33"/>
      <c r="K2145" s="37"/>
      <c r="L2145" s="37"/>
    </row>
    <row r="2146" spans="2:12" x14ac:dyDescent="0.2">
      <c r="B2146" s="36"/>
      <c r="G2146" s="34"/>
      <c r="H2146" s="33"/>
      <c r="I2146" s="33"/>
      <c r="J2146" s="33"/>
      <c r="K2146" s="37"/>
      <c r="L2146" s="37"/>
    </row>
    <row r="2147" spans="2:12" x14ac:dyDescent="0.2">
      <c r="B2147" s="36"/>
      <c r="G2147" s="34"/>
      <c r="H2147" s="33"/>
      <c r="I2147" s="33"/>
      <c r="J2147" s="33"/>
      <c r="K2147" s="37"/>
      <c r="L2147" s="37"/>
    </row>
    <row r="2148" spans="2:12" x14ac:dyDescent="0.2">
      <c r="B2148" s="36"/>
      <c r="G2148" s="34"/>
      <c r="H2148" s="33"/>
      <c r="I2148" s="33"/>
      <c r="J2148" s="33"/>
      <c r="K2148" s="37"/>
      <c r="L2148" s="37"/>
    </row>
    <row r="2149" spans="2:12" x14ac:dyDescent="0.2">
      <c r="B2149" s="36"/>
      <c r="G2149" s="34"/>
      <c r="H2149" s="33"/>
      <c r="I2149" s="33"/>
      <c r="J2149" s="33"/>
      <c r="K2149" s="37"/>
      <c r="L2149" s="37"/>
    </row>
    <row r="2150" spans="2:12" x14ac:dyDescent="0.2">
      <c r="B2150" s="36"/>
      <c r="G2150" s="34"/>
      <c r="H2150" s="33"/>
      <c r="I2150" s="33"/>
      <c r="J2150" s="33"/>
      <c r="K2150" s="37"/>
      <c r="L2150" s="37"/>
    </row>
    <row r="2151" spans="2:12" x14ac:dyDescent="0.2">
      <c r="B2151" s="36"/>
      <c r="G2151" s="34"/>
      <c r="H2151" s="33"/>
      <c r="I2151" s="33"/>
      <c r="J2151" s="33"/>
      <c r="K2151" s="37"/>
      <c r="L2151" s="37"/>
    </row>
    <row r="2152" spans="2:12" x14ac:dyDescent="0.2">
      <c r="B2152" s="36"/>
      <c r="G2152" s="34"/>
      <c r="H2152" s="33"/>
      <c r="I2152" s="33"/>
      <c r="J2152" s="33"/>
      <c r="K2152" s="37"/>
      <c r="L2152" s="37"/>
    </row>
    <row r="2153" spans="2:12" x14ac:dyDescent="0.2">
      <c r="B2153" s="36"/>
      <c r="G2153" s="34"/>
      <c r="H2153" s="33"/>
      <c r="I2153" s="33"/>
      <c r="J2153" s="33"/>
      <c r="K2153" s="37"/>
      <c r="L2153" s="37"/>
    </row>
    <row r="2154" spans="2:12" x14ac:dyDescent="0.2">
      <c r="B2154" s="36"/>
      <c r="G2154" s="34"/>
      <c r="H2154" s="33"/>
      <c r="I2154" s="33"/>
      <c r="J2154" s="33"/>
      <c r="K2154" s="37"/>
      <c r="L2154" s="37"/>
    </row>
    <row r="2155" spans="2:12" x14ac:dyDescent="0.2">
      <c r="B2155" s="36"/>
      <c r="G2155" s="34"/>
      <c r="H2155" s="33"/>
      <c r="I2155" s="33"/>
      <c r="J2155" s="33"/>
      <c r="K2155" s="37"/>
      <c r="L2155" s="37"/>
    </row>
    <row r="2156" spans="2:12" x14ac:dyDescent="0.2">
      <c r="B2156" s="36"/>
      <c r="G2156" s="34"/>
      <c r="H2156" s="33"/>
      <c r="I2156" s="33"/>
      <c r="J2156" s="33"/>
      <c r="K2156" s="37"/>
      <c r="L2156" s="37"/>
    </row>
    <row r="2157" spans="2:12" x14ac:dyDescent="0.2">
      <c r="B2157" s="36"/>
      <c r="G2157" s="34"/>
      <c r="H2157" s="33"/>
      <c r="I2157" s="33"/>
      <c r="J2157" s="33"/>
      <c r="K2157" s="37"/>
      <c r="L2157" s="37"/>
    </row>
    <row r="2158" spans="2:12" x14ac:dyDescent="0.2">
      <c r="B2158" s="36"/>
      <c r="G2158" s="34"/>
      <c r="H2158" s="33"/>
      <c r="I2158" s="33"/>
      <c r="J2158" s="33"/>
      <c r="K2158" s="37"/>
      <c r="L2158" s="37"/>
    </row>
    <row r="2159" spans="2:12" x14ac:dyDescent="0.2">
      <c r="B2159" s="36"/>
      <c r="G2159" s="34"/>
      <c r="H2159" s="33"/>
      <c r="I2159" s="33"/>
      <c r="J2159" s="33"/>
      <c r="K2159" s="37"/>
      <c r="L2159" s="37"/>
    </row>
    <row r="2160" spans="2:12" x14ac:dyDescent="0.2">
      <c r="B2160" s="36"/>
      <c r="G2160" s="34"/>
      <c r="H2160" s="33"/>
      <c r="I2160" s="33"/>
      <c r="J2160" s="33"/>
      <c r="K2160" s="37"/>
      <c r="L2160" s="37"/>
    </row>
    <row r="2161" spans="2:12" x14ac:dyDescent="0.2">
      <c r="B2161" s="36"/>
      <c r="G2161" s="34"/>
      <c r="H2161" s="33"/>
      <c r="I2161" s="33"/>
      <c r="J2161" s="33"/>
      <c r="K2161" s="37"/>
      <c r="L2161" s="37"/>
    </row>
    <row r="2162" spans="2:12" x14ac:dyDescent="0.2">
      <c r="B2162" s="36"/>
      <c r="G2162" s="34"/>
      <c r="H2162" s="33"/>
      <c r="I2162" s="33"/>
      <c r="J2162" s="33"/>
      <c r="K2162" s="37"/>
      <c r="L2162" s="37"/>
    </row>
    <row r="2163" spans="2:12" x14ac:dyDescent="0.2">
      <c r="B2163" s="36"/>
      <c r="G2163" s="34"/>
      <c r="H2163" s="33"/>
      <c r="I2163" s="33"/>
      <c r="J2163" s="33"/>
      <c r="K2163" s="37"/>
      <c r="L2163" s="37"/>
    </row>
    <row r="2164" spans="2:12" x14ac:dyDescent="0.2">
      <c r="B2164" s="36"/>
      <c r="G2164" s="34"/>
      <c r="H2164" s="33"/>
      <c r="I2164" s="33"/>
      <c r="J2164" s="33"/>
      <c r="K2164" s="37"/>
      <c r="L2164" s="37"/>
    </row>
    <row r="2165" spans="2:12" x14ac:dyDescent="0.2">
      <c r="B2165" s="36"/>
      <c r="G2165" s="34"/>
      <c r="H2165" s="33"/>
      <c r="I2165" s="33"/>
      <c r="J2165" s="33"/>
      <c r="K2165" s="37"/>
      <c r="L2165" s="37"/>
    </row>
    <row r="2166" spans="2:12" x14ac:dyDescent="0.2">
      <c r="B2166" s="36"/>
      <c r="G2166" s="34"/>
      <c r="H2166" s="33"/>
      <c r="I2166" s="33"/>
      <c r="J2166" s="33"/>
      <c r="K2166" s="37"/>
      <c r="L2166" s="37"/>
    </row>
    <row r="2167" spans="2:12" x14ac:dyDescent="0.2">
      <c r="B2167" s="36"/>
      <c r="G2167" s="34"/>
      <c r="H2167" s="33"/>
      <c r="I2167" s="33"/>
      <c r="J2167" s="33"/>
      <c r="K2167" s="37"/>
      <c r="L2167" s="37"/>
    </row>
    <row r="2168" spans="2:12" x14ac:dyDescent="0.2">
      <c r="B2168" s="36"/>
      <c r="G2168" s="34"/>
      <c r="H2168" s="33"/>
      <c r="I2168" s="33"/>
      <c r="J2168" s="33"/>
      <c r="K2168" s="37"/>
      <c r="L2168" s="37"/>
    </row>
    <row r="2169" spans="2:12" x14ac:dyDescent="0.2">
      <c r="B2169" s="36"/>
      <c r="G2169" s="34"/>
      <c r="H2169" s="33"/>
      <c r="I2169" s="33"/>
      <c r="J2169" s="33"/>
      <c r="K2169" s="37"/>
      <c r="L2169" s="37"/>
    </row>
    <row r="2170" spans="2:12" x14ac:dyDescent="0.2">
      <c r="B2170" s="36"/>
      <c r="G2170" s="34"/>
      <c r="H2170" s="33"/>
      <c r="I2170" s="33"/>
      <c r="J2170" s="33"/>
      <c r="K2170" s="37"/>
      <c r="L2170" s="37"/>
    </row>
    <row r="2171" spans="2:12" x14ac:dyDescent="0.2">
      <c r="B2171" s="36"/>
      <c r="G2171" s="34"/>
      <c r="H2171" s="33"/>
      <c r="I2171" s="33"/>
      <c r="J2171" s="33"/>
      <c r="K2171" s="37"/>
      <c r="L2171" s="37"/>
    </row>
    <row r="2172" spans="2:12" x14ac:dyDescent="0.2">
      <c r="B2172" s="36"/>
      <c r="G2172" s="34"/>
      <c r="H2172" s="33"/>
      <c r="I2172" s="33"/>
      <c r="J2172" s="33"/>
      <c r="K2172" s="37"/>
      <c r="L2172" s="37"/>
    </row>
    <row r="2173" spans="2:12" x14ac:dyDescent="0.2">
      <c r="B2173" s="36"/>
      <c r="G2173" s="34"/>
      <c r="H2173" s="33"/>
      <c r="I2173" s="33"/>
      <c r="J2173" s="33"/>
      <c r="K2173" s="37"/>
      <c r="L2173" s="37"/>
    </row>
    <row r="2174" spans="2:12" x14ac:dyDescent="0.2">
      <c r="B2174" s="36"/>
      <c r="G2174" s="34"/>
      <c r="H2174" s="33"/>
      <c r="I2174" s="33"/>
      <c r="J2174" s="33"/>
      <c r="K2174" s="37"/>
      <c r="L2174" s="37"/>
    </row>
    <row r="2175" spans="2:12" x14ac:dyDescent="0.2">
      <c r="B2175" s="36"/>
      <c r="G2175" s="34"/>
      <c r="H2175" s="33"/>
      <c r="I2175" s="33"/>
      <c r="J2175" s="33"/>
      <c r="K2175" s="37"/>
      <c r="L2175" s="37"/>
    </row>
    <row r="2176" spans="2:12" x14ac:dyDescent="0.2">
      <c r="B2176" s="36"/>
      <c r="G2176" s="34"/>
      <c r="H2176" s="33"/>
      <c r="I2176" s="33"/>
      <c r="J2176" s="33"/>
      <c r="K2176" s="37"/>
      <c r="L2176" s="37"/>
    </row>
    <row r="2177" spans="2:12" x14ac:dyDescent="0.2">
      <c r="B2177" s="36"/>
      <c r="G2177" s="34"/>
      <c r="H2177" s="33"/>
      <c r="I2177" s="33"/>
      <c r="J2177" s="33"/>
      <c r="K2177" s="37"/>
      <c r="L2177" s="37"/>
    </row>
    <row r="2178" spans="2:12" x14ac:dyDescent="0.2">
      <c r="B2178" s="36"/>
      <c r="G2178" s="34"/>
      <c r="H2178" s="33"/>
      <c r="I2178" s="33"/>
      <c r="J2178" s="33"/>
      <c r="K2178" s="37"/>
      <c r="L2178" s="37"/>
    </row>
    <row r="2179" spans="2:12" x14ac:dyDescent="0.2">
      <c r="B2179" s="36"/>
      <c r="G2179" s="34"/>
      <c r="H2179" s="33"/>
      <c r="I2179" s="33"/>
      <c r="J2179" s="33"/>
      <c r="K2179" s="37"/>
      <c r="L2179" s="37"/>
    </row>
    <row r="2180" spans="2:12" x14ac:dyDescent="0.2">
      <c r="B2180" s="36"/>
      <c r="G2180" s="34"/>
      <c r="H2180" s="33"/>
      <c r="I2180" s="33"/>
      <c r="J2180" s="33"/>
      <c r="K2180" s="37"/>
      <c r="L2180" s="37"/>
    </row>
    <row r="2181" spans="2:12" x14ac:dyDescent="0.2">
      <c r="B2181" s="36"/>
      <c r="G2181" s="34"/>
      <c r="H2181" s="33"/>
      <c r="I2181" s="33"/>
      <c r="J2181" s="33"/>
      <c r="K2181" s="37"/>
      <c r="L2181" s="37"/>
    </row>
    <row r="2182" spans="2:12" x14ac:dyDescent="0.2">
      <c r="B2182" s="36"/>
      <c r="G2182" s="34"/>
      <c r="H2182" s="33"/>
      <c r="I2182" s="33"/>
      <c r="J2182" s="33"/>
      <c r="K2182" s="37"/>
      <c r="L2182" s="37"/>
    </row>
    <row r="2183" spans="2:12" x14ac:dyDescent="0.2">
      <c r="B2183" s="36"/>
      <c r="G2183" s="34"/>
      <c r="H2183" s="33"/>
      <c r="I2183" s="33"/>
      <c r="J2183" s="33"/>
      <c r="K2183" s="37"/>
      <c r="L2183" s="37"/>
    </row>
    <row r="2184" spans="2:12" x14ac:dyDescent="0.2">
      <c r="B2184" s="36"/>
      <c r="G2184" s="34"/>
      <c r="H2184" s="33"/>
      <c r="I2184" s="33"/>
      <c r="J2184" s="33"/>
      <c r="K2184" s="37"/>
      <c r="L2184" s="37"/>
    </row>
    <row r="2185" spans="2:12" x14ac:dyDescent="0.2">
      <c r="B2185" s="36"/>
      <c r="G2185" s="34"/>
      <c r="H2185" s="33"/>
      <c r="I2185" s="33"/>
      <c r="J2185" s="33"/>
      <c r="K2185" s="37"/>
      <c r="L2185" s="37"/>
    </row>
    <row r="2186" spans="2:12" x14ac:dyDescent="0.2">
      <c r="B2186" s="36"/>
      <c r="G2186" s="34"/>
      <c r="H2186" s="33"/>
      <c r="I2186" s="33"/>
      <c r="J2186" s="33"/>
      <c r="K2186" s="37"/>
      <c r="L2186" s="37"/>
    </row>
    <row r="2187" spans="2:12" x14ac:dyDescent="0.2">
      <c r="B2187" s="36"/>
      <c r="G2187" s="34"/>
      <c r="H2187" s="33"/>
      <c r="I2187" s="33"/>
      <c r="J2187" s="33"/>
      <c r="K2187" s="37"/>
      <c r="L2187" s="37"/>
    </row>
    <row r="2188" spans="2:12" x14ac:dyDescent="0.2">
      <c r="B2188" s="36"/>
      <c r="G2188" s="34"/>
      <c r="H2188" s="33"/>
      <c r="I2188" s="33"/>
      <c r="J2188" s="33"/>
      <c r="K2188" s="37"/>
      <c r="L2188" s="37"/>
    </row>
    <row r="2189" spans="2:12" x14ac:dyDescent="0.2">
      <c r="B2189" s="36"/>
      <c r="G2189" s="34"/>
      <c r="H2189" s="33"/>
      <c r="I2189" s="33"/>
      <c r="J2189" s="33"/>
      <c r="K2189" s="37"/>
      <c r="L2189" s="37"/>
    </row>
    <row r="2190" spans="2:12" x14ac:dyDescent="0.2">
      <c r="B2190" s="36"/>
      <c r="G2190" s="34"/>
      <c r="H2190" s="33"/>
      <c r="I2190" s="33"/>
      <c r="J2190" s="33"/>
      <c r="K2190" s="37"/>
      <c r="L2190" s="37"/>
    </row>
    <row r="2191" spans="2:12" x14ac:dyDescent="0.2">
      <c r="B2191" s="36"/>
      <c r="G2191" s="34"/>
      <c r="H2191" s="33"/>
      <c r="I2191" s="33"/>
      <c r="J2191" s="33"/>
      <c r="K2191" s="37"/>
      <c r="L2191" s="37"/>
    </row>
    <row r="2192" spans="2:12" x14ac:dyDescent="0.2">
      <c r="B2192" s="36"/>
      <c r="G2192" s="34"/>
      <c r="H2192" s="33"/>
      <c r="I2192" s="33"/>
      <c r="J2192" s="33"/>
      <c r="K2192" s="37"/>
      <c r="L2192" s="37"/>
    </row>
    <row r="2193" spans="2:12" x14ac:dyDescent="0.2">
      <c r="B2193" s="36"/>
      <c r="G2193" s="34"/>
      <c r="H2193" s="33"/>
      <c r="I2193" s="33"/>
      <c r="J2193" s="33"/>
      <c r="K2193" s="37"/>
      <c r="L2193" s="37"/>
    </row>
    <row r="2194" spans="2:12" x14ac:dyDescent="0.2">
      <c r="B2194" s="36"/>
      <c r="G2194" s="34"/>
      <c r="H2194" s="33"/>
      <c r="I2194" s="33"/>
      <c r="J2194" s="33"/>
      <c r="K2194" s="37"/>
      <c r="L2194" s="37"/>
    </row>
    <row r="2195" spans="2:12" x14ac:dyDescent="0.2">
      <c r="B2195" s="36"/>
      <c r="G2195" s="34"/>
      <c r="H2195" s="33"/>
      <c r="I2195" s="33"/>
      <c r="J2195" s="33"/>
      <c r="K2195" s="37"/>
      <c r="L2195" s="37"/>
    </row>
    <row r="2196" spans="2:12" x14ac:dyDescent="0.2">
      <c r="B2196" s="36"/>
      <c r="G2196" s="34"/>
      <c r="H2196" s="33"/>
      <c r="I2196" s="33"/>
      <c r="J2196" s="33"/>
      <c r="K2196" s="37"/>
      <c r="L2196" s="37"/>
    </row>
    <row r="2197" spans="2:12" x14ac:dyDescent="0.2">
      <c r="B2197" s="36"/>
      <c r="G2197" s="34"/>
      <c r="H2197" s="33"/>
      <c r="I2197" s="33"/>
      <c r="J2197" s="33"/>
      <c r="K2197" s="37"/>
      <c r="L2197" s="37"/>
    </row>
    <row r="2198" spans="2:12" x14ac:dyDescent="0.2">
      <c r="B2198" s="36"/>
      <c r="G2198" s="34"/>
      <c r="H2198" s="33"/>
      <c r="I2198" s="33"/>
      <c r="J2198" s="33"/>
      <c r="K2198" s="37"/>
      <c r="L2198" s="37"/>
    </row>
    <row r="2199" spans="2:12" x14ac:dyDescent="0.2">
      <c r="B2199" s="36"/>
      <c r="G2199" s="34"/>
      <c r="H2199" s="33"/>
      <c r="I2199" s="33"/>
      <c r="J2199" s="33"/>
      <c r="K2199" s="37"/>
      <c r="L2199" s="37"/>
    </row>
    <row r="2200" spans="2:12" x14ac:dyDescent="0.2">
      <c r="B2200" s="36"/>
      <c r="G2200" s="34"/>
      <c r="H2200" s="33"/>
      <c r="I2200" s="33"/>
      <c r="J2200" s="33"/>
      <c r="K2200" s="37"/>
      <c r="L2200" s="37"/>
    </row>
    <row r="2201" spans="2:12" x14ac:dyDescent="0.2">
      <c r="B2201" s="36"/>
      <c r="G2201" s="34"/>
      <c r="H2201" s="33"/>
      <c r="I2201" s="33"/>
      <c r="J2201" s="33"/>
      <c r="K2201" s="37"/>
      <c r="L2201" s="37"/>
    </row>
    <row r="2202" spans="2:12" x14ac:dyDescent="0.2">
      <c r="B2202" s="36"/>
      <c r="G2202" s="34"/>
      <c r="H2202" s="33"/>
      <c r="I2202" s="33"/>
      <c r="J2202" s="33"/>
      <c r="K2202" s="37"/>
      <c r="L2202" s="37"/>
    </row>
    <row r="2203" spans="2:12" x14ac:dyDescent="0.2">
      <c r="B2203" s="36"/>
      <c r="G2203" s="34"/>
      <c r="H2203" s="33"/>
      <c r="I2203" s="33"/>
      <c r="J2203" s="33"/>
      <c r="K2203" s="37"/>
      <c r="L2203" s="37"/>
    </row>
    <row r="2204" spans="2:12" x14ac:dyDescent="0.2">
      <c r="B2204" s="36"/>
      <c r="G2204" s="34"/>
      <c r="H2204" s="33"/>
      <c r="I2204" s="33"/>
      <c r="J2204" s="33"/>
      <c r="K2204" s="37"/>
      <c r="L2204" s="37"/>
    </row>
    <row r="2205" spans="2:12" x14ac:dyDescent="0.2">
      <c r="B2205" s="36"/>
      <c r="G2205" s="34"/>
      <c r="H2205" s="33"/>
      <c r="I2205" s="33"/>
      <c r="J2205" s="33"/>
      <c r="K2205" s="37"/>
      <c r="L2205" s="37"/>
    </row>
    <row r="2206" spans="2:12" x14ac:dyDescent="0.2">
      <c r="B2206" s="36"/>
      <c r="G2206" s="34"/>
      <c r="H2206" s="33"/>
      <c r="I2206" s="33"/>
      <c r="J2206" s="33"/>
      <c r="K2206" s="37"/>
      <c r="L2206" s="37"/>
    </row>
    <row r="2207" spans="2:12" x14ac:dyDescent="0.2">
      <c r="B2207" s="36"/>
      <c r="G2207" s="34"/>
      <c r="H2207" s="33"/>
      <c r="I2207" s="33"/>
      <c r="J2207" s="33"/>
      <c r="K2207" s="37"/>
      <c r="L2207" s="37"/>
    </row>
    <row r="2208" spans="2:12" x14ac:dyDescent="0.2">
      <c r="B2208" s="36"/>
      <c r="G2208" s="34"/>
      <c r="H2208" s="33"/>
      <c r="I2208" s="33"/>
      <c r="J2208" s="33"/>
      <c r="K2208" s="37"/>
      <c r="L2208" s="37"/>
    </row>
    <row r="2209" spans="2:12" x14ac:dyDescent="0.2">
      <c r="B2209" s="36"/>
      <c r="G2209" s="34"/>
      <c r="H2209" s="33"/>
      <c r="I2209" s="33"/>
      <c r="J2209" s="33"/>
      <c r="K2209" s="37"/>
      <c r="L2209" s="37"/>
    </row>
    <row r="2210" spans="2:12" x14ac:dyDescent="0.2">
      <c r="B2210" s="36"/>
      <c r="G2210" s="34"/>
      <c r="H2210" s="33"/>
      <c r="I2210" s="33"/>
      <c r="J2210" s="33"/>
      <c r="K2210" s="37"/>
      <c r="L2210" s="37"/>
    </row>
    <row r="2211" spans="2:12" x14ac:dyDescent="0.2">
      <c r="B2211" s="36"/>
      <c r="G2211" s="34"/>
      <c r="H2211" s="33"/>
      <c r="I2211" s="33"/>
      <c r="J2211" s="33"/>
      <c r="K2211" s="37"/>
      <c r="L2211" s="37"/>
    </row>
    <row r="2212" spans="2:12" x14ac:dyDescent="0.2">
      <c r="B2212" s="36"/>
      <c r="G2212" s="34"/>
      <c r="H2212" s="33"/>
      <c r="I2212" s="33"/>
      <c r="J2212" s="33"/>
      <c r="K2212" s="37"/>
      <c r="L2212" s="37"/>
    </row>
    <row r="2213" spans="2:12" x14ac:dyDescent="0.2">
      <c r="B2213" s="36"/>
      <c r="G2213" s="34"/>
      <c r="H2213" s="33"/>
      <c r="I2213" s="33"/>
      <c r="J2213" s="33"/>
      <c r="K2213" s="37"/>
      <c r="L2213" s="37"/>
    </row>
    <row r="2214" spans="2:12" x14ac:dyDescent="0.2">
      <c r="B2214" s="36"/>
      <c r="G2214" s="34"/>
      <c r="H2214" s="33"/>
      <c r="I2214" s="33"/>
      <c r="J2214" s="33"/>
      <c r="K2214" s="37"/>
      <c r="L2214" s="37"/>
    </row>
    <row r="2215" spans="2:12" x14ac:dyDescent="0.2">
      <c r="B2215" s="36"/>
      <c r="G2215" s="34"/>
      <c r="H2215" s="33"/>
      <c r="I2215" s="33"/>
      <c r="J2215" s="33"/>
      <c r="K2215" s="37"/>
      <c r="L2215" s="37"/>
    </row>
    <row r="2216" spans="2:12" x14ac:dyDescent="0.2">
      <c r="B2216" s="36"/>
      <c r="G2216" s="34"/>
      <c r="H2216" s="33"/>
      <c r="I2216" s="33"/>
      <c r="J2216" s="33"/>
      <c r="K2216" s="37"/>
      <c r="L2216" s="37"/>
    </row>
    <row r="2217" spans="2:12" x14ac:dyDescent="0.2">
      <c r="B2217" s="36"/>
      <c r="G2217" s="34"/>
      <c r="H2217" s="33"/>
      <c r="I2217" s="33"/>
      <c r="J2217" s="33"/>
      <c r="K2217" s="37"/>
      <c r="L2217" s="37"/>
    </row>
    <row r="2218" spans="2:12" x14ac:dyDescent="0.2">
      <c r="B2218" s="36"/>
      <c r="G2218" s="34"/>
      <c r="H2218" s="33"/>
      <c r="I2218" s="33"/>
      <c r="J2218" s="33"/>
      <c r="K2218" s="37"/>
      <c r="L2218" s="37"/>
    </row>
    <row r="2219" spans="2:12" x14ac:dyDescent="0.2">
      <c r="B2219" s="36"/>
      <c r="G2219" s="34"/>
      <c r="H2219" s="33"/>
      <c r="I2219" s="33"/>
      <c r="J2219" s="33"/>
      <c r="K2219" s="37"/>
      <c r="L2219" s="37"/>
    </row>
    <row r="2220" spans="2:12" x14ac:dyDescent="0.2">
      <c r="B2220" s="36"/>
      <c r="G2220" s="34"/>
      <c r="H2220" s="33"/>
      <c r="I2220" s="33"/>
      <c r="J2220" s="33"/>
      <c r="K2220" s="37"/>
      <c r="L2220" s="37"/>
    </row>
    <row r="2221" spans="2:12" x14ac:dyDescent="0.2">
      <c r="B2221" s="36"/>
      <c r="G2221" s="34"/>
      <c r="H2221" s="33"/>
      <c r="I2221" s="33"/>
      <c r="J2221" s="33"/>
      <c r="K2221" s="37"/>
      <c r="L2221" s="37"/>
    </row>
    <row r="2222" spans="2:12" x14ac:dyDescent="0.2">
      <c r="B2222" s="36"/>
      <c r="G2222" s="34"/>
      <c r="H2222" s="33"/>
      <c r="I2222" s="33"/>
      <c r="J2222" s="33"/>
      <c r="K2222" s="37"/>
      <c r="L2222" s="37"/>
    </row>
    <row r="2223" spans="2:12" x14ac:dyDescent="0.2">
      <c r="B2223" s="36"/>
      <c r="G2223" s="34"/>
      <c r="H2223" s="33"/>
      <c r="I2223" s="33"/>
      <c r="J2223" s="33"/>
      <c r="K2223" s="37"/>
      <c r="L2223" s="37"/>
    </row>
    <row r="2224" spans="2:12" x14ac:dyDescent="0.2">
      <c r="B2224" s="36"/>
      <c r="G2224" s="34"/>
      <c r="H2224" s="33"/>
      <c r="I2224" s="33"/>
      <c r="J2224" s="33"/>
      <c r="K2224" s="37"/>
      <c r="L2224" s="37"/>
    </row>
    <row r="2225" spans="2:12" x14ac:dyDescent="0.2">
      <c r="B2225" s="36"/>
      <c r="G2225" s="34"/>
      <c r="H2225" s="33"/>
      <c r="I2225" s="33"/>
      <c r="J2225" s="33"/>
      <c r="K2225" s="37"/>
      <c r="L2225" s="37"/>
    </row>
    <row r="2226" spans="2:12" x14ac:dyDescent="0.2">
      <c r="B2226" s="36"/>
      <c r="G2226" s="34"/>
      <c r="H2226" s="33"/>
      <c r="I2226" s="33"/>
      <c r="J2226" s="33"/>
      <c r="K2226" s="37"/>
      <c r="L2226" s="37"/>
    </row>
    <row r="2227" spans="2:12" x14ac:dyDescent="0.2">
      <c r="B2227" s="36"/>
      <c r="G2227" s="34"/>
      <c r="H2227" s="33"/>
      <c r="I2227" s="33"/>
      <c r="J2227" s="33"/>
      <c r="K2227" s="37"/>
      <c r="L2227" s="37"/>
    </row>
    <row r="2228" spans="2:12" x14ac:dyDescent="0.2">
      <c r="B2228" s="36"/>
      <c r="G2228" s="34"/>
      <c r="H2228" s="33"/>
      <c r="I2228" s="33"/>
      <c r="J2228" s="33"/>
      <c r="K2228" s="37"/>
      <c r="L2228" s="37"/>
    </row>
    <row r="2229" spans="2:12" x14ac:dyDescent="0.2">
      <c r="B2229" s="36"/>
      <c r="G2229" s="34"/>
      <c r="H2229" s="33"/>
      <c r="I2229" s="33"/>
      <c r="J2229" s="33"/>
      <c r="K2229" s="37"/>
      <c r="L2229" s="37"/>
    </row>
    <row r="2230" spans="2:12" x14ac:dyDescent="0.2">
      <c r="B2230" s="36"/>
      <c r="G2230" s="34"/>
      <c r="H2230" s="33"/>
      <c r="I2230" s="33"/>
      <c r="J2230" s="33"/>
      <c r="K2230" s="37"/>
      <c r="L2230" s="37"/>
    </row>
    <row r="2231" spans="2:12" x14ac:dyDescent="0.2">
      <c r="B2231" s="36"/>
      <c r="G2231" s="34"/>
      <c r="H2231" s="33"/>
      <c r="I2231" s="33"/>
      <c r="J2231" s="33"/>
      <c r="K2231" s="37"/>
      <c r="L2231" s="37"/>
    </row>
    <row r="2232" spans="2:12" x14ac:dyDescent="0.2">
      <c r="B2232" s="36"/>
      <c r="G2232" s="34"/>
      <c r="H2232" s="33"/>
      <c r="I2232" s="33"/>
      <c r="J2232" s="33"/>
      <c r="K2232" s="37"/>
      <c r="L2232" s="37"/>
    </row>
    <row r="2233" spans="2:12" x14ac:dyDescent="0.2">
      <c r="B2233" s="36"/>
      <c r="G2233" s="34"/>
      <c r="H2233" s="33"/>
      <c r="I2233" s="33"/>
      <c r="J2233" s="33"/>
      <c r="K2233" s="37"/>
      <c r="L2233" s="37"/>
    </row>
    <row r="2234" spans="2:12" x14ac:dyDescent="0.2">
      <c r="B2234" s="36"/>
      <c r="G2234" s="34"/>
      <c r="H2234" s="33"/>
      <c r="I2234" s="33"/>
      <c r="J2234" s="33"/>
      <c r="K2234" s="37"/>
      <c r="L2234" s="37"/>
    </row>
    <row r="2235" spans="2:12" x14ac:dyDescent="0.2">
      <c r="B2235" s="36"/>
      <c r="G2235" s="34"/>
      <c r="H2235" s="33"/>
      <c r="I2235" s="33"/>
      <c r="J2235" s="33"/>
      <c r="K2235" s="37"/>
      <c r="L2235" s="37"/>
    </row>
    <row r="2236" spans="2:12" x14ac:dyDescent="0.2">
      <c r="B2236" s="36"/>
      <c r="G2236" s="34"/>
      <c r="H2236" s="33"/>
      <c r="I2236" s="33"/>
      <c r="J2236" s="33"/>
      <c r="K2236" s="37"/>
      <c r="L2236" s="37"/>
    </row>
    <row r="2237" spans="2:12" x14ac:dyDescent="0.2">
      <c r="B2237" s="36"/>
      <c r="G2237" s="34"/>
      <c r="H2237" s="33"/>
      <c r="I2237" s="33"/>
      <c r="J2237" s="33"/>
      <c r="K2237" s="37"/>
      <c r="L2237" s="37"/>
    </row>
    <row r="2238" spans="2:12" x14ac:dyDescent="0.2">
      <c r="B2238" s="36"/>
      <c r="G2238" s="34"/>
      <c r="H2238" s="33"/>
      <c r="I2238" s="33"/>
      <c r="J2238" s="33"/>
      <c r="K2238" s="37"/>
      <c r="L2238" s="37"/>
    </row>
    <row r="2239" spans="2:12" x14ac:dyDescent="0.2">
      <c r="B2239" s="36"/>
      <c r="G2239" s="34"/>
      <c r="H2239" s="33"/>
      <c r="I2239" s="33"/>
      <c r="J2239" s="33"/>
      <c r="K2239" s="37"/>
      <c r="L2239" s="37"/>
    </row>
    <row r="2240" spans="2:12" x14ac:dyDescent="0.2">
      <c r="B2240" s="36"/>
      <c r="G2240" s="34"/>
      <c r="H2240" s="33"/>
      <c r="I2240" s="33"/>
      <c r="J2240" s="33"/>
      <c r="K2240" s="37"/>
      <c r="L2240" s="37"/>
    </row>
    <row r="2241" spans="2:12" x14ac:dyDescent="0.2">
      <c r="B2241" s="36"/>
      <c r="G2241" s="34"/>
      <c r="H2241" s="33"/>
      <c r="I2241" s="33"/>
      <c r="J2241" s="33"/>
      <c r="K2241" s="37"/>
      <c r="L2241" s="37"/>
    </row>
    <row r="2242" spans="2:12" x14ac:dyDescent="0.2">
      <c r="B2242" s="36"/>
      <c r="G2242" s="34"/>
      <c r="H2242" s="33"/>
      <c r="I2242" s="33"/>
      <c r="J2242" s="33"/>
      <c r="K2242" s="37"/>
      <c r="L2242" s="37"/>
    </row>
    <row r="2243" spans="2:12" x14ac:dyDescent="0.2">
      <c r="B2243" s="36"/>
      <c r="G2243" s="34"/>
      <c r="H2243" s="33"/>
      <c r="I2243" s="33"/>
      <c r="J2243" s="33"/>
      <c r="K2243" s="37"/>
      <c r="L2243" s="37"/>
    </row>
    <row r="2244" spans="2:12" x14ac:dyDescent="0.2">
      <c r="B2244" s="36"/>
      <c r="G2244" s="34"/>
      <c r="H2244" s="33"/>
      <c r="I2244" s="33"/>
      <c r="J2244" s="33"/>
      <c r="K2244" s="37"/>
      <c r="L2244" s="37"/>
    </row>
    <row r="2245" spans="2:12" x14ac:dyDescent="0.2">
      <c r="B2245" s="36"/>
      <c r="G2245" s="34"/>
      <c r="H2245" s="33"/>
      <c r="I2245" s="33"/>
      <c r="J2245" s="33"/>
      <c r="K2245" s="37"/>
      <c r="L2245" s="37"/>
    </row>
    <row r="2246" spans="2:12" x14ac:dyDescent="0.2">
      <c r="B2246" s="36"/>
      <c r="G2246" s="34"/>
      <c r="H2246" s="33"/>
      <c r="I2246" s="33"/>
      <c r="J2246" s="33"/>
      <c r="K2246" s="37"/>
      <c r="L2246" s="37"/>
    </row>
    <row r="2247" spans="2:12" x14ac:dyDescent="0.2">
      <c r="B2247" s="36"/>
      <c r="G2247" s="34"/>
      <c r="H2247" s="33"/>
      <c r="I2247" s="33"/>
      <c r="J2247" s="33"/>
      <c r="K2247" s="37"/>
      <c r="L2247" s="37"/>
    </row>
    <row r="2248" spans="2:12" x14ac:dyDescent="0.2">
      <c r="B2248" s="36"/>
      <c r="G2248" s="34"/>
      <c r="H2248" s="33"/>
      <c r="I2248" s="33"/>
      <c r="J2248" s="33"/>
      <c r="K2248" s="37"/>
      <c r="L2248" s="37"/>
    </row>
    <row r="2249" spans="2:12" x14ac:dyDescent="0.2">
      <c r="B2249" s="36"/>
      <c r="G2249" s="34"/>
      <c r="H2249" s="33"/>
      <c r="I2249" s="33"/>
      <c r="J2249" s="33"/>
      <c r="K2249" s="37"/>
      <c r="L2249" s="37"/>
    </row>
    <row r="2250" spans="2:12" x14ac:dyDescent="0.2">
      <c r="B2250" s="36"/>
      <c r="G2250" s="34"/>
      <c r="H2250" s="33"/>
      <c r="I2250" s="33"/>
      <c r="J2250" s="33"/>
      <c r="K2250" s="37"/>
      <c r="L2250" s="37"/>
    </row>
    <row r="2251" spans="2:12" x14ac:dyDescent="0.2">
      <c r="B2251" s="36"/>
      <c r="G2251" s="34"/>
      <c r="H2251" s="33"/>
      <c r="I2251" s="33"/>
      <c r="J2251" s="33"/>
      <c r="K2251" s="37"/>
      <c r="L2251" s="37"/>
    </row>
    <row r="2252" spans="2:12" x14ac:dyDescent="0.2">
      <c r="B2252" s="36"/>
      <c r="G2252" s="34"/>
      <c r="H2252" s="33"/>
      <c r="I2252" s="33"/>
      <c r="J2252" s="33"/>
      <c r="K2252" s="37"/>
      <c r="L2252" s="37"/>
    </row>
    <row r="2253" spans="2:12" x14ac:dyDescent="0.2">
      <c r="B2253" s="36"/>
      <c r="G2253" s="34"/>
      <c r="H2253" s="33"/>
      <c r="I2253" s="33"/>
      <c r="J2253" s="33"/>
      <c r="K2253" s="37"/>
      <c r="L2253" s="37"/>
    </row>
    <row r="2254" spans="2:12" x14ac:dyDescent="0.2">
      <c r="B2254" s="36"/>
      <c r="G2254" s="34"/>
      <c r="H2254" s="33"/>
      <c r="I2254" s="33"/>
      <c r="J2254" s="33"/>
      <c r="K2254" s="37"/>
      <c r="L2254" s="37"/>
    </row>
    <row r="2255" spans="2:12" x14ac:dyDescent="0.2">
      <c r="B2255" s="36"/>
      <c r="G2255" s="34"/>
      <c r="H2255" s="33"/>
      <c r="I2255" s="33"/>
      <c r="J2255" s="33"/>
      <c r="K2255" s="37"/>
      <c r="L2255" s="37"/>
    </row>
    <row r="2256" spans="2:12" x14ac:dyDescent="0.2">
      <c r="B2256" s="36"/>
      <c r="G2256" s="34"/>
      <c r="H2256" s="33"/>
      <c r="I2256" s="33"/>
      <c r="J2256" s="33"/>
      <c r="K2256" s="37"/>
      <c r="L2256" s="37"/>
    </row>
    <row r="2257" spans="2:12" x14ac:dyDescent="0.2">
      <c r="B2257" s="36"/>
      <c r="G2257" s="34"/>
      <c r="H2257" s="33"/>
      <c r="I2257" s="33"/>
      <c r="J2257" s="33"/>
      <c r="K2257" s="37"/>
      <c r="L2257" s="37"/>
    </row>
    <row r="2258" spans="2:12" x14ac:dyDescent="0.2">
      <c r="B2258" s="36"/>
      <c r="G2258" s="34"/>
      <c r="H2258" s="33"/>
      <c r="I2258" s="33"/>
      <c r="J2258" s="33"/>
      <c r="K2258" s="37"/>
      <c r="L2258" s="37"/>
    </row>
    <row r="2259" spans="2:12" x14ac:dyDescent="0.2">
      <c r="B2259" s="36"/>
      <c r="G2259" s="34"/>
      <c r="H2259" s="33"/>
      <c r="I2259" s="33"/>
      <c r="J2259" s="33"/>
      <c r="K2259" s="37"/>
      <c r="L2259" s="37"/>
    </row>
    <row r="2260" spans="2:12" x14ac:dyDescent="0.2">
      <c r="B2260" s="36"/>
      <c r="G2260" s="34"/>
      <c r="H2260" s="33"/>
      <c r="I2260" s="33"/>
      <c r="J2260" s="33"/>
      <c r="K2260" s="37"/>
      <c r="L2260" s="37"/>
    </row>
    <row r="2261" spans="2:12" x14ac:dyDescent="0.2">
      <c r="B2261" s="36"/>
      <c r="G2261" s="34"/>
      <c r="H2261" s="33"/>
      <c r="I2261" s="33"/>
      <c r="J2261" s="33"/>
      <c r="K2261" s="37"/>
      <c r="L2261" s="37"/>
    </row>
    <row r="2262" spans="2:12" x14ac:dyDescent="0.2">
      <c r="B2262" s="36"/>
      <c r="G2262" s="34"/>
      <c r="H2262" s="33"/>
      <c r="I2262" s="33"/>
      <c r="J2262" s="33"/>
      <c r="K2262" s="37"/>
      <c r="L2262" s="37"/>
    </row>
    <row r="2263" spans="2:12" x14ac:dyDescent="0.2">
      <c r="B2263" s="36"/>
      <c r="G2263" s="34"/>
      <c r="H2263" s="33"/>
      <c r="I2263" s="33"/>
      <c r="J2263" s="33"/>
      <c r="K2263" s="37"/>
      <c r="L2263" s="37"/>
    </row>
    <row r="2264" spans="2:12" x14ac:dyDescent="0.2">
      <c r="B2264" s="36"/>
      <c r="G2264" s="34"/>
      <c r="H2264" s="33"/>
      <c r="I2264" s="33"/>
      <c r="J2264" s="33"/>
      <c r="K2264" s="37"/>
      <c r="L2264" s="37"/>
    </row>
    <row r="2265" spans="2:12" x14ac:dyDescent="0.2">
      <c r="B2265" s="36"/>
      <c r="G2265" s="34"/>
      <c r="H2265" s="33"/>
      <c r="I2265" s="33"/>
      <c r="J2265" s="33"/>
      <c r="K2265" s="37"/>
      <c r="L2265" s="37"/>
    </row>
    <row r="2266" spans="2:12" x14ac:dyDescent="0.2">
      <c r="B2266" s="36"/>
      <c r="G2266" s="34"/>
      <c r="H2266" s="33"/>
      <c r="I2266" s="33"/>
      <c r="J2266" s="33"/>
      <c r="K2266" s="37"/>
      <c r="L2266" s="37"/>
    </row>
    <row r="2267" spans="2:12" x14ac:dyDescent="0.2">
      <c r="B2267" s="36"/>
      <c r="G2267" s="34"/>
      <c r="H2267" s="33"/>
      <c r="I2267" s="33"/>
      <c r="J2267" s="33"/>
      <c r="K2267" s="37"/>
      <c r="L2267" s="37"/>
    </row>
    <row r="2268" spans="2:12" x14ac:dyDescent="0.2">
      <c r="B2268" s="36"/>
      <c r="G2268" s="34"/>
      <c r="H2268" s="33"/>
      <c r="I2268" s="33"/>
      <c r="J2268" s="33"/>
      <c r="K2268" s="37"/>
      <c r="L2268" s="37"/>
    </row>
    <row r="2269" spans="2:12" x14ac:dyDescent="0.2">
      <c r="B2269" s="36"/>
      <c r="G2269" s="34"/>
      <c r="H2269" s="33"/>
      <c r="I2269" s="33"/>
      <c r="J2269" s="33"/>
      <c r="K2269" s="37"/>
      <c r="L2269" s="37"/>
    </row>
    <row r="2270" spans="2:12" x14ac:dyDescent="0.2">
      <c r="B2270" s="36"/>
      <c r="G2270" s="34"/>
      <c r="H2270" s="33"/>
      <c r="I2270" s="33"/>
      <c r="J2270" s="33"/>
      <c r="K2270" s="37"/>
      <c r="L2270" s="37"/>
    </row>
    <row r="2271" spans="2:12" x14ac:dyDescent="0.2">
      <c r="B2271" s="36"/>
      <c r="G2271" s="34"/>
      <c r="H2271" s="33"/>
      <c r="I2271" s="33"/>
      <c r="J2271" s="33"/>
      <c r="K2271" s="37"/>
      <c r="L2271" s="37"/>
    </row>
    <row r="2272" spans="2:12" x14ac:dyDescent="0.2">
      <c r="B2272" s="36"/>
      <c r="G2272" s="34"/>
      <c r="H2272" s="33"/>
      <c r="I2272" s="33"/>
      <c r="J2272" s="33"/>
      <c r="K2272" s="37"/>
      <c r="L2272" s="37"/>
    </row>
    <row r="2273" spans="2:12" x14ac:dyDescent="0.2">
      <c r="B2273" s="36"/>
      <c r="G2273" s="34"/>
      <c r="H2273" s="33"/>
      <c r="I2273" s="33"/>
      <c r="J2273" s="33"/>
      <c r="K2273" s="37"/>
      <c r="L2273" s="37"/>
    </row>
    <row r="2274" spans="2:12" x14ac:dyDescent="0.2">
      <c r="B2274" s="36"/>
      <c r="G2274" s="34"/>
      <c r="H2274" s="33"/>
      <c r="I2274" s="33"/>
      <c r="J2274" s="33"/>
      <c r="K2274" s="37"/>
      <c r="L2274" s="37"/>
    </row>
    <row r="2275" spans="2:12" x14ac:dyDescent="0.2">
      <c r="B2275" s="36"/>
      <c r="G2275" s="34"/>
      <c r="H2275" s="33"/>
      <c r="I2275" s="33"/>
      <c r="J2275" s="33"/>
      <c r="K2275" s="37"/>
      <c r="L2275" s="37"/>
    </row>
    <row r="2276" spans="2:12" x14ac:dyDescent="0.2">
      <c r="B2276" s="36"/>
      <c r="G2276" s="34"/>
      <c r="H2276" s="33"/>
      <c r="I2276" s="33"/>
      <c r="J2276" s="33"/>
      <c r="K2276" s="37"/>
      <c r="L2276" s="37"/>
    </row>
    <row r="2277" spans="2:12" x14ac:dyDescent="0.2">
      <c r="B2277" s="36"/>
      <c r="G2277" s="34"/>
      <c r="H2277" s="33"/>
      <c r="I2277" s="33"/>
      <c r="J2277" s="33"/>
      <c r="K2277" s="37"/>
      <c r="L2277" s="37"/>
    </row>
    <row r="2278" spans="2:12" x14ac:dyDescent="0.2">
      <c r="B2278" s="36"/>
      <c r="G2278" s="34"/>
      <c r="H2278" s="33"/>
      <c r="I2278" s="33"/>
      <c r="J2278" s="33"/>
      <c r="K2278" s="37"/>
      <c r="L2278" s="37"/>
    </row>
    <row r="2279" spans="2:12" x14ac:dyDescent="0.2">
      <c r="B2279" s="36"/>
      <c r="G2279" s="34"/>
      <c r="H2279" s="33"/>
      <c r="I2279" s="33"/>
      <c r="J2279" s="33"/>
      <c r="K2279" s="37"/>
      <c r="L2279" s="37"/>
    </row>
    <row r="2280" spans="2:12" x14ac:dyDescent="0.2">
      <c r="B2280" s="36"/>
      <c r="G2280" s="34"/>
      <c r="H2280" s="33"/>
      <c r="I2280" s="33"/>
      <c r="J2280" s="33"/>
      <c r="K2280" s="37"/>
      <c r="L2280" s="37"/>
    </row>
    <row r="2281" spans="2:12" x14ac:dyDescent="0.2">
      <c r="B2281" s="36"/>
      <c r="G2281" s="34"/>
      <c r="H2281" s="33"/>
      <c r="I2281" s="33"/>
      <c r="J2281" s="33"/>
      <c r="K2281" s="37"/>
      <c r="L2281" s="37"/>
    </row>
    <row r="2282" spans="2:12" x14ac:dyDescent="0.2">
      <c r="B2282" s="36"/>
      <c r="G2282" s="34"/>
      <c r="H2282" s="33"/>
      <c r="I2282" s="33"/>
      <c r="J2282" s="33"/>
      <c r="K2282" s="37"/>
      <c r="L2282" s="37"/>
    </row>
    <row r="2283" spans="2:12" x14ac:dyDescent="0.2">
      <c r="B2283" s="36"/>
      <c r="G2283" s="34"/>
      <c r="H2283" s="33"/>
      <c r="I2283" s="33"/>
      <c r="J2283" s="33"/>
      <c r="K2283" s="37"/>
      <c r="L2283" s="37"/>
    </row>
    <row r="2284" spans="2:12" x14ac:dyDescent="0.2">
      <c r="B2284" s="36"/>
      <c r="G2284" s="34"/>
      <c r="H2284" s="33"/>
      <c r="I2284" s="33"/>
      <c r="J2284" s="33"/>
      <c r="K2284" s="37"/>
      <c r="L2284" s="37"/>
    </row>
    <row r="2285" spans="2:12" x14ac:dyDescent="0.2">
      <c r="B2285" s="36"/>
      <c r="G2285" s="34"/>
      <c r="H2285" s="33"/>
      <c r="I2285" s="33"/>
      <c r="J2285" s="33"/>
      <c r="K2285" s="37"/>
      <c r="L2285" s="37"/>
    </row>
    <row r="2286" spans="2:12" x14ac:dyDescent="0.2">
      <c r="B2286" s="36"/>
      <c r="G2286" s="34"/>
      <c r="H2286" s="33"/>
      <c r="I2286" s="33"/>
      <c r="J2286" s="33"/>
      <c r="K2286" s="37"/>
      <c r="L2286" s="37"/>
    </row>
    <row r="2287" spans="2:12" x14ac:dyDescent="0.2">
      <c r="B2287" s="36"/>
      <c r="G2287" s="34"/>
      <c r="H2287" s="33"/>
      <c r="I2287" s="33"/>
      <c r="J2287" s="33"/>
      <c r="K2287" s="37"/>
      <c r="L2287" s="37"/>
    </row>
    <row r="2288" spans="2:12" x14ac:dyDescent="0.2">
      <c r="B2288" s="36"/>
      <c r="G2288" s="34"/>
      <c r="H2288" s="33"/>
      <c r="I2288" s="33"/>
      <c r="J2288" s="33"/>
      <c r="K2288" s="37"/>
      <c r="L2288" s="37"/>
    </row>
    <row r="2289" spans="2:12" x14ac:dyDescent="0.2">
      <c r="B2289" s="36"/>
      <c r="G2289" s="34"/>
      <c r="H2289" s="33"/>
      <c r="I2289" s="33"/>
      <c r="J2289" s="33"/>
      <c r="K2289" s="37"/>
      <c r="L2289" s="37"/>
    </row>
    <row r="2290" spans="2:12" x14ac:dyDescent="0.2">
      <c r="B2290" s="36"/>
      <c r="G2290" s="34"/>
      <c r="H2290" s="33"/>
      <c r="I2290" s="33"/>
      <c r="J2290" s="33"/>
      <c r="K2290" s="37"/>
      <c r="L2290" s="37"/>
    </row>
    <row r="2291" spans="2:12" x14ac:dyDescent="0.2">
      <c r="B2291" s="36"/>
      <c r="G2291" s="34"/>
      <c r="H2291" s="33"/>
      <c r="I2291" s="33"/>
      <c r="J2291" s="33"/>
      <c r="K2291" s="37"/>
      <c r="L2291" s="37"/>
    </row>
    <row r="2292" spans="2:12" x14ac:dyDescent="0.2">
      <c r="B2292" s="36"/>
      <c r="G2292" s="34"/>
      <c r="H2292" s="33"/>
      <c r="I2292" s="33"/>
      <c r="J2292" s="33"/>
      <c r="K2292" s="37"/>
      <c r="L2292" s="37"/>
    </row>
    <row r="2293" spans="2:12" x14ac:dyDescent="0.2">
      <c r="B2293" s="36"/>
      <c r="G2293" s="34"/>
      <c r="H2293" s="33"/>
      <c r="I2293" s="33"/>
      <c r="J2293" s="33"/>
      <c r="K2293" s="37"/>
      <c r="L2293" s="37"/>
    </row>
    <row r="2294" spans="2:12" x14ac:dyDescent="0.2">
      <c r="B2294" s="36"/>
      <c r="G2294" s="34"/>
      <c r="H2294" s="33"/>
      <c r="I2294" s="33"/>
      <c r="J2294" s="33"/>
      <c r="K2294" s="37"/>
      <c r="L2294" s="37"/>
    </row>
    <row r="2295" spans="2:12" x14ac:dyDescent="0.2">
      <c r="B2295" s="36"/>
      <c r="G2295" s="34"/>
      <c r="H2295" s="33"/>
      <c r="I2295" s="33"/>
      <c r="J2295" s="33"/>
      <c r="K2295" s="37"/>
      <c r="L2295" s="37"/>
    </row>
    <row r="2296" spans="2:12" x14ac:dyDescent="0.2">
      <c r="B2296" s="36"/>
      <c r="G2296" s="34"/>
      <c r="H2296" s="33"/>
      <c r="I2296" s="33"/>
      <c r="J2296" s="33"/>
      <c r="K2296" s="37"/>
      <c r="L2296" s="37"/>
    </row>
    <row r="2297" spans="2:12" x14ac:dyDescent="0.2">
      <c r="B2297" s="36"/>
      <c r="G2297" s="34"/>
      <c r="H2297" s="33"/>
      <c r="I2297" s="33"/>
      <c r="J2297" s="33"/>
      <c r="K2297" s="37"/>
      <c r="L2297" s="37"/>
    </row>
    <row r="2298" spans="2:12" x14ac:dyDescent="0.2">
      <c r="B2298" s="36"/>
      <c r="G2298" s="34"/>
      <c r="H2298" s="33"/>
      <c r="I2298" s="33"/>
      <c r="J2298" s="33"/>
      <c r="K2298" s="37"/>
      <c r="L2298" s="37"/>
    </row>
    <row r="2299" spans="2:12" x14ac:dyDescent="0.2">
      <c r="B2299" s="36"/>
      <c r="G2299" s="34"/>
      <c r="H2299" s="33"/>
      <c r="I2299" s="33"/>
      <c r="J2299" s="33"/>
      <c r="K2299" s="37"/>
      <c r="L2299" s="37"/>
    </row>
    <row r="2300" spans="2:12" x14ac:dyDescent="0.2">
      <c r="B2300" s="36"/>
      <c r="G2300" s="34"/>
      <c r="H2300" s="33"/>
      <c r="I2300" s="33"/>
      <c r="J2300" s="33"/>
      <c r="K2300" s="37"/>
      <c r="L2300" s="37"/>
    </row>
    <row r="2301" spans="2:12" x14ac:dyDescent="0.2">
      <c r="B2301" s="36"/>
      <c r="G2301" s="34"/>
      <c r="H2301" s="33"/>
      <c r="I2301" s="33"/>
      <c r="J2301" s="33"/>
      <c r="K2301" s="37"/>
      <c r="L2301" s="37"/>
    </row>
    <row r="2302" spans="2:12" x14ac:dyDescent="0.2">
      <c r="B2302" s="36"/>
      <c r="G2302" s="34"/>
      <c r="H2302" s="33"/>
      <c r="I2302" s="33"/>
      <c r="J2302" s="33"/>
      <c r="K2302" s="37"/>
      <c r="L2302" s="37"/>
    </row>
    <row r="2303" spans="2:12" x14ac:dyDescent="0.2">
      <c r="B2303" s="36"/>
      <c r="G2303" s="34"/>
      <c r="H2303" s="33"/>
      <c r="I2303" s="33"/>
      <c r="J2303" s="33"/>
      <c r="K2303" s="37"/>
      <c r="L2303" s="37"/>
    </row>
    <row r="2304" spans="2:12" x14ac:dyDescent="0.2">
      <c r="B2304" s="36"/>
      <c r="G2304" s="34"/>
      <c r="H2304" s="33"/>
      <c r="I2304" s="33"/>
      <c r="J2304" s="33"/>
      <c r="K2304" s="37"/>
      <c r="L2304" s="37"/>
    </row>
    <row r="2305" spans="2:12" x14ac:dyDescent="0.2">
      <c r="B2305" s="36"/>
      <c r="G2305" s="34"/>
      <c r="H2305" s="33"/>
      <c r="I2305" s="33"/>
      <c r="J2305" s="33"/>
      <c r="K2305" s="37"/>
      <c r="L2305" s="37"/>
    </row>
    <row r="2306" spans="2:12" x14ac:dyDescent="0.2">
      <c r="B2306" s="36"/>
      <c r="G2306" s="34"/>
      <c r="H2306" s="33"/>
      <c r="I2306" s="33"/>
      <c r="J2306" s="33"/>
      <c r="K2306" s="37"/>
      <c r="L2306" s="37"/>
    </row>
    <row r="2307" spans="2:12" x14ac:dyDescent="0.2">
      <c r="B2307" s="36"/>
      <c r="G2307" s="34"/>
      <c r="H2307" s="33"/>
      <c r="I2307" s="33"/>
      <c r="J2307" s="33"/>
      <c r="K2307" s="37"/>
      <c r="L2307" s="37"/>
    </row>
    <row r="2308" spans="2:12" x14ac:dyDescent="0.2">
      <c r="B2308" s="36"/>
      <c r="G2308" s="34"/>
      <c r="H2308" s="33"/>
      <c r="I2308" s="33"/>
      <c r="J2308" s="33"/>
      <c r="K2308" s="37"/>
      <c r="L2308" s="37"/>
    </row>
    <row r="2309" spans="2:12" x14ac:dyDescent="0.2">
      <c r="B2309" s="36"/>
      <c r="G2309" s="34"/>
      <c r="H2309" s="33"/>
      <c r="I2309" s="33"/>
      <c r="J2309" s="33"/>
      <c r="K2309" s="37"/>
      <c r="L2309" s="37"/>
    </row>
    <row r="2310" spans="2:12" x14ac:dyDescent="0.2">
      <c r="B2310" s="36"/>
      <c r="G2310" s="34"/>
      <c r="H2310" s="33"/>
      <c r="I2310" s="33"/>
      <c r="J2310" s="33"/>
      <c r="K2310" s="37"/>
      <c r="L2310" s="37"/>
    </row>
    <row r="2311" spans="2:12" x14ac:dyDescent="0.2">
      <c r="B2311" s="36"/>
      <c r="G2311" s="34"/>
      <c r="H2311" s="33"/>
      <c r="I2311" s="33"/>
      <c r="J2311" s="33"/>
      <c r="K2311" s="37"/>
      <c r="L2311" s="37"/>
    </row>
    <row r="2312" spans="2:12" x14ac:dyDescent="0.2">
      <c r="B2312" s="36"/>
      <c r="G2312" s="34"/>
      <c r="H2312" s="33"/>
      <c r="I2312" s="33"/>
      <c r="J2312" s="33"/>
      <c r="K2312" s="37"/>
      <c r="L2312" s="37"/>
    </row>
    <row r="2313" spans="2:12" x14ac:dyDescent="0.2">
      <c r="B2313" s="36"/>
      <c r="G2313" s="34"/>
      <c r="H2313" s="33"/>
      <c r="I2313" s="33"/>
      <c r="J2313" s="33"/>
      <c r="K2313" s="37"/>
      <c r="L2313" s="37"/>
    </row>
    <row r="2314" spans="2:12" x14ac:dyDescent="0.2">
      <c r="B2314" s="36"/>
      <c r="G2314" s="34"/>
      <c r="H2314" s="33"/>
      <c r="I2314" s="33"/>
      <c r="J2314" s="33"/>
      <c r="K2314" s="37"/>
      <c r="L2314" s="37"/>
    </row>
    <row r="2315" spans="2:12" x14ac:dyDescent="0.2">
      <c r="B2315" s="36"/>
      <c r="G2315" s="34"/>
      <c r="H2315" s="33"/>
      <c r="I2315" s="33"/>
      <c r="J2315" s="33"/>
      <c r="K2315" s="37"/>
      <c r="L2315" s="37"/>
    </row>
    <row r="2316" spans="2:12" x14ac:dyDescent="0.2">
      <c r="B2316" s="36"/>
      <c r="G2316" s="34"/>
      <c r="H2316" s="33"/>
      <c r="I2316" s="33"/>
      <c r="J2316" s="33"/>
      <c r="K2316" s="37"/>
      <c r="L2316" s="37"/>
    </row>
    <row r="2317" spans="2:12" x14ac:dyDescent="0.2">
      <c r="B2317" s="36"/>
      <c r="G2317" s="34"/>
      <c r="H2317" s="33"/>
      <c r="I2317" s="33"/>
      <c r="J2317" s="33"/>
      <c r="K2317" s="37"/>
      <c r="L2317" s="37"/>
    </row>
    <row r="2318" spans="2:12" x14ac:dyDescent="0.2">
      <c r="B2318" s="36"/>
      <c r="G2318" s="34"/>
      <c r="H2318" s="33"/>
      <c r="I2318" s="33"/>
      <c r="J2318" s="33"/>
      <c r="K2318" s="37"/>
      <c r="L2318" s="37"/>
    </row>
    <row r="2319" spans="2:12" x14ac:dyDescent="0.2">
      <c r="B2319" s="36"/>
      <c r="G2319" s="34"/>
      <c r="H2319" s="33"/>
      <c r="I2319" s="33"/>
      <c r="J2319" s="33"/>
      <c r="K2319" s="37"/>
      <c r="L2319" s="37"/>
    </row>
    <row r="2320" spans="2:12" x14ac:dyDescent="0.2">
      <c r="B2320" s="36"/>
      <c r="G2320" s="34"/>
      <c r="H2320" s="33"/>
      <c r="I2320" s="33"/>
      <c r="J2320" s="33"/>
      <c r="K2320" s="37"/>
      <c r="L2320" s="37"/>
    </row>
    <row r="2321" spans="2:12" x14ac:dyDescent="0.2">
      <c r="B2321" s="36"/>
      <c r="G2321" s="34"/>
      <c r="H2321" s="33"/>
      <c r="I2321" s="33"/>
      <c r="J2321" s="33"/>
      <c r="K2321" s="37"/>
      <c r="L2321" s="37"/>
    </row>
    <row r="2322" spans="2:12" x14ac:dyDescent="0.2">
      <c r="B2322" s="36"/>
      <c r="G2322" s="34"/>
      <c r="H2322" s="33"/>
      <c r="I2322" s="33"/>
      <c r="J2322" s="33"/>
      <c r="K2322" s="37"/>
      <c r="L2322" s="37"/>
    </row>
    <row r="2323" spans="2:12" x14ac:dyDescent="0.2">
      <c r="B2323" s="36"/>
      <c r="G2323" s="34"/>
      <c r="H2323" s="33"/>
      <c r="I2323" s="33"/>
      <c r="J2323" s="33"/>
      <c r="K2323" s="37"/>
      <c r="L2323" s="37"/>
    </row>
    <row r="2324" spans="2:12" x14ac:dyDescent="0.2">
      <c r="B2324" s="36"/>
      <c r="G2324" s="34"/>
      <c r="H2324" s="33"/>
      <c r="I2324" s="33"/>
      <c r="J2324" s="33"/>
      <c r="K2324" s="37"/>
      <c r="L2324" s="37"/>
    </row>
    <row r="2325" spans="2:12" x14ac:dyDescent="0.2">
      <c r="B2325" s="36"/>
      <c r="G2325" s="34"/>
      <c r="H2325" s="33"/>
      <c r="I2325" s="33"/>
      <c r="J2325" s="33"/>
      <c r="K2325" s="37"/>
      <c r="L2325" s="37"/>
    </row>
    <row r="2326" spans="2:12" x14ac:dyDescent="0.2">
      <c r="B2326" s="36"/>
      <c r="G2326" s="34"/>
      <c r="H2326" s="33"/>
      <c r="I2326" s="33"/>
      <c r="J2326" s="33"/>
      <c r="K2326" s="37"/>
      <c r="L2326" s="37"/>
    </row>
    <row r="2327" spans="2:12" x14ac:dyDescent="0.2">
      <c r="B2327" s="36"/>
      <c r="G2327" s="34"/>
      <c r="H2327" s="33"/>
      <c r="I2327" s="33"/>
      <c r="J2327" s="33"/>
      <c r="K2327" s="37"/>
      <c r="L2327" s="37"/>
    </row>
    <row r="2328" spans="2:12" x14ac:dyDescent="0.2">
      <c r="B2328" s="36"/>
      <c r="G2328" s="34"/>
      <c r="H2328" s="33"/>
      <c r="I2328" s="33"/>
      <c r="J2328" s="33"/>
      <c r="K2328" s="37"/>
      <c r="L2328" s="37"/>
    </row>
    <row r="2329" spans="2:12" x14ac:dyDescent="0.2">
      <c r="B2329" s="36"/>
      <c r="G2329" s="34"/>
      <c r="H2329" s="33"/>
      <c r="I2329" s="33"/>
      <c r="J2329" s="33"/>
      <c r="K2329" s="37"/>
      <c r="L2329" s="37"/>
    </row>
    <row r="2330" spans="2:12" x14ac:dyDescent="0.2">
      <c r="B2330" s="36"/>
      <c r="G2330" s="34"/>
      <c r="H2330" s="33"/>
      <c r="I2330" s="33"/>
      <c r="J2330" s="33"/>
      <c r="K2330" s="37"/>
      <c r="L2330" s="37"/>
    </row>
    <row r="2331" spans="2:12" x14ac:dyDescent="0.2">
      <c r="B2331" s="36"/>
      <c r="G2331" s="34"/>
      <c r="H2331" s="33"/>
      <c r="I2331" s="33"/>
      <c r="J2331" s="33"/>
      <c r="K2331" s="37"/>
      <c r="L2331" s="37"/>
    </row>
    <row r="2332" spans="2:12" x14ac:dyDescent="0.2">
      <c r="B2332" s="36"/>
      <c r="G2332" s="34"/>
      <c r="H2332" s="33"/>
      <c r="I2332" s="33"/>
      <c r="J2332" s="33"/>
      <c r="K2332" s="37"/>
      <c r="L2332" s="37"/>
    </row>
    <row r="2333" spans="2:12" x14ac:dyDescent="0.2">
      <c r="B2333" s="36"/>
      <c r="G2333" s="34"/>
      <c r="H2333" s="33"/>
      <c r="I2333" s="33"/>
      <c r="J2333" s="33"/>
      <c r="K2333" s="37"/>
      <c r="L2333" s="37"/>
    </row>
    <row r="2334" spans="2:12" x14ac:dyDescent="0.2">
      <c r="B2334" s="36"/>
      <c r="G2334" s="34"/>
      <c r="H2334" s="33"/>
      <c r="I2334" s="33"/>
      <c r="J2334" s="33"/>
      <c r="K2334" s="37"/>
      <c r="L2334" s="37"/>
    </row>
    <row r="2335" spans="2:12" x14ac:dyDescent="0.2">
      <c r="B2335" s="36"/>
      <c r="G2335" s="34"/>
      <c r="H2335" s="33"/>
      <c r="I2335" s="33"/>
      <c r="J2335" s="33"/>
      <c r="K2335" s="37"/>
      <c r="L2335" s="37"/>
    </row>
    <row r="2336" spans="2:12" x14ac:dyDescent="0.2">
      <c r="B2336" s="36"/>
      <c r="G2336" s="34"/>
      <c r="H2336" s="33"/>
      <c r="I2336" s="33"/>
      <c r="J2336" s="33"/>
      <c r="K2336" s="37"/>
      <c r="L2336" s="37"/>
    </row>
    <row r="2337" spans="2:12" x14ac:dyDescent="0.2">
      <c r="B2337" s="36"/>
      <c r="G2337" s="34"/>
      <c r="H2337" s="33"/>
      <c r="I2337" s="33"/>
      <c r="J2337" s="33"/>
      <c r="K2337" s="37"/>
      <c r="L2337" s="37"/>
    </row>
    <row r="2338" spans="2:12" x14ac:dyDescent="0.2">
      <c r="B2338" s="36"/>
      <c r="G2338" s="34"/>
      <c r="H2338" s="33"/>
      <c r="I2338" s="33"/>
      <c r="J2338" s="33"/>
      <c r="K2338" s="37"/>
      <c r="L2338" s="37"/>
    </row>
    <row r="2339" spans="2:12" x14ac:dyDescent="0.2">
      <c r="B2339" s="36"/>
      <c r="G2339" s="34"/>
      <c r="H2339" s="33"/>
      <c r="I2339" s="33"/>
      <c r="J2339" s="33"/>
      <c r="K2339" s="37"/>
      <c r="L2339" s="37"/>
    </row>
    <row r="2340" spans="2:12" x14ac:dyDescent="0.2">
      <c r="B2340" s="36"/>
      <c r="G2340" s="34"/>
      <c r="H2340" s="33"/>
      <c r="I2340" s="33"/>
      <c r="J2340" s="33"/>
      <c r="K2340" s="37"/>
      <c r="L2340" s="37"/>
    </row>
    <row r="2341" spans="2:12" x14ac:dyDescent="0.2">
      <c r="B2341" s="36"/>
      <c r="G2341" s="34"/>
      <c r="H2341" s="33"/>
      <c r="I2341" s="33"/>
      <c r="J2341" s="33"/>
      <c r="K2341" s="37"/>
      <c r="L2341" s="37"/>
    </row>
    <row r="2342" spans="2:12" x14ac:dyDescent="0.2">
      <c r="B2342" s="36"/>
      <c r="G2342" s="34"/>
      <c r="H2342" s="33"/>
      <c r="I2342" s="33"/>
      <c r="J2342" s="33"/>
      <c r="K2342" s="37"/>
      <c r="L2342" s="37"/>
    </row>
    <row r="2343" spans="2:12" x14ac:dyDescent="0.2">
      <c r="B2343" s="36"/>
      <c r="G2343" s="34"/>
      <c r="H2343" s="33"/>
      <c r="I2343" s="33"/>
      <c r="J2343" s="33"/>
      <c r="K2343" s="37"/>
      <c r="L2343" s="37"/>
    </row>
    <row r="2344" spans="2:12" x14ac:dyDescent="0.2">
      <c r="B2344" s="36"/>
      <c r="G2344" s="34"/>
      <c r="H2344" s="33"/>
      <c r="I2344" s="33"/>
      <c r="J2344" s="33"/>
      <c r="K2344" s="37"/>
      <c r="L2344" s="37"/>
    </row>
    <row r="2345" spans="2:12" x14ac:dyDescent="0.2">
      <c r="B2345" s="36"/>
      <c r="G2345" s="34"/>
      <c r="H2345" s="33"/>
      <c r="I2345" s="33"/>
      <c r="J2345" s="33"/>
      <c r="K2345" s="37"/>
      <c r="L2345" s="37"/>
    </row>
    <row r="2346" spans="2:12" x14ac:dyDescent="0.2">
      <c r="B2346" s="36"/>
      <c r="G2346" s="34"/>
      <c r="H2346" s="33"/>
      <c r="I2346" s="33"/>
      <c r="J2346" s="33"/>
      <c r="K2346" s="37"/>
      <c r="L2346" s="37"/>
    </row>
    <row r="2347" spans="2:12" x14ac:dyDescent="0.2">
      <c r="B2347" s="36"/>
      <c r="G2347" s="34"/>
      <c r="H2347" s="33"/>
      <c r="I2347" s="33"/>
      <c r="J2347" s="33"/>
      <c r="K2347" s="37"/>
      <c r="L2347" s="37"/>
    </row>
    <row r="2348" spans="2:12" x14ac:dyDescent="0.2">
      <c r="B2348" s="36"/>
      <c r="G2348" s="34"/>
      <c r="H2348" s="33"/>
      <c r="I2348" s="33"/>
      <c r="J2348" s="33"/>
      <c r="K2348" s="37"/>
      <c r="L2348" s="37"/>
    </row>
    <row r="2349" spans="2:12" x14ac:dyDescent="0.2">
      <c r="B2349" s="36"/>
      <c r="G2349" s="34"/>
      <c r="H2349" s="33"/>
      <c r="I2349" s="33"/>
      <c r="J2349" s="33"/>
      <c r="K2349" s="37"/>
      <c r="L2349" s="37"/>
    </row>
    <row r="2350" spans="2:12" x14ac:dyDescent="0.2">
      <c r="B2350" s="36"/>
      <c r="G2350" s="34"/>
      <c r="H2350" s="33"/>
      <c r="I2350" s="33"/>
      <c r="J2350" s="33"/>
      <c r="K2350" s="37"/>
      <c r="L2350" s="37"/>
    </row>
    <row r="2351" spans="2:12" x14ac:dyDescent="0.2">
      <c r="B2351" s="36"/>
      <c r="G2351" s="34"/>
      <c r="H2351" s="33"/>
      <c r="I2351" s="33"/>
      <c r="J2351" s="33"/>
      <c r="K2351" s="37"/>
      <c r="L2351" s="37"/>
    </row>
    <row r="2352" spans="2:12" x14ac:dyDescent="0.2">
      <c r="B2352" s="36"/>
      <c r="G2352" s="34"/>
      <c r="H2352" s="33"/>
      <c r="I2352" s="33"/>
      <c r="J2352" s="33"/>
      <c r="K2352" s="37"/>
      <c r="L2352" s="37"/>
    </row>
    <row r="2353" spans="2:12" x14ac:dyDescent="0.2">
      <c r="B2353" s="36"/>
      <c r="G2353" s="34"/>
      <c r="H2353" s="33"/>
      <c r="I2353" s="33"/>
      <c r="J2353" s="33"/>
      <c r="K2353" s="37"/>
      <c r="L2353" s="37"/>
    </row>
    <row r="2354" spans="2:12" x14ac:dyDescent="0.2">
      <c r="B2354" s="36"/>
      <c r="G2354" s="34"/>
      <c r="H2354" s="33"/>
      <c r="I2354" s="33"/>
      <c r="J2354" s="33"/>
      <c r="K2354" s="37"/>
      <c r="L2354" s="37"/>
    </row>
    <row r="2355" spans="2:12" x14ac:dyDescent="0.2">
      <c r="B2355" s="36"/>
      <c r="G2355" s="34"/>
      <c r="H2355" s="33"/>
      <c r="I2355" s="33"/>
      <c r="J2355" s="33"/>
      <c r="K2355" s="37"/>
      <c r="L2355" s="37"/>
    </row>
    <row r="2356" spans="2:12" x14ac:dyDescent="0.2">
      <c r="B2356" s="36"/>
      <c r="G2356" s="34"/>
      <c r="H2356" s="33"/>
      <c r="I2356" s="33"/>
      <c r="J2356" s="33"/>
      <c r="K2356" s="37"/>
      <c r="L2356" s="37"/>
    </row>
    <row r="2357" spans="2:12" x14ac:dyDescent="0.2">
      <c r="B2357" s="36"/>
      <c r="G2357" s="34"/>
      <c r="H2357" s="33"/>
      <c r="I2357" s="33"/>
      <c r="J2357" s="33"/>
      <c r="K2357" s="37"/>
      <c r="L2357" s="37"/>
    </row>
    <row r="2358" spans="2:12" x14ac:dyDescent="0.2">
      <c r="B2358" s="36"/>
      <c r="G2358" s="34"/>
      <c r="H2358" s="33"/>
      <c r="I2358" s="33"/>
      <c r="J2358" s="33"/>
      <c r="K2358" s="37"/>
      <c r="L2358" s="37"/>
    </row>
    <row r="2359" spans="2:12" x14ac:dyDescent="0.2">
      <c r="B2359" s="36"/>
      <c r="G2359" s="34"/>
      <c r="H2359" s="33"/>
      <c r="I2359" s="33"/>
      <c r="J2359" s="33"/>
      <c r="K2359" s="37"/>
      <c r="L2359" s="37"/>
    </row>
    <row r="2360" spans="2:12" x14ac:dyDescent="0.2">
      <c r="B2360" s="36"/>
      <c r="G2360" s="34"/>
      <c r="H2360" s="33"/>
      <c r="I2360" s="33"/>
      <c r="J2360" s="33"/>
      <c r="K2360" s="37"/>
      <c r="L2360" s="37"/>
    </row>
    <row r="2361" spans="2:12" x14ac:dyDescent="0.2">
      <c r="B2361" s="36"/>
      <c r="G2361" s="34"/>
      <c r="H2361" s="33"/>
      <c r="I2361" s="33"/>
      <c r="J2361" s="33"/>
      <c r="K2361" s="37"/>
      <c r="L2361" s="37"/>
    </row>
    <row r="2362" spans="2:12" x14ac:dyDescent="0.2">
      <c r="B2362" s="36"/>
      <c r="G2362" s="34"/>
      <c r="H2362" s="33"/>
      <c r="I2362" s="33"/>
      <c r="J2362" s="33"/>
      <c r="K2362" s="37"/>
      <c r="L2362" s="37"/>
    </row>
    <row r="2363" spans="2:12" x14ac:dyDescent="0.2">
      <c r="B2363" s="36"/>
      <c r="G2363" s="34"/>
      <c r="H2363" s="33"/>
      <c r="I2363" s="33"/>
      <c r="J2363" s="33"/>
      <c r="K2363" s="37"/>
      <c r="L2363" s="37"/>
    </row>
    <row r="2364" spans="2:12" x14ac:dyDescent="0.2">
      <c r="B2364" s="36"/>
      <c r="G2364" s="34"/>
      <c r="H2364" s="33"/>
      <c r="I2364" s="33"/>
      <c r="J2364" s="33"/>
      <c r="K2364" s="37"/>
      <c r="L2364" s="37"/>
    </row>
    <row r="2365" spans="2:12" x14ac:dyDescent="0.2">
      <c r="B2365" s="36"/>
      <c r="G2365" s="34"/>
      <c r="H2365" s="33"/>
      <c r="I2365" s="33"/>
      <c r="J2365" s="33"/>
      <c r="K2365" s="37"/>
      <c r="L2365" s="37"/>
    </row>
    <row r="2366" spans="2:12" x14ac:dyDescent="0.2">
      <c r="B2366" s="36"/>
      <c r="G2366" s="34"/>
      <c r="H2366" s="33"/>
      <c r="I2366" s="33"/>
      <c r="J2366" s="33"/>
      <c r="K2366" s="37"/>
      <c r="L2366" s="37"/>
    </row>
    <row r="2367" spans="2:12" x14ac:dyDescent="0.2">
      <c r="B2367" s="36"/>
      <c r="G2367" s="34"/>
      <c r="H2367" s="33"/>
      <c r="I2367" s="33"/>
      <c r="J2367" s="33"/>
      <c r="K2367" s="37"/>
      <c r="L2367" s="37"/>
    </row>
    <row r="2368" spans="2:12" x14ac:dyDescent="0.2">
      <c r="B2368" s="36"/>
      <c r="G2368" s="34"/>
      <c r="H2368" s="33"/>
      <c r="I2368" s="33"/>
      <c r="J2368" s="33"/>
      <c r="K2368" s="37"/>
      <c r="L2368" s="37"/>
    </row>
    <row r="2369" spans="2:12" x14ac:dyDescent="0.2">
      <c r="B2369" s="36"/>
      <c r="G2369" s="34"/>
      <c r="H2369" s="33"/>
      <c r="I2369" s="33"/>
      <c r="J2369" s="33"/>
      <c r="K2369" s="37"/>
      <c r="L2369" s="37"/>
    </row>
    <row r="2370" spans="2:12" x14ac:dyDescent="0.2">
      <c r="B2370" s="36"/>
      <c r="G2370" s="34"/>
      <c r="H2370" s="33"/>
      <c r="I2370" s="33"/>
      <c r="J2370" s="33"/>
      <c r="K2370" s="37"/>
      <c r="L2370" s="37"/>
    </row>
    <row r="2371" spans="2:12" x14ac:dyDescent="0.2">
      <c r="B2371" s="36"/>
      <c r="G2371" s="34"/>
      <c r="H2371" s="33"/>
      <c r="I2371" s="33"/>
      <c r="J2371" s="33"/>
      <c r="K2371" s="37"/>
      <c r="L2371" s="37"/>
    </row>
    <row r="2372" spans="2:12" x14ac:dyDescent="0.2">
      <c r="B2372" s="36"/>
      <c r="G2372" s="34"/>
      <c r="H2372" s="33"/>
      <c r="I2372" s="33"/>
      <c r="J2372" s="33"/>
      <c r="K2372" s="37"/>
      <c r="L2372" s="37"/>
    </row>
    <row r="2373" spans="2:12" x14ac:dyDescent="0.2">
      <c r="B2373" s="36"/>
      <c r="G2373" s="34"/>
      <c r="H2373" s="33"/>
      <c r="I2373" s="33"/>
      <c r="J2373" s="33"/>
      <c r="K2373" s="37"/>
      <c r="L2373" s="37"/>
    </row>
    <row r="2374" spans="2:12" x14ac:dyDescent="0.2">
      <c r="B2374" s="36"/>
      <c r="G2374" s="34"/>
      <c r="H2374" s="33"/>
      <c r="I2374" s="33"/>
      <c r="J2374" s="33"/>
      <c r="K2374" s="37"/>
      <c r="L2374" s="37"/>
    </row>
    <row r="2375" spans="2:12" x14ac:dyDescent="0.2">
      <c r="B2375" s="36"/>
      <c r="G2375" s="34"/>
      <c r="H2375" s="33"/>
      <c r="I2375" s="33"/>
      <c r="J2375" s="33"/>
      <c r="K2375" s="37"/>
      <c r="L2375" s="37"/>
    </row>
    <row r="2376" spans="2:12" x14ac:dyDescent="0.2">
      <c r="B2376" s="36"/>
      <c r="G2376" s="34"/>
      <c r="H2376" s="33"/>
      <c r="I2376" s="33"/>
      <c r="J2376" s="33"/>
      <c r="K2376" s="37"/>
      <c r="L2376" s="37"/>
    </row>
    <row r="2377" spans="2:12" x14ac:dyDescent="0.2">
      <c r="B2377" s="36"/>
      <c r="G2377" s="34"/>
      <c r="H2377" s="33"/>
      <c r="I2377" s="33"/>
      <c r="J2377" s="33"/>
      <c r="K2377" s="37"/>
      <c r="L2377" s="37"/>
    </row>
    <row r="2378" spans="2:12" x14ac:dyDescent="0.2">
      <c r="B2378" s="36"/>
      <c r="G2378" s="34"/>
      <c r="H2378" s="33"/>
      <c r="I2378" s="33"/>
      <c r="J2378" s="33"/>
      <c r="K2378" s="37"/>
      <c r="L2378" s="37"/>
    </row>
    <row r="2379" spans="2:12" x14ac:dyDescent="0.2">
      <c r="B2379" s="36"/>
      <c r="G2379" s="34"/>
      <c r="H2379" s="33"/>
      <c r="I2379" s="33"/>
      <c r="J2379" s="33"/>
      <c r="K2379" s="37"/>
      <c r="L2379" s="37"/>
    </row>
    <row r="2380" spans="2:12" x14ac:dyDescent="0.2">
      <c r="B2380" s="36"/>
      <c r="G2380" s="34"/>
      <c r="H2380" s="33"/>
      <c r="I2380" s="33"/>
      <c r="J2380" s="33"/>
      <c r="K2380" s="37"/>
      <c r="L2380" s="37"/>
    </row>
    <row r="2381" spans="2:12" x14ac:dyDescent="0.2">
      <c r="B2381" s="36"/>
      <c r="G2381" s="34"/>
      <c r="H2381" s="33"/>
      <c r="I2381" s="33"/>
      <c r="J2381" s="33"/>
      <c r="K2381" s="37"/>
      <c r="L2381" s="37"/>
    </row>
    <row r="2382" spans="2:12" x14ac:dyDescent="0.2">
      <c r="B2382" s="36"/>
      <c r="G2382" s="34"/>
      <c r="H2382" s="33"/>
      <c r="I2382" s="33"/>
      <c r="J2382" s="33"/>
      <c r="K2382" s="37"/>
      <c r="L2382" s="37"/>
    </row>
    <row r="2383" spans="2:12" x14ac:dyDescent="0.2">
      <c r="B2383" s="36"/>
      <c r="G2383" s="34"/>
      <c r="H2383" s="33"/>
      <c r="I2383" s="33"/>
      <c r="J2383" s="33"/>
      <c r="K2383" s="37"/>
      <c r="L2383" s="37"/>
    </row>
    <row r="2384" spans="2:12" x14ac:dyDescent="0.2">
      <c r="B2384" s="36"/>
      <c r="G2384" s="34"/>
      <c r="H2384" s="33"/>
      <c r="I2384" s="33"/>
      <c r="J2384" s="33"/>
      <c r="K2384" s="37"/>
      <c r="L2384" s="37"/>
    </row>
    <row r="2385" spans="2:12" x14ac:dyDescent="0.2">
      <c r="B2385" s="36"/>
      <c r="G2385" s="34"/>
      <c r="H2385" s="33"/>
      <c r="I2385" s="33"/>
      <c r="J2385" s="33"/>
      <c r="K2385" s="37"/>
      <c r="L2385" s="37"/>
    </row>
    <row r="2386" spans="2:12" x14ac:dyDescent="0.2">
      <c r="B2386" s="36"/>
      <c r="G2386" s="34"/>
      <c r="H2386" s="33"/>
      <c r="I2386" s="33"/>
      <c r="J2386" s="33"/>
      <c r="K2386" s="37"/>
      <c r="L2386" s="37"/>
    </row>
    <row r="2387" spans="2:12" x14ac:dyDescent="0.2">
      <c r="B2387" s="36"/>
      <c r="G2387" s="34"/>
      <c r="H2387" s="33"/>
      <c r="I2387" s="33"/>
      <c r="J2387" s="33"/>
      <c r="K2387" s="37"/>
      <c r="L2387" s="37"/>
    </row>
    <row r="2388" spans="2:12" x14ac:dyDescent="0.2">
      <c r="B2388" s="36"/>
      <c r="G2388" s="34"/>
      <c r="H2388" s="33"/>
      <c r="I2388" s="33"/>
      <c r="J2388" s="33"/>
      <c r="K2388" s="37"/>
      <c r="L2388" s="37"/>
    </row>
    <row r="2389" spans="2:12" x14ac:dyDescent="0.2">
      <c r="B2389" s="36"/>
      <c r="G2389" s="34"/>
      <c r="H2389" s="33"/>
      <c r="I2389" s="33"/>
      <c r="J2389" s="33"/>
      <c r="K2389" s="37"/>
      <c r="L2389" s="37"/>
    </row>
    <row r="2390" spans="2:12" x14ac:dyDescent="0.2">
      <c r="B2390" s="36"/>
      <c r="G2390" s="34"/>
      <c r="H2390" s="33"/>
      <c r="I2390" s="33"/>
      <c r="J2390" s="33"/>
      <c r="K2390" s="37"/>
      <c r="L2390" s="37"/>
    </row>
    <row r="2391" spans="2:12" x14ac:dyDescent="0.2">
      <c r="B2391" s="36"/>
      <c r="G2391" s="34"/>
      <c r="H2391" s="33"/>
      <c r="I2391" s="33"/>
      <c r="J2391" s="33"/>
      <c r="K2391" s="37"/>
      <c r="L2391" s="37"/>
    </row>
    <row r="2392" spans="2:12" x14ac:dyDescent="0.2">
      <c r="B2392" s="36"/>
      <c r="G2392" s="34"/>
      <c r="H2392" s="33"/>
      <c r="I2392" s="33"/>
      <c r="J2392" s="33"/>
      <c r="K2392" s="37"/>
      <c r="L2392" s="37"/>
    </row>
    <row r="2393" spans="2:12" x14ac:dyDescent="0.2">
      <c r="B2393" s="36"/>
      <c r="G2393" s="34"/>
      <c r="H2393" s="33"/>
      <c r="I2393" s="33"/>
      <c r="J2393" s="33"/>
      <c r="K2393" s="37"/>
      <c r="L2393" s="37"/>
    </row>
    <row r="2394" spans="2:12" x14ac:dyDescent="0.2">
      <c r="B2394" s="36"/>
      <c r="G2394" s="34"/>
      <c r="H2394" s="33"/>
      <c r="I2394" s="33"/>
      <c r="J2394" s="33"/>
      <c r="K2394" s="37"/>
      <c r="L2394" s="37"/>
    </row>
    <row r="2395" spans="2:12" x14ac:dyDescent="0.2">
      <c r="B2395" s="36"/>
      <c r="G2395" s="34"/>
      <c r="H2395" s="33"/>
      <c r="I2395" s="33"/>
      <c r="J2395" s="33"/>
      <c r="K2395" s="37"/>
      <c r="L2395" s="37"/>
    </row>
    <row r="2396" spans="2:12" x14ac:dyDescent="0.2">
      <c r="B2396" s="36"/>
      <c r="G2396" s="34"/>
      <c r="H2396" s="33"/>
      <c r="I2396" s="33"/>
      <c r="J2396" s="33"/>
      <c r="K2396" s="37"/>
      <c r="L2396" s="37"/>
    </row>
    <row r="2397" spans="2:12" x14ac:dyDescent="0.2">
      <c r="B2397" s="36"/>
      <c r="G2397" s="34"/>
      <c r="H2397" s="33"/>
      <c r="I2397" s="33"/>
      <c r="J2397" s="33"/>
      <c r="K2397" s="37"/>
      <c r="L2397" s="37"/>
    </row>
    <row r="2398" spans="2:12" x14ac:dyDescent="0.2">
      <c r="B2398" s="36"/>
      <c r="G2398" s="34"/>
      <c r="H2398" s="33"/>
      <c r="I2398" s="33"/>
      <c r="J2398" s="33"/>
      <c r="K2398" s="37"/>
      <c r="L2398" s="37"/>
    </row>
    <row r="2399" spans="2:12" x14ac:dyDescent="0.2">
      <c r="B2399" s="36"/>
      <c r="G2399" s="34"/>
      <c r="H2399" s="33"/>
      <c r="I2399" s="33"/>
      <c r="J2399" s="33"/>
      <c r="K2399" s="37"/>
      <c r="L2399" s="37"/>
    </row>
    <row r="2400" spans="2:12" x14ac:dyDescent="0.2">
      <c r="B2400" s="36"/>
      <c r="G2400" s="34"/>
      <c r="H2400" s="33"/>
      <c r="I2400" s="33"/>
      <c r="J2400" s="33"/>
      <c r="K2400" s="37"/>
      <c r="L2400" s="37"/>
    </row>
    <row r="2401" spans="2:12" x14ac:dyDescent="0.2">
      <c r="B2401" s="36"/>
      <c r="G2401" s="34"/>
      <c r="H2401" s="33"/>
      <c r="I2401" s="33"/>
      <c r="J2401" s="33"/>
      <c r="K2401" s="37"/>
      <c r="L2401" s="37"/>
    </row>
    <row r="2402" spans="2:12" x14ac:dyDescent="0.2">
      <c r="B2402" s="36"/>
      <c r="G2402" s="34"/>
      <c r="H2402" s="33"/>
      <c r="I2402" s="33"/>
      <c r="J2402" s="33"/>
      <c r="K2402" s="37"/>
      <c r="L2402" s="37"/>
    </row>
    <row r="2403" spans="2:12" x14ac:dyDescent="0.2">
      <c r="B2403" s="36"/>
      <c r="G2403" s="34"/>
      <c r="H2403" s="33"/>
      <c r="I2403" s="33"/>
      <c r="J2403" s="33"/>
      <c r="K2403" s="37"/>
      <c r="L2403" s="37"/>
    </row>
    <row r="2404" spans="2:12" x14ac:dyDescent="0.2">
      <c r="B2404" s="36"/>
      <c r="G2404" s="34"/>
      <c r="H2404" s="33"/>
      <c r="I2404" s="33"/>
      <c r="J2404" s="33"/>
      <c r="K2404" s="37"/>
      <c r="L2404" s="37"/>
    </row>
    <row r="2405" spans="2:12" x14ac:dyDescent="0.2">
      <c r="B2405" s="36"/>
      <c r="G2405" s="34"/>
      <c r="H2405" s="33"/>
      <c r="I2405" s="33"/>
      <c r="J2405" s="33"/>
      <c r="K2405" s="37"/>
      <c r="L2405" s="37"/>
    </row>
    <row r="2406" spans="2:12" x14ac:dyDescent="0.2">
      <c r="B2406" s="36"/>
      <c r="G2406" s="34"/>
      <c r="H2406" s="33"/>
      <c r="I2406" s="33"/>
      <c r="J2406" s="33"/>
      <c r="K2406" s="37"/>
      <c r="L2406" s="37"/>
    </row>
    <row r="2407" spans="2:12" x14ac:dyDescent="0.2">
      <c r="B2407" s="36"/>
      <c r="G2407" s="34"/>
      <c r="H2407" s="33"/>
      <c r="I2407" s="33"/>
      <c r="J2407" s="33"/>
      <c r="K2407" s="37"/>
      <c r="L2407" s="37"/>
    </row>
    <row r="2408" spans="2:12" x14ac:dyDescent="0.2">
      <c r="B2408" s="36"/>
      <c r="G2408" s="34"/>
      <c r="H2408" s="33"/>
      <c r="I2408" s="33"/>
      <c r="J2408" s="33"/>
      <c r="K2408" s="37"/>
      <c r="L2408" s="37"/>
    </row>
    <row r="2409" spans="2:12" x14ac:dyDescent="0.2">
      <c r="B2409" s="36"/>
      <c r="G2409" s="34"/>
      <c r="H2409" s="33"/>
      <c r="I2409" s="33"/>
      <c r="J2409" s="33"/>
      <c r="K2409" s="37"/>
      <c r="L2409" s="37"/>
    </row>
    <row r="2410" spans="2:12" x14ac:dyDescent="0.2">
      <c r="B2410" s="36"/>
      <c r="G2410" s="34"/>
      <c r="H2410" s="33"/>
      <c r="I2410" s="33"/>
      <c r="J2410" s="33"/>
      <c r="K2410" s="37"/>
      <c r="L2410" s="37"/>
    </row>
    <row r="2411" spans="2:12" x14ac:dyDescent="0.2">
      <c r="B2411" s="36"/>
      <c r="G2411" s="34"/>
      <c r="H2411" s="33"/>
      <c r="I2411" s="33"/>
      <c r="J2411" s="33"/>
      <c r="K2411" s="37"/>
      <c r="L2411" s="37"/>
    </row>
    <row r="2412" spans="2:12" x14ac:dyDescent="0.2">
      <c r="B2412" s="36"/>
      <c r="G2412" s="34"/>
      <c r="H2412" s="33"/>
      <c r="I2412" s="33"/>
      <c r="J2412" s="33"/>
      <c r="K2412" s="37"/>
      <c r="L2412" s="37"/>
    </row>
    <row r="2413" spans="2:12" x14ac:dyDescent="0.2">
      <c r="B2413" s="36"/>
      <c r="G2413" s="34"/>
      <c r="H2413" s="33"/>
      <c r="I2413" s="33"/>
      <c r="J2413" s="33"/>
      <c r="K2413" s="37"/>
      <c r="L2413" s="37"/>
    </row>
    <row r="2414" spans="2:12" x14ac:dyDescent="0.2">
      <c r="B2414" s="36"/>
      <c r="G2414" s="34"/>
      <c r="H2414" s="33"/>
      <c r="I2414" s="33"/>
      <c r="J2414" s="33"/>
      <c r="K2414" s="37"/>
      <c r="L2414" s="37"/>
    </row>
    <row r="2415" spans="2:12" x14ac:dyDescent="0.2">
      <c r="B2415" s="36"/>
      <c r="G2415" s="34"/>
      <c r="H2415" s="33"/>
      <c r="I2415" s="33"/>
      <c r="J2415" s="33"/>
      <c r="K2415" s="37"/>
      <c r="L2415" s="37"/>
    </row>
    <row r="2416" spans="2:12" x14ac:dyDescent="0.2">
      <c r="B2416" s="36"/>
      <c r="G2416" s="34"/>
      <c r="H2416" s="33"/>
      <c r="I2416" s="33"/>
      <c r="J2416" s="33"/>
      <c r="K2416" s="37"/>
      <c r="L2416" s="37"/>
    </row>
    <row r="2417" spans="2:12" x14ac:dyDescent="0.2">
      <c r="B2417" s="36"/>
      <c r="G2417" s="34"/>
      <c r="H2417" s="33"/>
      <c r="I2417" s="33"/>
      <c r="J2417" s="33"/>
      <c r="K2417" s="37"/>
      <c r="L2417" s="37"/>
    </row>
    <row r="2418" spans="2:12" x14ac:dyDescent="0.2">
      <c r="B2418" s="36"/>
      <c r="G2418" s="34"/>
      <c r="H2418" s="33"/>
      <c r="I2418" s="33"/>
      <c r="J2418" s="33"/>
      <c r="K2418" s="37"/>
      <c r="L2418" s="37"/>
    </row>
    <row r="2419" spans="2:12" x14ac:dyDescent="0.2">
      <c r="B2419" s="36"/>
      <c r="G2419" s="34"/>
      <c r="H2419" s="33"/>
      <c r="I2419" s="33"/>
      <c r="J2419" s="33"/>
      <c r="K2419" s="37"/>
      <c r="L2419" s="37"/>
    </row>
    <row r="2420" spans="2:12" x14ac:dyDescent="0.2">
      <c r="B2420" s="36"/>
      <c r="G2420" s="34"/>
      <c r="H2420" s="33"/>
      <c r="I2420" s="33"/>
      <c r="J2420" s="33"/>
      <c r="K2420" s="37"/>
      <c r="L2420" s="37"/>
    </row>
    <row r="2421" spans="2:12" x14ac:dyDescent="0.2">
      <c r="B2421" s="36"/>
      <c r="G2421" s="34"/>
      <c r="H2421" s="33"/>
      <c r="I2421" s="33"/>
      <c r="J2421" s="33"/>
      <c r="K2421" s="37"/>
      <c r="L2421" s="37"/>
    </row>
    <row r="2422" spans="2:12" x14ac:dyDescent="0.2">
      <c r="B2422" s="36"/>
      <c r="G2422" s="34"/>
      <c r="H2422" s="33"/>
      <c r="I2422" s="33"/>
      <c r="J2422" s="33"/>
      <c r="K2422" s="37"/>
      <c r="L2422" s="37"/>
    </row>
    <row r="2423" spans="2:12" x14ac:dyDescent="0.2">
      <c r="B2423" s="36"/>
      <c r="G2423" s="34"/>
      <c r="H2423" s="33"/>
      <c r="I2423" s="33"/>
      <c r="J2423" s="33"/>
      <c r="K2423" s="37"/>
      <c r="L2423" s="37"/>
    </row>
    <row r="2424" spans="2:12" x14ac:dyDescent="0.2">
      <c r="B2424" s="36"/>
      <c r="G2424" s="34"/>
      <c r="H2424" s="33"/>
      <c r="I2424" s="33"/>
      <c r="J2424" s="33"/>
      <c r="K2424" s="37"/>
      <c r="L2424" s="37"/>
    </row>
    <row r="2425" spans="2:12" x14ac:dyDescent="0.2">
      <c r="B2425" s="36"/>
      <c r="G2425" s="34"/>
      <c r="H2425" s="33"/>
      <c r="I2425" s="33"/>
      <c r="J2425" s="33"/>
      <c r="K2425" s="37"/>
      <c r="L2425" s="37"/>
    </row>
    <row r="2426" spans="2:12" x14ac:dyDescent="0.2">
      <c r="B2426" s="36"/>
      <c r="G2426" s="34"/>
      <c r="H2426" s="33"/>
      <c r="I2426" s="33"/>
      <c r="J2426" s="33"/>
      <c r="K2426" s="37"/>
      <c r="L2426" s="37"/>
    </row>
    <row r="2427" spans="2:12" x14ac:dyDescent="0.2">
      <c r="B2427" s="36"/>
      <c r="G2427" s="34"/>
      <c r="H2427" s="33"/>
      <c r="I2427" s="33"/>
      <c r="J2427" s="33"/>
      <c r="K2427" s="37"/>
      <c r="L2427" s="37"/>
    </row>
    <row r="2428" spans="2:12" x14ac:dyDescent="0.2">
      <c r="B2428" s="36"/>
      <c r="G2428" s="34"/>
      <c r="H2428" s="33"/>
      <c r="I2428" s="33"/>
      <c r="J2428" s="33"/>
      <c r="K2428" s="37"/>
      <c r="L2428" s="37"/>
    </row>
    <row r="2429" spans="2:12" x14ac:dyDescent="0.2">
      <c r="B2429" s="36"/>
      <c r="G2429" s="34"/>
      <c r="H2429" s="33"/>
      <c r="I2429" s="33"/>
      <c r="J2429" s="33"/>
      <c r="K2429" s="37"/>
      <c r="L2429" s="37"/>
    </row>
    <row r="2430" spans="2:12" x14ac:dyDescent="0.2">
      <c r="B2430" s="36"/>
      <c r="G2430" s="34"/>
      <c r="H2430" s="33"/>
      <c r="I2430" s="33"/>
      <c r="J2430" s="33"/>
      <c r="K2430" s="37"/>
      <c r="L2430" s="37"/>
    </row>
    <row r="2431" spans="2:12" x14ac:dyDescent="0.2">
      <c r="B2431" s="36"/>
      <c r="G2431" s="34"/>
      <c r="H2431" s="33"/>
      <c r="I2431" s="33"/>
      <c r="J2431" s="33"/>
      <c r="K2431" s="37"/>
      <c r="L2431" s="37"/>
    </row>
    <row r="2432" spans="2:12" x14ac:dyDescent="0.2">
      <c r="B2432" s="36"/>
      <c r="G2432" s="34"/>
      <c r="H2432" s="33"/>
      <c r="I2432" s="33"/>
      <c r="J2432" s="33"/>
      <c r="K2432" s="37"/>
      <c r="L2432" s="37"/>
    </row>
    <row r="2433" spans="2:12" x14ac:dyDescent="0.2">
      <c r="B2433" s="36"/>
      <c r="G2433" s="34"/>
      <c r="H2433" s="33"/>
      <c r="I2433" s="33"/>
      <c r="J2433" s="33"/>
      <c r="K2433" s="37"/>
      <c r="L2433" s="37"/>
    </row>
    <row r="2434" spans="2:12" x14ac:dyDescent="0.2">
      <c r="B2434" s="36"/>
      <c r="G2434" s="34"/>
      <c r="H2434" s="33"/>
      <c r="I2434" s="33"/>
      <c r="J2434" s="33"/>
      <c r="K2434" s="37"/>
      <c r="L2434" s="37"/>
    </row>
    <row r="2435" spans="2:12" x14ac:dyDescent="0.2">
      <c r="B2435" s="36"/>
      <c r="G2435" s="34"/>
      <c r="H2435" s="33"/>
      <c r="I2435" s="33"/>
      <c r="J2435" s="33"/>
      <c r="K2435" s="37"/>
      <c r="L2435" s="37"/>
    </row>
    <row r="2436" spans="2:12" x14ac:dyDescent="0.2">
      <c r="B2436" s="36"/>
      <c r="G2436" s="34"/>
      <c r="H2436" s="33"/>
      <c r="I2436" s="33"/>
      <c r="J2436" s="33"/>
      <c r="K2436" s="37"/>
      <c r="L2436" s="37"/>
    </row>
    <row r="2437" spans="2:12" x14ac:dyDescent="0.2">
      <c r="B2437" s="36"/>
      <c r="G2437" s="34"/>
      <c r="H2437" s="33"/>
      <c r="I2437" s="33"/>
      <c r="J2437" s="33"/>
      <c r="K2437" s="37"/>
      <c r="L2437" s="37"/>
    </row>
    <row r="2438" spans="2:12" x14ac:dyDescent="0.2">
      <c r="B2438" s="36"/>
      <c r="G2438" s="34"/>
      <c r="H2438" s="33"/>
      <c r="I2438" s="33"/>
      <c r="J2438" s="33"/>
      <c r="K2438" s="37"/>
      <c r="L2438" s="37"/>
    </row>
    <row r="2439" spans="2:12" x14ac:dyDescent="0.2">
      <c r="B2439" s="36"/>
      <c r="G2439" s="34"/>
      <c r="H2439" s="33"/>
      <c r="I2439" s="33"/>
      <c r="J2439" s="33"/>
      <c r="K2439" s="37"/>
      <c r="L2439" s="37"/>
    </row>
    <row r="2440" spans="2:12" x14ac:dyDescent="0.2">
      <c r="B2440" s="36"/>
      <c r="G2440" s="34"/>
      <c r="H2440" s="33"/>
      <c r="I2440" s="33"/>
      <c r="J2440" s="33"/>
      <c r="K2440" s="37"/>
      <c r="L2440" s="37"/>
    </row>
    <row r="2441" spans="2:12" x14ac:dyDescent="0.2">
      <c r="B2441" s="36"/>
      <c r="G2441" s="34"/>
      <c r="H2441" s="33"/>
      <c r="I2441" s="33"/>
      <c r="J2441" s="33"/>
      <c r="K2441" s="37"/>
      <c r="L2441" s="37"/>
    </row>
    <row r="2442" spans="2:12" x14ac:dyDescent="0.2">
      <c r="B2442" s="36"/>
      <c r="G2442" s="34"/>
      <c r="H2442" s="33"/>
      <c r="I2442" s="33"/>
      <c r="J2442" s="33"/>
      <c r="K2442" s="37"/>
      <c r="L2442" s="37"/>
    </row>
    <row r="2443" spans="2:12" x14ac:dyDescent="0.2">
      <c r="B2443" s="36"/>
      <c r="G2443" s="34"/>
      <c r="H2443" s="33"/>
      <c r="I2443" s="33"/>
      <c r="J2443" s="33"/>
      <c r="K2443" s="37"/>
      <c r="L2443" s="37"/>
    </row>
    <row r="2444" spans="2:12" x14ac:dyDescent="0.2">
      <c r="B2444" s="36"/>
      <c r="G2444" s="34"/>
      <c r="H2444" s="33"/>
      <c r="I2444" s="33"/>
      <c r="J2444" s="33"/>
      <c r="K2444" s="37"/>
      <c r="L2444" s="37"/>
    </row>
    <row r="2445" spans="2:12" x14ac:dyDescent="0.2">
      <c r="B2445" s="36"/>
      <c r="G2445" s="34"/>
      <c r="H2445" s="33"/>
      <c r="I2445" s="33"/>
      <c r="J2445" s="33"/>
      <c r="K2445" s="37"/>
      <c r="L2445" s="37"/>
    </row>
    <row r="2446" spans="2:12" x14ac:dyDescent="0.2">
      <c r="B2446" s="36"/>
      <c r="G2446" s="34"/>
      <c r="H2446" s="33"/>
      <c r="I2446" s="33"/>
      <c r="J2446" s="33"/>
      <c r="K2446" s="37"/>
      <c r="L2446" s="37"/>
    </row>
    <row r="2447" spans="2:12" x14ac:dyDescent="0.2">
      <c r="B2447" s="36"/>
      <c r="G2447" s="34"/>
      <c r="H2447" s="33"/>
      <c r="I2447" s="33"/>
      <c r="J2447" s="33"/>
      <c r="K2447" s="37"/>
      <c r="L2447" s="37"/>
    </row>
    <row r="2448" spans="2:12" x14ac:dyDescent="0.2">
      <c r="B2448" s="36"/>
      <c r="G2448" s="34"/>
      <c r="H2448" s="33"/>
      <c r="I2448" s="33"/>
      <c r="J2448" s="33"/>
      <c r="K2448" s="37"/>
      <c r="L2448" s="37"/>
    </row>
    <row r="2449" spans="2:12" x14ac:dyDescent="0.2">
      <c r="B2449" s="36"/>
      <c r="G2449" s="34"/>
      <c r="H2449" s="33"/>
      <c r="I2449" s="33"/>
      <c r="J2449" s="33"/>
      <c r="K2449" s="37"/>
      <c r="L2449" s="37"/>
    </row>
    <row r="2450" spans="2:12" x14ac:dyDescent="0.2">
      <c r="B2450" s="36"/>
      <c r="G2450" s="34"/>
      <c r="H2450" s="33"/>
      <c r="I2450" s="33"/>
      <c r="J2450" s="33"/>
      <c r="K2450" s="37"/>
      <c r="L2450" s="37"/>
    </row>
    <row r="2451" spans="2:12" x14ac:dyDescent="0.2">
      <c r="B2451" s="36"/>
      <c r="G2451" s="34"/>
      <c r="H2451" s="33"/>
      <c r="I2451" s="33"/>
      <c r="J2451" s="33"/>
      <c r="K2451" s="37"/>
      <c r="L2451" s="37"/>
    </row>
    <row r="2452" spans="2:12" x14ac:dyDescent="0.2">
      <c r="B2452" s="36"/>
      <c r="G2452" s="34"/>
      <c r="H2452" s="33"/>
      <c r="I2452" s="33"/>
      <c r="J2452" s="33"/>
      <c r="K2452" s="37"/>
      <c r="L2452" s="37"/>
    </row>
    <row r="2453" spans="2:12" x14ac:dyDescent="0.2">
      <c r="B2453" s="36"/>
      <c r="G2453" s="34"/>
      <c r="H2453" s="33"/>
      <c r="I2453" s="33"/>
      <c r="J2453" s="33"/>
      <c r="K2453" s="37"/>
      <c r="L2453" s="37"/>
    </row>
    <row r="2454" spans="2:12" x14ac:dyDescent="0.2">
      <c r="B2454" s="36"/>
      <c r="G2454" s="34"/>
      <c r="H2454" s="33"/>
      <c r="I2454" s="33"/>
      <c r="J2454" s="33"/>
      <c r="K2454" s="37"/>
      <c r="L2454" s="37"/>
    </row>
    <row r="2455" spans="2:12" x14ac:dyDescent="0.2">
      <c r="B2455" s="36"/>
      <c r="G2455" s="34"/>
      <c r="H2455" s="33"/>
      <c r="I2455" s="33"/>
      <c r="J2455" s="33"/>
      <c r="K2455" s="37"/>
      <c r="L2455" s="37"/>
    </row>
    <row r="2456" spans="2:12" x14ac:dyDescent="0.2">
      <c r="B2456" s="36"/>
      <c r="G2456" s="34"/>
      <c r="H2456" s="33"/>
      <c r="I2456" s="33"/>
      <c r="J2456" s="33"/>
      <c r="K2456" s="37"/>
      <c r="L2456" s="37"/>
    </row>
    <row r="2457" spans="2:12" x14ac:dyDescent="0.2">
      <c r="B2457" s="36"/>
      <c r="G2457" s="34"/>
      <c r="H2457" s="33"/>
      <c r="I2457" s="33"/>
      <c r="J2457" s="33"/>
      <c r="K2457" s="37"/>
      <c r="L2457" s="37"/>
    </row>
    <row r="2458" spans="2:12" x14ac:dyDescent="0.2">
      <c r="B2458" s="36"/>
      <c r="G2458" s="34"/>
      <c r="H2458" s="33"/>
      <c r="I2458" s="33"/>
      <c r="J2458" s="33"/>
      <c r="K2458" s="37"/>
      <c r="L2458" s="37"/>
    </row>
    <row r="2459" spans="2:12" x14ac:dyDescent="0.2">
      <c r="B2459" s="36"/>
      <c r="G2459" s="34"/>
      <c r="H2459" s="33"/>
      <c r="I2459" s="33"/>
      <c r="J2459" s="33"/>
      <c r="K2459" s="37"/>
      <c r="L2459" s="37"/>
    </row>
    <row r="2460" spans="2:12" x14ac:dyDescent="0.2">
      <c r="B2460" s="36"/>
      <c r="G2460" s="34"/>
      <c r="H2460" s="33"/>
      <c r="I2460" s="33"/>
      <c r="J2460" s="33"/>
      <c r="K2460" s="37"/>
      <c r="L2460" s="37"/>
    </row>
    <row r="2461" spans="2:12" x14ac:dyDescent="0.2">
      <c r="B2461" s="36"/>
      <c r="G2461" s="34"/>
      <c r="H2461" s="33"/>
      <c r="I2461" s="33"/>
      <c r="J2461" s="33"/>
      <c r="K2461" s="37"/>
      <c r="L2461" s="37"/>
    </row>
    <row r="2462" spans="2:12" x14ac:dyDescent="0.2">
      <c r="B2462" s="36"/>
      <c r="G2462" s="34"/>
      <c r="H2462" s="33"/>
      <c r="I2462" s="33"/>
      <c r="J2462" s="33"/>
      <c r="K2462" s="37"/>
      <c r="L2462" s="37"/>
    </row>
    <row r="2463" spans="2:12" x14ac:dyDescent="0.2">
      <c r="B2463" s="36"/>
      <c r="G2463" s="34"/>
      <c r="H2463" s="33"/>
      <c r="I2463" s="33"/>
      <c r="J2463" s="33"/>
      <c r="K2463" s="37"/>
      <c r="L2463" s="37"/>
    </row>
    <row r="2464" spans="2:12" x14ac:dyDescent="0.2">
      <c r="B2464" s="36"/>
      <c r="G2464" s="34"/>
      <c r="H2464" s="33"/>
      <c r="I2464" s="33"/>
      <c r="J2464" s="33"/>
      <c r="K2464" s="37"/>
      <c r="L2464" s="37"/>
    </row>
    <row r="2465" spans="2:12" x14ac:dyDescent="0.2">
      <c r="B2465" s="36"/>
      <c r="G2465" s="34"/>
      <c r="H2465" s="33"/>
      <c r="I2465" s="33"/>
      <c r="J2465" s="33"/>
      <c r="K2465" s="37"/>
      <c r="L2465" s="37"/>
    </row>
    <row r="2466" spans="2:12" x14ac:dyDescent="0.2">
      <c r="B2466" s="36"/>
      <c r="G2466" s="34"/>
      <c r="H2466" s="33"/>
      <c r="I2466" s="33"/>
      <c r="J2466" s="33"/>
      <c r="K2466" s="37"/>
      <c r="L2466" s="37"/>
    </row>
    <row r="2467" spans="2:12" x14ac:dyDescent="0.2">
      <c r="B2467" s="36"/>
      <c r="G2467" s="34"/>
      <c r="H2467" s="33"/>
      <c r="I2467" s="33"/>
      <c r="J2467" s="33"/>
      <c r="K2467" s="37"/>
      <c r="L2467" s="37"/>
    </row>
    <row r="2468" spans="2:12" x14ac:dyDescent="0.2">
      <c r="B2468" s="36"/>
      <c r="G2468" s="34"/>
      <c r="H2468" s="33"/>
      <c r="I2468" s="33"/>
      <c r="J2468" s="33"/>
      <c r="K2468" s="37"/>
      <c r="L2468" s="37"/>
    </row>
    <row r="2469" spans="2:12" x14ac:dyDescent="0.2">
      <c r="B2469" s="36"/>
      <c r="G2469" s="34"/>
      <c r="H2469" s="33"/>
      <c r="I2469" s="33"/>
      <c r="J2469" s="33"/>
      <c r="K2469" s="37"/>
      <c r="L2469" s="37"/>
    </row>
    <row r="2470" spans="2:12" x14ac:dyDescent="0.2">
      <c r="B2470" s="36"/>
      <c r="G2470" s="34"/>
      <c r="H2470" s="33"/>
      <c r="I2470" s="33"/>
      <c r="J2470" s="33"/>
      <c r="K2470" s="37"/>
      <c r="L2470" s="37"/>
    </row>
    <row r="2471" spans="2:12" x14ac:dyDescent="0.2">
      <c r="B2471" s="36"/>
      <c r="G2471" s="34"/>
      <c r="H2471" s="33"/>
      <c r="I2471" s="33"/>
      <c r="J2471" s="33"/>
      <c r="K2471" s="37"/>
      <c r="L2471" s="37"/>
    </row>
    <row r="2472" spans="2:12" x14ac:dyDescent="0.2">
      <c r="B2472" s="36"/>
      <c r="G2472" s="34"/>
      <c r="H2472" s="33"/>
      <c r="I2472" s="33"/>
      <c r="J2472" s="33"/>
      <c r="K2472" s="37"/>
      <c r="L2472" s="37"/>
    </row>
    <row r="2473" spans="2:12" x14ac:dyDescent="0.2">
      <c r="B2473" s="36"/>
      <c r="G2473" s="34"/>
      <c r="H2473" s="33"/>
      <c r="I2473" s="33"/>
      <c r="J2473" s="33"/>
      <c r="K2473" s="37"/>
      <c r="L2473" s="37"/>
    </row>
    <row r="2474" spans="2:12" x14ac:dyDescent="0.2">
      <c r="B2474" s="36"/>
      <c r="G2474" s="34"/>
      <c r="H2474" s="33"/>
      <c r="I2474" s="33"/>
      <c r="J2474" s="33"/>
      <c r="K2474" s="37"/>
      <c r="L2474" s="37"/>
    </row>
    <row r="2475" spans="2:12" x14ac:dyDescent="0.2">
      <c r="B2475" s="36"/>
      <c r="G2475" s="34"/>
      <c r="H2475" s="33"/>
      <c r="I2475" s="33"/>
      <c r="J2475" s="33"/>
      <c r="K2475" s="37"/>
      <c r="L2475" s="37"/>
    </row>
    <row r="2476" spans="2:12" x14ac:dyDescent="0.2">
      <c r="B2476" s="36"/>
      <c r="G2476" s="34"/>
      <c r="H2476" s="33"/>
      <c r="I2476" s="33"/>
      <c r="J2476" s="33"/>
      <c r="K2476" s="37"/>
      <c r="L2476" s="37"/>
    </row>
    <row r="2477" spans="2:12" x14ac:dyDescent="0.2">
      <c r="B2477" s="36"/>
      <c r="G2477" s="34"/>
      <c r="H2477" s="33"/>
      <c r="I2477" s="33"/>
      <c r="J2477" s="33"/>
      <c r="K2477" s="37"/>
      <c r="L2477" s="37"/>
    </row>
    <row r="2478" spans="2:12" x14ac:dyDescent="0.2">
      <c r="B2478" s="36"/>
      <c r="G2478" s="34"/>
      <c r="H2478" s="33"/>
      <c r="I2478" s="33"/>
      <c r="J2478" s="33"/>
      <c r="K2478" s="37"/>
      <c r="L2478" s="37"/>
    </row>
    <row r="2479" spans="2:12" x14ac:dyDescent="0.2">
      <c r="B2479" s="36"/>
      <c r="G2479" s="34"/>
      <c r="H2479" s="33"/>
      <c r="I2479" s="33"/>
      <c r="J2479" s="33"/>
      <c r="K2479" s="37"/>
      <c r="L2479" s="37"/>
    </row>
    <row r="2480" spans="2:12" x14ac:dyDescent="0.2">
      <c r="B2480" s="36"/>
      <c r="G2480" s="34"/>
      <c r="H2480" s="33"/>
      <c r="I2480" s="33"/>
      <c r="J2480" s="33"/>
      <c r="K2480" s="37"/>
      <c r="L2480" s="37"/>
    </row>
    <row r="2481" spans="2:12" x14ac:dyDescent="0.2">
      <c r="B2481" s="36"/>
      <c r="G2481" s="34"/>
      <c r="H2481" s="33"/>
      <c r="I2481" s="33"/>
      <c r="J2481" s="33"/>
      <c r="K2481" s="37"/>
      <c r="L2481" s="37"/>
    </row>
    <row r="2482" spans="2:12" x14ac:dyDescent="0.2">
      <c r="B2482" s="36"/>
      <c r="G2482" s="34"/>
      <c r="H2482" s="33"/>
      <c r="I2482" s="33"/>
      <c r="J2482" s="33"/>
      <c r="K2482" s="37"/>
      <c r="L2482" s="37"/>
    </row>
    <row r="2483" spans="2:12" x14ac:dyDescent="0.2">
      <c r="B2483" s="36"/>
      <c r="G2483" s="34"/>
      <c r="H2483" s="33"/>
      <c r="I2483" s="33"/>
      <c r="J2483" s="33"/>
      <c r="K2483" s="37"/>
      <c r="L2483" s="37"/>
    </row>
    <row r="2484" spans="2:12" x14ac:dyDescent="0.2">
      <c r="B2484" s="36"/>
      <c r="G2484" s="34"/>
      <c r="H2484" s="33"/>
      <c r="I2484" s="33"/>
      <c r="J2484" s="33"/>
      <c r="K2484" s="37"/>
      <c r="L2484" s="37"/>
    </row>
    <row r="2485" spans="2:12" x14ac:dyDescent="0.2">
      <c r="B2485" s="36"/>
      <c r="G2485" s="34"/>
      <c r="H2485" s="33"/>
      <c r="I2485" s="33"/>
      <c r="J2485" s="33"/>
      <c r="K2485" s="37"/>
      <c r="L2485" s="37"/>
    </row>
    <row r="2486" spans="2:12" x14ac:dyDescent="0.2">
      <c r="B2486" s="36"/>
      <c r="G2486" s="34"/>
      <c r="H2486" s="33"/>
      <c r="I2486" s="33"/>
      <c r="J2486" s="33"/>
      <c r="K2486" s="37"/>
      <c r="L2486" s="37"/>
    </row>
    <row r="2487" spans="2:12" x14ac:dyDescent="0.2">
      <c r="B2487" s="36"/>
      <c r="G2487" s="34"/>
      <c r="H2487" s="33"/>
      <c r="I2487" s="33"/>
      <c r="J2487" s="33"/>
      <c r="K2487" s="37"/>
      <c r="L2487" s="37"/>
    </row>
    <row r="2488" spans="2:12" x14ac:dyDescent="0.2">
      <c r="B2488" s="36"/>
      <c r="G2488" s="34"/>
      <c r="H2488" s="33"/>
      <c r="I2488" s="33"/>
      <c r="J2488" s="33"/>
      <c r="K2488" s="37"/>
      <c r="L2488" s="37"/>
    </row>
    <row r="2489" spans="2:12" x14ac:dyDescent="0.2">
      <c r="B2489" s="36"/>
      <c r="G2489" s="34"/>
      <c r="H2489" s="33"/>
      <c r="I2489" s="33"/>
      <c r="J2489" s="33"/>
      <c r="K2489" s="37"/>
      <c r="L2489" s="37"/>
    </row>
    <row r="2490" spans="2:12" x14ac:dyDescent="0.2">
      <c r="B2490" s="36"/>
      <c r="G2490" s="34"/>
      <c r="H2490" s="33"/>
      <c r="I2490" s="33"/>
      <c r="J2490" s="33"/>
      <c r="K2490" s="37"/>
      <c r="L2490" s="37"/>
    </row>
    <row r="2491" spans="2:12" x14ac:dyDescent="0.2">
      <c r="B2491" s="36"/>
      <c r="G2491" s="34"/>
      <c r="H2491" s="33"/>
      <c r="I2491" s="33"/>
      <c r="J2491" s="33"/>
      <c r="K2491" s="37"/>
      <c r="L2491" s="37"/>
    </row>
    <row r="2492" spans="2:12" x14ac:dyDescent="0.2">
      <c r="B2492" s="36"/>
      <c r="G2492" s="34"/>
      <c r="H2492" s="33"/>
      <c r="I2492" s="33"/>
      <c r="J2492" s="33"/>
      <c r="K2492" s="37"/>
      <c r="L2492" s="37"/>
    </row>
    <row r="2493" spans="2:12" x14ac:dyDescent="0.2">
      <c r="B2493" s="36"/>
      <c r="G2493" s="34"/>
      <c r="H2493" s="33"/>
      <c r="I2493" s="33"/>
      <c r="J2493" s="33"/>
      <c r="K2493" s="37"/>
      <c r="L2493" s="37"/>
    </row>
    <row r="2494" spans="2:12" x14ac:dyDescent="0.2">
      <c r="B2494" s="36"/>
      <c r="G2494" s="34"/>
      <c r="H2494" s="33"/>
      <c r="I2494" s="33"/>
      <c r="J2494" s="33"/>
      <c r="K2494" s="37"/>
      <c r="L2494" s="37"/>
    </row>
    <row r="2495" spans="2:12" x14ac:dyDescent="0.2">
      <c r="B2495" s="36"/>
      <c r="G2495" s="34"/>
      <c r="H2495" s="33"/>
      <c r="I2495" s="33"/>
      <c r="J2495" s="33"/>
      <c r="K2495" s="37"/>
      <c r="L2495" s="37"/>
    </row>
    <row r="2496" spans="2:12" x14ac:dyDescent="0.2">
      <c r="B2496" s="36"/>
      <c r="G2496" s="34"/>
      <c r="H2496" s="33"/>
      <c r="I2496" s="33"/>
      <c r="J2496" s="33"/>
      <c r="K2496" s="37"/>
      <c r="L2496" s="37"/>
    </row>
    <row r="2497" spans="2:12" x14ac:dyDescent="0.2">
      <c r="B2497" s="36"/>
      <c r="G2497" s="34"/>
      <c r="H2497" s="33"/>
      <c r="I2497" s="33"/>
      <c r="J2497" s="33"/>
      <c r="K2497" s="37"/>
      <c r="L2497" s="37"/>
    </row>
    <row r="2498" spans="2:12" x14ac:dyDescent="0.2">
      <c r="B2498" s="36"/>
      <c r="G2498" s="34"/>
      <c r="H2498" s="33"/>
      <c r="I2498" s="33"/>
      <c r="J2498" s="33"/>
      <c r="K2498" s="37"/>
      <c r="L2498" s="37"/>
    </row>
    <row r="2499" spans="2:12" x14ac:dyDescent="0.2">
      <c r="B2499" s="36"/>
      <c r="G2499" s="34"/>
      <c r="H2499" s="33"/>
      <c r="I2499" s="33"/>
      <c r="J2499" s="33"/>
      <c r="K2499" s="37"/>
      <c r="L2499" s="37"/>
    </row>
    <row r="2500" spans="2:12" x14ac:dyDescent="0.2">
      <c r="B2500" s="36"/>
      <c r="G2500" s="34"/>
      <c r="H2500" s="33"/>
      <c r="I2500" s="33"/>
      <c r="J2500" s="33"/>
      <c r="K2500" s="37"/>
      <c r="L2500" s="37"/>
    </row>
    <row r="2501" spans="2:12" x14ac:dyDescent="0.2">
      <c r="B2501" s="36"/>
      <c r="G2501" s="34"/>
      <c r="H2501" s="33"/>
      <c r="I2501" s="33"/>
      <c r="J2501" s="33"/>
      <c r="K2501" s="37"/>
      <c r="L2501" s="37"/>
    </row>
    <row r="2502" spans="2:12" x14ac:dyDescent="0.2">
      <c r="B2502" s="36"/>
      <c r="G2502" s="34"/>
      <c r="H2502" s="33"/>
      <c r="I2502" s="33"/>
      <c r="J2502" s="33"/>
      <c r="K2502" s="37"/>
      <c r="L2502" s="37"/>
    </row>
    <row r="2503" spans="2:12" x14ac:dyDescent="0.2">
      <c r="B2503" s="36"/>
      <c r="G2503" s="34"/>
      <c r="H2503" s="33"/>
      <c r="I2503" s="33"/>
      <c r="J2503" s="33"/>
      <c r="K2503" s="37"/>
      <c r="L2503" s="37"/>
    </row>
    <row r="2504" spans="2:12" x14ac:dyDescent="0.2">
      <c r="B2504" s="36"/>
      <c r="G2504" s="34"/>
      <c r="H2504" s="33"/>
      <c r="I2504" s="33"/>
      <c r="J2504" s="33"/>
      <c r="K2504" s="37"/>
      <c r="L2504" s="37"/>
    </row>
    <row r="2505" spans="2:12" x14ac:dyDescent="0.2">
      <c r="B2505" s="36"/>
      <c r="G2505" s="34"/>
      <c r="H2505" s="33"/>
      <c r="I2505" s="33"/>
      <c r="J2505" s="33"/>
      <c r="K2505" s="37"/>
      <c r="L2505" s="37"/>
    </row>
    <row r="2506" spans="2:12" x14ac:dyDescent="0.2">
      <c r="B2506" s="36"/>
      <c r="G2506" s="34"/>
      <c r="H2506" s="33"/>
      <c r="I2506" s="33"/>
      <c r="J2506" s="33"/>
      <c r="K2506" s="37"/>
      <c r="L2506" s="37"/>
    </row>
    <row r="2507" spans="2:12" x14ac:dyDescent="0.2">
      <c r="B2507" s="36"/>
      <c r="G2507" s="34"/>
      <c r="H2507" s="33"/>
      <c r="I2507" s="33"/>
      <c r="J2507" s="33"/>
      <c r="K2507" s="37"/>
      <c r="L2507" s="37"/>
    </row>
    <row r="2508" spans="2:12" x14ac:dyDescent="0.2">
      <c r="B2508" s="36"/>
      <c r="G2508" s="34"/>
      <c r="H2508" s="33"/>
      <c r="I2508" s="33"/>
      <c r="J2508" s="33"/>
      <c r="K2508" s="37"/>
      <c r="L2508" s="37"/>
    </row>
    <row r="2509" spans="2:12" x14ac:dyDescent="0.2">
      <c r="B2509" s="36"/>
      <c r="G2509" s="34"/>
      <c r="H2509" s="33"/>
      <c r="I2509" s="33"/>
      <c r="J2509" s="33"/>
      <c r="K2509" s="37"/>
      <c r="L2509" s="37"/>
    </row>
    <row r="2510" spans="2:12" x14ac:dyDescent="0.2">
      <c r="B2510" s="36"/>
      <c r="G2510" s="34"/>
      <c r="H2510" s="33"/>
      <c r="I2510" s="33"/>
      <c r="J2510" s="33"/>
      <c r="K2510" s="37"/>
      <c r="L2510" s="37"/>
    </row>
    <row r="2511" spans="2:12" x14ac:dyDescent="0.2">
      <c r="B2511" s="36"/>
      <c r="G2511" s="34"/>
      <c r="H2511" s="33"/>
      <c r="I2511" s="33"/>
      <c r="J2511" s="33"/>
      <c r="K2511" s="37"/>
      <c r="L2511" s="37"/>
    </row>
    <row r="2512" spans="2:12" x14ac:dyDescent="0.2">
      <c r="B2512" s="36"/>
      <c r="G2512" s="34"/>
      <c r="H2512" s="33"/>
      <c r="I2512" s="33"/>
      <c r="J2512" s="33"/>
      <c r="K2512" s="37"/>
      <c r="L2512" s="37"/>
    </row>
    <row r="2513" spans="2:12" x14ac:dyDescent="0.2">
      <c r="B2513" s="36"/>
      <c r="G2513" s="34"/>
      <c r="H2513" s="33"/>
      <c r="I2513" s="33"/>
      <c r="J2513" s="33"/>
      <c r="K2513" s="37"/>
      <c r="L2513" s="37"/>
    </row>
    <row r="2514" spans="2:12" x14ac:dyDescent="0.2">
      <c r="B2514" s="36"/>
      <c r="G2514" s="34"/>
      <c r="H2514" s="33"/>
      <c r="I2514" s="33"/>
      <c r="J2514" s="33"/>
      <c r="K2514" s="37"/>
      <c r="L2514" s="37"/>
    </row>
    <row r="2515" spans="2:12" x14ac:dyDescent="0.2">
      <c r="B2515" s="36"/>
      <c r="G2515" s="34"/>
      <c r="H2515" s="33"/>
      <c r="I2515" s="33"/>
      <c r="J2515" s="33"/>
      <c r="K2515" s="37"/>
      <c r="L2515" s="37"/>
    </row>
    <row r="2516" spans="2:12" x14ac:dyDescent="0.2">
      <c r="B2516" s="36"/>
      <c r="G2516" s="34"/>
      <c r="H2516" s="33"/>
      <c r="I2516" s="33"/>
      <c r="J2516" s="33"/>
      <c r="K2516" s="37"/>
      <c r="L2516" s="37"/>
    </row>
    <row r="2517" spans="2:12" x14ac:dyDescent="0.2">
      <c r="B2517" s="36"/>
      <c r="G2517" s="34"/>
      <c r="H2517" s="33"/>
      <c r="I2517" s="33"/>
      <c r="J2517" s="33"/>
      <c r="K2517" s="37"/>
      <c r="L2517" s="37"/>
    </row>
    <row r="2518" spans="2:12" x14ac:dyDescent="0.2">
      <c r="B2518" s="36"/>
      <c r="G2518" s="34"/>
      <c r="H2518" s="33"/>
      <c r="I2518" s="33"/>
      <c r="J2518" s="33"/>
      <c r="K2518" s="37"/>
      <c r="L2518" s="37"/>
    </row>
    <row r="2519" spans="2:12" x14ac:dyDescent="0.2">
      <c r="B2519" s="36"/>
      <c r="G2519" s="34"/>
      <c r="H2519" s="33"/>
      <c r="I2519" s="33"/>
      <c r="J2519" s="33"/>
      <c r="K2519" s="37"/>
      <c r="L2519" s="37"/>
    </row>
    <row r="2520" spans="2:12" x14ac:dyDescent="0.2">
      <c r="B2520" s="36"/>
      <c r="G2520" s="34"/>
      <c r="H2520" s="33"/>
      <c r="I2520" s="33"/>
      <c r="J2520" s="33"/>
      <c r="K2520" s="37"/>
      <c r="L2520" s="37"/>
    </row>
    <row r="2521" spans="2:12" x14ac:dyDescent="0.2">
      <c r="B2521" s="36"/>
      <c r="G2521" s="34"/>
      <c r="H2521" s="33"/>
      <c r="I2521" s="33"/>
      <c r="J2521" s="33"/>
      <c r="K2521" s="37"/>
      <c r="L2521" s="37"/>
    </row>
    <row r="2522" spans="2:12" x14ac:dyDescent="0.2">
      <c r="B2522" s="36"/>
      <c r="G2522" s="34"/>
      <c r="H2522" s="33"/>
      <c r="I2522" s="33"/>
      <c r="J2522" s="33"/>
      <c r="K2522" s="37"/>
      <c r="L2522" s="37"/>
    </row>
    <row r="2523" spans="2:12" x14ac:dyDescent="0.2">
      <c r="B2523" s="36"/>
      <c r="G2523" s="34"/>
      <c r="H2523" s="33"/>
      <c r="I2523" s="33"/>
      <c r="J2523" s="33"/>
      <c r="K2523" s="37"/>
      <c r="L2523" s="37"/>
    </row>
    <row r="2524" spans="2:12" x14ac:dyDescent="0.2">
      <c r="B2524" s="36"/>
      <c r="G2524" s="34"/>
      <c r="H2524" s="33"/>
      <c r="I2524" s="33"/>
      <c r="J2524" s="33"/>
      <c r="K2524" s="37"/>
      <c r="L2524" s="37"/>
    </row>
    <row r="2525" spans="2:12" x14ac:dyDescent="0.2">
      <c r="B2525" s="36"/>
      <c r="G2525" s="34"/>
      <c r="H2525" s="33"/>
      <c r="I2525" s="33"/>
      <c r="J2525" s="33"/>
      <c r="K2525" s="37"/>
      <c r="L2525" s="37"/>
    </row>
    <row r="2526" spans="2:12" x14ac:dyDescent="0.2">
      <c r="B2526" s="36"/>
      <c r="G2526" s="34"/>
      <c r="H2526" s="33"/>
      <c r="I2526" s="33"/>
      <c r="J2526" s="33"/>
      <c r="K2526" s="37"/>
      <c r="L2526" s="37"/>
    </row>
    <row r="2527" spans="2:12" x14ac:dyDescent="0.2">
      <c r="B2527" s="36"/>
      <c r="G2527" s="34"/>
      <c r="H2527" s="33"/>
      <c r="I2527" s="33"/>
      <c r="J2527" s="33"/>
      <c r="K2527" s="37"/>
      <c r="L2527" s="37"/>
    </row>
    <row r="2528" spans="2:12" x14ac:dyDescent="0.2">
      <c r="B2528" s="36"/>
      <c r="G2528" s="34"/>
      <c r="H2528" s="33"/>
      <c r="I2528" s="33"/>
      <c r="J2528" s="33"/>
      <c r="K2528" s="37"/>
      <c r="L2528" s="37"/>
    </row>
    <row r="2529" spans="2:12" x14ac:dyDescent="0.2">
      <c r="B2529" s="36"/>
      <c r="G2529" s="34"/>
      <c r="H2529" s="33"/>
      <c r="I2529" s="33"/>
      <c r="J2529" s="33"/>
      <c r="K2529" s="37"/>
      <c r="L2529" s="37"/>
    </row>
    <row r="2530" spans="2:12" x14ac:dyDescent="0.2">
      <c r="B2530" s="36"/>
      <c r="G2530" s="34"/>
      <c r="H2530" s="33"/>
      <c r="I2530" s="33"/>
      <c r="J2530" s="33"/>
      <c r="K2530" s="37"/>
      <c r="L2530" s="37"/>
    </row>
    <row r="2531" spans="2:12" x14ac:dyDescent="0.2">
      <c r="B2531" s="36"/>
      <c r="G2531" s="34"/>
      <c r="H2531" s="33"/>
      <c r="I2531" s="33"/>
      <c r="J2531" s="33"/>
      <c r="K2531" s="37"/>
      <c r="L2531" s="37"/>
    </row>
    <row r="2532" spans="2:12" x14ac:dyDescent="0.2">
      <c r="B2532" s="36"/>
      <c r="G2532" s="34"/>
      <c r="H2532" s="33"/>
      <c r="I2532" s="33"/>
      <c r="J2532" s="33"/>
      <c r="K2532" s="37"/>
      <c r="L2532" s="37"/>
    </row>
    <row r="2533" spans="2:12" x14ac:dyDescent="0.2">
      <c r="B2533" s="36"/>
      <c r="G2533" s="34"/>
      <c r="H2533" s="33"/>
      <c r="I2533" s="33"/>
      <c r="J2533" s="33"/>
      <c r="K2533" s="37"/>
      <c r="L2533" s="37"/>
    </row>
    <row r="2534" spans="2:12" x14ac:dyDescent="0.2">
      <c r="B2534" s="36"/>
      <c r="G2534" s="34"/>
      <c r="H2534" s="33"/>
      <c r="I2534" s="33"/>
      <c r="J2534" s="33"/>
      <c r="K2534" s="37"/>
      <c r="L2534" s="37"/>
    </row>
    <row r="2535" spans="2:12" x14ac:dyDescent="0.2">
      <c r="B2535" s="36"/>
      <c r="G2535" s="34"/>
      <c r="H2535" s="33"/>
      <c r="I2535" s="33"/>
      <c r="J2535" s="33"/>
      <c r="K2535" s="37"/>
      <c r="L2535" s="37"/>
    </row>
    <row r="2536" spans="2:12" x14ac:dyDescent="0.2">
      <c r="B2536" s="36"/>
      <c r="G2536" s="34"/>
      <c r="H2536" s="33"/>
      <c r="I2536" s="33"/>
      <c r="J2536" s="33"/>
      <c r="K2536" s="37"/>
      <c r="L2536" s="37"/>
    </row>
    <row r="2537" spans="2:12" x14ac:dyDescent="0.2">
      <c r="B2537" s="36"/>
      <c r="G2537" s="34"/>
      <c r="H2537" s="33"/>
      <c r="I2537" s="33"/>
      <c r="J2537" s="33"/>
      <c r="K2537" s="37"/>
      <c r="L2537" s="37"/>
    </row>
    <row r="2538" spans="2:12" x14ac:dyDescent="0.2">
      <c r="B2538" s="36"/>
      <c r="G2538" s="34"/>
      <c r="H2538" s="33"/>
      <c r="I2538" s="33"/>
      <c r="J2538" s="33"/>
      <c r="K2538" s="37"/>
      <c r="L2538" s="37"/>
    </row>
    <row r="2539" spans="2:12" x14ac:dyDescent="0.2">
      <c r="B2539" s="36"/>
      <c r="G2539" s="34"/>
      <c r="H2539" s="33"/>
      <c r="I2539" s="33"/>
      <c r="J2539" s="33"/>
      <c r="K2539" s="37"/>
      <c r="L2539" s="37"/>
    </row>
    <row r="2540" spans="2:12" x14ac:dyDescent="0.2">
      <c r="B2540" s="36"/>
      <c r="G2540" s="34"/>
      <c r="H2540" s="33"/>
      <c r="I2540" s="33"/>
      <c r="J2540" s="33"/>
      <c r="K2540" s="37"/>
      <c r="L2540" s="37"/>
    </row>
    <row r="2541" spans="2:12" x14ac:dyDescent="0.2">
      <c r="B2541" s="36"/>
      <c r="G2541" s="34"/>
      <c r="H2541" s="33"/>
      <c r="I2541" s="33"/>
      <c r="J2541" s="33"/>
      <c r="K2541" s="37"/>
      <c r="L2541" s="37"/>
    </row>
    <row r="2542" spans="2:12" x14ac:dyDescent="0.2">
      <c r="B2542" s="36"/>
      <c r="G2542" s="34"/>
      <c r="H2542" s="33"/>
      <c r="I2542" s="33"/>
      <c r="J2542" s="33"/>
      <c r="K2542" s="37"/>
      <c r="L2542" s="37"/>
    </row>
    <row r="2543" spans="2:12" x14ac:dyDescent="0.2">
      <c r="B2543" s="36"/>
      <c r="G2543" s="34"/>
      <c r="H2543" s="33"/>
      <c r="I2543" s="33"/>
      <c r="J2543" s="33"/>
      <c r="K2543" s="37"/>
      <c r="L2543" s="37"/>
    </row>
    <row r="2544" spans="2:12" x14ac:dyDescent="0.2">
      <c r="B2544" s="36"/>
      <c r="G2544" s="34"/>
      <c r="H2544" s="33"/>
      <c r="I2544" s="33"/>
      <c r="J2544" s="33"/>
      <c r="K2544" s="37"/>
      <c r="L2544" s="37"/>
    </row>
    <row r="2545" spans="2:12" x14ac:dyDescent="0.2">
      <c r="B2545" s="36"/>
      <c r="G2545" s="34"/>
      <c r="H2545" s="33"/>
      <c r="I2545" s="33"/>
      <c r="J2545" s="33"/>
      <c r="K2545" s="37"/>
      <c r="L2545" s="37"/>
    </row>
    <row r="2546" spans="2:12" x14ac:dyDescent="0.2">
      <c r="B2546" s="36"/>
      <c r="G2546" s="34"/>
      <c r="H2546" s="33"/>
      <c r="I2546" s="33"/>
      <c r="J2546" s="33"/>
      <c r="K2546" s="37"/>
      <c r="L2546" s="37"/>
    </row>
    <row r="2547" spans="2:12" x14ac:dyDescent="0.2">
      <c r="B2547" s="36"/>
      <c r="G2547" s="34"/>
      <c r="H2547" s="33"/>
      <c r="I2547" s="33"/>
      <c r="J2547" s="33"/>
      <c r="K2547" s="37"/>
      <c r="L2547" s="37"/>
    </row>
    <row r="2548" spans="2:12" x14ac:dyDescent="0.2">
      <c r="B2548" s="36"/>
      <c r="G2548" s="34"/>
      <c r="H2548" s="33"/>
      <c r="I2548" s="33"/>
      <c r="J2548" s="33"/>
      <c r="K2548" s="37"/>
      <c r="L2548" s="37"/>
    </row>
    <row r="2549" spans="2:12" x14ac:dyDescent="0.2">
      <c r="B2549" s="36"/>
      <c r="G2549" s="34"/>
      <c r="H2549" s="33"/>
      <c r="I2549" s="33"/>
      <c r="J2549" s="33"/>
      <c r="K2549" s="37"/>
      <c r="L2549" s="37"/>
    </row>
    <row r="2550" spans="2:12" x14ac:dyDescent="0.2">
      <c r="B2550" s="36"/>
      <c r="G2550" s="34"/>
      <c r="H2550" s="33"/>
      <c r="I2550" s="33"/>
      <c r="J2550" s="33"/>
      <c r="K2550" s="37"/>
      <c r="L2550" s="37"/>
    </row>
    <row r="2551" spans="2:12" x14ac:dyDescent="0.2">
      <c r="B2551" s="36"/>
      <c r="G2551" s="34"/>
      <c r="H2551" s="33"/>
      <c r="I2551" s="33"/>
      <c r="J2551" s="33"/>
      <c r="K2551" s="37"/>
      <c r="L2551" s="37"/>
    </row>
    <row r="2552" spans="2:12" x14ac:dyDescent="0.2">
      <c r="B2552" s="36"/>
      <c r="G2552" s="34"/>
      <c r="H2552" s="33"/>
      <c r="I2552" s="33"/>
      <c r="J2552" s="33"/>
      <c r="K2552" s="37"/>
      <c r="L2552" s="37"/>
    </row>
    <row r="2553" spans="2:12" x14ac:dyDescent="0.2">
      <c r="B2553" s="36"/>
      <c r="G2553" s="34"/>
      <c r="H2553" s="33"/>
      <c r="I2553" s="33"/>
      <c r="J2553" s="33"/>
      <c r="K2553" s="37"/>
      <c r="L2553" s="37"/>
    </row>
    <row r="2554" spans="2:12" x14ac:dyDescent="0.2">
      <c r="B2554" s="36"/>
      <c r="G2554" s="34"/>
      <c r="H2554" s="33"/>
      <c r="I2554" s="33"/>
      <c r="J2554" s="33"/>
      <c r="K2554" s="37"/>
      <c r="L2554" s="37"/>
    </row>
    <row r="2555" spans="2:12" x14ac:dyDescent="0.2">
      <c r="B2555" s="36"/>
      <c r="G2555" s="34"/>
      <c r="H2555" s="33"/>
      <c r="I2555" s="33"/>
      <c r="J2555" s="33"/>
      <c r="K2555" s="37"/>
      <c r="L2555" s="37"/>
    </row>
    <row r="2556" spans="2:12" x14ac:dyDescent="0.2">
      <c r="B2556" s="36"/>
      <c r="G2556" s="34"/>
      <c r="H2556" s="33"/>
      <c r="I2556" s="33"/>
      <c r="J2556" s="33"/>
      <c r="K2556" s="37"/>
      <c r="L2556" s="37"/>
    </row>
    <row r="2557" spans="2:12" x14ac:dyDescent="0.2">
      <c r="B2557" s="36"/>
      <c r="G2557" s="34"/>
      <c r="H2557" s="33"/>
      <c r="I2557" s="33"/>
      <c r="J2557" s="33"/>
      <c r="K2557" s="37"/>
      <c r="L2557" s="37"/>
    </row>
    <row r="2558" spans="2:12" x14ac:dyDescent="0.2">
      <c r="B2558" s="36"/>
      <c r="G2558" s="34"/>
      <c r="H2558" s="33"/>
      <c r="I2558" s="33"/>
      <c r="J2558" s="33"/>
      <c r="K2558" s="37"/>
      <c r="L2558" s="37"/>
    </row>
    <row r="2559" spans="2:12" x14ac:dyDescent="0.2">
      <c r="B2559" s="36"/>
      <c r="G2559" s="34"/>
      <c r="H2559" s="33"/>
      <c r="I2559" s="33"/>
      <c r="J2559" s="33"/>
      <c r="K2559" s="37"/>
      <c r="L2559" s="37"/>
    </row>
    <row r="2560" spans="2:12" x14ac:dyDescent="0.2">
      <c r="B2560" s="36"/>
      <c r="G2560" s="34"/>
      <c r="H2560" s="33"/>
      <c r="I2560" s="33"/>
      <c r="J2560" s="33"/>
      <c r="K2560" s="37"/>
      <c r="L2560" s="37"/>
    </row>
    <row r="2561" spans="2:12" x14ac:dyDescent="0.2">
      <c r="B2561" s="36"/>
      <c r="G2561" s="34"/>
      <c r="H2561" s="33"/>
      <c r="I2561" s="33"/>
      <c r="J2561" s="33"/>
      <c r="K2561" s="37"/>
      <c r="L2561" s="37"/>
    </row>
    <row r="2562" spans="2:12" x14ac:dyDescent="0.2">
      <c r="B2562" s="36"/>
      <c r="G2562" s="34"/>
      <c r="H2562" s="33"/>
      <c r="I2562" s="33"/>
      <c r="J2562" s="33"/>
      <c r="K2562" s="37"/>
      <c r="L2562" s="37"/>
    </row>
    <row r="2563" spans="2:12" x14ac:dyDescent="0.2">
      <c r="B2563" s="36"/>
      <c r="G2563" s="34"/>
      <c r="H2563" s="33"/>
      <c r="I2563" s="33"/>
      <c r="J2563" s="33"/>
      <c r="K2563" s="37"/>
      <c r="L2563" s="37"/>
    </row>
    <row r="2564" spans="2:12" x14ac:dyDescent="0.2">
      <c r="B2564" s="36"/>
      <c r="G2564" s="34"/>
      <c r="H2564" s="33"/>
      <c r="I2564" s="33"/>
      <c r="J2564" s="33"/>
      <c r="K2564" s="37"/>
      <c r="L2564" s="37"/>
    </row>
    <row r="2565" spans="2:12" x14ac:dyDescent="0.2">
      <c r="B2565" s="36"/>
      <c r="G2565" s="34"/>
      <c r="H2565" s="33"/>
      <c r="I2565" s="33"/>
      <c r="J2565" s="33"/>
      <c r="K2565" s="37"/>
      <c r="L2565" s="37"/>
    </row>
    <row r="2566" spans="2:12" x14ac:dyDescent="0.2">
      <c r="B2566" s="36"/>
      <c r="G2566" s="34"/>
      <c r="H2566" s="33"/>
      <c r="I2566" s="33"/>
      <c r="J2566" s="33"/>
      <c r="K2566" s="37"/>
      <c r="L2566" s="37"/>
    </row>
    <row r="2567" spans="2:12" x14ac:dyDescent="0.2">
      <c r="B2567" s="36"/>
      <c r="G2567" s="34"/>
      <c r="H2567" s="33"/>
      <c r="I2567" s="33"/>
      <c r="J2567" s="33"/>
      <c r="K2567" s="37"/>
      <c r="L2567" s="37"/>
    </row>
    <row r="2568" spans="2:12" x14ac:dyDescent="0.2">
      <c r="B2568" s="36"/>
      <c r="G2568" s="34"/>
      <c r="H2568" s="33"/>
      <c r="I2568" s="33"/>
      <c r="J2568" s="33"/>
      <c r="K2568" s="37"/>
      <c r="L2568" s="37"/>
    </row>
    <row r="2569" spans="2:12" x14ac:dyDescent="0.2">
      <c r="B2569" s="36"/>
      <c r="G2569" s="34"/>
      <c r="H2569" s="33"/>
      <c r="I2569" s="33"/>
      <c r="J2569" s="33"/>
      <c r="K2569" s="37"/>
      <c r="L2569" s="37"/>
    </row>
    <row r="2570" spans="2:12" x14ac:dyDescent="0.2">
      <c r="B2570" s="36"/>
      <c r="G2570" s="34"/>
      <c r="H2570" s="33"/>
      <c r="I2570" s="33"/>
      <c r="J2570" s="33"/>
      <c r="K2570" s="37"/>
      <c r="L2570" s="37"/>
    </row>
    <row r="2571" spans="2:12" x14ac:dyDescent="0.2">
      <c r="B2571" s="36"/>
      <c r="G2571" s="34"/>
      <c r="H2571" s="33"/>
      <c r="I2571" s="33"/>
      <c r="J2571" s="33"/>
      <c r="K2571" s="37"/>
      <c r="L2571" s="37"/>
    </row>
    <row r="2572" spans="2:12" x14ac:dyDescent="0.2">
      <c r="B2572" s="36"/>
      <c r="G2572" s="34"/>
      <c r="H2572" s="33"/>
      <c r="I2572" s="33"/>
      <c r="J2572" s="33"/>
      <c r="K2572" s="37"/>
      <c r="L2572" s="37"/>
    </row>
    <row r="2573" spans="2:12" x14ac:dyDescent="0.2">
      <c r="B2573" s="36"/>
      <c r="G2573" s="34"/>
      <c r="H2573" s="33"/>
      <c r="I2573" s="33"/>
      <c r="J2573" s="33"/>
      <c r="K2573" s="37"/>
      <c r="L2573" s="37"/>
    </row>
    <row r="2574" spans="2:12" x14ac:dyDescent="0.2">
      <c r="B2574" s="36"/>
      <c r="G2574" s="34"/>
      <c r="H2574" s="33"/>
      <c r="I2574" s="33"/>
      <c r="J2574" s="33"/>
      <c r="K2574" s="37"/>
      <c r="L2574" s="37"/>
    </row>
    <row r="2575" spans="2:12" x14ac:dyDescent="0.2">
      <c r="B2575" s="36"/>
      <c r="G2575" s="34"/>
      <c r="H2575" s="33"/>
      <c r="I2575" s="33"/>
      <c r="J2575" s="33"/>
      <c r="K2575" s="37"/>
      <c r="L2575" s="37"/>
    </row>
    <row r="2576" spans="2:12" x14ac:dyDescent="0.2">
      <c r="B2576" s="36"/>
      <c r="G2576" s="34"/>
      <c r="H2576" s="33"/>
      <c r="I2576" s="33"/>
      <c r="J2576" s="33"/>
      <c r="K2576" s="37"/>
      <c r="L2576" s="37"/>
    </row>
    <row r="2577" spans="2:12" x14ac:dyDescent="0.2">
      <c r="B2577" s="36"/>
      <c r="G2577" s="34"/>
      <c r="H2577" s="33"/>
      <c r="I2577" s="33"/>
      <c r="J2577" s="33"/>
      <c r="K2577" s="37"/>
      <c r="L2577" s="37"/>
    </row>
    <row r="2578" spans="2:12" x14ac:dyDescent="0.2">
      <c r="B2578" s="36"/>
      <c r="G2578" s="34"/>
      <c r="H2578" s="33"/>
      <c r="I2578" s="33"/>
      <c r="J2578" s="33"/>
      <c r="K2578" s="37"/>
      <c r="L2578" s="37"/>
    </row>
    <row r="2579" spans="2:12" x14ac:dyDescent="0.2">
      <c r="B2579" s="36"/>
      <c r="G2579" s="34"/>
      <c r="H2579" s="33"/>
      <c r="I2579" s="33"/>
      <c r="J2579" s="33"/>
      <c r="K2579" s="37"/>
      <c r="L2579" s="37"/>
    </row>
    <row r="2580" spans="2:12" x14ac:dyDescent="0.2">
      <c r="B2580" s="36"/>
      <c r="G2580" s="34"/>
      <c r="H2580" s="33"/>
      <c r="I2580" s="33"/>
      <c r="J2580" s="33"/>
      <c r="K2580" s="37"/>
      <c r="L2580" s="37"/>
    </row>
    <row r="2581" spans="2:12" x14ac:dyDescent="0.2">
      <c r="B2581" s="36"/>
      <c r="G2581" s="34"/>
      <c r="H2581" s="33"/>
      <c r="I2581" s="33"/>
      <c r="J2581" s="33"/>
      <c r="K2581" s="37"/>
      <c r="L2581" s="37"/>
    </row>
    <row r="2582" spans="2:12" x14ac:dyDescent="0.2">
      <c r="B2582" s="36"/>
      <c r="G2582" s="34"/>
      <c r="H2582" s="33"/>
      <c r="I2582" s="33"/>
      <c r="J2582" s="33"/>
      <c r="K2582" s="37"/>
      <c r="L2582" s="37"/>
    </row>
    <row r="2583" spans="2:12" x14ac:dyDescent="0.2">
      <c r="B2583" s="36"/>
      <c r="G2583" s="34"/>
      <c r="H2583" s="33"/>
      <c r="I2583" s="33"/>
      <c r="J2583" s="33"/>
      <c r="K2583" s="37"/>
      <c r="L2583" s="37"/>
    </row>
    <row r="2584" spans="2:12" x14ac:dyDescent="0.2">
      <c r="B2584" s="36"/>
      <c r="G2584" s="34"/>
      <c r="H2584" s="33"/>
      <c r="I2584" s="33"/>
      <c r="J2584" s="33"/>
      <c r="K2584" s="37"/>
      <c r="L2584" s="37"/>
    </row>
    <row r="2585" spans="2:12" x14ac:dyDescent="0.2">
      <c r="B2585" s="36"/>
      <c r="G2585" s="34"/>
      <c r="H2585" s="33"/>
      <c r="I2585" s="33"/>
      <c r="J2585" s="33"/>
      <c r="K2585" s="37"/>
      <c r="L2585" s="37"/>
    </row>
    <row r="2586" spans="2:12" x14ac:dyDescent="0.2">
      <c r="B2586" s="36"/>
      <c r="G2586" s="34"/>
      <c r="H2586" s="33"/>
      <c r="I2586" s="33"/>
      <c r="J2586" s="33"/>
      <c r="K2586" s="37"/>
      <c r="L2586" s="37"/>
    </row>
    <row r="2587" spans="2:12" x14ac:dyDescent="0.2">
      <c r="B2587" s="36"/>
      <c r="G2587" s="34"/>
      <c r="H2587" s="33"/>
      <c r="I2587" s="33"/>
      <c r="J2587" s="33"/>
      <c r="K2587" s="37"/>
      <c r="L2587" s="37"/>
    </row>
    <row r="2588" spans="2:12" x14ac:dyDescent="0.2">
      <c r="B2588" s="36"/>
      <c r="G2588" s="34"/>
      <c r="H2588" s="33"/>
      <c r="I2588" s="33"/>
      <c r="J2588" s="33"/>
      <c r="K2588" s="37"/>
      <c r="L2588" s="37"/>
    </row>
    <row r="2589" spans="2:12" x14ac:dyDescent="0.2">
      <c r="B2589" s="36"/>
      <c r="G2589" s="34"/>
      <c r="H2589" s="33"/>
      <c r="I2589" s="33"/>
      <c r="J2589" s="33"/>
      <c r="K2589" s="37"/>
      <c r="L2589" s="37"/>
    </row>
    <row r="2590" spans="2:12" x14ac:dyDescent="0.2">
      <c r="B2590" s="36"/>
      <c r="G2590" s="34"/>
      <c r="H2590" s="33"/>
      <c r="I2590" s="33"/>
      <c r="J2590" s="33"/>
      <c r="K2590" s="37"/>
      <c r="L2590" s="37"/>
    </row>
    <row r="2591" spans="2:12" x14ac:dyDescent="0.2">
      <c r="B2591" s="36"/>
      <c r="G2591" s="34"/>
      <c r="H2591" s="33"/>
      <c r="I2591" s="33"/>
      <c r="J2591" s="33"/>
      <c r="K2591" s="37"/>
      <c r="L2591" s="37"/>
    </row>
    <row r="2592" spans="2:12" x14ac:dyDescent="0.2">
      <c r="B2592" s="36"/>
      <c r="G2592" s="34"/>
      <c r="H2592" s="33"/>
      <c r="I2592" s="33"/>
      <c r="J2592" s="33"/>
      <c r="K2592" s="37"/>
      <c r="L2592" s="37"/>
    </row>
    <row r="2593" spans="2:12" x14ac:dyDescent="0.2">
      <c r="B2593" s="36"/>
      <c r="G2593" s="34"/>
      <c r="H2593" s="33"/>
      <c r="I2593" s="33"/>
      <c r="J2593" s="33"/>
      <c r="K2593" s="37"/>
      <c r="L2593" s="37"/>
    </row>
    <row r="2594" spans="2:12" x14ac:dyDescent="0.2">
      <c r="B2594" s="36"/>
      <c r="G2594" s="34"/>
      <c r="H2594" s="33"/>
      <c r="I2594" s="33"/>
      <c r="J2594" s="33"/>
      <c r="K2594" s="37"/>
      <c r="L2594" s="37"/>
    </row>
    <row r="2595" spans="2:12" x14ac:dyDescent="0.2">
      <c r="B2595" s="36"/>
      <c r="G2595" s="34"/>
      <c r="H2595" s="33"/>
      <c r="I2595" s="33"/>
      <c r="J2595" s="33"/>
      <c r="K2595" s="37"/>
      <c r="L2595" s="37"/>
    </row>
    <row r="2596" spans="2:12" x14ac:dyDescent="0.2">
      <c r="B2596" s="36"/>
      <c r="G2596" s="34"/>
      <c r="H2596" s="33"/>
      <c r="I2596" s="33"/>
      <c r="J2596" s="33"/>
      <c r="K2596" s="37"/>
      <c r="L2596" s="37"/>
    </row>
    <row r="2597" spans="2:12" x14ac:dyDescent="0.2">
      <c r="B2597" s="36"/>
      <c r="G2597" s="34"/>
      <c r="H2597" s="33"/>
      <c r="I2597" s="33"/>
      <c r="J2597" s="33"/>
      <c r="K2597" s="37"/>
      <c r="L2597" s="37"/>
    </row>
    <row r="2598" spans="2:12" x14ac:dyDescent="0.2">
      <c r="B2598" s="36"/>
      <c r="G2598" s="34"/>
      <c r="H2598" s="33"/>
      <c r="I2598" s="33"/>
      <c r="J2598" s="33"/>
      <c r="K2598" s="37"/>
      <c r="L2598" s="37"/>
    </row>
    <row r="2599" spans="2:12" x14ac:dyDescent="0.2">
      <c r="B2599" s="36"/>
      <c r="G2599" s="34"/>
      <c r="H2599" s="33"/>
      <c r="I2599" s="33"/>
      <c r="J2599" s="33"/>
      <c r="K2599" s="37"/>
      <c r="L2599" s="37"/>
    </row>
    <row r="2600" spans="2:12" x14ac:dyDescent="0.2">
      <c r="B2600" s="36"/>
      <c r="G2600" s="34"/>
      <c r="H2600" s="33"/>
      <c r="I2600" s="33"/>
      <c r="J2600" s="33"/>
      <c r="K2600" s="37"/>
      <c r="L2600" s="37"/>
    </row>
    <row r="2601" spans="2:12" x14ac:dyDescent="0.2">
      <c r="B2601" s="36"/>
      <c r="G2601" s="34"/>
      <c r="H2601" s="33"/>
      <c r="I2601" s="33"/>
      <c r="J2601" s="33"/>
      <c r="K2601" s="37"/>
      <c r="L2601" s="37"/>
    </row>
    <row r="2602" spans="2:12" x14ac:dyDescent="0.2">
      <c r="B2602" s="36"/>
      <c r="G2602" s="34"/>
      <c r="H2602" s="33"/>
      <c r="I2602" s="33"/>
      <c r="J2602" s="33"/>
      <c r="K2602" s="37"/>
      <c r="L2602" s="37"/>
    </row>
    <row r="2603" spans="2:12" x14ac:dyDescent="0.2">
      <c r="B2603" s="36"/>
      <c r="G2603" s="34"/>
      <c r="H2603" s="33"/>
      <c r="I2603" s="33"/>
      <c r="J2603" s="33"/>
      <c r="K2603" s="37"/>
      <c r="L2603" s="37"/>
    </row>
    <row r="2604" spans="2:12" x14ac:dyDescent="0.2">
      <c r="B2604" s="36"/>
      <c r="G2604" s="34"/>
      <c r="H2604" s="33"/>
      <c r="I2604" s="33"/>
      <c r="J2604" s="33"/>
      <c r="K2604" s="37"/>
      <c r="L2604" s="37"/>
    </row>
    <row r="2605" spans="2:12" x14ac:dyDescent="0.2">
      <c r="B2605" s="36"/>
      <c r="G2605" s="34"/>
      <c r="H2605" s="33"/>
      <c r="I2605" s="33"/>
      <c r="J2605" s="33"/>
      <c r="K2605" s="37"/>
      <c r="L2605" s="37"/>
    </row>
    <row r="2606" spans="2:12" x14ac:dyDescent="0.2">
      <c r="B2606" s="36"/>
      <c r="G2606" s="34"/>
      <c r="H2606" s="33"/>
      <c r="I2606" s="33"/>
      <c r="J2606" s="33"/>
      <c r="K2606" s="37"/>
      <c r="L2606" s="37"/>
    </row>
    <row r="2607" spans="2:12" x14ac:dyDescent="0.2">
      <c r="B2607" s="36"/>
      <c r="G2607" s="34"/>
      <c r="H2607" s="33"/>
      <c r="I2607" s="33"/>
      <c r="J2607" s="33"/>
      <c r="K2607" s="37"/>
      <c r="L2607" s="37"/>
    </row>
    <row r="2608" spans="2:12" x14ac:dyDescent="0.2">
      <c r="B2608" s="36"/>
      <c r="G2608" s="34"/>
      <c r="H2608" s="33"/>
      <c r="I2608" s="33"/>
      <c r="J2608" s="33"/>
      <c r="K2608" s="37"/>
      <c r="L2608" s="37"/>
    </row>
    <row r="2609" spans="2:12" x14ac:dyDescent="0.2">
      <c r="B2609" s="36"/>
      <c r="G2609" s="34"/>
      <c r="H2609" s="33"/>
      <c r="I2609" s="33"/>
      <c r="J2609" s="33"/>
      <c r="K2609" s="37"/>
      <c r="L2609" s="37"/>
    </row>
    <row r="2610" spans="2:12" x14ac:dyDescent="0.2">
      <c r="B2610" s="36"/>
      <c r="G2610" s="34"/>
      <c r="H2610" s="33"/>
      <c r="I2610" s="33"/>
      <c r="J2610" s="33"/>
      <c r="K2610" s="37"/>
      <c r="L2610" s="37"/>
    </row>
    <row r="2611" spans="2:12" x14ac:dyDescent="0.2">
      <c r="B2611" s="36"/>
      <c r="G2611" s="34"/>
      <c r="H2611" s="33"/>
      <c r="I2611" s="33"/>
      <c r="J2611" s="33"/>
      <c r="K2611" s="37"/>
      <c r="L2611" s="37"/>
    </row>
    <row r="2612" spans="2:12" x14ac:dyDescent="0.2">
      <c r="B2612" s="36"/>
      <c r="G2612" s="34"/>
      <c r="H2612" s="33"/>
      <c r="I2612" s="33"/>
      <c r="J2612" s="33"/>
      <c r="K2612" s="37"/>
      <c r="L2612" s="37"/>
    </row>
    <row r="2613" spans="2:12" x14ac:dyDescent="0.2">
      <c r="B2613" s="36"/>
      <c r="G2613" s="34"/>
      <c r="H2613" s="33"/>
      <c r="I2613" s="33"/>
      <c r="J2613" s="33"/>
      <c r="K2613" s="37"/>
      <c r="L2613" s="37"/>
    </row>
    <row r="2614" spans="2:12" x14ac:dyDescent="0.2">
      <c r="B2614" s="36"/>
      <c r="G2614" s="34"/>
      <c r="H2614" s="33"/>
      <c r="I2614" s="33"/>
      <c r="J2614" s="33"/>
      <c r="K2614" s="37"/>
      <c r="L2614" s="37"/>
    </row>
    <row r="2615" spans="2:12" x14ac:dyDescent="0.2">
      <c r="B2615" s="36"/>
      <c r="G2615" s="34"/>
      <c r="H2615" s="33"/>
      <c r="I2615" s="33"/>
      <c r="J2615" s="33"/>
      <c r="K2615" s="37"/>
      <c r="L2615" s="37"/>
    </row>
    <row r="2616" spans="2:12" x14ac:dyDescent="0.2">
      <c r="B2616" s="36"/>
      <c r="G2616" s="34"/>
      <c r="H2616" s="33"/>
      <c r="I2616" s="33"/>
      <c r="J2616" s="33"/>
      <c r="K2616" s="37"/>
      <c r="L2616" s="37"/>
    </row>
    <row r="2617" spans="2:12" x14ac:dyDescent="0.2">
      <c r="B2617" s="36"/>
      <c r="G2617" s="34"/>
      <c r="H2617" s="33"/>
      <c r="I2617" s="33"/>
      <c r="J2617" s="33"/>
      <c r="K2617" s="37"/>
      <c r="L2617" s="37"/>
    </row>
    <row r="2618" spans="2:12" x14ac:dyDescent="0.2">
      <c r="B2618" s="36"/>
      <c r="G2618" s="34"/>
      <c r="H2618" s="33"/>
      <c r="I2618" s="33"/>
      <c r="J2618" s="33"/>
      <c r="K2618" s="37"/>
      <c r="L2618" s="37"/>
    </row>
    <row r="2619" spans="2:12" x14ac:dyDescent="0.2">
      <c r="B2619" s="36"/>
      <c r="G2619" s="34"/>
      <c r="H2619" s="33"/>
      <c r="I2619" s="33"/>
      <c r="J2619" s="33"/>
      <c r="K2619" s="37"/>
      <c r="L2619" s="37"/>
    </row>
    <row r="2620" spans="2:12" x14ac:dyDescent="0.2">
      <c r="B2620" s="36"/>
      <c r="G2620" s="34"/>
      <c r="H2620" s="33"/>
      <c r="I2620" s="33"/>
      <c r="J2620" s="33"/>
      <c r="K2620" s="37"/>
      <c r="L2620" s="37"/>
    </row>
    <row r="2621" spans="2:12" x14ac:dyDescent="0.2">
      <c r="B2621" s="36"/>
      <c r="G2621" s="34"/>
      <c r="H2621" s="33"/>
      <c r="I2621" s="33"/>
      <c r="J2621" s="33"/>
      <c r="K2621" s="37"/>
      <c r="L2621" s="37"/>
    </row>
    <row r="2622" spans="2:12" x14ac:dyDescent="0.2">
      <c r="B2622" s="36"/>
      <c r="G2622" s="34"/>
      <c r="H2622" s="33"/>
      <c r="I2622" s="33"/>
      <c r="J2622" s="33"/>
      <c r="K2622" s="37"/>
      <c r="L2622" s="37"/>
    </row>
    <row r="2623" spans="2:12" x14ac:dyDescent="0.2">
      <c r="B2623" s="36"/>
      <c r="G2623" s="34"/>
      <c r="H2623" s="33"/>
      <c r="I2623" s="33"/>
      <c r="J2623" s="33"/>
      <c r="K2623" s="37"/>
      <c r="L2623" s="37"/>
    </row>
    <row r="2624" spans="2:12" x14ac:dyDescent="0.2">
      <c r="B2624" s="36"/>
      <c r="G2624" s="34"/>
      <c r="H2624" s="33"/>
      <c r="I2624" s="33"/>
      <c r="J2624" s="33"/>
      <c r="K2624" s="37"/>
      <c r="L2624" s="37"/>
    </row>
    <row r="2625" spans="2:12" x14ac:dyDescent="0.2">
      <c r="B2625" s="36"/>
      <c r="G2625" s="34"/>
      <c r="H2625" s="33"/>
      <c r="I2625" s="33"/>
      <c r="J2625" s="33"/>
      <c r="K2625" s="37"/>
      <c r="L2625" s="37"/>
    </row>
    <row r="2626" spans="2:12" x14ac:dyDescent="0.2">
      <c r="B2626" s="36"/>
      <c r="G2626" s="34"/>
      <c r="H2626" s="33"/>
      <c r="I2626" s="33"/>
      <c r="J2626" s="33"/>
      <c r="K2626" s="37"/>
      <c r="L2626" s="37"/>
    </row>
    <row r="2627" spans="2:12" x14ac:dyDescent="0.2">
      <c r="B2627" s="36"/>
      <c r="G2627" s="34"/>
      <c r="H2627" s="33"/>
      <c r="I2627" s="33"/>
      <c r="J2627" s="33"/>
      <c r="K2627" s="37"/>
      <c r="L2627" s="37"/>
    </row>
    <row r="2628" spans="2:12" x14ac:dyDescent="0.2">
      <c r="B2628" s="36"/>
      <c r="G2628" s="34"/>
      <c r="H2628" s="33"/>
      <c r="I2628" s="33"/>
      <c r="J2628" s="33"/>
      <c r="K2628" s="37"/>
      <c r="L2628" s="37"/>
    </row>
    <row r="2629" spans="2:12" x14ac:dyDescent="0.2">
      <c r="B2629" s="36"/>
      <c r="G2629" s="34"/>
      <c r="H2629" s="33"/>
      <c r="I2629" s="33"/>
      <c r="J2629" s="33"/>
      <c r="K2629" s="37"/>
      <c r="L2629" s="37"/>
    </row>
    <row r="2630" spans="2:12" x14ac:dyDescent="0.2">
      <c r="B2630" s="36"/>
      <c r="G2630" s="34"/>
      <c r="H2630" s="33"/>
      <c r="I2630" s="33"/>
      <c r="J2630" s="33"/>
      <c r="K2630" s="37"/>
      <c r="L2630" s="37"/>
    </row>
    <row r="2631" spans="2:12" x14ac:dyDescent="0.2">
      <c r="B2631" s="36"/>
      <c r="G2631" s="34"/>
      <c r="H2631" s="33"/>
      <c r="I2631" s="33"/>
      <c r="J2631" s="33"/>
      <c r="K2631" s="37"/>
      <c r="L2631" s="37"/>
    </row>
    <row r="2632" spans="2:12" x14ac:dyDescent="0.2">
      <c r="B2632" s="36"/>
      <c r="G2632" s="34"/>
      <c r="H2632" s="33"/>
      <c r="I2632" s="33"/>
      <c r="J2632" s="33"/>
      <c r="K2632" s="37"/>
      <c r="L2632" s="37"/>
    </row>
    <row r="2633" spans="2:12" x14ac:dyDescent="0.2">
      <c r="B2633" s="36"/>
      <c r="G2633" s="34"/>
      <c r="H2633" s="33"/>
      <c r="I2633" s="33"/>
      <c r="J2633" s="33"/>
      <c r="K2633" s="37"/>
      <c r="L2633" s="37"/>
    </row>
    <row r="2634" spans="2:12" x14ac:dyDescent="0.2">
      <c r="B2634" s="36"/>
      <c r="G2634" s="34"/>
      <c r="H2634" s="33"/>
      <c r="I2634" s="33"/>
      <c r="J2634" s="33"/>
      <c r="K2634" s="37"/>
      <c r="L2634" s="37"/>
    </row>
    <row r="2635" spans="2:12" x14ac:dyDescent="0.2">
      <c r="B2635" s="36"/>
      <c r="G2635" s="34"/>
      <c r="H2635" s="33"/>
      <c r="I2635" s="33"/>
      <c r="J2635" s="33"/>
      <c r="K2635" s="37"/>
      <c r="L2635" s="37"/>
    </row>
    <row r="2636" spans="2:12" x14ac:dyDescent="0.2">
      <c r="B2636" s="36"/>
      <c r="G2636" s="34"/>
      <c r="H2636" s="33"/>
      <c r="I2636" s="33"/>
      <c r="J2636" s="33"/>
      <c r="K2636" s="37"/>
      <c r="L2636" s="37"/>
    </row>
    <row r="2637" spans="2:12" x14ac:dyDescent="0.2">
      <c r="B2637" s="36"/>
      <c r="G2637" s="34"/>
      <c r="H2637" s="33"/>
      <c r="I2637" s="33"/>
      <c r="J2637" s="33"/>
      <c r="K2637" s="37"/>
      <c r="L2637" s="37"/>
    </row>
    <row r="2638" spans="2:12" x14ac:dyDescent="0.2">
      <c r="B2638" s="36"/>
      <c r="G2638" s="34"/>
      <c r="H2638" s="33"/>
      <c r="I2638" s="33"/>
      <c r="J2638" s="33"/>
      <c r="K2638" s="37"/>
      <c r="L2638" s="37"/>
    </row>
    <row r="2639" spans="2:12" x14ac:dyDescent="0.2">
      <c r="B2639" s="36"/>
      <c r="G2639" s="34"/>
      <c r="H2639" s="33"/>
      <c r="I2639" s="33"/>
      <c r="J2639" s="33"/>
      <c r="K2639" s="37"/>
      <c r="L2639" s="37"/>
    </row>
    <row r="2640" spans="2:12" x14ac:dyDescent="0.2">
      <c r="B2640" s="36"/>
      <c r="G2640" s="34"/>
      <c r="H2640" s="33"/>
      <c r="I2640" s="33"/>
      <c r="J2640" s="33"/>
      <c r="K2640" s="37"/>
      <c r="L2640" s="37"/>
    </row>
    <row r="2641" spans="2:12" x14ac:dyDescent="0.2">
      <c r="B2641" s="36"/>
      <c r="G2641" s="34"/>
      <c r="H2641" s="33"/>
      <c r="I2641" s="33"/>
      <c r="J2641" s="33"/>
      <c r="K2641" s="37"/>
      <c r="L2641" s="37"/>
    </row>
    <row r="2642" spans="2:12" x14ac:dyDescent="0.2">
      <c r="B2642" s="36"/>
      <c r="G2642" s="34"/>
      <c r="H2642" s="33"/>
      <c r="I2642" s="33"/>
      <c r="J2642" s="33"/>
      <c r="K2642" s="37"/>
      <c r="L2642" s="37"/>
    </row>
    <row r="2643" spans="2:12" x14ac:dyDescent="0.2">
      <c r="B2643" s="36"/>
      <c r="G2643" s="34"/>
      <c r="H2643" s="33"/>
      <c r="I2643" s="33"/>
      <c r="J2643" s="33"/>
      <c r="K2643" s="37"/>
      <c r="L2643" s="37"/>
    </row>
    <row r="2644" spans="2:12" x14ac:dyDescent="0.2">
      <c r="B2644" s="36"/>
      <c r="G2644" s="34"/>
      <c r="H2644" s="33"/>
      <c r="I2644" s="33"/>
      <c r="J2644" s="33"/>
      <c r="K2644" s="37"/>
      <c r="L2644" s="37"/>
    </row>
    <row r="2645" spans="2:12" x14ac:dyDescent="0.2">
      <c r="B2645" s="36"/>
      <c r="G2645" s="34"/>
      <c r="H2645" s="33"/>
      <c r="I2645" s="33"/>
      <c r="J2645" s="33"/>
      <c r="K2645" s="37"/>
      <c r="L2645" s="37"/>
    </row>
    <row r="2646" spans="2:12" x14ac:dyDescent="0.2">
      <c r="B2646" s="36"/>
      <c r="G2646" s="34"/>
      <c r="H2646" s="33"/>
      <c r="I2646" s="33"/>
      <c r="J2646" s="33"/>
      <c r="K2646" s="37"/>
      <c r="L2646" s="37"/>
    </row>
    <row r="2647" spans="2:12" x14ac:dyDescent="0.2">
      <c r="B2647" s="36"/>
      <c r="G2647" s="34"/>
      <c r="H2647" s="33"/>
      <c r="I2647" s="33"/>
      <c r="J2647" s="33"/>
      <c r="K2647" s="37"/>
      <c r="L2647" s="37"/>
    </row>
    <row r="2648" spans="2:12" x14ac:dyDescent="0.2">
      <c r="B2648" s="36"/>
      <c r="G2648" s="34"/>
      <c r="H2648" s="33"/>
      <c r="I2648" s="33"/>
      <c r="J2648" s="33"/>
      <c r="K2648" s="37"/>
      <c r="L2648" s="37"/>
    </row>
    <row r="2649" spans="2:12" x14ac:dyDescent="0.2">
      <c r="B2649" s="36"/>
      <c r="G2649" s="34"/>
      <c r="H2649" s="33"/>
      <c r="I2649" s="33"/>
      <c r="J2649" s="33"/>
      <c r="K2649" s="37"/>
      <c r="L2649" s="37"/>
    </row>
    <row r="2650" spans="2:12" x14ac:dyDescent="0.2">
      <c r="B2650" s="36"/>
      <c r="G2650" s="34"/>
      <c r="H2650" s="33"/>
      <c r="I2650" s="33"/>
      <c r="J2650" s="33"/>
      <c r="K2650" s="37"/>
      <c r="L2650" s="37"/>
    </row>
    <row r="2651" spans="2:12" x14ac:dyDescent="0.2">
      <c r="B2651" s="36"/>
      <c r="G2651" s="34"/>
      <c r="H2651" s="33"/>
      <c r="I2651" s="33"/>
      <c r="J2651" s="33"/>
      <c r="K2651" s="37"/>
      <c r="L2651" s="37"/>
    </row>
    <row r="2652" spans="2:12" x14ac:dyDescent="0.2">
      <c r="B2652" s="36"/>
      <c r="G2652" s="34"/>
      <c r="H2652" s="33"/>
      <c r="I2652" s="33"/>
      <c r="J2652" s="33"/>
      <c r="K2652" s="37"/>
      <c r="L2652" s="37"/>
    </row>
    <row r="2653" spans="2:12" x14ac:dyDescent="0.2">
      <c r="B2653" s="36"/>
      <c r="G2653" s="34"/>
      <c r="H2653" s="33"/>
      <c r="I2653" s="33"/>
      <c r="J2653" s="33"/>
      <c r="K2653" s="37"/>
      <c r="L2653" s="37"/>
    </row>
    <row r="2654" spans="2:12" x14ac:dyDescent="0.2">
      <c r="B2654" s="36"/>
      <c r="G2654" s="34"/>
      <c r="H2654" s="33"/>
      <c r="I2654" s="33"/>
      <c r="J2654" s="33"/>
      <c r="K2654" s="37"/>
      <c r="L2654" s="37"/>
    </row>
    <row r="2655" spans="2:12" x14ac:dyDescent="0.2">
      <c r="B2655" s="36"/>
      <c r="G2655" s="34"/>
      <c r="H2655" s="33"/>
      <c r="I2655" s="33"/>
      <c r="J2655" s="33"/>
      <c r="K2655" s="37"/>
      <c r="L2655" s="37"/>
    </row>
    <row r="2656" spans="2:12" x14ac:dyDescent="0.2">
      <c r="B2656" s="36"/>
      <c r="G2656" s="34"/>
      <c r="H2656" s="33"/>
      <c r="I2656" s="33"/>
      <c r="J2656" s="33"/>
      <c r="K2656" s="37"/>
      <c r="L2656" s="37"/>
    </row>
    <row r="2657" spans="2:12" x14ac:dyDescent="0.2">
      <c r="B2657" s="36"/>
      <c r="G2657" s="34"/>
      <c r="H2657" s="33"/>
      <c r="I2657" s="33"/>
      <c r="J2657" s="33"/>
      <c r="K2657" s="37"/>
      <c r="L2657" s="37"/>
    </row>
    <row r="2658" spans="2:12" x14ac:dyDescent="0.2">
      <c r="B2658" s="36"/>
      <c r="G2658" s="34"/>
      <c r="H2658" s="33"/>
      <c r="I2658" s="33"/>
      <c r="J2658" s="33"/>
      <c r="K2658" s="37"/>
      <c r="L2658" s="37"/>
    </row>
    <row r="2659" spans="2:12" x14ac:dyDescent="0.2">
      <c r="B2659" s="36"/>
      <c r="G2659" s="34"/>
      <c r="H2659" s="33"/>
      <c r="I2659" s="33"/>
      <c r="J2659" s="33"/>
      <c r="K2659" s="37"/>
      <c r="L2659" s="37"/>
    </row>
    <row r="2660" spans="2:12" x14ac:dyDescent="0.2">
      <c r="B2660" s="36"/>
      <c r="G2660" s="34"/>
      <c r="H2660" s="33"/>
      <c r="I2660" s="33"/>
      <c r="J2660" s="33"/>
      <c r="K2660" s="37"/>
      <c r="L2660" s="37"/>
    </row>
    <row r="2661" spans="2:12" x14ac:dyDescent="0.2">
      <c r="B2661" s="36"/>
      <c r="G2661" s="34"/>
      <c r="H2661" s="33"/>
      <c r="I2661" s="33"/>
      <c r="J2661" s="33"/>
      <c r="K2661" s="37"/>
      <c r="L2661" s="37"/>
    </row>
    <row r="2662" spans="2:12" x14ac:dyDescent="0.2">
      <c r="B2662" s="36"/>
      <c r="G2662" s="34"/>
      <c r="H2662" s="33"/>
      <c r="I2662" s="33"/>
      <c r="J2662" s="33"/>
      <c r="K2662" s="37"/>
      <c r="L2662" s="37"/>
    </row>
    <row r="2663" spans="2:12" x14ac:dyDescent="0.2">
      <c r="B2663" s="36"/>
      <c r="G2663" s="34"/>
      <c r="H2663" s="33"/>
      <c r="I2663" s="33"/>
      <c r="J2663" s="33"/>
      <c r="K2663" s="37"/>
      <c r="L2663" s="37"/>
    </row>
    <row r="2664" spans="2:12" x14ac:dyDescent="0.2">
      <c r="B2664" s="36"/>
      <c r="G2664" s="34"/>
      <c r="H2664" s="33"/>
      <c r="I2664" s="33"/>
      <c r="J2664" s="33"/>
      <c r="K2664" s="37"/>
      <c r="L2664" s="37"/>
    </row>
    <row r="2665" spans="2:12" x14ac:dyDescent="0.2">
      <c r="B2665" s="36"/>
      <c r="G2665" s="34"/>
      <c r="H2665" s="33"/>
      <c r="I2665" s="33"/>
      <c r="J2665" s="33"/>
      <c r="K2665" s="37"/>
      <c r="L2665" s="37"/>
    </row>
    <row r="2666" spans="2:12" x14ac:dyDescent="0.2">
      <c r="B2666" s="36"/>
      <c r="G2666" s="34"/>
      <c r="H2666" s="33"/>
      <c r="I2666" s="33"/>
      <c r="J2666" s="33"/>
      <c r="K2666" s="37"/>
      <c r="L2666" s="37"/>
    </row>
    <row r="2667" spans="2:12" x14ac:dyDescent="0.2">
      <c r="B2667" s="36"/>
      <c r="G2667" s="34"/>
      <c r="H2667" s="33"/>
      <c r="I2667" s="33"/>
      <c r="J2667" s="33"/>
      <c r="K2667" s="37"/>
      <c r="L2667" s="37"/>
    </row>
    <row r="2668" spans="2:12" x14ac:dyDescent="0.2">
      <c r="B2668" s="36"/>
      <c r="G2668" s="34"/>
      <c r="H2668" s="33"/>
      <c r="I2668" s="33"/>
      <c r="J2668" s="33"/>
      <c r="K2668" s="37"/>
      <c r="L2668" s="37"/>
    </row>
    <row r="2669" spans="2:12" x14ac:dyDescent="0.2">
      <c r="B2669" s="36"/>
      <c r="G2669" s="34"/>
      <c r="H2669" s="33"/>
      <c r="I2669" s="33"/>
      <c r="J2669" s="33"/>
      <c r="K2669" s="37"/>
      <c r="L2669" s="37"/>
    </row>
    <row r="2670" spans="2:12" x14ac:dyDescent="0.2">
      <c r="B2670" s="36"/>
      <c r="G2670" s="34"/>
      <c r="H2670" s="33"/>
      <c r="I2670" s="33"/>
      <c r="J2670" s="33"/>
      <c r="K2670" s="37"/>
      <c r="L2670" s="37"/>
    </row>
    <row r="2671" spans="2:12" x14ac:dyDescent="0.2">
      <c r="B2671" s="36"/>
      <c r="G2671" s="34"/>
      <c r="H2671" s="33"/>
      <c r="I2671" s="33"/>
      <c r="J2671" s="33"/>
      <c r="K2671" s="37"/>
      <c r="L2671" s="37"/>
    </row>
    <row r="2672" spans="2:12" x14ac:dyDescent="0.2">
      <c r="B2672" s="36"/>
      <c r="G2672" s="34"/>
      <c r="H2672" s="33"/>
      <c r="I2672" s="33"/>
      <c r="J2672" s="33"/>
      <c r="K2672" s="37"/>
      <c r="L2672" s="37"/>
    </row>
    <row r="2673" spans="2:12" x14ac:dyDescent="0.2">
      <c r="B2673" s="36"/>
      <c r="G2673" s="34"/>
      <c r="H2673" s="33"/>
      <c r="I2673" s="33"/>
      <c r="J2673" s="33"/>
      <c r="K2673" s="37"/>
      <c r="L2673" s="37"/>
    </row>
    <row r="2674" spans="2:12" x14ac:dyDescent="0.2">
      <c r="B2674" s="36"/>
      <c r="G2674" s="34"/>
      <c r="H2674" s="33"/>
      <c r="I2674" s="33"/>
      <c r="J2674" s="33"/>
      <c r="K2674" s="37"/>
      <c r="L2674" s="37"/>
    </row>
    <row r="2675" spans="2:12" x14ac:dyDescent="0.2">
      <c r="B2675" s="36"/>
      <c r="G2675" s="34"/>
      <c r="H2675" s="33"/>
      <c r="I2675" s="33"/>
      <c r="J2675" s="33"/>
      <c r="K2675" s="37"/>
      <c r="L2675" s="37"/>
    </row>
    <row r="2676" spans="2:12" x14ac:dyDescent="0.2">
      <c r="B2676" s="36"/>
      <c r="G2676" s="34"/>
      <c r="H2676" s="33"/>
      <c r="I2676" s="33"/>
      <c r="J2676" s="33"/>
      <c r="K2676" s="37"/>
      <c r="L2676" s="37"/>
    </row>
    <row r="2677" spans="2:12" x14ac:dyDescent="0.2">
      <c r="B2677" s="36"/>
      <c r="G2677" s="34"/>
      <c r="H2677" s="33"/>
      <c r="I2677" s="33"/>
      <c r="J2677" s="33"/>
      <c r="K2677" s="37"/>
      <c r="L2677" s="37"/>
    </row>
    <row r="2678" spans="2:12" x14ac:dyDescent="0.2">
      <c r="B2678" s="36"/>
      <c r="G2678" s="34"/>
      <c r="H2678" s="33"/>
      <c r="I2678" s="33"/>
      <c r="J2678" s="33"/>
      <c r="K2678" s="37"/>
      <c r="L2678" s="37"/>
    </row>
    <row r="2679" spans="2:12" x14ac:dyDescent="0.2">
      <c r="B2679" s="36"/>
      <c r="G2679" s="34"/>
      <c r="H2679" s="33"/>
      <c r="I2679" s="33"/>
      <c r="J2679" s="33"/>
      <c r="K2679" s="37"/>
      <c r="L2679" s="37"/>
    </row>
    <row r="2680" spans="2:12" x14ac:dyDescent="0.2">
      <c r="B2680" s="36"/>
      <c r="G2680" s="34"/>
      <c r="H2680" s="33"/>
      <c r="I2680" s="33"/>
      <c r="J2680" s="33"/>
      <c r="K2680" s="37"/>
      <c r="L2680" s="37"/>
    </row>
    <row r="2681" spans="2:12" x14ac:dyDescent="0.2">
      <c r="B2681" s="36"/>
      <c r="G2681" s="34"/>
      <c r="H2681" s="33"/>
      <c r="I2681" s="33"/>
      <c r="J2681" s="33"/>
      <c r="K2681" s="37"/>
      <c r="L2681" s="37"/>
    </row>
    <row r="2682" spans="2:12" x14ac:dyDescent="0.2">
      <c r="B2682" s="36"/>
      <c r="G2682" s="34"/>
      <c r="H2682" s="33"/>
      <c r="I2682" s="33"/>
      <c r="J2682" s="33"/>
      <c r="K2682" s="37"/>
      <c r="L2682" s="37"/>
    </row>
    <row r="2683" spans="2:12" x14ac:dyDescent="0.2">
      <c r="B2683" s="36"/>
      <c r="G2683" s="34"/>
      <c r="H2683" s="33"/>
      <c r="I2683" s="33"/>
      <c r="J2683" s="33"/>
      <c r="K2683" s="37"/>
      <c r="L2683" s="37"/>
    </row>
    <row r="2684" spans="2:12" x14ac:dyDescent="0.2">
      <c r="B2684" s="36"/>
      <c r="G2684" s="34"/>
      <c r="H2684" s="33"/>
      <c r="I2684" s="33"/>
      <c r="J2684" s="33"/>
      <c r="K2684" s="37"/>
      <c r="L2684" s="37"/>
    </row>
    <row r="2685" spans="2:12" x14ac:dyDescent="0.2">
      <c r="B2685" s="36"/>
      <c r="G2685" s="34"/>
      <c r="H2685" s="33"/>
      <c r="I2685" s="33"/>
      <c r="J2685" s="33"/>
      <c r="K2685" s="37"/>
      <c r="L2685" s="37"/>
    </row>
    <row r="2686" spans="2:12" x14ac:dyDescent="0.2">
      <c r="B2686" s="36"/>
      <c r="G2686" s="34"/>
      <c r="H2686" s="33"/>
      <c r="I2686" s="33"/>
      <c r="J2686" s="33"/>
      <c r="K2686" s="37"/>
      <c r="L2686" s="37"/>
    </row>
    <row r="2687" spans="2:12" x14ac:dyDescent="0.2">
      <c r="B2687" s="36"/>
      <c r="G2687" s="34"/>
      <c r="H2687" s="33"/>
      <c r="I2687" s="33"/>
      <c r="J2687" s="33"/>
      <c r="K2687" s="37"/>
      <c r="L2687" s="37"/>
    </row>
    <row r="2688" spans="2:12" x14ac:dyDescent="0.2">
      <c r="B2688" s="36"/>
      <c r="G2688" s="34"/>
      <c r="H2688" s="33"/>
      <c r="I2688" s="33"/>
      <c r="J2688" s="33"/>
      <c r="K2688" s="37"/>
      <c r="L2688" s="37"/>
    </row>
    <row r="2689" spans="2:12" x14ac:dyDescent="0.2">
      <c r="B2689" s="36"/>
      <c r="G2689" s="34"/>
      <c r="H2689" s="33"/>
      <c r="I2689" s="33"/>
      <c r="J2689" s="33"/>
      <c r="K2689" s="37"/>
      <c r="L2689" s="37"/>
    </row>
    <row r="2690" spans="2:12" x14ac:dyDescent="0.2">
      <c r="B2690" s="36"/>
      <c r="G2690" s="34"/>
      <c r="H2690" s="33"/>
      <c r="I2690" s="33"/>
      <c r="J2690" s="33"/>
      <c r="K2690" s="37"/>
      <c r="L2690" s="37"/>
    </row>
    <row r="2691" spans="2:12" x14ac:dyDescent="0.2">
      <c r="B2691" s="36"/>
      <c r="G2691" s="34"/>
      <c r="H2691" s="33"/>
      <c r="I2691" s="33"/>
      <c r="J2691" s="33"/>
      <c r="K2691" s="37"/>
      <c r="L2691" s="37"/>
    </row>
    <row r="2692" spans="2:12" x14ac:dyDescent="0.2">
      <c r="B2692" s="36"/>
      <c r="G2692" s="34"/>
      <c r="H2692" s="33"/>
      <c r="I2692" s="33"/>
      <c r="J2692" s="33"/>
      <c r="K2692" s="37"/>
      <c r="L2692" s="37"/>
    </row>
    <row r="2693" spans="2:12" x14ac:dyDescent="0.2">
      <c r="B2693" s="36"/>
      <c r="G2693" s="34"/>
      <c r="H2693" s="33"/>
      <c r="I2693" s="33"/>
      <c r="J2693" s="33"/>
      <c r="K2693" s="37"/>
      <c r="L2693" s="37"/>
    </row>
    <row r="2694" spans="2:12" x14ac:dyDescent="0.2">
      <c r="B2694" s="36"/>
      <c r="G2694" s="34"/>
      <c r="H2694" s="33"/>
      <c r="I2694" s="33"/>
      <c r="J2694" s="33"/>
      <c r="K2694" s="37"/>
      <c r="L2694" s="37"/>
    </row>
    <row r="2695" spans="2:12" x14ac:dyDescent="0.2">
      <c r="B2695" s="36"/>
      <c r="G2695" s="34"/>
      <c r="H2695" s="33"/>
      <c r="I2695" s="33"/>
      <c r="J2695" s="33"/>
      <c r="K2695" s="37"/>
      <c r="L2695" s="37"/>
    </row>
    <row r="2696" spans="2:12" x14ac:dyDescent="0.2">
      <c r="B2696" s="36"/>
      <c r="G2696" s="34"/>
      <c r="H2696" s="33"/>
      <c r="I2696" s="33"/>
      <c r="J2696" s="33"/>
      <c r="K2696" s="37"/>
      <c r="L2696" s="37"/>
    </row>
    <row r="2697" spans="2:12" x14ac:dyDescent="0.2">
      <c r="B2697" s="36"/>
      <c r="G2697" s="34"/>
      <c r="H2697" s="33"/>
      <c r="I2697" s="33"/>
      <c r="J2697" s="33"/>
      <c r="K2697" s="37"/>
      <c r="L2697" s="37"/>
    </row>
    <row r="2698" spans="2:12" x14ac:dyDescent="0.2">
      <c r="B2698" s="36"/>
      <c r="G2698" s="34"/>
      <c r="H2698" s="33"/>
      <c r="I2698" s="33"/>
      <c r="J2698" s="33"/>
      <c r="K2698" s="37"/>
      <c r="L2698" s="37"/>
    </row>
    <row r="2699" spans="2:12" x14ac:dyDescent="0.2">
      <c r="B2699" s="36"/>
      <c r="G2699" s="34"/>
      <c r="H2699" s="33"/>
      <c r="I2699" s="33"/>
      <c r="J2699" s="33"/>
      <c r="K2699" s="37"/>
      <c r="L2699" s="37"/>
    </row>
    <row r="2700" spans="2:12" x14ac:dyDescent="0.2">
      <c r="B2700" s="36"/>
      <c r="G2700" s="34"/>
      <c r="H2700" s="33"/>
      <c r="I2700" s="33"/>
      <c r="J2700" s="33"/>
      <c r="K2700" s="37"/>
      <c r="L2700" s="37"/>
    </row>
    <row r="2701" spans="2:12" x14ac:dyDescent="0.2">
      <c r="B2701" s="36"/>
      <c r="G2701" s="34"/>
      <c r="H2701" s="33"/>
      <c r="I2701" s="33"/>
      <c r="J2701" s="33"/>
      <c r="K2701" s="37"/>
      <c r="L2701" s="37"/>
    </row>
    <row r="2702" spans="2:12" x14ac:dyDescent="0.2">
      <c r="B2702" s="36"/>
      <c r="G2702" s="34"/>
      <c r="H2702" s="33"/>
      <c r="I2702" s="33"/>
      <c r="J2702" s="33"/>
      <c r="K2702" s="37"/>
      <c r="L2702" s="37"/>
    </row>
    <row r="2703" spans="2:12" x14ac:dyDescent="0.2">
      <c r="B2703" s="36"/>
      <c r="G2703" s="34"/>
      <c r="H2703" s="33"/>
      <c r="I2703" s="33"/>
      <c r="J2703" s="33"/>
      <c r="K2703" s="37"/>
      <c r="L2703" s="37"/>
    </row>
    <row r="2704" spans="2:12" x14ac:dyDescent="0.2">
      <c r="B2704" s="36"/>
      <c r="G2704" s="34"/>
      <c r="H2704" s="33"/>
      <c r="I2704" s="33"/>
      <c r="J2704" s="33"/>
      <c r="K2704" s="37"/>
      <c r="L2704" s="37"/>
    </row>
    <row r="2705" spans="2:12" x14ac:dyDescent="0.2">
      <c r="B2705" s="36"/>
      <c r="G2705" s="34"/>
      <c r="H2705" s="33"/>
      <c r="I2705" s="33"/>
      <c r="J2705" s="33"/>
      <c r="K2705" s="37"/>
      <c r="L2705" s="37"/>
    </row>
    <row r="2706" spans="2:12" x14ac:dyDescent="0.2">
      <c r="B2706" s="36"/>
      <c r="G2706" s="34"/>
      <c r="H2706" s="33"/>
      <c r="I2706" s="33"/>
      <c r="J2706" s="33"/>
      <c r="K2706" s="37"/>
      <c r="L2706" s="37"/>
    </row>
    <row r="2707" spans="2:12" x14ac:dyDescent="0.2">
      <c r="B2707" s="36"/>
      <c r="G2707" s="34"/>
      <c r="H2707" s="33"/>
      <c r="I2707" s="33"/>
      <c r="J2707" s="33"/>
      <c r="K2707" s="37"/>
      <c r="L2707" s="37"/>
    </row>
    <row r="2708" spans="2:12" x14ac:dyDescent="0.2">
      <c r="B2708" s="36"/>
      <c r="G2708" s="34"/>
      <c r="H2708" s="33"/>
      <c r="I2708" s="33"/>
      <c r="J2708" s="33"/>
      <c r="K2708" s="37"/>
      <c r="L2708" s="37"/>
    </row>
    <row r="2709" spans="2:12" x14ac:dyDescent="0.2">
      <c r="B2709" s="36"/>
      <c r="G2709" s="34"/>
      <c r="H2709" s="33"/>
      <c r="I2709" s="33"/>
      <c r="J2709" s="33"/>
      <c r="K2709" s="37"/>
      <c r="L2709" s="37"/>
    </row>
    <row r="2710" spans="2:12" x14ac:dyDescent="0.2">
      <c r="B2710" s="36"/>
      <c r="G2710" s="34"/>
      <c r="H2710" s="33"/>
      <c r="I2710" s="33"/>
      <c r="J2710" s="33"/>
      <c r="K2710" s="37"/>
      <c r="L2710" s="37"/>
    </row>
    <row r="2711" spans="2:12" x14ac:dyDescent="0.2">
      <c r="B2711" s="36"/>
      <c r="G2711" s="34"/>
      <c r="H2711" s="33"/>
      <c r="I2711" s="33"/>
      <c r="J2711" s="33"/>
      <c r="K2711" s="37"/>
      <c r="L2711" s="37"/>
    </row>
    <row r="2712" spans="2:12" x14ac:dyDescent="0.2">
      <c r="B2712" s="36"/>
      <c r="G2712" s="34"/>
      <c r="H2712" s="33"/>
      <c r="I2712" s="33"/>
      <c r="J2712" s="33"/>
      <c r="K2712" s="37"/>
      <c r="L2712" s="37"/>
    </row>
    <row r="2713" spans="2:12" x14ac:dyDescent="0.2">
      <c r="B2713" s="36"/>
      <c r="G2713" s="34"/>
      <c r="H2713" s="33"/>
      <c r="I2713" s="33"/>
      <c r="J2713" s="33"/>
      <c r="K2713" s="37"/>
      <c r="L2713" s="37"/>
    </row>
    <row r="2714" spans="2:12" x14ac:dyDescent="0.2">
      <c r="B2714" s="36"/>
      <c r="G2714" s="34"/>
      <c r="H2714" s="33"/>
      <c r="I2714" s="33"/>
      <c r="J2714" s="33"/>
      <c r="K2714" s="37"/>
      <c r="L2714" s="37"/>
    </row>
    <row r="2715" spans="2:12" x14ac:dyDescent="0.2">
      <c r="B2715" s="36"/>
      <c r="G2715" s="34"/>
      <c r="H2715" s="33"/>
      <c r="I2715" s="33"/>
      <c r="J2715" s="33"/>
      <c r="K2715" s="37"/>
      <c r="L2715" s="37"/>
    </row>
    <row r="2716" spans="2:12" x14ac:dyDescent="0.2">
      <c r="B2716" s="36"/>
      <c r="G2716" s="34"/>
      <c r="H2716" s="33"/>
      <c r="I2716" s="33"/>
      <c r="J2716" s="33"/>
      <c r="K2716" s="37"/>
      <c r="L2716" s="37"/>
    </row>
    <row r="2717" spans="2:12" x14ac:dyDescent="0.2">
      <c r="B2717" s="36"/>
      <c r="G2717" s="34"/>
      <c r="H2717" s="33"/>
      <c r="I2717" s="33"/>
      <c r="J2717" s="33"/>
      <c r="K2717" s="37"/>
      <c r="L2717" s="37"/>
    </row>
    <row r="2718" spans="2:12" x14ac:dyDescent="0.2">
      <c r="B2718" s="36"/>
      <c r="G2718" s="34"/>
      <c r="H2718" s="33"/>
      <c r="I2718" s="33"/>
      <c r="J2718" s="33"/>
      <c r="K2718" s="37"/>
      <c r="L2718" s="37"/>
    </row>
    <row r="2719" spans="2:12" x14ac:dyDescent="0.2">
      <c r="B2719" s="36"/>
      <c r="G2719" s="34"/>
      <c r="H2719" s="33"/>
      <c r="I2719" s="33"/>
      <c r="J2719" s="33"/>
      <c r="K2719" s="37"/>
      <c r="L2719" s="37"/>
    </row>
    <row r="2720" spans="2:12" x14ac:dyDescent="0.2">
      <c r="B2720" s="36"/>
      <c r="G2720" s="34"/>
      <c r="H2720" s="33"/>
      <c r="I2720" s="33"/>
      <c r="J2720" s="33"/>
      <c r="K2720" s="37"/>
      <c r="L2720" s="37"/>
    </row>
    <row r="2721" spans="2:12" x14ac:dyDescent="0.2">
      <c r="B2721" s="36"/>
      <c r="G2721" s="34"/>
      <c r="H2721" s="33"/>
      <c r="I2721" s="33"/>
      <c r="J2721" s="33"/>
      <c r="K2721" s="37"/>
      <c r="L2721" s="37"/>
    </row>
    <row r="2722" spans="2:12" x14ac:dyDescent="0.2">
      <c r="B2722" s="36"/>
      <c r="G2722" s="34"/>
      <c r="H2722" s="33"/>
      <c r="I2722" s="33"/>
      <c r="J2722" s="33"/>
      <c r="K2722" s="37"/>
      <c r="L2722" s="37"/>
    </row>
    <row r="2723" spans="2:12" x14ac:dyDescent="0.2">
      <c r="B2723" s="36"/>
      <c r="G2723" s="34"/>
      <c r="H2723" s="33"/>
      <c r="I2723" s="33"/>
      <c r="J2723" s="33"/>
      <c r="K2723" s="37"/>
      <c r="L2723" s="37"/>
    </row>
    <row r="2724" spans="2:12" x14ac:dyDescent="0.2">
      <c r="B2724" s="36"/>
      <c r="G2724" s="34"/>
      <c r="H2724" s="33"/>
      <c r="I2724" s="33"/>
      <c r="J2724" s="33"/>
      <c r="K2724" s="37"/>
      <c r="L2724" s="37"/>
    </row>
    <row r="2725" spans="2:12" x14ac:dyDescent="0.2">
      <c r="B2725" s="36"/>
      <c r="G2725" s="34"/>
      <c r="H2725" s="33"/>
      <c r="I2725" s="33"/>
      <c r="J2725" s="33"/>
      <c r="K2725" s="37"/>
      <c r="L2725" s="37"/>
    </row>
    <row r="2726" spans="2:12" x14ac:dyDescent="0.2">
      <c r="B2726" s="36"/>
      <c r="G2726" s="34"/>
      <c r="H2726" s="33"/>
      <c r="I2726" s="33"/>
      <c r="J2726" s="33"/>
      <c r="K2726" s="37"/>
      <c r="L2726" s="37"/>
    </row>
    <row r="2727" spans="2:12" x14ac:dyDescent="0.2">
      <c r="B2727" s="36"/>
      <c r="G2727" s="34"/>
      <c r="H2727" s="33"/>
      <c r="I2727" s="33"/>
      <c r="J2727" s="33"/>
      <c r="K2727" s="37"/>
      <c r="L2727" s="37"/>
    </row>
    <row r="2728" spans="2:12" x14ac:dyDescent="0.2">
      <c r="B2728" s="36"/>
      <c r="G2728" s="34"/>
      <c r="H2728" s="33"/>
      <c r="I2728" s="33"/>
      <c r="J2728" s="33"/>
      <c r="K2728" s="37"/>
      <c r="L2728" s="37"/>
    </row>
    <row r="2729" spans="2:12" x14ac:dyDescent="0.2">
      <c r="B2729" s="36"/>
      <c r="G2729" s="34"/>
      <c r="H2729" s="33"/>
      <c r="I2729" s="33"/>
      <c r="J2729" s="33"/>
      <c r="K2729" s="37"/>
      <c r="L2729" s="37"/>
    </row>
    <row r="2730" spans="2:12" x14ac:dyDescent="0.2">
      <c r="B2730" s="36"/>
      <c r="G2730" s="34"/>
      <c r="H2730" s="33"/>
      <c r="I2730" s="33"/>
      <c r="J2730" s="33"/>
      <c r="K2730" s="37"/>
      <c r="L2730" s="37"/>
    </row>
    <row r="2731" spans="2:12" x14ac:dyDescent="0.2">
      <c r="B2731" s="36"/>
      <c r="G2731" s="34"/>
      <c r="H2731" s="33"/>
      <c r="I2731" s="33"/>
      <c r="J2731" s="33"/>
      <c r="K2731" s="37"/>
      <c r="L2731" s="37"/>
    </row>
    <row r="2732" spans="2:12" x14ac:dyDescent="0.2">
      <c r="B2732" s="36"/>
      <c r="G2732" s="34"/>
      <c r="H2732" s="33"/>
      <c r="I2732" s="33"/>
      <c r="J2732" s="33"/>
      <c r="K2732" s="37"/>
      <c r="L2732" s="37"/>
    </row>
    <row r="2733" spans="2:12" x14ac:dyDescent="0.2">
      <c r="B2733" s="36"/>
      <c r="G2733" s="34"/>
      <c r="H2733" s="33"/>
      <c r="I2733" s="33"/>
      <c r="J2733" s="33"/>
      <c r="K2733" s="37"/>
      <c r="L2733" s="37"/>
    </row>
    <row r="2734" spans="2:12" x14ac:dyDescent="0.2">
      <c r="B2734" s="36"/>
      <c r="G2734" s="34"/>
      <c r="H2734" s="33"/>
      <c r="I2734" s="33"/>
      <c r="J2734" s="33"/>
      <c r="K2734" s="37"/>
      <c r="L2734" s="37"/>
    </row>
    <row r="2735" spans="2:12" x14ac:dyDescent="0.2">
      <c r="B2735" s="36"/>
      <c r="G2735" s="34"/>
      <c r="H2735" s="33"/>
      <c r="I2735" s="33"/>
      <c r="J2735" s="33"/>
      <c r="K2735" s="37"/>
      <c r="L2735" s="37"/>
    </row>
    <row r="2736" spans="2:12" x14ac:dyDescent="0.2">
      <c r="B2736" s="36"/>
      <c r="G2736" s="34"/>
      <c r="H2736" s="33"/>
      <c r="I2736" s="33"/>
      <c r="J2736" s="33"/>
      <c r="K2736" s="37"/>
      <c r="L2736" s="37"/>
    </row>
    <row r="2737" spans="2:12" x14ac:dyDescent="0.2">
      <c r="B2737" s="36"/>
      <c r="G2737" s="34"/>
      <c r="H2737" s="33"/>
      <c r="I2737" s="33"/>
      <c r="J2737" s="33"/>
      <c r="K2737" s="37"/>
      <c r="L2737" s="37"/>
    </row>
    <row r="2738" spans="2:12" x14ac:dyDescent="0.2">
      <c r="B2738" s="36"/>
      <c r="G2738" s="34"/>
      <c r="H2738" s="33"/>
      <c r="I2738" s="33"/>
      <c r="J2738" s="33"/>
      <c r="K2738" s="37"/>
      <c r="L2738" s="37"/>
    </row>
    <row r="2739" spans="2:12" x14ac:dyDescent="0.2">
      <c r="B2739" s="36"/>
      <c r="G2739" s="34"/>
      <c r="H2739" s="33"/>
      <c r="I2739" s="33"/>
      <c r="J2739" s="33"/>
      <c r="K2739" s="37"/>
      <c r="L2739" s="37"/>
    </row>
    <row r="2740" spans="2:12" x14ac:dyDescent="0.2">
      <c r="B2740" s="36"/>
      <c r="G2740" s="34"/>
      <c r="H2740" s="33"/>
      <c r="I2740" s="33"/>
      <c r="J2740" s="33"/>
      <c r="K2740" s="37"/>
      <c r="L2740" s="37"/>
    </row>
    <row r="2741" spans="2:12" x14ac:dyDescent="0.2">
      <c r="B2741" s="36"/>
      <c r="G2741" s="34"/>
      <c r="H2741" s="33"/>
      <c r="I2741" s="33"/>
      <c r="J2741" s="33"/>
      <c r="K2741" s="37"/>
      <c r="L2741" s="37"/>
    </row>
    <row r="2742" spans="2:12" x14ac:dyDescent="0.2">
      <c r="B2742" s="36"/>
      <c r="G2742" s="34"/>
      <c r="H2742" s="33"/>
      <c r="I2742" s="33"/>
      <c r="J2742" s="33"/>
      <c r="K2742" s="37"/>
      <c r="L2742" s="37"/>
    </row>
    <row r="2743" spans="2:12" x14ac:dyDescent="0.2">
      <c r="B2743" s="36"/>
      <c r="G2743" s="34"/>
      <c r="H2743" s="33"/>
      <c r="I2743" s="33"/>
      <c r="J2743" s="33"/>
      <c r="K2743" s="37"/>
      <c r="L2743" s="37"/>
    </row>
    <row r="2744" spans="2:12" x14ac:dyDescent="0.2">
      <c r="B2744" s="36"/>
      <c r="G2744" s="34"/>
      <c r="H2744" s="33"/>
      <c r="I2744" s="33"/>
      <c r="J2744" s="33"/>
      <c r="K2744" s="37"/>
      <c r="L2744" s="37"/>
    </row>
    <row r="2745" spans="2:12" x14ac:dyDescent="0.2">
      <c r="B2745" s="36"/>
      <c r="G2745" s="34"/>
      <c r="H2745" s="33"/>
      <c r="I2745" s="33"/>
      <c r="J2745" s="33"/>
      <c r="K2745" s="37"/>
      <c r="L2745" s="37"/>
    </row>
    <row r="2746" spans="2:12" x14ac:dyDescent="0.2">
      <c r="B2746" s="36"/>
      <c r="G2746" s="34"/>
      <c r="H2746" s="33"/>
      <c r="I2746" s="33"/>
      <c r="J2746" s="33"/>
      <c r="K2746" s="37"/>
      <c r="L2746" s="37"/>
    </row>
    <row r="2747" spans="2:12" x14ac:dyDescent="0.2">
      <c r="B2747" s="36"/>
      <c r="G2747" s="34"/>
      <c r="H2747" s="33"/>
      <c r="I2747" s="33"/>
      <c r="J2747" s="33"/>
      <c r="K2747" s="37"/>
      <c r="L2747" s="37"/>
    </row>
    <row r="2748" spans="2:12" x14ac:dyDescent="0.2">
      <c r="B2748" s="36"/>
      <c r="G2748" s="34"/>
      <c r="H2748" s="33"/>
      <c r="I2748" s="33"/>
      <c r="J2748" s="33"/>
      <c r="K2748" s="37"/>
      <c r="L2748" s="37"/>
    </row>
    <row r="2749" spans="2:12" x14ac:dyDescent="0.2">
      <c r="B2749" s="36"/>
      <c r="G2749" s="34"/>
      <c r="H2749" s="33"/>
      <c r="I2749" s="33"/>
      <c r="J2749" s="33"/>
      <c r="K2749" s="37"/>
      <c r="L2749" s="37"/>
    </row>
    <row r="2750" spans="2:12" x14ac:dyDescent="0.2">
      <c r="B2750" s="36"/>
      <c r="G2750" s="34"/>
      <c r="H2750" s="33"/>
      <c r="I2750" s="33"/>
      <c r="J2750" s="33"/>
      <c r="K2750" s="37"/>
      <c r="L2750" s="37"/>
    </row>
    <row r="2751" spans="2:12" x14ac:dyDescent="0.2">
      <c r="B2751" s="36"/>
      <c r="G2751" s="34"/>
      <c r="H2751" s="33"/>
      <c r="I2751" s="33"/>
      <c r="J2751" s="33"/>
      <c r="K2751" s="37"/>
      <c r="L2751" s="37"/>
    </row>
    <row r="2752" spans="2:12" x14ac:dyDescent="0.2">
      <c r="B2752" s="36"/>
      <c r="G2752" s="34"/>
      <c r="H2752" s="33"/>
      <c r="I2752" s="33"/>
      <c r="J2752" s="33"/>
      <c r="K2752" s="37"/>
      <c r="L2752" s="37"/>
    </row>
    <row r="2753" spans="2:12" x14ac:dyDescent="0.2">
      <c r="B2753" s="36"/>
      <c r="G2753" s="34"/>
      <c r="H2753" s="33"/>
      <c r="I2753" s="33"/>
      <c r="J2753" s="33"/>
      <c r="K2753" s="37"/>
      <c r="L2753" s="37"/>
    </row>
    <row r="2754" spans="2:12" x14ac:dyDescent="0.2">
      <c r="B2754" s="36"/>
      <c r="G2754" s="34"/>
      <c r="H2754" s="33"/>
      <c r="I2754" s="33"/>
      <c r="J2754" s="33"/>
      <c r="K2754" s="37"/>
      <c r="L2754" s="37"/>
    </row>
    <row r="2755" spans="2:12" x14ac:dyDescent="0.2">
      <c r="B2755" s="36"/>
      <c r="G2755" s="34"/>
      <c r="H2755" s="33"/>
      <c r="I2755" s="33"/>
      <c r="J2755" s="33"/>
      <c r="K2755" s="37"/>
      <c r="L2755" s="37"/>
    </row>
    <row r="2756" spans="2:12" x14ac:dyDescent="0.2">
      <c r="B2756" s="36"/>
      <c r="G2756" s="34"/>
      <c r="H2756" s="33"/>
      <c r="I2756" s="33"/>
      <c r="J2756" s="33"/>
      <c r="K2756" s="37"/>
      <c r="L2756" s="37"/>
    </row>
    <row r="2757" spans="2:12" x14ac:dyDescent="0.2">
      <c r="B2757" s="36"/>
      <c r="G2757" s="34"/>
      <c r="H2757" s="33"/>
      <c r="I2757" s="33"/>
      <c r="J2757" s="33"/>
      <c r="K2757" s="37"/>
      <c r="L2757" s="37"/>
    </row>
    <row r="2758" spans="2:12" x14ac:dyDescent="0.2">
      <c r="B2758" s="36"/>
      <c r="G2758" s="34"/>
      <c r="H2758" s="33"/>
      <c r="I2758" s="33"/>
      <c r="J2758" s="33"/>
      <c r="K2758" s="37"/>
      <c r="L2758" s="37"/>
    </row>
    <row r="2759" spans="2:12" x14ac:dyDescent="0.2">
      <c r="B2759" s="36"/>
      <c r="G2759" s="34"/>
      <c r="H2759" s="33"/>
      <c r="I2759" s="33"/>
      <c r="J2759" s="33"/>
      <c r="K2759" s="37"/>
      <c r="L2759" s="37"/>
    </row>
    <row r="2760" spans="2:12" x14ac:dyDescent="0.2">
      <c r="B2760" s="36"/>
      <c r="G2760" s="34"/>
      <c r="H2760" s="33"/>
      <c r="I2760" s="33"/>
      <c r="J2760" s="33"/>
      <c r="K2760" s="37"/>
      <c r="L2760" s="37"/>
    </row>
    <row r="2761" spans="2:12" x14ac:dyDescent="0.2">
      <c r="B2761" s="36"/>
      <c r="G2761" s="34"/>
      <c r="H2761" s="33"/>
      <c r="I2761" s="33"/>
      <c r="J2761" s="33"/>
      <c r="K2761" s="37"/>
      <c r="L2761" s="37"/>
    </row>
    <row r="2762" spans="2:12" x14ac:dyDescent="0.2">
      <c r="B2762" s="36"/>
      <c r="G2762" s="34"/>
      <c r="H2762" s="33"/>
      <c r="I2762" s="33"/>
      <c r="J2762" s="33"/>
      <c r="K2762" s="37"/>
      <c r="L2762" s="37"/>
    </row>
    <row r="2763" spans="2:12" x14ac:dyDescent="0.2">
      <c r="B2763" s="36"/>
      <c r="G2763" s="34"/>
      <c r="H2763" s="33"/>
      <c r="I2763" s="33"/>
      <c r="J2763" s="33"/>
      <c r="K2763" s="37"/>
      <c r="L2763" s="37"/>
    </row>
    <row r="2764" spans="2:12" x14ac:dyDescent="0.2">
      <c r="B2764" s="36"/>
      <c r="G2764" s="34"/>
      <c r="H2764" s="33"/>
      <c r="I2764" s="33"/>
      <c r="J2764" s="33"/>
      <c r="K2764" s="37"/>
      <c r="L2764" s="37"/>
    </row>
    <row r="2765" spans="2:12" x14ac:dyDescent="0.2">
      <c r="B2765" s="36"/>
      <c r="G2765" s="34"/>
      <c r="H2765" s="33"/>
      <c r="I2765" s="33"/>
      <c r="J2765" s="33"/>
      <c r="K2765" s="37"/>
      <c r="L2765" s="37"/>
    </row>
    <row r="2766" spans="2:12" x14ac:dyDescent="0.2">
      <c r="B2766" s="36"/>
      <c r="G2766" s="34"/>
      <c r="H2766" s="33"/>
      <c r="I2766" s="33"/>
      <c r="J2766" s="33"/>
      <c r="K2766" s="37"/>
      <c r="L2766" s="37"/>
    </row>
    <row r="2767" spans="2:12" x14ac:dyDescent="0.2">
      <c r="B2767" s="36"/>
      <c r="G2767" s="34"/>
      <c r="H2767" s="33"/>
      <c r="I2767" s="33"/>
      <c r="J2767" s="33"/>
      <c r="K2767" s="37"/>
      <c r="L2767" s="37"/>
    </row>
    <row r="2768" spans="2:12" x14ac:dyDescent="0.2">
      <c r="B2768" s="36"/>
      <c r="G2768" s="34"/>
      <c r="H2768" s="33"/>
      <c r="I2768" s="33"/>
      <c r="J2768" s="33"/>
      <c r="K2768" s="37"/>
      <c r="L2768" s="37"/>
    </row>
    <row r="2769" spans="2:12" x14ac:dyDescent="0.2">
      <c r="B2769" s="36"/>
      <c r="G2769" s="34"/>
      <c r="H2769" s="33"/>
      <c r="I2769" s="33"/>
      <c r="J2769" s="33"/>
      <c r="K2769" s="37"/>
      <c r="L2769" s="37"/>
    </row>
    <row r="2770" spans="2:12" x14ac:dyDescent="0.2">
      <c r="B2770" s="36"/>
      <c r="G2770" s="34"/>
      <c r="H2770" s="33"/>
      <c r="I2770" s="33"/>
      <c r="J2770" s="33"/>
      <c r="K2770" s="37"/>
      <c r="L2770" s="37"/>
    </row>
    <row r="2771" spans="2:12" x14ac:dyDescent="0.2">
      <c r="B2771" s="36"/>
      <c r="G2771" s="34"/>
      <c r="H2771" s="33"/>
      <c r="I2771" s="33"/>
      <c r="J2771" s="33"/>
      <c r="K2771" s="37"/>
      <c r="L2771" s="37"/>
    </row>
    <row r="2772" spans="2:12" x14ac:dyDescent="0.2">
      <c r="B2772" s="36"/>
      <c r="G2772" s="34"/>
      <c r="H2772" s="33"/>
      <c r="I2772" s="33"/>
      <c r="J2772" s="33"/>
      <c r="K2772" s="37"/>
      <c r="L2772" s="37"/>
    </row>
    <row r="2773" spans="2:12" x14ac:dyDescent="0.2">
      <c r="B2773" s="36"/>
      <c r="G2773" s="34"/>
      <c r="H2773" s="33"/>
      <c r="I2773" s="33"/>
      <c r="J2773" s="33"/>
      <c r="K2773" s="37"/>
      <c r="L2773" s="37"/>
    </row>
    <row r="2774" spans="2:12" x14ac:dyDescent="0.2">
      <c r="B2774" s="36"/>
      <c r="G2774" s="34"/>
      <c r="H2774" s="33"/>
      <c r="I2774" s="33"/>
      <c r="J2774" s="33"/>
      <c r="K2774" s="37"/>
      <c r="L2774" s="37"/>
    </row>
    <row r="2775" spans="2:12" x14ac:dyDescent="0.2">
      <c r="B2775" s="36"/>
      <c r="G2775" s="34"/>
      <c r="H2775" s="33"/>
      <c r="I2775" s="33"/>
      <c r="J2775" s="33"/>
      <c r="K2775" s="37"/>
      <c r="L2775" s="37"/>
    </row>
    <row r="2776" spans="2:12" x14ac:dyDescent="0.2">
      <c r="B2776" s="36"/>
      <c r="G2776" s="34"/>
      <c r="H2776" s="33"/>
      <c r="I2776" s="33"/>
      <c r="J2776" s="33"/>
      <c r="K2776" s="37"/>
      <c r="L2776" s="37"/>
    </row>
    <row r="2777" spans="2:12" x14ac:dyDescent="0.2">
      <c r="B2777" s="36"/>
      <c r="G2777" s="34"/>
      <c r="H2777" s="33"/>
      <c r="I2777" s="33"/>
      <c r="J2777" s="33"/>
      <c r="K2777" s="37"/>
      <c r="L2777" s="37"/>
    </row>
    <row r="2778" spans="2:12" x14ac:dyDescent="0.2">
      <c r="B2778" s="36"/>
      <c r="G2778" s="34"/>
      <c r="H2778" s="33"/>
      <c r="I2778" s="33"/>
      <c r="J2778" s="33"/>
      <c r="K2778" s="37"/>
      <c r="L2778" s="37"/>
    </row>
    <row r="2779" spans="2:12" x14ac:dyDescent="0.2">
      <c r="B2779" s="36"/>
      <c r="G2779" s="34"/>
      <c r="H2779" s="33"/>
      <c r="I2779" s="33"/>
      <c r="J2779" s="33"/>
      <c r="K2779" s="37"/>
      <c r="L2779" s="37"/>
    </row>
    <row r="2780" spans="2:12" x14ac:dyDescent="0.2">
      <c r="B2780" s="36"/>
      <c r="G2780" s="34"/>
      <c r="H2780" s="33"/>
      <c r="I2780" s="33"/>
      <c r="J2780" s="33"/>
      <c r="K2780" s="37"/>
      <c r="L2780" s="37"/>
    </row>
    <row r="2781" spans="2:12" x14ac:dyDescent="0.2">
      <c r="B2781" s="36"/>
      <c r="G2781" s="34"/>
      <c r="H2781" s="33"/>
      <c r="I2781" s="33"/>
      <c r="J2781" s="33"/>
      <c r="K2781" s="37"/>
      <c r="L2781" s="37"/>
    </row>
    <row r="2782" spans="2:12" x14ac:dyDescent="0.2">
      <c r="B2782" s="36"/>
      <c r="G2782" s="34"/>
      <c r="H2782" s="33"/>
      <c r="I2782" s="33"/>
      <c r="J2782" s="33"/>
      <c r="K2782" s="37"/>
      <c r="L2782" s="37"/>
    </row>
    <row r="2783" spans="2:12" x14ac:dyDescent="0.2">
      <c r="B2783" s="36"/>
      <c r="G2783" s="34"/>
      <c r="H2783" s="33"/>
      <c r="I2783" s="33"/>
      <c r="J2783" s="33"/>
      <c r="K2783" s="37"/>
      <c r="L2783" s="37"/>
    </row>
    <row r="2784" spans="2:12" x14ac:dyDescent="0.2">
      <c r="B2784" s="36"/>
      <c r="G2784" s="34"/>
      <c r="H2784" s="33"/>
      <c r="I2784" s="33"/>
      <c r="J2784" s="33"/>
      <c r="K2784" s="37"/>
      <c r="L2784" s="37"/>
    </row>
    <row r="2785" spans="2:12" x14ac:dyDescent="0.2">
      <c r="B2785" s="36"/>
      <c r="G2785" s="34"/>
      <c r="H2785" s="33"/>
      <c r="I2785" s="33"/>
      <c r="J2785" s="33"/>
      <c r="K2785" s="37"/>
      <c r="L2785" s="37"/>
    </row>
    <row r="2786" spans="2:12" x14ac:dyDescent="0.2">
      <c r="B2786" s="36"/>
      <c r="G2786" s="34"/>
      <c r="H2786" s="33"/>
      <c r="I2786" s="33"/>
      <c r="J2786" s="33"/>
      <c r="K2786" s="37"/>
      <c r="L2786" s="37"/>
    </row>
    <row r="2787" spans="2:12" x14ac:dyDescent="0.2">
      <c r="B2787" s="36"/>
      <c r="G2787" s="34"/>
      <c r="H2787" s="33"/>
      <c r="I2787" s="33"/>
      <c r="J2787" s="33"/>
      <c r="K2787" s="37"/>
      <c r="L2787" s="37"/>
    </row>
    <row r="2788" spans="2:12" x14ac:dyDescent="0.2">
      <c r="B2788" s="36"/>
      <c r="G2788" s="34"/>
      <c r="H2788" s="33"/>
      <c r="I2788" s="33"/>
      <c r="J2788" s="33"/>
      <c r="K2788" s="37"/>
      <c r="L2788" s="37"/>
    </row>
    <row r="2789" spans="2:12" x14ac:dyDescent="0.2">
      <c r="B2789" s="36"/>
      <c r="G2789" s="34"/>
      <c r="H2789" s="33"/>
      <c r="I2789" s="33"/>
      <c r="J2789" s="33"/>
      <c r="K2789" s="37"/>
      <c r="L2789" s="37"/>
    </row>
    <row r="2790" spans="2:12" x14ac:dyDescent="0.2">
      <c r="B2790" s="36"/>
      <c r="G2790" s="34"/>
      <c r="H2790" s="33"/>
      <c r="I2790" s="33"/>
      <c r="J2790" s="33"/>
      <c r="K2790" s="37"/>
      <c r="L2790" s="37"/>
    </row>
    <row r="2791" spans="2:12" x14ac:dyDescent="0.2">
      <c r="B2791" s="36"/>
      <c r="G2791" s="34"/>
      <c r="H2791" s="33"/>
      <c r="I2791" s="33"/>
      <c r="J2791" s="33"/>
      <c r="K2791" s="37"/>
      <c r="L2791" s="37"/>
    </row>
    <row r="2792" spans="2:12" x14ac:dyDescent="0.2">
      <c r="B2792" s="36"/>
      <c r="G2792" s="34"/>
      <c r="H2792" s="33"/>
      <c r="I2792" s="33"/>
      <c r="J2792" s="33"/>
      <c r="K2792" s="37"/>
      <c r="L2792" s="37"/>
    </row>
    <row r="2793" spans="2:12" x14ac:dyDescent="0.2">
      <c r="B2793" s="36"/>
      <c r="G2793" s="34"/>
      <c r="H2793" s="33"/>
      <c r="I2793" s="33"/>
      <c r="J2793" s="33"/>
      <c r="K2793" s="37"/>
      <c r="L2793" s="37"/>
    </row>
    <row r="2794" spans="2:12" x14ac:dyDescent="0.2">
      <c r="B2794" s="36"/>
      <c r="G2794" s="34"/>
      <c r="H2794" s="33"/>
      <c r="I2794" s="33"/>
      <c r="J2794" s="33"/>
      <c r="K2794" s="37"/>
      <c r="L2794" s="37"/>
    </row>
    <row r="2795" spans="2:12" x14ac:dyDescent="0.2">
      <c r="B2795" s="36"/>
      <c r="G2795" s="34"/>
      <c r="H2795" s="33"/>
      <c r="I2795" s="33"/>
      <c r="J2795" s="33"/>
      <c r="K2795" s="37"/>
      <c r="L2795" s="37"/>
    </row>
    <row r="2796" spans="2:12" x14ac:dyDescent="0.2">
      <c r="B2796" s="36"/>
      <c r="G2796" s="34"/>
      <c r="H2796" s="33"/>
      <c r="I2796" s="33"/>
      <c r="J2796" s="33"/>
      <c r="K2796" s="37"/>
      <c r="L2796" s="37"/>
    </row>
    <row r="2797" spans="2:12" x14ac:dyDescent="0.2">
      <c r="B2797" s="36"/>
      <c r="G2797" s="34"/>
      <c r="H2797" s="33"/>
      <c r="I2797" s="33"/>
      <c r="J2797" s="33"/>
      <c r="K2797" s="37"/>
      <c r="L2797" s="37"/>
    </row>
    <row r="2798" spans="2:12" x14ac:dyDescent="0.2">
      <c r="B2798" s="36"/>
      <c r="G2798" s="34"/>
      <c r="H2798" s="33"/>
      <c r="I2798" s="33"/>
      <c r="J2798" s="33"/>
      <c r="K2798" s="37"/>
      <c r="L2798" s="37"/>
    </row>
    <row r="2799" spans="2:12" x14ac:dyDescent="0.2">
      <c r="B2799" s="36"/>
      <c r="G2799" s="34"/>
      <c r="H2799" s="33"/>
      <c r="I2799" s="33"/>
      <c r="J2799" s="33"/>
      <c r="K2799" s="37"/>
      <c r="L2799" s="37"/>
    </row>
    <row r="2800" spans="2:12" x14ac:dyDescent="0.2">
      <c r="B2800" s="36"/>
      <c r="G2800" s="34"/>
      <c r="H2800" s="33"/>
      <c r="I2800" s="33"/>
      <c r="J2800" s="33"/>
      <c r="K2800" s="37"/>
      <c r="L2800" s="37"/>
    </row>
    <row r="2801" spans="2:12" x14ac:dyDescent="0.2">
      <c r="B2801" s="36"/>
      <c r="G2801" s="34"/>
      <c r="H2801" s="33"/>
      <c r="I2801" s="33"/>
      <c r="J2801" s="33"/>
      <c r="K2801" s="37"/>
      <c r="L2801" s="37"/>
    </row>
    <row r="2802" spans="2:12" x14ac:dyDescent="0.2">
      <c r="B2802" s="36"/>
      <c r="G2802" s="34"/>
      <c r="H2802" s="33"/>
      <c r="I2802" s="33"/>
      <c r="J2802" s="33"/>
      <c r="K2802" s="37"/>
      <c r="L2802" s="37"/>
    </row>
    <row r="2803" spans="2:12" x14ac:dyDescent="0.2">
      <c r="B2803" s="36"/>
      <c r="G2803" s="34"/>
      <c r="H2803" s="33"/>
      <c r="I2803" s="33"/>
      <c r="J2803" s="33"/>
      <c r="K2803" s="37"/>
      <c r="L2803" s="37"/>
    </row>
    <row r="2804" spans="2:12" x14ac:dyDescent="0.2">
      <c r="B2804" s="36"/>
      <c r="G2804" s="34"/>
      <c r="H2804" s="33"/>
      <c r="I2804" s="33"/>
      <c r="J2804" s="33"/>
      <c r="K2804" s="37"/>
      <c r="L2804" s="37"/>
    </row>
    <row r="2805" spans="2:12" x14ac:dyDescent="0.2">
      <c r="B2805" s="36"/>
      <c r="G2805" s="34"/>
      <c r="H2805" s="33"/>
      <c r="I2805" s="33"/>
      <c r="J2805" s="33"/>
      <c r="K2805" s="37"/>
      <c r="L2805" s="37"/>
    </row>
    <row r="2806" spans="2:12" x14ac:dyDescent="0.2">
      <c r="B2806" s="36"/>
      <c r="G2806" s="34"/>
      <c r="H2806" s="33"/>
      <c r="I2806" s="33"/>
      <c r="J2806" s="33"/>
      <c r="K2806" s="37"/>
      <c r="L2806" s="37"/>
    </row>
    <row r="2807" spans="2:12" x14ac:dyDescent="0.2">
      <c r="B2807" s="36"/>
      <c r="G2807" s="34"/>
      <c r="H2807" s="33"/>
      <c r="I2807" s="33"/>
      <c r="J2807" s="33"/>
      <c r="K2807" s="37"/>
      <c r="L2807" s="37"/>
    </row>
    <row r="2808" spans="2:12" x14ac:dyDescent="0.2">
      <c r="B2808" s="36"/>
      <c r="G2808" s="34"/>
      <c r="H2808" s="33"/>
      <c r="I2808" s="33"/>
      <c r="J2808" s="33"/>
      <c r="K2808" s="37"/>
      <c r="L2808" s="37"/>
    </row>
    <row r="2809" spans="2:12" x14ac:dyDescent="0.2">
      <c r="B2809" s="36"/>
      <c r="G2809" s="34"/>
      <c r="H2809" s="33"/>
      <c r="I2809" s="33"/>
      <c r="J2809" s="33"/>
      <c r="K2809" s="37"/>
      <c r="L2809" s="37"/>
    </row>
    <row r="2810" spans="2:12" x14ac:dyDescent="0.2">
      <c r="B2810" s="36"/>
      <c r="G2810" s="34"/>
      <c r="H2810" s="33"/>
      <c r="I2810" s="33"/>
      <c r="J2810" s="33"/>
      <c r="K2810" s="37"/>
      <c r="L2810" s="37"/>
    </row>
    <row r="2811" spans="2:12" x14ac:dyDescent="0.2">
      <c r="B2811" s="36"/>
      <c r="G2811" s="34"/>
      <c r="H2811" s="33"/>
      <c r="I2811" s="33"/>
      <c r="J2811" s="33"/>
      <c r="K2811" s="37"/>
      <c r="L2811" s="37"/>
    </row>
    <row r="2812" spans="2:12" x14ac:dyDescent="0.2">
      <c r="B2812" s="36"/>
      <c r="G2812" s="34"/>
      <c r="H2812" s="33"/>
      <c r="I2812" s="33"/>
      <c r="J2812" s="33"/>
      <c r="K2812" s="37"/>
      <c r="L2812" s="37"/>
    </row>
    <row r="2813" spans="2:12" x14ac:dyDescent="0.2">
      <c r="B2813" s="36"/>
      <c r="G2813" s="34"/>
      <c r="H2813" s="33"/>
      <c r="I2813" s="33"/>
      <c r="J2813" s="33"/>
      <c r="K2813" s="37"/>
      <c r="L2813" s="37"/>
    </row>
    <row r="2814" spans="2:12" x14ac:dyDescent="0.2">
      <c r="B2814" s="36"/>
      <c r="G2814" s="34"/>
      <c r="H2814" s="33"/>
      <c r="I2814" s="33"/>
      <c r="J2814" s="33"/>
      <c r="K2814" s="37"/>
      <c r="L2814" s="37"/>
    </row>
    <row r="2815" spans="2:12" x14ac:dyDescent="0.2">
      <c r="B2815" s="36"/>
      <c r="G2815" s="34"/>
      <c r="H2815" s="33"/>
      <c r="I2815" s="33"/>
      <c r="J2815" s="33"/>
      <c r="K2815" s="37"/>
      <c r="L2815" s="37"/>
    </row>
    <row r="2816" spans="2:12" x14ac:dyDescent="0.2">
      <c r="B2816" s="36"/>
      <c r="G2816" s="34"/>
      <c r="H2816" s="33"/>
      <c r="I2816" s="33"/>
      <c r="J2816" s="33"/>
      <c r="K2816" s="37"/>
      <c r="L2816" s="37"/>
    </row>
    <row r="2817" spans="2:12" x14ac:dyDescent="0.2">
      <c r="B2817" s="36"/>
      <c r="G2817" s="34"/>
      <c r="H2817" s="33"/>
      <c r="I2817" s="33"/>
      <c r="J2817" s="33"/>
      <c r="K2817" s="37"/>
      <c r="L2817" s="37"/>
    </row>
    <row r="2818" spans="2:12" x14ac:dyDescent="0.2">
      <c r="B2818" s="36"/>
      <c r="G2818" s="34"/>
      <c r="H2818" s="33"/>
      <c r="I2818" s="33"/>
      <c r="J2818" s="33"/>
      <c r="K2818" s="37"/>
      <c r="L2818" s="37"/>
    </row>
    <row r="2819" spans="2:12" x14ac:dyDescent="0.2">
      <c r="B2819" s="36"/>
      <c r="G2819" s="34"/>
      <c r="H2819" s="33"/>
      <c r="I2819" s="33"/>
      <c r="J2819" s="33"/>
      <c r="K2819" s="37"/>
      <c r="L2819" s="37"/>
    </row>
    <row r="2820" spans="2:12" x14ac:dyDescent="0.2">
      <c r="B2820" s="36"/>
      <c r="G2820" s="34"/>
      <c r="H2820" s="33"/>
      <c r="I2820" s="33"/>
      <c r="J2820" s="33"/>
      <c r="K2820" s="37"/>
      <c r="L2820" s="37"/>
    </row>
    <row r="2821" spans="2:12" x14ac:dyDescent="0.2">
      <c r="B2821" s="36"/>
      <c r="G2821" s="34"/>
      <c r="H2821" s="33"/>
      <c r="I2821" s="33"/>
      <c r="J2821" s="33"/>
      <c r="K2821" s="37"/>
      <c r="L2821" s="37"/>
    </row>
    <row r="2822" spans="2:12" x14ac:dyDescent="0.2">
      <c r="B2822" s="36"/>
      <c r="G2822" s="34"/>
      <c r="H2822" s="33"/>
      <c r="I2822" s="33"/>
      <c r="J2822" s="33"/>
      <c r="K2822" s="37"/>
      <c r="L2822" s="37"/>
    </row>
    <row r="2823" spans="2:12" x14ac:dyDescent="0.2">
      <c r="B2823" s="36"/>
      <c r="G2823" s="34"/>
      <c r="H2823" s="33"/>
      <c r="I2823" s="33"/>
      <c r="J2823" s="33"/>
      <c r="K2823" s="37"/>
      <c r="L2823" s="37"/>
    </row>
    <row r="2824" spans="2:12" x14ac:dyDescent="0.2">
      <c r="B2824" s="36"/>
      <c r="G2824" s="34"/>
      <c r="H2824" s="33"/>
      <c r="I2824" s="33"/>
      <c r="J2824" s="33"/>
      <c r="K2824" s="37"/>
      <c r="L2824" s="37"/>
    </row>
    <row r="2825" spans="2:12" x14ac:dyDescent="0.2">
      <c r="B2825" s="36"/>
      <c r="G2825" s="34"/>
      <c r="H2825" s="33"/>
      <c r="I2825" s="33"/>
      <c r="J2825" s="33"/>
      <c r="K2825" s="37"/>
      <c r="L2825" s="37"/>
    </row>
    <row r="2826" spans="2:12" x14ac:dyDescent="0.2">
      <c r="B2826" s="36"/>
      <c r="G2826" s="34"/>
      <c r="H2826" s="33"/>
      <c r="I2826" s="33"/>
      <c r="J2826" s="33"/>
      <c r="K2826" s="37"/>
      <c r="L2826" s="37"/>
    </row>
    <row r="2827" spans="2:12" x14ac:dyDescent="0.2">
      <c r="B2827" s="36"/>
      <c r="G2827" s="34"/>
      <c r="H2827" s="33"/>
      <c r="I2827" s="33"/>
      <c r="J2827" s="33"/>
      <c r="K2827" s="37"/>
      <c r="L2827" s="37"/>
    </row>
    <row r="2828" spans="2:12" x14ac:dyDescent="0.2">
      <c r="B2828" s="36"/>
      <c r="G2828" s="34"/>
      <c r="H2828" s="33"/>
      <c r="I2828" s="33"/>
      <c r="J2828" s="33"/>
      <c r="K2828" s="37"/>
      <c r="L2828" s="37"/>
    </row>
    <row r="2829" spans="2:12" x14ac:dyDescent="0.2">
      <c r="B2829" s="36"/>
      <c r="G2829" s="34"/>
      <c r="H2829" s="33"/>
      <c r="I2829" s="33"/>
      <c r="J2829" s="33"/>
      <c r="K2829" s="37"/>
      <c r="L2829" s="37"/>
    </row>
    <row r="2830" spans="2:12" x14ac:dyDescent="0.2">
      <c r="B2830" s="36"/>
      <c r="G2830" s="34"/>
      <c r="H2830" s="33"/>
      <c r="I2830" s="33"/>
      <c r="J2830" s="33"/>
      <c r="K2830" s="37"/>
      <c r="L2830" s="37"/>
    </row>
    <row r="2831" spans="2:12" x14ac:dyDescent="0.2">
      <c r="B2831" s="36"/>
      <c r="G2831" s="34"/>
      <c r="H2831" s="33"/>
      <c r="I2831" s="33"/>
      <c r="J2831" s="33"/>
      <c r="K2831" s="37"/>
      <c r="L2831" s="37"/>
    </row>
    <row r="2832" spans="2:12" x14ac:dyDescent="0.2">
      <c r="B2832" s="36"/>
      <c r="G2832" s="34"/>
      <c r="H2832" s="33"/>
      <c r="I2832" s="33"/>
      <c r="J2832" s="33"/>
      <c r="K2832" s="37"/>
      <c r="L2832" s="37"/>
    </row>
    <row r="2833" spans="2:12" x14ac:dyDescent="0.2">
      <c r="B2833" s="36"/>
      <c r="G2833" s="34"/>
      <c r="H2833" s="33"/>
      <c r="I2833" s="33"/>
      <c r="J2833" s="33"/>
      <c r="K2833" s="37"/>
      <c r="L2833" s="37"/>
    </row>
    <row r="2834" spans="2:12" x14ac:dyDescent="0.2">
      <c r="B2834" s="36"/>
      <c r="G2834" s="34"/>
      <c r="H2834" s="33"/>
      <c r="I2834" s="33"/>
      <c r="J2834" s="33"/>
      <c r="K2834" s="37"/>
      <c r="L2834" s="37"/>
    </row>
    <row r="2835" spans="2:12" x14ac:dyDescent="0.2">
      <c r="B2835" s="36"/>
      <c r="G2835" s="34"/>
      <c r="H2835" s="33"/>
      <c r="I2835" s="33"/>
      <c r="J2835" s="33"/>
      <c r="K2835" s="37"/>
      <c r="L2835" s="37"/>
    </row>
    <row r="2836" spans="2:12" x14ac:dyDescent="0.2">
      <c r="B2836" s="36"/>
      <c r="G2836" s="34"/>
      <c r="H2836" s="33"/>
      <c r="I2836" s="33"/>
      <c r="J2836" s="33"/>
      <c r="K2836" s="37"/>
      <c r="L2836" s="37"/>
    </row>
    <row r="2837" spans="2:12" x14ac:dyDescent="0.2">
      <c r="B2837" s="36"/>
      <c r="G2837" s="34"/>
      <c r="H2837" s="33"/>
      <c r="I2837" s="33"/>
      <c r="J2837" s="33"/>
      <c r="K2837" s="37"/>
      <c r="L2837" s="37"/>
    </row>
    <row r="2838" spans="2:12" x14ac:dyDescent="0.2">
      <c r="B2838" s="36"/>
      <c r="G2838" s="34"/>
      <c r="H2838" s="33"/>
      <c r="I2838" s="33"/>
      <c r="J2838" s="33"/>
      <c r="K2838" s="37"/>
      <c r="L2838" s="37"/>
    </row>
    <row r="2839" spans="2:12" x14ac:dyDescent="0.2">
      <c r="B2839" s="36"/>
      <c r="G2839" s="34"/>
      <c r="H2839" s="33"/>
      <c r="I2839" s="33"/>
      <c r="J2839" s="33"/>
      <c r="K2839" s="37"/>
      <c r="L2839" s="37"/>
    </row>
    <row r="2840" spans="2:12" x14ac:dyDescent="0.2">
      <c r="B2840" s="36"/>
      <c r="G2840" s="34"/>
      <c r="H2840" s="33"/>
      <c r="I2840" s="33"/>
      <c r="J2840" s="33"/>
      <c r="K2840" s="37"/>
      <c r="L2840" s="37"/>
    </row>
    <row r="2841" spans="2:12" x14ac:dyDescent="0.2">
      <c r="B2841" s="36"/>
      <c r="G2841" s="34"/>
      <c r="H2841" s="33"/>
      <c r="I2841" s="33"/>
      <c r="J2841" s="33"/>
      <c r="K2841" s="37"/>
      <c r="L2841" s="37"/>
    </row>
    <row r="2842" spans="2:12" x14ac:dyDescent="0.2">
      <c r="B2842" s="36"/>
      <c r="G2842" s="34"/>
      <c r="H2842" s="33"/>
      <c r="I2842" s="33"/>
      <c r="J2842" s="33"/>
      <c r="K2842" s="37"/>
      <c r="L2842" s="37"/>
    </row>
    <row r="2843" spans="2:12" x14ac:dyDescent="0.2">
      <c r="B2843" s="36"/>
      <c r="G2843" s="34"/>
      <c r="H2843" s="33"/>
      <c r="I2843" s="33"/>
      <c r="J2843" s="33"/>
      <c r="K2843" s="37"/>
      <c r="L2843" s="37"/>
    </row>
    <row r="2844" spans="2:12" x14ac:dyDescent="0.2">
      <c r="B2844" s="36"/>
      <c r="G2844" s="34"/>
      <c r="H2844" s="33"/>
      <c r="I2844" s="33"/>
      <c r="J2844" s="33"/>
      <c r="K2844" s="37"/>
      <c r="L2844" s="37"/>
    </row>
    <row r="2845" spans="2:12" x14ac:dyDescent="0.2">
      <c r="B2845" s="36"/>
      <c r="G2845" s="34"/>
      <c r="H2845" s="33"/>
      <c r="I2845" s="33"/>
      <c r="J2845" s="33"/>
      <c r="K2845" s="37"/>
      <c r="L2845" s="37"/>
    </row>
    <row r="2846" spans="2:12" x14ac:dyDescent="0.2">
      <c r="B2846" s="36"/>
      <c r="G2846" s="34"/>
      <c r="H2846" s="33"/>
      <c r="I2846" s="33"/>
      <c r="J2846" s="33"/>
      <c r="K2846" s="37"/>
      <c r="L2846" s="37"/>
    </row>
    <row r="2847" spans="2:12" x14ac:dyDescent="0.2">
      <c r="B2847" s="36"/>
      <c r="G2847" s="34"/>
      <c r="H2847" s="33"/>
      <c r="I2847" s="33"/>
      <c r="J2847" s="33"/>
      <c r="K2847" s="37"/>
      <c r="L2847" s="37"/>
    </row>
    <row r="2848" spans="2:12" x14ac:dyDescent="0.2">
      <c r="B2848" s="36"/>
      <c r="G2848" s="34"/>
      <c r="H2848" s="33"/>
      <c r="I2848" s="33"/>
      <c r="J2848" s="33"/>
      <c r="K2848" s="37"/>
      <c r="L2848" s="37"/>
    </row>
    <row r="2849" spans="2:12" x14ac:dyDescent="0.2">
      <c r="B2849" s="36"/>
      <c r="G2849" s="34"/>
      <c r="H2849" s="33"/>
      <c r="I2849" s="33"/>
      <c r="J2849" s="33"/>
      <c r="K2849" s="37"/>
      <c r="L2849" s="37"/>
    </row>
    <row r="2850" spans="2:12" x14ac:dyDescent="0.2">
      <c r="B2850" s="36"/>
      <c r="G2850" s="34"/>
      <c r="H2850" s="33"/>
      <c r="I2850" s="33"/>
      <c r="J2850" s="33"/>
      <c r="K2850" s="37"/>
      <c r="L2850" s="37"/>
    </row>
    <row r="2851" spans="2:12" x14ac:dyDescent="0.2">
      <c r="B2851" s="36"/>
      <c r="G2851" s="34"/>
      <c r="H2851" s="33"/>
      <c r="I2851" s="33"/>
      <c r="J2851" s="33"/>
      <c r="K2851" s="37"/>
      <c r="L2851" s="37"/>
    </row>
    <row r="2852" spans="2:12" x14ac:dyDescent="0.2">
      <c r="B2852" s="36"/>
      <c r="G2852" s="34"/>
      <c r="H2852" s="33"/>
      <c r="I2852" s="33"/>
      <c r="J2852" s="33"/>
      <c r="K2852" s="37"/>
      <c r="L2852" s="37"/>
    </row>
    <row r="2853" spans="2:12" x14ac:dyDescent="0.2">
      <c r="B2853" s="36"/>
      <c r="G2853" s="34"/>
      <c r="H2853" s="33"/>
      <c r="I2853" s="33"/>
      <c r="J2853" s="33"/>
      <c r="K2853" s="37"/>
      <c r="L2853" s="37"/>
    </row>
    <row r="2854" spans="2:12" x14ac:dyDescent="0.2">
      <c r="B2854" s="36"/>
      <c r="G2854" s="34"/>
      <c r="H2854" s="33"/>
      <c r="I2854" s="33"/>
      <c r="J2854" s="33"/>
      <c r="K2854" s="37"/>
      <c r="L2854" s="37"/>
    </row>
    <row r="2855" spans="2:12" x14ac:dyDescent="0.2">
      <c r="B2855" s="36"/>
      <c r="G2855" s="34"/>
      <c r="H2855" s="33"/>
      <c r="I2855" s="33"/>
      <c r="J2855" s="33"/>
      <c r="K2855" s="37"/>
      <c r="L2855" s="37"/>
    </row>
    <row r="2856" spans="2:12" x14ac:dyDescent="0.2">
      <c r="B2856" s="36"/>
      <c r="G2856" s="34"/>
      <c r="H2856" s="33"/>
      <c r="I2856" s="33"/>
      <c r="J2856" s="33"/>
      <c r="K2856" s="37"/>
      <c r="L2856" s="37"/>
    </row>
    <row r="2857" spans="2:12" x14ac:dyDescent="0.2">
      <c r="B2857" s="36"/>
      <c r="G2857" s="34"/>
      <c r="H2857" s="33"/>
      <c r="I2857" s="33"/>
      <c r="J2857" s="33"/>
      <c r="K2857" s="37"/>
      <c r="L2857" s="37"/>
    </row>
    <row r="2858" spans="2:12" x14ac:dyDescent="0.2">
      <c r="B2858" s="36"/>
      <c r="G2858" s="34"/>
      <c r="H2858" s="33"/>
      <c r="I2858" s="33"/>
      <c r="J2858" s="33"/>
      <c r="K2858" s="37"/>
      <c r="L2858" s="37"/>
    </row>
    <row r="2859" spans="2:12" x14ac:dyDescent="0.2">
      <c r="B2859" s="36"/>
      <c r="G2859" s="34"/>
      <c r="H2859" s="33"/>
      <c r="I2859" s="33"/>
      <c r="J2859" s="33"/>
      <c r="K2859" s="37"/>
      <c r="L2859" s="37"/>
    </row>
    <row r="2860" spans="2:12" x14ac:dyDescent="0.2">
      <c r="B2860" s="36"/>
      <c r="G2860" s="34"/>
      <c r="H2860" s="33"/>
      <c r="I2860" s="33"/>
      <c r="J2860" s="33"/>
      <c r="K2860" s="37"/>
      <c r="L2860" s="37"/>
    </row>
    <row r="2861" spans="2:12" x14ac:dyDescent="0.2">
      <c r="B2861" s="36"/>
      <c r="G2861" s="34"/>
      <c r="H2861" s="33"/>
      <c r="I2861" s="33"/>
      <c r="J2861" s="33"/>
      <c r="K2861" s="37"/>
      <c r="L2861" s="37"/>
    </row>
    <row r="2862" spans="2:12" x14ac:dyDescent="0.2">
      <c r="B2862" s="36"/>
      <c r="G2862" s="34"/>
      <c r="H2862" s="33"/>
      <c r="I2862" s="33"/>
      <c r="J2862" s="33"/>
      <c r="K2862" s="37"/>
      <c r="L2862" s="37"/>
    </row>
    <row r="2863" spans="2:12" x14ac:dyDescent="0.2">
      <c r="B2863" s="36"/>
      <c r="G2863" s="34"/>
      <c r="H2863" s="33"/>
      <c r="I2863" s="33"/>
      <c r="J2863" s="33"/>
      <c r="K2863" s="37"/>
      <c r="L2863" s="37"/>
    </row>
    <row r="2864" spans="2:12" x14ac:dyDescent="0.2">
      <c r="B2864" s="36"/>
      <c r="G2864" s="34"/>
      <c r="H2864" s="33"/>
      <c r="I2864" s="33"/>
      <c r="J2864" s="33"/>
      <c r="K2864" s="37"/>
      <c r="L2864" s="37"/>
    </row>
    <row r="2865" spans="2:12" x14ac:dyDescent="0.2">
      <c r="B2865" s="36"/>
      <c r="G2865" s="34"/>
      <c r="H2865" s="33"/>
      <c r="I2865" s="33"/>
      <c r="J2865" s="33"/>
      <c r="K2865" s="37"/>
      <c r="L2865" s="37"/>
    </row>
    <row r="2866" spans="2:12" x14ac:dyDescent="0.2">
      <c r="B2866" s="36"/>
      <c r="G2866" s="34"/>
      <c r="H2866" s="33"/>
      <c r="I2866" s="33"/>
      <c r="J2866" s="33"/>
      <c r="K2866" s="37"/>
      <c r="L2866" s="37"/>
    </row>
    <row r="2867" spans="2:12" x14ac:dyDescent="0.2">
      <c r="B2867" s="36"/>
      <c r="G2867" s="34"/>
      <c r="H2867" s="33"/>
      <c r="I2867" s="33"/>
      <c r="J2867" s="33"/>
      <c r="K2867" s="37"/>
      <c r="L2867" s="37"/>
    </row>
    <row r="2868" spans="2:12" x14ac:dyDescent="0.2">
      <c r="B2868" s="36"/>
      <c r="G2868" s="34"/>
      <c r="H2868" s="33"/>
      <c r="I2868" s="33"/>
      <c r="J2868" s="33"/>
      <c r="K2868" s="37"/>
      <c r="L2868" s="37"/>
    </row>
    <row r="2869" spans="2:12" x14ac:dyDescent="0.2">
      <c r="B2869" s="36"/>
      <c r="G2869" s="34"/>
      <c r="H2869" s="33"/>
      <c r="I2869" s="33"/>
      <c r="J2869" s="33"/>
      <c r="K2869" s="37"/>
      <c r="L2869" s="37"/>
    </row>
    <row r="2870" spans="2:12" x14ac:dyDescent="0.2">
      <c r="B2870" s="36"/>
      <c r="G2870" s="34"/>
      <c r="H2870" s="33"/>
      <c r="I2870" s="33"/>
      <c r="J2870" s="33"/>
      <c r="K2870" s="37"/>
      <c r="L2870" s="37"/>
    </row>
    <row r="2871" spans="2:12" x14ac:dyDescent="0.2">
      <c r="B2871" s="36"/>
      <c r="G2871" s="34"/>
      <c r="H2871" s="33"/>
      <c r="I2871" s="33"/>
      <c r="J2871" s="33"/>
      <c r="K2871" s="37"/>
      <c r="L2871" s="37"/>
    </row>
    <row r="2872" spans="2:12" x14ac:dyDescent="0.2">
      <c r="B2872" s="36"/>
      <c r="G2872" s="34"/>
      <c r="H2872" s="33"/>
      <c r="I2872" s="33"/>
      <c r="J2872" s="33"/>
      <c r="K2872" s="37"/>
      <c r="L2872" s="37"/>
    </row>
    <row r="2873" spans="2:12" x14ac:dyDescent="0.2">
      <c r="B2873" s="36"/>
      <c r="G2873" s="34"/>
      <c r="H2873" s="33"/>
      <c r="I2873" s="33"/>
      <c r="J2873" s="33"/>
      <c r="K2873" s="37"/>
      <c r="L2873" s="37"/>
    </row>
    <row r="2874" spans="2:12" x14ac:dyDescent="0.2">
      <c r="B2874" s="36"/>
      <c r="G2874" s="34"/>
      <c r="H2874" s="33"/>
      <c r="I2874" s="33"/>
      <c r="J2874" s="33"/>
      <c r="K2874" s="37"/>
      <c r="L2874" s="37"/>
    </row>
    <row r="2875" spans="2:12" x14ac:dyDescent="0.2">
      <c r="B2875" s="36"/>
      <c r="G2875" s="34"/>
      <c r="H2875" s="33"/>
      <c r="I2875" s="33"/>
      <c r="J2875" s="33"/>
      <c r="K2875" s="37"/>
      <c r="L2875" s="37"/>
    </row>
    <row r="2876" spans="2:12" x14ac:dyDescent="0.2">
      <c r="B2876" s="36"/>
      <c r="G2876" s="34"/>
      <c r="H2876" s="33"/>
      <c r="I2876" s="33"/>
      <c r="J2876" s="33"/>
      <c r="K2876" s="37"/>
      <c r="L2876" s="37"/>
    </row>
    <row r="2877" spans="2:12" x14ac:dyDescent="0.2">
      <c r="B2877" s="36"/>
      <c r="G2877" s="34"/>
      <c r="H2877" s="33"/>
      <c r="I2877" s="33"/>
      <c r="J2877" s="33"/>
      <c r="K2877" s="37"/>
      <c r="L2877" s="37"/>
    </row>
    <row r="2878" spans="2:12" x14ac:dyDescent="0.2">
      <c r="B2878" s="36"/>
      <c r="G2878" s="34"/>
      <c r="H2878" s="33"/>
      <c r="I2878" s="33"/>
      <c r="J2878" s="33"/>
      <c r="K2878" s="37"/>
      <c r="L2878" s="37"/>
    </row>
    <row r="2879" spans="2:12" x14ac:dyDescent="0.2">
      <c r="B2879" s="36"/>
      <c r="G2879" s="34"/>
      <c r="H2879" s="33"/>
      <c r="I2879" s="33"/>
      <c r="J2879" s="33"/>
      <c r="K2879" s="37"/>
      <c r="L2879" s="37"/>
    </row>
    <row r="2880" spans="2:12" x14ac:dyDescent="0.2">
      <c r="B2880" s="36"/>
      <c r="G2880" s="34"/>
      <c r="H2880" s="33"/>
      <c r="I2880" s="33"/>
      <c r="J2880" s="33"/>
      <c r="K2880" s="37"/>
      <c r="L2880" s="37"/>
    </row>
    <row r="2881" spans="2:12" x14ac:dyDescent="0.2">
      <c r="B2881" s="36"/>
      <c r="G2881" s="34"/>
      <c r="H2881" s="33"/>
      <c r="I2881" s="33"/>
      <c r="J2881" s="33"/>
      <c r="K2881" s="37"/>
      <c r="L2881" s="37"/>
    </row>
    <row r="2882" spans="2:12" x14ac:dyDescent="0.2">
      <c r="B2882" s="36"/>
      <c r="G2882" s="34"/>
      <c r="H2882" s="33"/>
      <c r="I2882" s="33"/>
      <c r="J2882" s="33"/>
      <c r="K2882" s="37"/>
      <c r="L2882" s="37"/>
    </row>
    <row r="2883" spans="2:12" x14ac:dyDescent="0.2">
      <c r="B2883" s="36"/>
      <c r="G2883" s="34"/>
      <c r="H2883" s="33"/>
      <c r="I2883" s="33"/>
      <c r="J2883" s="33"/>
      <c r="K2883" s="37"/>
      <c r="L2883" s="37"/>
    </row>
    <row r="2884" spans="2:12" x14ac:dyDescent="0.2">
      <c r="B2884" s="36"/>
      <c r="G2884" s="34"/>
      <c r="H2884" s="33"/>
      <c r="I2884" s="33"/>
      <c r="J2884" s="33"/>
      <c r="K2884" s="37"/>
      <c r="L2884" s="37"/>
    </row>
    <row r="2885" spans="2:12" x14ac:dyDescent="0.2">
      <c r="B2885" s="36"/>
      <c r="G2885" s="34"/>
      <c r="H2885" s="33"/>
      <c r="I2885" s="33"/>
      <c r="J2885" s="33"/>
      <c r="K2885" s="37"/>
      <c r="L2885" s="37"/>
    </row>
    <row r="2886" spans="2:12" x14ac:dyDescent="0.2">
      <c r="B2886" s="36"/>
      <c r="G2886" s="34"/>
      <c r="H2886" s="33"/>
      <c r="I2886" s="33"/>
      <c r="J2886" s="33"/>
      <c r="K2886" s="37"/>
      <c r="L2886" s="37"/>
    </row>
    <row r="2887" spans="2:12" x14ac:dyDescent="0.2">
      <c r="B2887" s="36"/>
      <c r="G2887" s="34"/>
      <c r="H2887" s="33"/>
      <c r="I2887" s="33"/>
      <c r="J2887" s="33"/>
      <c r="K2887" s="37"/>
      <c r="L2887" s="37"/>
    </row>
    <row r="2888" spans="2:12" x14ac:dyDescent="0.2">
      <c r="B2888" s="36"/>
      <c r="G2888" s="34"/>
      <c r="H2888" s="33"/>
      <c r="I2888" s="33"/>
      <c r="J2888" s="33"/>
      <c r="K2888" s="37"/>
      <c r="L2888" s="37"/>
    </row>
    <row r="2889" spans="2:12" x14ac:dyDescent="0.2">
      <c r="B2889" s="36"/>
      <c r="G2889" s="34"/>
      <c r="H2889" s="33"/>
      <c r="I2889" s="33"/>
      <c r="J2889" s="33"/>
      <c r="K2889" s="37"/>
      <c r="L2889" s="37"/>
    </row>
    <row r="2890" spans="2:12" x14ac:dyDescent="0.2">
      <c r="B2890" s="36"/>
      <c r="G2890" s="34"/>
      <c r="H2890" s="33"/>
      <c r="I2890" s="33"/>
      <c r="J2890" s="33"/>
      <c r="K2890" s="37"/>
      <c r="L2890" s="37"/>
    </row>
    <row r="2891" spans="2:12" x14ac:dyDescent="0.2">
      <c r="B2891" s="36"/>
      <c r="G2891" s="34"/>
      <c r="H2891" s="33"/>
      <c r="I2891" s="33"/>
      <c r="J2891" s="33"/>
      <c r="K2891" s="37"/>
      <c r="L2891" s="37"/>
    </row>
    <row r="2892" spans="2:12" x14ac:dyDescent="0.2">
      <c r="B2892" s="36"/>
      <c r="G2892" s="34"/>
      <c r="H2892" s="33"/>
      <c r="I2892" s="33"/>
      <c r="J2892" s="33"/>
      <c r="K2892" s="37"/>
      <c r="L2892" s="37"/>
    </row>
    <row r="2893" spans="2:12" x14ac:dyDescent="0.2">
      <c r="B2893" s="36"/>
      <c r="G2893" s="34"/>
      <c r="H2893" s="33"/>
      <c r="I2893" s="33"/>
      <c r="J2893" s="33"/>
      <c r="K2893" s="37"/>
      <c r="L2893" s="37"/>
    </row>
    <row r="2894" spans="2:12" x14ac:dyDescent="0.2">
      <c r="B2894" s="36"/>
      <c r="G2894" s="34"/>
      <c r="H2894" s="33"/>
      <c r="I2894" s="33"/>
      <c r="J2894" s="33"/>
      <c r="K2894" s="37"/>
      <c r="L2894" s="37"/>
    </row>
    <row r="2895" spans="2:12" x14ac:dyDescent="0.2">
      <c r="B2895" s="36"/>
      <c r="G2895" s="34"/>
      <c r="H2895" s="33"/>
      <c r="I2895" s="33"/>
      <c r="J2895" s="33"/>
      <c r="K2895" s="37"/>
      <c r="L2895" s="37"/>
    </row>
    <row r="2896" spans="2:12" x14ac:dyDescent="0.2">
      <c r="B2896" s="36"/>
      <c r="G2896" s="34"/>
      <c r="H2896" s="33"/>
      <c r="I2896" s="33"/>
      <c r="J2896" s="33"/>
      <c r="K2896" s="37"/>
      <c r="L2896" s="37"/>
    </row>
    <row r="2897" spans="2:12" x14ac:dyDescent="0.2">
      <c r="B2897" s="36"/>
      <c r="G2897" s="34"/>
      <c r="H2897" s="33"/>
      <c r="I2897" s="33"/>
      <c r="J2897" s="33"/>
      <c r="K2897" s="37"/>
      <c r="L2897" s="37"/>
    </row>
    <row r="2898" spans="2:12" x14ac:dyDescent="0.2">
      <c r="B2898" s="36"/>
      <c r="G2898" s="34"/>
      <c r="H2898" s="33"/>
      <c r="I2898" s="33"/>
      <c r="J2898" s="33"/>
      <c r="K2898" s="37"/>
      <c r="L2898" s="37"/>
    </row>
    <row r="2899" spans="2:12" x14ac:dyDescent="0.2">
      <c r="B2899" s="36"/>
      <c r="G2899" s="34"/>
      <c r="H2899" s="33"/>
      <c r="I2899" s="33"/>
      <c r="J2899" s="33"/>
      <c r="K2899" s="37"/>
      <c r="L2899" s="37"/>
    </row>
    <row r="2900" spans="2:12" x14ac:dyDescent="0.2">
      <c r="B2900" s="36"/>
      <c r="G2900" s="34"/>
      <c r="H2900" s="33"/>
      <c r="I2900" s="33"/>
      <c r="J2900" s="33"/>
      <c r="K2900" s="37"/>
      <c r="L2900" s="37"/>
    </row>
    <row r="2901" spans="2:12" x14ac:dyDescent="0.2">
      <c r="B2901" s="36"/>
      <c r="G2901" s="34"/>
      <c r="H2901" s="33"/>
      <c r="I2901" s="33"/>
      <c r="J2901" s="33"/>
      <c r="K2901" s="37"/>
      <c r="L2901" s="37"/>
    </row>
    <row r="2902" spans="2:12" x14ac:dyDescent="0.2">
      <c r="B2902" s="36"/>
      <c r="G2902" s="34"/>
      <c r="H2902" s="33"/>
      <c r="I2902" s="33"/>
      <c r="J2902" s="33"/>
      <c r="K2902" s="37"/>
      <c r="L2902" s="37"/>
    </row>
    <row r="2903" spans="2:12" x14ac:dyDescent="0.2">
      <c r="B2903" s="36"/>
      <c r="G2903" s="34"/>
      <c r="H2903" s="33"/>
      <c r="I2903" s="33"/>
      <c r="J2903" s="33"/>
      <c r="K2903" s="37"/>
      <c r="L2903" s="37"/>
    </row>
    <row r="2904" spans="2:12" x14ac:dyDescent="0.2">
      <c r="B2904" s="36"/>
      <c r="G2904" s="34"/>
      <c r="H2904" s="33"/>
      <c r="I2904" s="33"/>
      <c r="J2904" s="33"/>
      <c r="K2904" s="37"/>
      <c r="L2904" s="37"/>
    </row>
    <row r="2905" spans="2:12" x14ac:dyDescent="0.2">
      <c r="B2905" s="36"/>
      <c r="G2905" s="34"/>
      <c r="H2905" s="33"/>
      <c r="I2905" s="33"/>
      <c r="J2905" s="33"/>
      <c r="K2905" s="37"/>
      <c r="L2905" s="37"/>
    </row>
    <row r="2906" spans="2:12" x14ac:dyDescent="0.2">
      <c r="B2906" s="36"/>
      <c r="G2906" s="34"/>
      <c r="H2906" s="33"/>
      <c r="I2906" s="33"/>
      <c r="J2906" s="33"/>
      <c r="K2906" s="37"/>
      <c r="L2906" s="37"/>
    </row>
    <row r="2907" spans="2:12" x14ac:dyDescent="0.2">
      <c r="B2907" s="36"/>
      <c r="G2907" s="34"/>
      <c r="H2907" s="33"/>
      <c r="I2907" s="33"/>
      <c r="J2907" s="33"/>
      <c r="K2907" s="37"/>
      <c r="L2907" s="37"/>
    </row>
    <row r="2908" spans="2:12" x14ac:dyDescent="0.2">
      <c r="B2908" s="36"/>
      <c r="G2908" s="34"/>
      <c r="H2908" s="33"/>
      <c r="I2908" s="33"/>
      <c r="J2908" s="33"/>
      <c r="K2908" s="37"/>
      <c r="L2908" s="37"/>
    </row>
    <row r="2909" spans="2:12" x14ac:dyDescent="0.2">
      <c r="B2909" s="36"/>
      <c r="G2909" s="34"/>
      <c r="H2909" s="33"/>
      <c r="I2909" s="33"/>
      <c r="J2909" s="33"/>
      <c r="K2909" s="37"/>
      <c r="L2909" s="37"/>
    </row>
    <row r="2910" spans="2:12" x14ac:dyDescent="0.2">
      <c r="B2910" s="36"/>
      <c r="G2910" s="34"/>
      <c r="H2910" s="33"/>
      <c r="I2910" s="33"/>
      <c r="J2910" s="33"/>
      <c r="K2910" s="37"/>
      <c r="L2910" s="37"/>
    </row>
    <row r="2911" spans="2:12" x14ac:dyDescent="0.2">
      <c r="B2911" s="36"/>
      <c r="G2911" s="34"/>
      <c r="H2911" s="33"/>
      <c r="I2911" s="33"/>
      <c r="J2911" s="33"/>
      <c r="K2911" s="37"/>
      <c r="L2911" s="37"/>
    </row>
    <row r="2912" spans="2:12" x14ac:dyDescent="0.2">
      <c r="B2912" s="36"/>
      <c r="G2912" s="34"/>
      <c r="H2912" s="33"/>
      <c r="I2912" s="33"/>
      <c r="J2912" s="33"/>
      <c r="K2912" s="37"/>
      <c r="L2912" s="37"/>
    </row>
    <row r="2913" spans="2:12" x14ac:dyDescent="0.2">
      <c r="B2913" s="36"/>
      <c r="G2913" s="34"/>
      <c r="H2913" s="33"/>
      <c r="I2913" s="33"/>
      <c r="J2913" s="33"/>
      <c r="K2913" s="37"/>
      <c r="L2913" s="37"/>
    </row>
    <row r="2914" spans="2:12" x14ac:dyDescent="0.2">
      <c r="B2914" s="36"/>
      <c r="G2914" s="34"/>
      <c r="H2914" s="33"/>
      <c r="I2914" s="33"/>
      <c r="J2914" s="33"/>
      <c r="K2914" s="37"/>
      <c r="L2914" s="37"/>
    </row>
    <row r="2915" spans="2:12" x14ac:dyDescent="0.2">
      <c r="B2915" s="36"/>
      <c r="G2915" s="34"/>
      <c r="H2915" s="33"/>
      <c r="I2915" s="33"/>
      <c r="J2915" s="33"/>
      <c r="K2915" s="37"/>
      <c r="L2915" s="37"/>
    </row>
    <row r="2916" spans="2:12" x14ac:dyDescent="0.2">
      <c r="B2916" s="36"/>
      <c r="G2916" s="34"/>
      <c r="H2916" s="33"/>
      <c r="I2916" s="33"/>
      <c r="J2916" s="33"/>
      <c r="K2916" s="37"/>
      <c r="L2916" s="37"/>
    </row>
    <row r="2917" spans="2:12" x14ac:dyDescent="0.2">
      <c r="B2917" s="36"/>
      <c r="G2917" s="34"/>
      <c r="H2917" s="33"/>
      <c r="I2917" s="33"/>
      <c r="J2917" s="33"/>
      <c r="K2917" s="37"/>
      <c r="L2917" s="37"/>
    </row>
    <row r="2918" spans="2:12" x14ac:dyDescent="0.2">
      <c r="B2918" s="36"/>
      <c r="G2918" s="34"/>
      <c r="H2918" s="33"/>
      <c r="I2918" s="33"/>
      <c r="J2918" s="33"/>
      <c r="K2918" s="37"/>
      <c r="L2918" s="37"/>
    </row>
    <row r="2919" spans="2:12" x14ac:dyDescent="0.2">
      <c r="B2919" s="36"/>
      <c r="G2919" s="34"/>
      <c r="H2919" s="33"/>
      <c r="I2919" s="33"/>
      <c r="J2919" s="33"/>
      <c r="K2919" s="37"/>
      <c r="L2919" s="37"/>
    </row>
    <row r="2920" spans="2:12" x14ac:dyDescent="0.2">
      <c r="B2920" s="36"/>
      <c r="G2920" s="34"/>
      <c r="H2920" s="33"/>
      <c r="I2920" s="33"/>
      <c r="J2920" s="33"/>
      <c r="K2920" s="37"/>
      <c r="L2920" s="37"/>
    </row>
    <row r="2921" spans="2:12" x14ac:dyDescent="0.2">
      <c r="B2921" s="36"/>
      <c r="G2921" s="34"/>
      <c r="H2921" s="33"/>
      <c r="I2921" s="33"/>
      <c r="J2921" s="33"/>
      <c r="K2921" s="37"/>
      <c r="L2921" s="37"/>
    </row>
    <row r="2922" spans="2:12" x14ac:dyDescent="0.2">
      <c r="B2922" s="36"/>
      <c r="G2922" s="34"/>
      <c r="H2922" s="33"/>
      <c r="I2922" s="33"/>
      <c r="J2922" s="33"/>
      <c r="K2922" s="37"/>
      <c r="L2922" s="37"/>
    </row>
    <row r="2923" spans="2:12" x14ac:dyDescent="0.2">
      <c r="B2923" s="36"/>
      <c r="G2923" s="34"/>
      <c r="H2923" s="33"/>
      <c r="I2923" s="33"/>
      <c r="J2923" s="33"/>
      <c r="K2923" s="37"/>
      <c r="L2923" s="37"/>
    </row>
    <row r="2924" spans="2:12" x14ac:dyDescent="0.2">
      <c r="B2924" s="36"/>
      <c r="G2924" s="34"/>
      <c r="H2924" s="33"/>
      <c r="I2924" s="33"/>
      <c r="J2924" s="33"/>
      <c r="K2924" s="37"/>
      <c r="L2924" s="37"/>
    </row>
    <row r="2925" spans="2:12" x14ac:dyDescent="0.2">
      <c r="B2925" s="36"/>
      <c r="G2925" s="34"/>
      <c r="H2925" s="33"/>
      <c r="I2925" s="33"/>
      <c r="J2925" s="33"/>
      <c r="K2925" s="37"/>
      <c r="L2925" s="37"/>
    </row>
    <row r="2926" spans="2:12" x14ac:dyDescent="0.2">
      <c r="B2926" s="36"/>
      <c r="G2926" s="34"/>
      <c r="H2926" s="33"/>
      <c r="I2926" s="33"/>
      <c r="J2926" s="33"/>
      <c r="K2926" s="37"/>
      <c r="L2926" s="37"/>
    </row>
    <row r="2927" spans="2:12" x14ac:dyDescent="0.2">
      <c r="B2927" s="36"/>
      <c r="G2927" s="34"/>
      <c r="H2927" s="33"/>
      <c r="I2927" s="33"/>
      <c r="J2927" s="33"/>
      <c r="K2927" s="37"/>
      <c r="L2927" s="37"/>
    </row>
    <row r="2928" spans="2:12" x14ac:dyDescent="0.2">
      <c r="B2928" s="36"/>
      <c r="G2928" s="34"/>
      <c r="H2928" s="33"/>
      <c r="I2928" s="33"/>
      <c r="J2928" s="33"/>
      <c r="K2928" s="37"/>
      <c r="L2928" s="37"/>
    </row>
    <row r="2929" spans="2:12" x14ac:dyDescent="0.2">
      <c r="B2929" s="36"/>
      <c r="G2929" s="34"/>
      <c r="H2929" s="33"/>
      <c r="I2929" s="33"/>
      <c r="J2929" s="33"/>
      <c r="K2929" s="37"/>
      <c r="L2929" s="37"/>
    </row>
    <row r="2930" spans="2:12" x14ac:dyDescent="0.2">
      <c r="B2930" s="36"/>
      <c r="G2930" s="34"/>
      <c r="H2930" s="33"/>
      <c r="I2930" s="33"/>
      <c r="J2930" s="33"/>
      <c r="K2930" s="37"/>
      <c r="L2930" s="37"/>
    </row>
    <row r="2931" spans="2:12" x14ac:dyDescent="0.2">
      <c r="B2931" s="36"/>
      <c r="G2931" s="34"/>
      <c r="H2931" s="33"/>
      <c r="I2931" s="33"/>
      <c r="J2931" s="33"/>
      <c r="K2931" s="37"/>
      <c r="L2931" s="37"/>
    </row>
    <row r="2932" spans="2:12" x14ac:dyDescent="0.2">
      <c r="B2932" s="36"/>
      <c r="G2932" s="34"/>
      <c r="H2932" s="33"/>
      <c r="I2932" s="33"/>
      <c r="J2932" s="33"/>
      <c r="K2932" s="37"/>
      <c r="L2932" s="37"/>
    </row>
    <row r="2933" spans="2:12" x14ac:dyDescent="0.2">
      <c r="B2933" s="36"/>
      <c r="G2933" s="34"/>
      <c r="H2933" s="33"/>
      <c r="I2933" s="33"/>
      <c r="J2933" s="33"/>
      <c r="K2933" s="37"/>
      <c r="L2933" s="37"/>
    </row>
    <row r="2934" spans="2:12" x14ac:dyDescent="0.2">
      <c r="B2934" s="36"/>
      <c r="G2934" s="34"/>
      <c r="H2934" s="33"/>
      <c r="I2934" s="33"/>
      <c r="J2934" s="33"/>
      <c r="K2934" s="37"/>
      <c r="L2934" s="37"/>
    </row>
    <row r="2935" spans="2:12" x14ac:dyDescent="0.2">
      <c r="B2935" s="36"/>
      <c r="G2935" s="34"/>
      <c r="H2935" s="33"/>
      <c r="I2935" s="33"/>
      <c r="J2935" s="33"/>
      <c r="K2935" s="37"/>
      <c r="L2935" s="37"/>
    </row>
    <row r="2936" spans="2:12" x14ac:dyDescent="0.2">
      <c r="B2936" s="36"/>
      <c r="G2936" s="34"/>
      <c r="H2936" s="33"/>
      <c r="I2936" s="33"/>
      <c r="J2936" s="33"/>
      <c r="K2936" s="37"/>
      <c r="L2936" s="37"/>
    </row>
    <row r="2937" spans="2:12" x14ac:dyDescent="0.2">
      <c r="B2937" s="36"/>
      <c r="G2937" s="34"/>
      <c r="H2937" s="33"/>
      <c r="I2937" s="33"/>
      <c r="J2937" s="33"/>
      <c r="K2937" s="37"/>
      <c r="L2937" s="37"/>
    </row>
    <row r="2938" spans="2:12" x14ac:dyDescent="0.2">
      <c r="B2938" s="36"/>
      <c r="G2938" s="34"/>
      <c r="H2938" s="33"/>
      <c r="I2938" s="33"/>
      <c r="J2938" s="33"/>
      <c r="K2938" s="37"/>
      <c r="L2938" s="37"/>
    </row>
    <row r="2939" spans="2:12" x14ac:dyDescent="0.2">
      <c r="B2939" s="36"/>
      <c r="G2939" s="34"/>
      <c r="H2939" s="33"/>
      <c r="I2939" s="33"/>
      <c r="J2939" s="33"/>
      <c r="K2939" s="37"/>
      <c r="L2939" s="37"/>
    </row>
    <row r="2940" spans="2:12" x14ac:dyDescent="0.2">
      <c r="B2940" s="36"/>
      <c r="G2940" s="34"/>
      <c r="H2940" s="33"/>
      <c r="I2940" s="33"/>
      <c r="J2940" s="33"/>
      <c r="K2940" s="37"/>
      <c r="L2940" s="37"/>
    </row>
    <row r="2941" spans="2:12" x14ac:dyDescent="0.2">
      <c r="B2941" s="36"/>
      <c r="G2941" s="34"/>
      <c r="H2941" s="33"/>
      <c r="I2941" s="33"/>
      <c r="J2941" s="33"/>
      <c r="K2941" s="37"/>
      <c r="L2941" s="37"/>
    </row>
    <row r="2942" spans="2:12" x14ac:dyDescent="0.2">
      <c r="B2942" s="36"/>
      <c r="G2942" s="34"/>
      <c r="H2942" s="33"/>
      <c r="I2942" s="33"/>
      <c r="J2942" s="33"/>
      <c r="K2942" s="37"/>
      <c r="L2942" s="37"/>
    </row>
    <row r="2943" spans="2:12" x14ac:dyDescent="0.2">
      <c r="B2943" s="36"/>
      <c r="G2943" s="34"/>
      <c r="H2943" s="33"/>
      <c r="I2943" s="33"/>
      <c r="J2943" s="33"/>
      <c r="K2943" s="37"/>
      <c r="L2943" s="37"/>
    </row>
    <row r="2944" spans="2:12" x14ac:dyDescent="0.2">
      <c r="B2944" s="36"/>
      <c r="G2944" s="34"/>
      <c r="H2944" s="33"/>
      <c r="I2944" s="33"/>
      <c r="J2944" s="33"/>
      <c r="K2944" s="37"/>
      <c r="L2944" s="37"/>
    </row>
    <row r="2945" spans="2:12" x14ac:dyDescent="0.2">
      <c r="B2945" s="36"/>
      <c r="G2945" s="34"/>
      <c r="H2945" s="33"/>
      <c r="I2945" s="33"/>
      <c r="J2945" s="33"/>
      <c r="K2945" s="37"/>
      <c r="L2945" s="37"/>
    </row>
    <row r="2946" spans="2:12" x14ac:dyDescent="0.2">
      <c r="B2946" s="36"/>
      <c r="G2946" s="34"/>
      <c r="H2946" s="33"/>
      <c r="I2946" s="33"/>
      <c r="J2946" s="33"/>
      <c r="K2946" s="37"/>
      <c r="L2946" s="37"/>
    </row>
    <row r="2947" spans="2:12" x14ac:dyDescent="0.2">
      <c r="B2947" s="36"/>
      <c r="G2947" s="34"/>
      <c r="H2947" s="33"/>
      <c r="I2947" s="33"/>
      <c r="J2947" s="33"/>
      <c r="K2947" s="37"/>
      <c r="L2947" s="37"/>
    </row>
    <row r="2948" spans="2:12" x14ac:dyDescent="0.2">
      <c r="B2948" s="36"/>
      <c r="G2948" s="34"/>
      <c r="H2948" s="33"/>
      <c r="I2948" s="33"/>
      <c r="J2948" s="33"/>
      <c r="K2948" s="37"/>
      <c r="L2948" s="37"/>
    </row>
    <row r="2949" spans="2:12" x14ac:dyDescent="0.2">
      <c r="B2949" s="36"/>
      <c r="G2949" s="34"/>
      <c r="H2949" s="33"/>
      <c r="I2949" s="33"/>
      <c r="J2949" s="33"/>
      <c r="K2949" s="37"/>
      <c r="L2949" s="37"/>
    </row>
    <row r="2950" spans="2:12" x14ac:dyDescent="0.2">
      <c r="B2950" s="36"/>
      <c r="G2950" s="34"/>
      <c r="H2950" s="33"/>
      <c r="I2950" s="33"/>
      <c r="J2950" s="33"/>
      <c r="K2950" s="37"/>
      <c r="L2950" s="37"/>
    </row>
    <row r="2951" spans="2:12" x14ac:dyDescent="0.2">
      <c r="B2951" s="36"/>
      <c r="G2951" s="34"/>
      <c r="H2951" s="33"/>
      <c r="I2951" s="33"/>
      <c r="J2951" s="33"/>
      <c r="K2951" s="37"/>
      <c r="L2951" s="37"/>
    </row>
    <row r="2952" spans="2:12" x14ac:dyDescent="0.2">
      <c r="B2952" s="36"/>
      <c r="G2952" s="34"/>
      <c r="H2952" s="33"/>
      <c r="I2952" s="33"/>
      <c r="J2952" s="33"/>
      <c r="K2952" s="37"/>
      <c r="L2952" s="37"/>
    </row>
    <row r="2953" spans="2:12" x14ac:dyDescent="0.2">
      <c r="B2953" s="36"/>
      <c r="G2953" s="34"/>
      <c r="H2953" s="33"/>
      <c r="I2953" s="33"/>
      <c r="J2953" s="33"/>
      <c r="K2953" s="37"/>
      <c r="L2953" s="37"/>
    </row>
    <row r="2954" spans="2:12" x14ac:dyDescent="0.2">
      <c r="B2954" s="36"/>
      <c r="G2954" s="34"/>
      <c r="H2954" s="33"/>
      <c r="I2954" s="33"/>
      <c r="J2954" s="33"/>
      <c r="K2954" s="37"/>
      <c r="L2954" s="37"/>
    </row>
    <row r="2955" spans="2:12" x14ac:dyDescent="0.2">
      <c r="B2955" s="36"/>
      <c r="G2955" s="34"/>
      <c r="H2955" s="33"/>
      <c r="I2955" s="33"/>
      <c r="J2955" s="33"/>
      <c r="K2955" s="37"/>
      <c r="L2955" s="37"/>
    </row>
    <row r="2956" spans="2:12" x14ac:dyDescent="0.2">
      <c r="B2956" s="36"/>
      <c r="G2956" s="34"/>
      <c r="H2956" s="33"/>
      <c r="I2956" s="33"/>
      <c r="J2956" s="33"/>
      <c r="K2956" s="37"/>
      <c r="L2956" s="37"/>
    </row>
    <row r="2957" spans="2:12" x14ac:dyDescent="0.2">
      <c r="B2957" s="36"/>
      <c r="G2957" s="34"/>
      <c r="H2957" s="33"/>
      <c r="I2957" s="33"/>
      <c r="J2957" s="33"/>
      <c r="K2957" s="37"/>
      <c r="L2957" s="37"/>
    </row>
    <row r="2958" spans="2:12" x14ac:dyDescent="0.2">
      <c r="B2958" s="36"/>
      <c r="G2958" s="34"/>
      <c r="H2958" s="33"/>
      <c r="I2958" s="33"/>
      <c r="J2958" s="33"/>
      <c r="K2958" s="37"/>
      <c r="L2958" s="37"/>
    </row>
    <row r="2959" spans="2:12" x14ac:dyDescent="0.2">
      <c r="B2959" s="36"/>
      <c r="G2959" s="34"/>
      <c r="H2959" s="33"/>
      <c r="I2959" s="33"/>
      <c r="J2959" s="33"/>
      <c r="K2959" s="37"/>
      <c r="L2959" s="37"/>
    </row>
    <row r="2960" spans="2:12" x14ac:dyDescent="0.2">
      <c r="B2960" s="36"/>
      <c r="G2960" s="34"/>
      <c r="H2960" s="33"/>
      <c r="I2960" s="33"/>
      <c r="J2960" s="33"/>
      <c r="K2960" s="37"/>
      <c r="L2960" s="37"/>
    </row>
    <row r="2961" spans="2:12" x14ac:dyDescent="0.2">
      <c r="B2961" s="36"/>
      <c r="G2961" s="34"/>
      <c r="H2961" s="33"/>
      <c r="I2961" s="33"/>
      <c r="J2961" s="33"/>
      <c r="K2961" s="37"/>
      <c r="L2961" s="37"/>
    </row>
    <row r="2962" spans="2:12" x14ac:dyDescent="0.2">
      <c r="B2962" s="36"/>
      <c r="G2962" s="34"/>
      <c r="H2962" s="33"/>
      <c r="I2962" s="33"/>
      <c r="J2962" s="33"/>
      <c r="K2962" s="37"/>
      <c r="L2962" s="37"/>
    </row>
    <row r="2963" spans="2:12" x14ac:dyDescent="0.2">
      <c r="B2963" s="36"/>
      <c r="G2963" s="34"/>
      <c r="H2963" s="33"/>
      <c r="I2963" s="33"/>
      <c r="J2963" s="33"/>
      <c r="K2963" s="37"/>
      <c r="L2963" s="37"/>
    </row>
    <row r="2964" spans="2:12" x14ac:dyDescent="0.2">
      <c r="B2964" s="36"/>
      <c r="G2964" s="34"/>
      <c r="H2964" s="33"/>
      <c r="I2964" s="33"/>
      <c r="J2964" s="33"/>
      <c r="K2964" s="37"/>
      <c r="L2964" s="37"/>
    </row>
    <row r="2965" spans="2:12" x14ac:dyDescent="0.2">
      <c r="B2965" s="36"/>
      <c r="G2965" s="34"/>
      <c r="H2965" s="33"/>
      <c r="I2965" s="33"/>
      <c r="J2965" s="33"/>
      <c r="K2965" s="37"/>
      <c r="L2965" s="37"/>
    </row>
    <row r="2966" spans="2:12" x14ac:dyDescent="0.2">
      <c r="B2966" s="36"/>
      <c r="G2966" s="34"/>
      <c r="H2966" s="33"/>
      <c r="I2966" s="33"/>
      <c r="J2966" s="33"/>
      <c r="K2966" s="37"/>
      <c r="L2966" s="37"/>
    </row>
    <row r="2967" spans="2:12" x14ac:dyDescent="0.2">
      <c r="B2967" s="36"/>
      <c r="G2967" s="34"/>
      <c r="H2967" s="33"/>
      <c r="I2967" s="33"/>
      <c r="J2967" s="33"/>
      <c r="K2967" s="37"/>
      <c r="L2967" s="37"/>
    </row>
    <row r="2968" spans="2:12" x14ac:dyDescent="0.2">
      <c r="B2968" s="36"/>
      <c r="G2968" s="34"/>
      <c r="H2968" s="33"/>
      <c r="I2968" s="33"/>
      <c r="J2968" s="33"/>
      <c r="K2968" s="37"/>
      <c r="L2968" s="37"/>
    </row>
    <row r="2969" spans="2:12" x14ac:dyDescent="0.2">
      <c r="B2969" s="36"/>
      <c r="G2969" s="34"/>
      <c r="H2969" s="33"/>
      <c r="I2969" s="33"/>
      <c r="J2969" s="33"/>
      <c r="K2969" s="37"/>
      <c r="L2969" s="37"/>
    </row>
    <row r="2970" spans="2:12" x14ac:dyDescent="0.2">
      <c r="B2970" s="36"/>
      <c r="G2970" s="34"/>
      <c r="H2970" s="33"/>
      <c r="I2970" s="33"/>
      <c r="J2970" s="33"/>
      <c r="K2970" s="37"/>
      <c r="L2970" s="37"/>
    </row>
    <row r="2971" spans="2:12" x14ac:dyDescent="0.2">
      <c r="B2971" s="36"/>
      <c r="G2971" s="34"/>
      <c r="H2971" s="33"/>
      <c r="I2971" s="33"/>
      <c r="J2971" s="33"/>
      <c r="K2971" s="37"/>
      <c r="L2971" s="37"/>
    </row>
    <row r="2972" spans="2:12" x14ac:dyDescent="0.2">
      <c r="B2972" s="36"/>
      <c r="G2972" s="34"/>
      <c r="H2972" s="33"/>
      <c r="I2972" s="33"/>
      <c r="J2972" s="33"/>
      <c r="K2972" s="37"/>
      <c r="L2972" s="37"/>
    </row>
    <row r="2973" spans="2:12" x14ac:dyDescent="0.2">
      <c r="B2973" s="36"/>
      <c r="G2973" s="34"/>
      <c r="H2973" s="33"/>
      <c r="I2973" s="33"/>
      <c r="J2973" s="33"/>
      <c r="K2973" s="37"/>
      <c r="L2973" s="37"/>
    </row>
    <row r="2974" spans="2:12" x14ac:dyDescent="0.2">
      <c r="B2974" s="36"/>
      <c r="G2974" s="34"/>
      <c r="H2974" s="33"/>
      <c r="I2974" s="33"/>
      <c r="J2974" s="33"/>
      <c r="K2974" s="37"/>
      <c r="L2974" s="37"/>
    </row>
    <row r="2975" spans="2:12" x14ac:dyDescent="0.2">
      <c r="B2975" s="36"/>
      <c r="G2975" s="34"/>
      <c r="H2975" s="33"/>
      <c r="I2975" s="33"/>
      <c r="J2975" s="33"/>
      <c r="K2975" s="37"/>
      <c r="L2975" s="37"/>
    </row>
    <row r="2976" spans="2:12" x14ac:dyDescent="0.2">
      <c r="B2976" s="36"/>
      <c r="G2976" s="34"/>
      <c r="H2976" s="33"/>
      <c r="I2976" s="33"/>
      <c r="J2976" s="33"/>
      <c r="K2976" s="37"/>
      <c r="L2976" s="37"/>
    </row>
    <row r="2977" spans="2:12" x14ac:dyDescent="0.2">
      <c r="B2977" s="36"/>
      <c r="G2977" s="34"/>
      <c r="H2977" s="33"/>
      <c r="I2977" s="33"/>
      <c r="J2977" s="33"/>
      <c r="K2977" s="37"/>
      <c r="L2977" s="37"/>
    </row>
    <row r="2978" spans="2:12" x14ac:dyDescent="0.2">
      <c r="B2978" s="36"/>
      <c r="G2978" s="34"/>
      <c r="H2978" s="33"/>
      <c r="I2978" s="33"/>
      <c r="J2978" s="33"/>
      <c r="K2978" s="37"/>
      <c r="L2978" s="37"/>
    </row>
    <row r="2979" spans="2:12" x14ac:dyDescent="0.2">
      <c r="B2979" s="36"/>
      <c r="G2979" s="34"/>
      <c r="H2979" s="33"/>
      <c r="I2979" s="33"/>
      <c r="J2979" s="33"/>
      <c r="K2979" s="37"/>
      <c r="L2979" s="37"/>
    </row>
    <row r="2980" spans="2:12" x14ac:dyDescent="0.2">
      <c r="B2980" s="36"/>
      <c r="G2980" s="34"/>
      <c r="H2980" s="33"/>
      <c r="I2980" s="33"/>
      <c r="J2980" s="33"/>
      <c r="K2980" s="37"/>
      <c r="L2980" s="37"/>
    </row>
    <row r="2981" spans="2:12" x14ac:dyDescent="0.2">
      <c r="B2981" s="36"/>
      <c r="G2981" s="34"/>
      <c r="H2981" s="33"/>
      <c r="I2981" s="33"/>
      <c r="J2981" s="33"/>
      <c r="K2981" s="37"/>
      <c r="L2981" s="37"/>
    </row>
    <row r="2982" spans="2:12" x14ac:dyDescent="0.2">
      <c r="B2982" s="36"/>
      <c r="G2982" s="34"/>
      <c r="H2982" s="33"/>
      <c r="I2982" s="33"/>
      <c r="J2982" s="33"/>
      <c r="K2982" s="37"/>
      <c r="L2982" s="37"/>
    </row>
    <row r="2983" spans="2:12" x14ac:dyDescent="0.2">
      <c r="B2983" s="36"/>
      <c r="G2983" s="34"/>
      <c r="H2983" s="33"/>
      <c r="I2983" s="33"/>
      <c r="J2983" s="33"/>
      <c r="K2983" s="37"/>
      <c r="L2983" s="37"/>
    </row>
    <row r="2984" spans="2:12" x14ac:dyDescent="0.2">
      <c r="B2984" s="36"/>
      <c r="G2984" s="34"/>
      <c r="H2984" s="33"/>
      <c r="I2984" s="33"/>
      <c r="J2984" s="33"/>
      <c r="K2984" s="37"/>
      <c r="L2984" s="37"/>
    </row>
    <row r="2985" spans="2:12" x14ac:dyDescent="0.2">
      <c r="B2985" s="36"/>
      <c r="G2985" s="34"/>
      <c r="H2985" s="33"/>
      <c r="I2985" s="33"/>
      <c r="J2985" s="33"/>
      <c r="K2985" s="37"/>
      <c r="L2985" s="37"/>
    </row>
    <row r="2986" spans="2:12" x14ac:dyDescent="0.2">
      <c r="B2986" s="36"/>
      <c r="G2986" s="34"/>
      <c r="H2986" s="33"/>
      <c r="I2986" s="33"/>
      <c r="J2986" s="33"/>
      <c r="K2986" s="37"/>
      <c r="L2986" s="37"/>
    </row>
    <row r="2987" spans="2:12" x14ac:dyDescent="0.2">
      <c r="B2987" s="36"/>
      <c r="G2987" s="34"/>
      <c r="H2987" s="33"/>
      <c r="I2987" s="33"/>
      <c r="J2987" s="33"/>
      <c r="K2987" s="37"/>
      <c r="L2987" s="37"/>
    </row>
    <row r="2988" spans="2:12" x14ac:dyDescent="0.2">
      <c r="B2988" s="36"/>
      <c r="G2988" s="34"/>
      <c r="H2988" s="33"/>
      <c r="I2988" s="33"/>
      <c r="J2988" s="33"/>
      <c r="K2988" s="37"/>
      <c r="L2988" s="37"/>
    </row>
    <row r="2989" spans="2:12" x14ac:dyDescent="0.2">
      <c r="B2989" s="36"/>
      <c r="G2989" s="34"/>
      <c r="H2989" s="33"/>
      <c r="I2989" s="33"/>
      <c r="J2989" s="33"/>
      <c r="K2989" s="37"/>
      <c r="L2989" s="37"/>
    </row>
    <row r="2990" spans="2:12" x14ac:dyDescent="0.2">
      <c r="B2990" s="36"/>
      <c r="G2990" s="34"/>
      <c r="H2990" s="33"/>
      <c r="I2990" s="33"/>
      <c r="J2990" s="33"/>
      <c r="K2990" s="37"/>
      <c r="L2990" s="37"/>
    </row>
    <row r="2991" spans="2:12" x14ac:dyDescent="0.2">
      <c r="B2991" s="36"/>
      <c r="G2991" s="34"/>
      <c r="H2991" s="33"/>
      <c r="I2991" s="33"/>
      <c r="J2991" s="33"/>
      <c r="K2991" s="37"/>
      <c r="L2991" s="37"/>
    </row>
    <row r="2992" spans="2:12" x14ac:dyDescent="0.2">
      <c r="B2992" s="36"/>
      <c r="G2992" s="34"/>
      <c r="H2992" s="33"/>
      <c r="I2992" s="33"/>
      <c r="J2992" s="33"/>
      <c r="K2992" s="37"/>
      <c r="L2992" s="37"/>
    </row>
    <row r="2993" spans="2:12" x14ac:dyDescent="0.2">
      <c r="B2993" s="36"/>
      <c r="G2993" s="34"/>
      <c r="H2993" s="33"/>
      <c r="I2993" s="33"/>
      <c r="J2993" s="33"/>
      <c r="K2993" s="37"/>
      <c r="L2993" s="37"/>
    </row>
    <row r="2994" spans="2:12" x14ac:dyDescent="0.2">
      <c r="B2994" s="36"/>
      <c r="G2994" s="34"/>
      <c r="H2994" s="33"/>
      <c r="I2994" s="33"/>
      <c r="J2994" s="33"/>
      <c r="K2994" s="37"/>
      <c r="L2994" s="37"/>
    </row>
    <row r="2995" spans="2:12" x14ac:dyDescent="0.2">
      <c r="B2995" s="36"/>
      <c r="G2995" s="34"/>
      <c r="H2995" s="33"/>
      <c r="I2995" s="33"/>
      <c r="J2995" s="33"/>
      <c r="K2995" s="37"/>
      <c r="L2995" s="37"/>
    </row>
    <row r="2996" spans="2:12" x14ac:dyDescent="0.2">
      <c r="B2996" s="36"/>
      <c r="G2996" s="34"/>
      <c r="H2996" s="33"/>
      <c r="I2996" s="33"/>
      <c r="J2996" s="33"/>
      <c r="K2996" s="37"/>
      <c r="L2996" s="37"/>
    </row>
    <row r="2997" spans="2:12" x14ac:dyDescent="0.2">
      <c r="B2997" s="36"/>
      <c r="G2997" s="34"/>
      <c r="H2997" s="33"/>
      <c r="I2997" s="33"/>
      <c r="J2997" s="33"/>
      <c r="K2997" s="37"/>
      <c r="L2997" s="37"/>
    </row>
    <row r="2998" spans="2:12" x14ac:dyDescent="0.2">
      <c r="B2998" s="36"/>
      <c r="G2998" s="34"/>
      <c r="H2998" s="33"/>
      <c r="I2998" s="33"/>
      <c r="J2998" s="33"/>
      <c r="K2998" s="37"/>
      <c r="L2998" s="37"/>
    </row>
    <row r="2999" spans="2:12" x14ac:dyDescent="0.2">
      <c r="B2999" s="36"/>
      <c r="G2999" s="34"/>
      <c r="H2999" s="33"/>
      <c r="I2999" s="33"/>
      <c r="J2999" s="33"/>
      <c r="K2999" s="37"/>
      <c r="L2999" s="37"/>
    </row>
    <row r="3000" spans="2:12" x14ac:dyDescent="0.2">
      <c r="B3000" s="36"/>
      <c r="G3000" s="34"/>
      <c r="H3000" s="33"/>
      <c r="I3000" s="33"/>
      <c r="J3000" s="33"/>
      <c r="K3000" s="37"/>
      <c r="L3000" s="37"/>
    </row>
  </sheetData>
  <mergeCells count="3">
    <mergeCell ref="C4:E4"/>
    <mergeCell ref="C5:E5"/>
    <mergeCell ref="C6:E6"/>
  </mergeCells>
  <conditionalFormatting sqref="B10:B3000">
    <cfRule type="expression" dxfId="48" priority="1">
      <formula>LEFT($M10,LEN("🔴 CRÍTICO"))="🔴 CRÍTICO"</formula>
    </cfRule>
    <cfRule type="expression" dxfId="47" priority="2">
      <formula>LEFT($M10,LEN("🟠 ALERTA"))="🟠 ALERTA"</formula>
    </cfRule>
    <cfRule type="expression" dxfId="46" priority="3">
      <formula>LEFT($M10,LEN("🟡 SEGUIMIENTO"))="🟡 SEGUIMIENTO"</formula>
    </cfRule>
    <cfRule type="expression" dxfId="45" priority="4">
      <formula>LEFT($M10,LEN("⚪ SIN REGISTRO"))="⚪ SIN REGISTRO"</formula>
    </cfRule>
  </conditionalFormatting>
  <conditionalFormatting sqref="B10:N3000">
    <cfRule type="expression" dxfId="44" priority="14">
      <formula>$C10&lt;&gt;""</formula>
    </cfRule>
  </conditionalFormatting>
  <conditionalFormatting sqref="G10:G3000">
    <cfRule type="expression" dxfId="43" priority="5">
      <formula>LEFT($M10,LEN("🔴 CRÍTICO"))="🔴 CRÍTICO"</formula>
    </cfRule>
    <cfRule type="expression" dxfId="42" priority="6">
      <formula>LEFT($M10,LEN("🟠 ALERTA"))="🟠 ALERTA"</formula>
    </cfRule>
    <cfRule type="expression" dxfId="41" priority="7">
      <formula>LEFT($M10,LEN("🟡 SEGUIMIENTO"))="🟡 SEGUIMIENTO"</formula>
    </cfRule>
    <cfRule type="expression" dxfId="40" priority="8">
      <formula>LEFT($M10,LEN("⚪ SIN REGISTRO"))="⚪ SIN REGISTRO"</formula>
    </cfRule>
  </conditionalFormatting>
  <conditionalFormatting sqref="J10:J3000">
    <cfRule type="expression" dxfId="39" priority="13">
      <formula>AND(ISNUMBER($J10),$J10&gt;=pFaltasConsec)</formula>
    </cfRule>
  </conditionalFormatting>
  <conditionalFormatting sqref="M10:M3000">
    <cfRule type="expression" dxfId="38" priority="9">
      <formula>LEFT($M10,LEN("🔴 CRÍTICO"))="🔴 CRÍTICO"</formula>
    </cfRule>
    <cfRule type="expression" dxfId="37" priority="10">
      <formula>LEFT($M10,LEN("🟠 ALERTA"))="🟠 ALERTA"</formula>
    </cfRule>
    <cfRule type="expression" dxfId="36" priority="11">
      <formula>LEFT($M10,LEN("🟡 SEGUIMIENTO"))="🟡 SEGUIMIENTO"</formula>
    </cfRule>
    <cfRule type="expression" dxfId="35" priority="12">
      <formula>LEFT($M10,LEN("⚪ SIN REGISTRO"))="⚪ SIN REGISTRO"</formula>
    </cfRule>
  </conditionalFormatting>
  <dataValidations count="3">
    <dataValidation type="list" allowBlank="1" showInputMessage="1" showErrorMessage="1" sqref="C4" xr:uid="{F78380D4-47F1-8B46-A0B4-5C3936427214}">
      <formula1>lstProgramas</formula1>
    </dataValidation>
    <dataValidation type="list" allowBlank="1" showInputMessage="1" showErrorMessage="1" sqref="C6" xr:uid="{49D53A5B-DDD9-8D43-B2B2-A0F52909FD95}">
      <formula1>lstAlertas</formula1>
    </dataValidation>
    <dataValidation type="list" allowBlank="1" showInputMessage="1" showErrorMessage="1" sqref="C5" xr:uid="{CE3EF245-B1CC-D645-B7C5-D25F2E104AC8}">
      <formula1>lstDocentesAlertas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3A25-1276-9249-B1BC-34F7BE0873E6}">
  <sheetPr>
    <tabColor rgb="FFED7D31"/>
  </sheetPr>
  <dimension ref="B1:L83"/>
  <sheetViews>
    <sheetView showGridLines="0" workbookViewId="0"/>
  </sheetViews>
  <sheetFormatPr baseColWidth="10" defaultRowHeight="16" x14ac:dyDescent="0.2"/>
  <cols>
    <col min="1" max="1" width="2" customWidth="1"/>
    <col min="2" max="2" width="43.33203125" customWidth="1"/>
    <col min="3" max="3" width="38.33203125" customWidth="1"/>
    <col min="4" max="4" width="50" customWidth="1"/>
    <col min="5" max="5" width="55" customWidth="1"/>
    <col min="6" max="6" width="18.33203125" customWidth="1"/>
    <col min="7" max="7" width="21.6640625" customWidth="1"/>
    <col min="8" max="8" width="3.33203125" customWidth="1"/>
    <col min="9" max="9" width="16.6640625" customWidth="1"/>
    <col min="10" max="10" width="41.6640625" customWidth="1"/>
    <col min="11" max="11" width="16.6640625" customWidth="1"/>
    <col min="12" max="12" width="30" customWidth="1"/>
  </cols>
  <sheetData>
    <row r="1" spans="2:5" ht="24" x14ac:dyDescent="0.3">
      <c r="B1" s="59" t="s">
        <v>9174</v>
      </c>
    </row>
    <row r="2" spans="2:5" x14ac:dyDescent="0.2">
      <c r="B2" s="18" t="s">
        <v>9175</v>
      </c>
    </row>
    <row r="4" spans="2:5" x14ac:dyDescent="0.2">
      <c r="B4" s="20" t="s">
        <v>9176</v>
      </c>
      <c r="C4" s="20" t="s">
        <v>9173</v>
      </c>
      <c r="D4" s="20" t="s">
        <v>9177</v>
      </c>
      <c r="E4" s="20" t="s">
        <v>9178</v>
      </c>
    </row>
    <row r="5" spans="2:5" ht="34" x14ac:dyDescent="0.2">
      <c r="B5" s="88" t="s">
        <v>9179</v>
      </c>
      <c r="C5" s="89" t="str">
        <f>IF(COUNT(tblAsistenciaDiaria[Fecha])=0,"Todo el archivo","Resuelto")</f>
        <v>Todo el archivo</v>
      </c>
      <c r="D5" s="88" t="s">
        <v>9180</v>
      </c>
      <c r="E5" s="88" t="s">
        <v>9181</v>
      </c>
    </row>
    <row r="6" spans="2:5" ht="34" x14ac:dyDescent="0.2">
      <c r="B6" s="90" t="s">
        <v>9182</v>
      </c>
      <c r="C6" s="38">
        <f>COUNTA(tblGrupos[Código])-COUNT(tblGrupos[Clases dictadas (manual)])</f>
        <v>57</v>
      </c>
      <c r="D6" s="90" t="s">
        <v>9183</v>
      </c>
      <c r="E6" s="90" t="s">
        <v>9184</v>
      </c>
    </row>
    <row r="7" spans="2:5" ht="34" x14ac:dyDescent="0.2">
      <c r="B7" s="90" t="s">
        <v>9185</v>
      </c>
      <c r="C7" s="91">
        <f>COUNTIFS(tblMatriculas[Nivel],"⚪ SIN REGISTRO")</f>
        <v>48</v>
      </c>
      <c r="D7" s="90" t="s">
        <v>9186</v>
      </c>
      <c r="E7" s="90" t="s">
        <v>9187</v>
      </c>
    </row>
    <row r="8" spans="2:5" ht="34" x14ac:dyDescent="0.2">
      <c r="B8" s="90" t="s">
        <v>9188</v>
      </c>
      <c r="C8" s="91">
        <f>COUNTIFS(tblMatriculas[Nombre],"*"&amp;pPrueba&amp;"*")</f>
        <v>6</v>
      </c>
      <c r="D8" s="90" t="s">
        <v>9189</v>
      </c>
      <c r="E8" s="90" t="s">
        <v>9190</v>
      </c>
    </row>
    <row r="9" spans="2:5" ht="34" x14ac:dyDescent="0.2">
      <c r="B9" s="90" t="s">
        <v>9191</v>
      </c>
      <c r="C9" s="91" cm="1">
        <f t="array" ref="C9">SUMPRODUCT(--(N(+tblMatriculas[Clases planeadas])&gt;N(+_xlfn.XLOOKUP(tblMatriculas[Código],tblGrupos[Código],tblGrupos[Clases planeadas],0))))</f>
        <v>66</v>
      </c>
      <c r="D9" s="90" t="s">
        <v>9192</v>
      </c>
      <c r="E9" s="90" t="s">
        <v>9193</v>
      </c>
    </row>
    <row r="10" spans="2:5" ht="34" x14ac:dyDescent="0.2">
      <c r="B10" s="90" t="s">
        <v>9194</v>
      </c>
      <c r="C10" s="91" cm="1">
        <f t="array" ref="C10">SUMPRODUCT((N(+tblMatriculas[Clases planeadas])&gt;N(+_xlfn.XLOOKUP(tblMatriculas[Código],tblGrupos[Código],tblGrupos[Clases planeadas],0)))*(tblMatriculas[Observación]=""))</f>
        <v>28</v>
      </c>
      <c r="D10" s="90" t="s">
        <v>9195</v>
      </c>
      <c r="E10" s="90" t="s">
        <v>9196</v>
      </c>
    </row>
    <row r="11" spans="2:5" ht="34" x14ac:dyDescent="0.2">
      <c r="B11" s="90" t="s">
        <v>9197</v>
      </c>
      <c r="C11" s="91" cm="1">
        <f t="array" ref="C11">SUMPRODUCT((tblMatriculas[Estado]="activa")*(N(+tblMatriculas[Asistidas])&gt;N(+tblMatriculas[Clases dictadas])))</f>
        <v>0</v>
      </c>
      <c r="D11" s="90" t="s">
        <v>9198</v>
      </c>
      <c r="E11" s="90" t="s">
        <v>9199</v>
      </c>
    </row>
    <row r="12" spans="2:5" ht="34" x14ac:dyDescent="0.2">
      <c r="B12" s="90" t="s">
        <v>9200</v>
      </c>
      <c r="C12" s="91">
        <f>COUNTIFS(tblMatriculas[Estado],"activa",tblMatriculas[En Base Estudiantes],"No")</f>
        <v>5</v>
      </c>
      <c r="D12" s="90" t="s">
        <v>9201</v>
      </c>
      <c r="E12" s="90" t="s">
        <v>9202</v>
      </c>
    </row>
    <row r="13" spans="2:5" ht="34" x14ac:dyDescent="0.2">
      <c r="B13" s="90" t="s">
        <v>9203</v>
      </c>
      <c r="C13" s="91" cm="1">
        <f t="array" ref="C13">SUMPRODUCT(--(COUNTIFS(tblMatriculas[Cédula],tblBase[Documento],tblMatriculas[Código],tblBase[Código grupo])=0))</f>
        <v>3</v>
      </c>
      <c r="D13" s="90" t="s">
        <v>9204</v>
      </c>
      <c r="E13" s="90" t="s">
        <v>9205</v>
      </c>
    </row>
    <row r="14" spans="2:5" ht="34" x14ac:dyDescent="0.2">
      <c r="B14" s="90" t="s">
        <v>9206</v>
      </c>
      <c r="C14" s="91" cm="1">
        <f t="array" ref="C14">SUMPRODUCT(--(tblMatriculas[Nombre]&lt;&gt;TRIM(tblMatriculas[Nombre])))</f>
        <v>585</v>
      </c>
      <c r="D14" s="90" t="s">
        <v>9207</v>
      </c>
      <c r="E14" s="90" t="s">
        <v>9208</v>
      </c>
    </row>
    <row r="15" spans="2:5" ht="17" x14ac:dyDescent="0.2">
      <c r="B15" s="92" t="s">
        <v>9209</v>
      </c>
      <c r="C15" s="91" t="str">
        <f>"1 hoja"</f>
        <v>1 hoja</v>
      </c>
      <c r="D15" s="90" t="s">
        <v>9210</v>
      </c>
      <c r="E15" s="90" t="s">
        <v>9211</v>
      </c>
    </row>
    <row r="18" spans="2:12" x14ac:dyDescent="0.2">
      <c r="B18" s="20" t="s">
        <v>9212</v>
      </c>
      <c r="C18" s="20"/>
      <c r="D18" s="20"/>
      <c r="E18" s="20"/>
      <c r="F18" s="20"/>
      <c r="G18" s="20"/>
      <c r="I18" s="20" t="s">
        <v>9214</v>
      </c>
      <c r="J18" s="20"/>
      <c r="K18" s="20"/>
      <c r="L18" s="20"/>
    </row>
    <row r="19" spans="2:12" x14ac:dyDescent="0.2">
      <c r="B19" s="48" t="s">
        <v>0</v>
      </c>
      <c r="C19" s="48" t="s">
        <v>1</v>
      </c>
      <c r="D19" s="48" t="s">
        <v>3</v>
      </c>
      <c r="E19" s="48" t="s">
        <v>7</v>
      </c>
      <c r="F19" s="48" t="s">
        <v>10</v>
      </c>
      <c r="G19" s="48" t="s">
        <v>9213</v>
      </c>
      <c r="I19" s="48" t="s">
        <v>4411</v>
      </c>
      <c r="J19" s="48" t="s">
        <v>1</v>
      </c>
      <c r="K19" s="48" t="s">
        <v>9215</v>
      </c>
      <c r="L19" s="48" t="s">
        <v>9216</v>
      </c>
    </row>
    <row r="20" spans="2:12" x14ac:dyDescent="0.2">
      <c r="B20" t="str" cm="1">
        <f t="array" ref="B20:G24">_xlfn.LET(_xlpm.k,(tblMatriculas[Estado]="activa")*(tblMatriculas[En Base Estudiantes]="No"),_xlpm.res,_xlfn._xlws.FILTER(_xlfn.HSTACK(tblMatriculas[Cédula],tblMatriculas[Nombre],tblMatriculas[Código],tblMatriculas[Clases],tblMatriculas[Observación]),_xlpm.k,"Ninguna"),IFERROR(_xlfn.HSTACK(_xlpm.res,_xlfn.MAP(_xlfn.CHOOSECOLS(_xlpm.res,1),_xlfn.LAMBDA(_xlpm.x,_xlfn.TEXTJOIN(", ",TRUE,_xlfn._xlws.FILTER(tblBase[Código grupo],tblBase[Documento]=_xlpm.x,"—"))))),_xlpm.res))</f>
        <v>98561761</v>
      </c>
      <c r="C20" t="str">
        <v>FRANCISCO JAVIER HERNANDEZ GARZON</v>
      </c>
      <c r="D20" t="str">
        <v>IAA-01</v>
      </c>
      <c r="E20" t="str">
        <v>null/null</v>
      </c>
      <c r="F20" t="str">
        <v/>
      </c>
      <c r="G20" t="str">
        <v>MAR-02</v>
      </c>
      <c r="I20" t="str" cm="1">
        <f t="array" ref="I20:L22">_xlfn.LET(_xlpm.k,COUNTIFS(tblMatriculas[Cédula],tblBase[Documento],tblMatriculas[Código],tblBase[Código grupo])=0,_xlpm.res,_xlfn._xlws.FILTER(_xlfn.HSTACK(tblBase[Documento],tblBase[Nombre],tblBase[Código grupo]),_xlpm.k,"Ninguno"),IFERROR(_xlfn.HSTACK(_xlpm.res,_xlfn.MAP(_xlfn.CHOOSECOLS(_xlpm.res,1),_xlfn.LAMBDA(_xlpm.x,_xlfn.TEXTJOIN(", ",TRUE,_xlfn._xlws.FILTER(tblMatriculas[Código],(tblMatriculas[Cédula]=_xlpm.x)*(tblMatriculas[Estado]="activa"),"—"))))),_xlpm.res))</f>
        <v>1128391817</v>
      </c>
      <c r="J20" t="str">
        <v>JOHAN ALEXIS ARANGO RUEDA</v>
      </c>
      <c r="K20" t="str">
        <v>IAA-08</v>
      </c>
      <c r="L20" t="str">
        <v>IAA-09</v>
      </c>
    </row>
    <row r="21" spans="2:12" x14ac:dyDescent="0.2">
      <c r="B21" t="str">
        <v>1128391817</v>
      </c>
      <c r="C21" t="str">
        <v>JOHAN ALEXIS ARANGO RUEDA</v>
      </c>
      <c r="D21" t="str">
        <v>IAA-09</v>
      </c>
      <c r="E21" t="str">
        <v>1/30</v>
      </c>
      <c r="F21" t="str">
        <v>Traslado desde IAA-08</v>
      </c>
      <c r="G21" t="str">
        <v>IAA-08</v>
      </c>
      <c r="I21" t="str">
        <v>43634807</v>
      </c>
      <c r="J21" t="str">
        <v>MARILENY MAZO MAZO</v>
      </c>
      <c r="K21" t="str">
        <v>IAA-11</v>
      </c>
      <c r="L21" t="str">
        <v>IAA-10</v>
      </c>
    </row>
    <row r="22" spans="2:12" x14ac:dyDescent="0.2">
      <c r="B22" t="str">
        <v>43634807</v>
      </c>
      <c r="C22" t="str">
        <v>MARILENY  MAZO MAZO</v>
      </c>
      <c r="D22" t="str">
        <v>IAA-10</v>
      </c>
      <c r="E22" t="str">
        <v>0/30</v>
      </c>
      <c r="F22" t="str">
        <v>Traslado desde IAA-11</v>
      </c>
      <c r="G22" t="str">
        <v>IAA-11</v>
      </c>
      <c r="I22" t="str">
        <v>1045110864</v>
      </c>
      <c r="J22" t="str">
        <v>LEIDY JICETH OSPINA RUIZ</v>
      </c>
      <c r="K22" t="str">
        <v>IAA-12</v>
      </c>
      <c r="L22" t="str">
        <v>IAA-11</v>
      </c>
    </row>
    <row r="23" spans="2:12" x14ac:dyDescent="0.2">
      <c r="B23" t="str">
        <v>1045110864</v>
      </c>
      <c r="C23" t="str">
        <v>LEIDY JICETH OSPINA RUIZ</v>
      </c>
      <c r="D23" t="str">
        <v>IAA-11</v>
      </c>
      <c r="E23" t="str">
        <v>5/70</v>
      </c>
      <c r="F23" t="str">
        <v>Traslado desde IAA-12</v>
      </c>
      <c r="G23" t="str">
        <v>IAA-12</v>
      </c>
    </row>
    <row r="24" spans="2:12" x14ac:dyDescent="0.2">
      <c r="B24" t="str">
        <v>1017129750</v>
      </c>
      <c r="C24" t="str">
        <v>ISABEL CRISTINA LÓPEZ ROJAS</v>
      </c>
      <c r="D24" t="str">
        <v>COM-02</v>
      </c>
      <c r="E24" t="str">
        <v>4/30</v>
      </c>
      <c r="F24" t="str">
        <v/>
      </c>
      <c r="G24" t="str">
        <v>COM-04</v>
      </c>
    </row>
    <row r="30" spans="2:12" x14ac:dyDescent="0.2">
      <c r="B30" s="20" t="s">
        <v>9217</v>
      </c>
      <c r="C30" s="20"/>
      <c r="D30" s="20"/>
      <c r="E30" s="20"/>
      <c r="F30" s="20"/>
    </row>
    <row r="31" spans="2:12" x14ac:dyDescent="0.2">
      <c r="B31" s="48" t="s">
        <v>0</v>
      </c>
      <c r="C31" s="48" t="s">
        <v>1</v>
      </c>
      <c r="D31" s="48" t="s">
        <v>3</v>
      </c>
      <c r="E31" s="48" t="s">
        <v>7</v>
      </c>
      <c r="F31" s="48" t="s">
        <v>9060</v>
      </c>
    </row>
    <row r="32" spans="2:12" x14ac:dyDescent="0.2">
      <c r="B32" t="str" cm="1">
        <f t="array" ref="B32:F83">_xlfn._xlws.FILTER(_xlfn.HSTACK(tblMatriculas[Cédula],tblMatriculas[Nombre],tblMatriculas[Código],tblMatriculas[Clases],tblMatriculas[Nivel]),(tblMatriculas[Nivel]="⚪ SIN REGISTRO")+(tblMatriculas[Nivel]="Prueba"),"Ninguno")</f>
        <v>98561761</v>
      </c>
      <c r="C32" t="str">
        <v>FRANCISCO JAVIER HERNANDEZ GARZON</v>
      </c>
      <c r="D32" t="str">
        <v>IAA-01</v>
      </c>
      <c r="E32" t="str">
        <v>null/null</v>
      </c>
      <c r="F32" t="str">
        <v>⚪ SIN REGISTRO</v>
      </c>
    </row>
    <row r="33" spans="2:6" x14ac:dyDescent="0.2">
      <c r="B33" t="str">
        <v>1017164318</v>
      </c>
      <c r="C33" t="str">
        <v>ESTEFANIA  ZAPATA MORA</v>
      </c>
      <c r="D33" t="str">
        <v>IAA-02</v>
      </c>
      <c r="E33" t="str">
        <v>null/null</v>
      </c>
      <c r="F33" t="str">
        <v>⚪ SIN REGISTRO</v>
      </c>
    </row>
    <row r="34" spans="2:6" x14ac:dyDescent="0.2">
      <c r="B34" t="str">
        <v>1033258988</v>
      </c>
      <c r="C34" t="str">
        <v>JUAN PABLO ALVAREZ VELEZ</v>
      </c>
      <c r="D34" t="str">
        <v>IAA-02</v>
      </c>
      <c r="E34" t="str">
        <v>null/null</v>
      </c>
      <c r="F34" t="str">
        <v>⚪ SIN REGISTRO</v>
      </c>
    </row>
    <row r="35" spans="2:6" x14ac:dyDescent="0.2">
      <c r="B35" t="str">
        <v>1017123176</v>
      </c>
      <c r="C35" t="str">
        <v>JUAN CAMILO ZAPATA RAMIREZ</v>
      </c>
      <c r="D35" t="str">
        <v>IAA-02</v>
      </c>
      <c r="E35" t="str">
        <v>null/null</v>
      </c>
      <c r="F35" t="str">
        <v>⚪ SIN REGISTRO</v>
      </c>
    </row>
    <row r="36" spans="2:6" x14ac:dyDescent="0.2">
      <c r="B36" t="str">
        <v>79724557</v>
      </c>
      <c r="C36" t="str">
        <v>LEONARDO  VARGAS BRAVO</v>
      </c>
      <c r="D36" t="str">
        <v>IAA-02</v>
      </c>
      <c r="E36" t="str">
        <v>null/null</v>
      </c>
      <c r="F36" t="str">
        <v>⚪ SIN REGISTRO</v>
      </c>
    </row>
    <row r="37" spans="2:6" x14ac:dyDescent="0.2">
      <c r="B37" t="str">
        <v>71781407</v>
      </c>
      <c r="C37" t="str">
        <v>RICHARD RICHARD BERMUDEZ YEPES</v>
      </c>
      <c r="D37" t="str">
        <v>IAA-02</v>
      </c>
      <c r="E37" t="str">
        <v>null/null</v>
      </c>
      <c r="F37" t="str">
        <v>⚪ SIN REGISTRO</v>
      </c>
    </row>
    <row r="38" spans="2:6" x14ac:dyDescent="0.2">
      <c r="B38" t="str">
        <v>43755572</v>
      </c>
      <c r="C38" t="str">
        <v>SANDRA PATRICIA RIAZA ECHAVARRIA</v>
      </c>
      <c r="D38" t="str">
        <v>IAA-02</v>
      </c>
      <c r="E38" t="str">
        <v>null/null</v>
      </c>
      <c r="F38" t="str">
        <v>⚪ SIN REGISTRO</v>
      </c>
    </row>
    <row r="39" spans="2:6" x14ac:dyDescent="0.2">
      <c r="B39" t="str">
        <v>1015067077</v>
      </c>
      <c r="C39" t="str">
        <v>PAULINA LEYLA SEPULVEDA URREGO</v>
      </c>
      <c r="D39" t="str">
        <v>IAA-02</v>
      </c>
      <c r="E39" t="str">
        <v>null/null</v>
      </c>
      <c r="F39" t="str">
        <v>⚪ SIN REGISTRO</v>
      </c>
    </row>
    <row r="40" spans="2:6" x14ac:dyDescent="0.2">
      <c r="B40" t="str">
        <v>43622109</v>
      </c>
      <c r="C40" t="str">
        <v>LUZ ESTELA TABORDA GUTIERREZ</v>
      </c>
      <c r="D40" t="str">
        <v>IAA-02</v>
      </c>
      <c r="E40" t="str">
        <v>null/null</v>
      </c>
      <c r="F40" t="str">
        <v>⚪ SIN REGISTRO</v>
      </c>
    </row>
    <row r="41" spans="2:6" x14ac:dyDescent="0.2">
      <c r="B41" t="str">
        <v>43641448</v>
      </c>
      <c r="C41" t="str">
        <v>LYNDA LUCIA CARTER FERNANDEZ</v>
      </c>
      <c r="D41" t="str">
        <v>IAA-02</v>
      </c>
      <c r="E41" t="str">
        <v>null/null</v>
      </c>
      <c r="F41" t="str">
        <v>⚪ SIN REGISTRO</v>
      </c>
    </row>
    <row r="42" spans="2:6" x14ac:dyDescent="0.2">
      <c r="B42" t="str">
        <v>35852104</v>
      </c>
      <c r="C42" t="str">
        <v>NIDIA CHIRLEY RENTERIA ASPRILLA</v>
      </c>
      <c r="D42" t="str">
        <v>IAA-02</v>
      </c>
      <c r="E42" t="str">
        <v>null/null</v>
      </c>
      <c r="F42" t="str">
        <v>⚪ SIN REGISTRO</v>
      </c>
    </row>
    <row r="43" spans="2:6" x14ac:dyDescent="0.2">
      <c r="B43" t="str">
        <v>1021924663</v>
      </c>
      <c r="C43" t="str">
        <v>SAMUEL  CEBALLOS GONZALEZ</v>
      </c>
      <c r="D43" t="str">
        <v>IAA-02</v>
      </c>
      <c r="E43" t="str">
        <v>null/null</v>
      </c>
      <c r="F43" t="str">
        <v>⚪ SIN REGISTRO</v>
      </c>
    </row>
    <row r="44" spans="2:6" x14ac:dyDescent="0.2">
      <c r="B44" t="str">
        <v>22041587</v>
      </c>
      <c r="C44" t="str">
        <v>MILEIDI EUGENIA CARVAJAL VELILLA</v>
      </c>
      <c r="D44" t="str">
        <v>IAA-02</v>
      </c>
      <c r="E44" t="str">
        <v>null/null</v>
      </c>
      <c r="F44" t="str">
        <v>⚪ SIN REGISTRO</v>
      </c>
    </row>
    <row r="45" spans="2:6" x14ac:dyDescent="0.2">
      <c r="B45" t="str">
        <v>1032482321</v>
      </c>
      <c r="C45" t="str">
        <v>DIEGO FERNANDO ROMERO MORENO</v>
      </c>
      <c r="D45" t="str">
        <v>IAA-02</v>
      </c>
      <c r="E45" t="str">
        <v>null/null</v>
      </c>
      <c r="F45" t="str">
        <v>⚪ SIN REGISTRO</v>
      </c>
    </row>
    <row r="46" spans="2:6" x14ac:dyDescent="0.2">
      <c r="B46" t="str">
        <v>1144148850</v>
      </c>
      <c r="C46" t="str">
        <v>JEFFERSON  CARVAJAL SUAREZ</v>
      </c>
      <c r="D46" t="str">
        <v>IAA-02</v>
      </c>
      <c r="E46" t="str">
        <v>null/null</v>
      </c>
      <c r="F46" t="str">
        <v>⚪ SIN REGISTRO</v>
      </c>
    </row>
    <row r="47" spans="2:6" x14ac:dyDescent="0.2">
      <c r="B47" t="str">
        <v>1234992115</v>
      </c>
      <c r="C47" t="str">
        <v>ELMA YULIANA ZAPATA ZAPATA</v>
      </c>
      <c r="D47" t="str">
        <v>IAA-02</v>
      </c>
      <c r="E47" t="str">
        <v>null/null</v>
      </c>
      <c r="F47" t="str">
        <v>⚪ SIN REGISTRO</v>
      </c>
    </row>
    <row r="48" spans="2:6" x14ac:dyDescent="0.2">
      <c r="B48" t="str">
        <v>1000098586</v>
      </c>
      <c r="C48" t="str">
        <v>OSCAR ANDRES GRISALES VELEZ</v>
      </c>
      <c r="D48" t="str">
        <v>IAA-02</v>
      </c>
      <c r="E48" t="str">
        <v>null/null</v>
      </c>
      <c r="F48" t="str">
        <v>⚪ SIN REGISTRO</v>
      </c>
    </row>
    <row r="49" spans="2:6" x14ac:dyDescent="0.2">
      <c r="B49" t="str">
        <v>1036449035</v>
      </c>
      <c r="C49" t="str">
        <v>MATEO  HURTADO RUEDA</v>
      </c>
      <c r="D49" t="str">
        <v>IAA-02</v>
      </c>
      <c r="E49" t="str">
        <v>null/null</v>
      </c>
      <c r="F49" t="str">
        <v>⚪ SIN REGISTRO</v>
      </c>
    </row>
    <row r="50" spans="2:6" x14ac:dyDescent="0.2">
      <c r="B50" t="str">
        <v>1010150490</v>
      </c>
      <c r="C50" t="str">
        <v>MANUELA MANUELA GOMEZ ZAPATA</v>
      </c>
      <c r="D50" t="str">
        <v>IAA-02</v>
      </c>
      <c r="E50" t="str">
        <v>null/null</v>
      </c>
      <c r="F50" t="str">
        <v>⚪ SIN REGISTRO</v>
      </c>
    </row>
    <row r="51" spans="2:6" x14ac:dyDescent="0.2">
      <c r="B51" t="str">
        <v>43252225</v>
      </c>
      <c r="C51" t="str">
        <v>LUISA FERNANDA ARRUBLA DUQUE</v>
      </c>
      <c r="D51" t="str">
        <v>IAA-02</v>
      </c>
      <c r="E51" t="str">
        <v>null/null</v>
      </c>
      <c r="F51" t="str">
        <v>⚪ SIN REGISTRO</v>
      </c>
    </row>
    <row r="52" spans="2:6" x14ac:dyDescent="0.2">
      <c r="B52" t="str">
        <v>1036609132</v>
      </c>
      <c r="C52" t="str">
        <v>YENNY AMPARO GIRALDO QUINTERO</v>
      </c>
      <c r="D52" t="str">
        <v>IAA-02</v>
      </c>
      <c r="E52" t="str">
        <v>null/null</v>
      </c>
      <c r="F52" t="str">
        <v>⚪ SIN REGISTRO</v>
      </c>
    </row>
    <row r="53" spans="2:6" x14ac:dyDescent="0.2">
      <c r="B53" t="str">
        <v>98593274</v>
      </c>
      <c r="C53" t="str">
        <v>FABER ALEXANDER TORRES MARIN</v>
      </c>
      <c r="D53" t="str">
        <v>IAA-02</v>
      </c>
      <c r="E53" t="str">
        <v>null/null</v>
      </c>
      <c r="F53" t="str">
        <v>⚪ SIN REGISTRO</v>
      </c>
    </row>
    <row r="54" spans="2:6" x14ac:dyDescent="0.2">
      <c r="B54" t="str">
        <v>1000869439</v>
      </c>
      <c r="C54" t="str">
        <v>JULIANA  RODRIGUEZ BOTERO</v>
      </c>
      <c r="D54" t="str">
        <v>IAA-02</v>
      </c>
      <c r="E54" t="str">
        <v>null/null</v>
      </c>
      <c r="F54" t="str">
        <v>⚪ SIN REGISTRO</v>
      </c>
    </row>
    <row r="55" spans="2:6" x14ac:dyDescent="0.2">
      <c r="B55" t="str">
        <v>1041460225</v>
      </c>
      <c r="C55" t="str">
        <v>FELIPE  LOAIZA</v>
      </c>
      <c r="D55" t="str">
        <v>IAA-02</v>
      </c>
      <c r="E55" t="str">
        <v>null/null</v>
      </c>
      <c r="F55" t="str">
        <v>⚪ SIN REGISTRO</v>
      </c>
    </row>
    <row r="56" spans="2:6" x14ac:dyDescent="0.2">
      <c r="B56" t="str">
        <v>8358559</v>
      </c>
      <c r="C56" t="str">
        <v>LUIS FERNANDO RAMIREZ ESCOBAR</v>
      </c>
      <c r="D56" t="str">
        <v>IAA-02</v>
      </c>
      <c r="E56" t="str">
        <v>null/null</v>
      </c>
      <c r="F56" t="str">
        <v>⚪ SIN REGISTRO</v>
      </c>
    </row>
    <row r="57" spans="2:6" x14ac:dyDescent="0.2">
      <c r="B57" t="str">
        <v>80006309</v>
      </c>
      <c r="C57" t="str">
        <v>RAUL ANDRES RIVERA SIERRA</v>
      </c>
      <c r="D57" t="str">
        <v>IAA-02</v>
      </c>
      <c r="E57" t="str">
        <v>null/null</v>
      </c>
      <c r="F57" t="str">
        <v>⚪ SIN REGISTRO</v>
      </c>
    </row>
    <row r="58" spans="2:6" x14ac:dyDescent="0.2">
      <c r="B58" t="str">
        <v>43188798</v>
      </c>
      <c r="C58" t="str">
        <v>JENIFER DEL PILAR TORRES AGUDELO</v>
      </c>
      <c r="D58" t="str">
        <v>IAA-02</v>
      </c>
      <c r="E58" t="str">
        <v>null/null</v>
      </c>
      <c r="F58" t="str">
        <v>⚪ SIN REGISTRO</v>
      </c>
    </row>
    <row r="59" spans="2:6" x14ac:dyDescent="0.2">
      <c r="B59" t="str">
        <v>71778545</v>
      </c>
      <c r="C59" t="str">
        <v>WILBER ANDRES VELEZ COSSIO</v>
      </c>
      <c r="D59" t="str">
        <v>IAA-06</v>
      </c>
      <c r="E59" t="str">
        <v>null/null</v>
      </c>
      <c r="F59" t="str">
        <v>⚪ SIN REGISTRO</v>
      </c>
    </row>
    <row r="60" spans="2:6" x14ac:dyDescent="0.2">
      <c r="B60" t="str">
        <v>71681025</v>
      </c>
      <c r="C60" t="str">
        <v>GIOVANNI  GRISALES AGUDELO</v>
      </c>
      <c r="D60" t="str">
        <v>IAA-06</v>
      </c>
      <c r="E60" t="str">
        <v>null/null</v>
      </c>
      <c r="F60" t="str">
        <v>⚪ SIN REGISTRO</v>
      </c>
    </row>
    <row r="61" spans="2:6" x14ac:dyDescent="0.2">
      <c r="B61" t="str">
        <v>1152688239</v>
      </c>
      <c r="C61" t="str">
        <v>GABRIEL JAIME JIMENEZ VARGAS</v>
      </c>
      <c r="D61" t="str">
        <v>IAA-06</v>
      </c>
      <c r="E61" t="str">
        <v>null/null</v>
      </c>
      <c r="F61" t="str">
        <v>⚪ SIN REGISTRO</v>
      </c>
    </row>
    <row r="62" spans="2:6" x14ac:dyDescent="0.2">
      <c r="B62" t="str">
        <v>43909910</v>
      </c>
      <c r="C62" t="str">
        <v>LUNA  SELENE</v>
      </c>
      <c r="D62" t="str">
        <v>IAA-06</v>
      </c>
      <c r="E62" t="str">
        <v>null/null</v>
      </c>
      <c r="F62" t="str">
        <v>⚪ SIN REGISTRO</v>
      </c>
    </row>
    <row r="63" spans="2:6" x14ac:dyDescent="0.2">
      <c r="B63" t="str">
        <v>1017235744</v>
      </c>
      <c r="C63" t="str">
        <v>DANIELA  FRANCO LOPEZ</v>
      </c>
      <c r="D63" t="str">
        <v>IAA-06</v>
      </c>
      <c r="E63" t="str">
        <v>null/null</v>
      </c>
      <c r="F63" t="str">
        <v>⚪ SIN REGISTRO</v>
      </c>
    </row>
    <row r="64" spans="2:6" x14ac:dyDescent="0.2">
      <c r="B64" t="str">
        <v>1044502831</v>
      </c>
      <c r="C64" t="str">
        <v>LEIDY JOHANA GRANDA ARDILA</v>
      </c>
      <c r="D64" t="str">
        <v>IAA-06</v>
      </c>
      <c r="E64" t="str">
        <v>null/null</v>
      </c>
      <c r="F64" t="str">
        <v>⚪ SIN REGISTRO</v>
      </c>
    </row>
    <row r="65" spans="2:6" x14ac:dyDescent="0.2">
      <c r="B65" t="str">
        <v>1128449352</v>
      </c>
      <c r="C65" t="str">
        <v>ESNEIDER ALEJANDRO AGUDELO RIOS</v>
      </c>
      <c r="D65" t="str">
        <v>IAA-06</v>
      </c>
      <c r="E65" t="str">
        <v>null/null</v>
      </c>
      <c r="F65" t="str">
        <v>⚪ SIN REGISTRO</v>
      </c>
    </row>
    <row r="66" spans="2:6" x14ac:dyDescent="0.2">
      <c r="B66" t="str">
        <v>93372610</v>
      </c>
      <c r="C66" t="str">
        <v>GABRIEL JAIME TABARES BAENA</v>
      </c>
      <c r="D66" t="str">
        <v>IAA-06</v>
      </c>
      <c r="E66" t="str">
        <v>null/null</v>
      </c>
      <c r="F66" t="str">
        <v>⚪ SIN REGISTRO</v>
      </c>
    </row>
    <row r="67" spans="2:6" x14ac:dyDescent="0.2">
      <c r="B67" t="str">
        <v>43619893</v>
      </c>
      <c r="C67" t="str">
        <v>IDILIA  USUGA PERILLA</v>
      </c>
      <c r="D67" t="str">
        <v>IAA-06</v>
      </c>
      <c r="E67" t="str">
        <v>null/null</v>
      </c>
      <c r="F67" t="str">
        <v>⚪ SIN REGISTRO</v>
      </c>
    </row>
    <row r="68" spans="2:6" x14ac:dyDescent="0.2">
      <c r="B68" t="str">
        <v>1000886377</v>
      </c>
      <c r="C68" t="str">
        <v>ESNEIDER ALEXIS GOMEZ CARDONA</v>
      </c>
      <c r="D68" t="str">
        <v>IAA-06</v>
      </c>
      <c r="E68" t="str">
        <v>null/null</v>
      </c>
      <c r="F68" t="str">
        <v>⚪ SIN REGISTRO</v>
      </c>
    </row>
    <row r="69" spans="2:6" x14ac:dyDescent="0.2">
      <c r="B69" t="str">
        <v>70879739</v>
      </c>
      <c r="C69" t="str">
        <v>BISMARK JAIR VERGARA MORENO</v>
      </c>
      <c r="D69" t="str">
        <v>IAA-06</v>
      </c>
      <c r="E69" t="str">
        <v>null/null</v>
      </c>
      <c r="F69" t="str">
        <v>⚪ SIN REGISTRO</v>
      </c>
    </row>
    <row r="70" spans="2:6" x14ac:dyDescent="0.2">
      <c r="B70" t="str">
        <v>71699210</v>
      </c>
      <c r="C70" t="str">
        <v>LUIS FERNANDO GUTIERREZ RAVE</v>
      </c>
      <c r="D70" t="str">
        <v>IAA-06</v>
      </c>
      <c r="E70" t="str">
        <v>null/null</v>
      </c>
      <c r="F70" t="str">
        <v>⚪ SIN REGISTRO</v>
      </c>
    </row>
    <row r="71" spans="2:6" x14ac:dyDescent="0.2">
      <c r="B71" t="str">
        <v>1152692831</v>
      </c>
      <c r="C71" t="str">
        <v>PABLO DAVID GUERRA ECHEVERRY</v>
      </c>
      <c r="D71" t="str">
        <v>IAA-06</v>
      </c>
      <c r="E71" t="str">
        <v>null/null</v>
      </c>
      <c r="F71" t="str">
        <v>⚪ SIN REGISTRO</v>
      </c>
    </row>
    <row r="72" spans="2:6" x14ac:dyDescent="0.2">
      <c r="B72" t="str">
        <v>43270783</v>
      </c>
      <c r="C72" t="str">
        <v>LINA ALEJANDRA GARZON ALZATE</v>
      </c>
      <c r="D72" t="str">
        <v>IAA-06</v>
      </c>
      <c r="E72" t="str">
        <v>null/null</v>
      </c>
      <c r="F72" t="str">
        <v>⚪ SIN REGISTRO</v>
      </c>
    </row>
    <row r="73" spans="2:6" x14ac:dyDescent="0.2">
      <c r="B73" t="str">
        <v>98671871</v>
      </c>
      <c r="C73" t="str">
        <v>NELSON ALBERTO VASCO GAVIRIA</v>
      </c>
      <c r="D73" t="str">
        <v>IAA-06</v>
      </c>
      <c r="E73" t="str">
        <v>null/null</v>
      </c>
      <c r="F73" t="str">
        <v>⚪ SIN REGISTRO</v>
      </c>
    </row>
    <row r="74" spans="2:6" x14ac:dyDescent="0.2">
      <c r="B74" t="str">
        <v>1078116446</v>
      </c>
      <c r="C74" t="str">
        <v>ANTONY ESTEFANY HINESTROZA CORDOBA</v>
      </c>
      <c r="D74" t="str">
        <v>IAA-06</v>
      </c>
      <c r="E74" t="str">
        <v>null/null</v>
      </c>
      <c r="F74" t="str">
        <v>⚪ SIN REGISTRO</v>
      </c>
    </row>
    <row r="75" spans="2:6" x14ac:dyDescent="0.2">
      <c r="B75" t="str">
        <v>1216726635</v>
      </c>
      <c r="C75" t="str">
        <v>DANIEL DANIEL MOLINA TAMAYO</v>
      </c>
      <c r="D75" t="str">
        <v>IAA-06</v>
      </c>
      <c r="E75" t="str">
        <v>null/null</v>
      </c>
      <c r="F75" t="str">
        <v>⚪ SIN REGISTRO</v>
      </c>
    </row>
    <row r="76" spans="2:6" x14ac:dyDescent="0.2">
      <c r="B76" t="str">
        <v>1014281749</v>
      </c>
      <c r="C76" t="str">
        <v>CLAUDIA MARCELA OLMOS SANCHEZ</v>
      </c>
      <c r="D76" t="str">
        <v>IAA-06</v>
      </c>
      <c r="E76" t="str">
        <v>null/null</v>
      </c>
      <c r="F76" t="str">
        <v>⚪ SIN REGISTRO</v>
      </c>
    </row>
    <row r="77" spans="2:6" x14ac:dyDescent="0.2">
      <c r="B77" t="str">
        <v>1128399717</v>
      </c>
      <c r="C77" t="str">
        <v>LAURA MERCEDES GUERRA ESCUDERO</v>
      </c>
      <c r="D77" t="str">
        <v>IAA-06</v>
      </c>
      <c r="E77" t="str">
        <v>null/null</v>
      </c>
      <c r="F77" t="str">
        <v>⚪ SIN REGISTRO</v>
      </c>
    </row>
    <row r="78" spans="2:6" x14ac:dyDescent="0.2">
      <c r="B78" t="str">
        <v>1025889012</v>
      </c>
      <c r="C78" t="str">
        <v>ALEJANDRO  BOTERO MORENO</v>
      </c>
      <c r="D78" t="str">
        <v>IAA-06</v>
      </c>
      <c r="E78" t="str">
        <v>null/null</v>
      </c>
      <c r="F78" t="str">
        <v>⚪ SIN REGISTRO</v>
      </c>
    </row>
    <row r="79" spans="2:6" x14ac:dyDescent="0.2">
      <c r="B79" t="str">
        <v>71385387</v>
      </c>
      <c r="C79" t="str">
        <v>JHOANNY ALEXANDER BONILLA OCAMPO</v>
      </c>
      <c r="D79" t="str">
        <v>IAA-06</v>
      </c>
      <c r="E79" t="str">
        <v>null/null</v>
      </c>
      <c r="F79" t="str">
        <v>⚪ SIN REGISTRO</v>
      </c>
    </row>
    <row r="80" spans="2:6" x14ac:dyDescent="0.2">
      <c r="B80" t="str">
        <v>43515191</v>
      </c>
      <c r="C80" t="str">
        <v>Usuario de Prueba</v>
      </c>
      <c r="D80" t="str">
        <v>IAA-21</v>
      </c>
      <c r="E80" t="str">
        <v>2/30</v>
      </c>
      <c r="F80" t="str">
        <v>Prueba</v>
      </c>
    </row>
    <row r="81" spans="2:6" x14ac:dyDescent="0.2">
      <c r="B81" t="str">
        <v>43515191</v>
      </c>
      <c r="C81" t="str">
        <v>Usuario de Prueba</v>
      </c>
      <c r="D81" t="str">
        <v>PRO-02</v>
      </c>
      <c r="E81" t="str">
        <v>5/30</v>
      </c>
      <c r="F81" t="str">
        <v>Prueba</v>
      </c>
    </row>
    <row r="82" spans="2:6" x14ac:dyDescent="0.2">
      <c r="B82" t="str">
        <v>43515191</v>
      </c>
      <c r="C82" t="str">
        <v>Usuario de Prueba</v>
      </c>
      <c r="D82" t="str">
        <v>COM-02</v>
      </c>
      <c r="E82" t="str">
        <v>6/60</v>
      </c>
      <c r="F82" t="str">
        <v>Prueba</v>
      </c>
    </row>
    <row r="83" spans="2:6" x14ac:dyDescent="0.2">
      <c r="B83" t="str">
        <v>43515191</v>
      </c>
      <c r="C83" t="str">
        <v>Usuario de Prueba</v>
      </c>
      <c r="D83" t="str">
        <v>MAR-07</v>
      </c>
      <c r="E83" t="str">
        <v>2/60</v>
      </c>
      <c r="F83" t="str">
        <v>Prueba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F54-CBBE-3240-8F82-CE3270B08C00}">
  <sheetPr>
    <tabColor rgb="FF70AD47"/>
  </sheetPr>
  <dimension ref="A1:M1992"/>
  <sheetViews>
    <sheetView workbookViewId="0">
      <pane ySplit="3" topLeftCell="A4" activePane="bottomLeft" state="frozen"/>
      <selection pane="bottomLeft" activeCell="C771" sqref="C771"/>
    </sheetView>
  </sheetViews>
  <sheetFormatPr baseColWidth="10" defaultRowHeight="16" x14ac:dyDescent="0.2"/>
  <cols>
    <col min="1" max="1" width="13.33203125" customWidth="1"/>
    <col min="2" max="3" width="15" customWidth="1"/>
    <col min="4" max="4" width="43.33203125" customWidth="1"/>
    <col min="5" max="5" width="15" customWidth="1"/>
    <col min="6" max="6" width="33.33203125" customWidth="1"/>
    <col min="8" max="13" width="12.5" customWidth="1"/>
  </cols>
  <sheetData>
    <row r="1" spans="1:13" x14ac:dyDescent="0.2">
      <c r="A1" s="21" t="s">
        <v>9089</v>
      </c>
    </row>
    <row r="2" spans="1:13" x14ac:dyDescent="0.2">
      <c r="A2" s="22" t="s">
        <v>9090</v>
      </c>
    </row>
    <row r="3" spans="1:13" ht="24" customHeight="1" x14ac:dyDescent="0.2">
      <c r="A3" t="s">
        <v>9091</v>
      </c>
      <c r="B3" t="s">
        <v>4417</v>
      </c>
      <c r="C3" t="s">
        <v>0</v>
      </c>
      <c r="D3" t="s">
        <v>9092</v>
      </c>
      <c r="E3" t="s">
        <v>2</v>
      </c>
      <c r="F3" t="s">
        <v>10</v>
      </c>
      <c r="H3" s="118" t="s">
        <v>9266</v>
      </c>
      <c r="I3" s="119"/>
      <c r="J3" s="119"/>
      <c r="K3" s="119"/>
      <c r="L3" s="119"/>
      <c r="M3" s="120"/>
    </row>
    <row r="4" spans="1:13" ht="24" customHeight="1" x14ac:dyDescent="0.2">
      <c r="A4" s="23"/>
      <c r="C4" s="4"/>
      <c r="H4" s="121"/>
      <c r="I4" s="122"/>
      <c r="J4" s="122"/>
      <c r="K4" s="122"/>
      <c r="L4" s="122"/>
      <c r="M4" s="123"/>
    </row>
    <row r="5" spans="1:13" ht="24" customHeight="1" x14ac:dyDescent="0.2">
      <c r="A5" s="23"/>
      <c r="C5" s="4"/>
      <c r="H5" s="121"/>
      <c r="I5" s="122"/>
      <c r="J5" s="122"/>
      <c r="K5" s="122"/>
      <c r="L5" s="122"/>
      <c r="M5" s="123"/>
    </row>
    <row r="6" spans="1:13" ht="24" customHeight="1" x14ac:dyDescent="0.2">
      <c r="A6" s="23"/>
      <c r="C6" s="4"/>
      <c r="H6" s="121"/>
      <c r="I6" s="122"/>
      <c r="J6" s="122"/>
      <c r="K6" s="122"/>
      <c r="L6" s="122"/>
      <c r="M6" s="123"/>
    </row>
    <row r="7" spans="1:13" ht="24" customHeight="1" x14ac:dyDescent="0.2">
      <c r="A7" s="23"/>
      <c r="C7" s="4"/>
      <c r="H7" s="121"/>
      <c r="I7" s="122"/>
      <c r="J7" s="122"/>
      <c r="K7" s="122"/>
      <c r="L7" s="122"/>
      <c r="M7" s="123"/>
    </row>
    <row r="8" spans="1:13" ht="24" customHeight="1" x14ac:dyDescent="0.2">
      <c r="A8" s="23"/>
      <c r="C8" s="4"/>
      <c r="H8" s="121"/>
      <c r="I8" s="122"/>
      <c r="J8" s="122"/>
      <c r="K8" s="122"/>
      <c r="L8" s="122"/>
      <c r="M8" s="123"/>
    </row>
    <row r="9" spans="1:13" ht="24" customHeight="1" x14ac:dyDescent="0.2">
      <c r="A9" s="23"/>
      <c r="C9" s="4"/>
      <c r="H9" s="121"/>
      <c r="I9" s="122"/>
      <c r="J9" s="122"/>
      <c r="K9" s="122"/>
      <c r="L9" s="122"/>
      <c r="M9" s="123"/>
    </row>
    <row r="10" spans="1:13" ht="24" customHeight="1" x14ac:dyDescent="0.2">
      <c r="A10" s="23"/>
      <c r="C10" s="4"/>
      <c r="H10" s="121"/>
      <c r="I10" s="122"/>
      <c r="J10" s="122"/>
      <c r="K10" s="122"/>
      <c r="L10" s="122"/>
      <c r="M10" s="123"/>
    </row>
    <row r="11" spans="1:13" ht="24" customHeight="1" x14ac:dyDescent="0.2">
      <c r="A11" s="23"/>
      <c r="C11" s="4"/>
      <c r="H11" s="121"/>
      <c r="I11" s="122"/>
      <c r="J11" s="122"/>
      <c r="K11" s="122"/>
      <c r="L11" s="122"/>
      <c r="M11" s="123"/>
    </row>
    <row r="12" spans="1:13" ht="24" customHeight="1" x14ac:dyDescent="0.2">
      <c r="A12" s="23"/>
      <c r="C12" s="4"/>
      <c r="H12" s="124"/>
      <c r="I12" s="125"/>
      <c r="J12" s="125"/>
      <c r="K12" s="125"/>
      <c r="L12" s="125"/>
      <c r="M12" s="126"/>
    </row>
    <row r="13" spans="1:13" x14ac:dyDescent="0.2">
      <c r="A13" s="23"/>
      <c r="C13" s="4"/>
    </row>
    <row r="14" spans="1:13" x14ac:dyDescent="0.2">
      <c r="A14" s="23"/>
      <c r="C14" s="4"/>
    </row>
    <row r="15" spans="1:13" x14ac:dyDescent="0.2">
      <c r="A15" s="23"/>
      <c r="C15" s="4"/>
    </row>
    <row r="16" spans="1:13" x14ac:dyDescent="0.2">
      <c r="A16" s="23"/>
      <c r="C16" s="4"/>
    </row>
    <row r="17" spans="1:3" x14ac:dyDescent="0.2">
      <c r="A17" s="23"/>
      <c r="C17" s="4"/>
    </row>
    <row r="18" spans="1:3" x14ac:dyDescent="0.2">
      <c r="A18" s="23"/>
      <c r="C18" s="4"/>
    </row>
    <row r="19" spans="1:3" x14ac:dyDescent="0.2">
      <c r="A19" s="23"/>
      <c r="C19" s="4"/>
    </row>
    <row r="20" spans="1:3" x14ac:dyDescent="0.2">
      <c r="A20" s="23"/>
      <c r="C20" s="4"/>
    </row>
    <row r="21" spans="1:3" x14ac:dyDescent="0.2">
      <c r="A21" s="23"/>
      <c r="C21" s="4"/>
    </row>
    <row r="22" spans="1:3" x14ac:dyDescent="0.2">
      <c r="A22" s="23"/>
      <c r="C22" s="4"/>
    </row>
    <row r="23" spans="1:3" x14ac:dyDescent="0.2">
      <c r="A23" s="23"/>
      <c r="C23" s="4"/>
    </row>
    <row r="24" spans="1:3" x14ac:dyDescent="0.2">
      <c r="A24" s="23"/>
      <c r="C24" s="4"/>
    </row>
    <row r="25" spans="1:3" x14ac:dyDescent="0.2">
      <c r="A25" s="23"/>
      <c r="C25" s="4"/>
    </row>
    <row r="26" spans="1:3" x14ac:dyDescent="0.2">
      <c r="A26" s="23"/>
      <c r="C26" s="4"/>
    </row>
    <row r="27" spans="1:3" x14ac:dyDescent="0.2">
      <c r="A27" s="23"/>
      <c r="C27" s="4"/>
    </row>
    <row r="28" spans="1:3" x14ac:dyDescent="0.2">
      <c r="A28" s="23"/>
      <c r="C28" s="4"/>
    </row>
    <row r="29" spans="1:3" x14ac:dyDescent="0.2">
      <c r="A29" s="23"/>
      <c r="C29" s="4"/>
    </row>
    <row r="30" spans="1:3" x14ac:dyDescent="0.2">
      <c r="A30" s="23"/>
      <c r="C30" s="4"/>
    </row>
    <row r="31" spans="1:3" x14ac:dyDescent="0.2">
      <c r="A31" s="23"/>
      <c r="C31" s="4"/>
    </row>
    <row r="32" spans="1:3" x14ac:dyDescent="0.2">
      <c r="A32" s="23"/>
      <c r="C32" s="4"/>
    </row>
    <row r="33" spans="1:3" x14ac:dyDescent="0.2">
      <c r="A33" s="23"/>
      <c r="C33" s="4"/>
    </row>
    <row r="34" spans="1:3" x14ac:dyDescent="0.2">
      <c r="A34" s="23"/>
      <c r="C34" s="4"/>
    </row>
    <row r="35" spans="1:3" x14ac:dyDescent="0.2">
      <c r="A35" s="23"/>
      <c r="C35" s="4"/>
    </row>
    <row r="36" spans="1:3" x14ac:dyDescent="0.2">
      <c r="A36" s="23"/>
      <c r="C36" s="4"/>
    </row>
    <row r="37" spans="1:3" x14ac:dyDescent="0.2">
      <c r="A37" s="23"/>
      <c r="C37" s="4"/>
    </row>
    <row r="38" spans="1:3" x14ac:dyDescent="0.2">
      <c r="A38" s="23"/>
      <c r="C38" s="4"/>
    </row>
    <row r="39" spans="1:3" x14ac:dyDescent="0.2">
      <c r="A39" s="23"/>
      <c r="C39" s="4"/>
    </row>
    <row r="40" spans="1:3" x14ac:dyDescent="0.2">
      <c r="A40" s="23"/>
      <c r="C40" s="4"/>
    </row>
    <row r="41" spans="1:3" x14ac:dyDescent="0.2">
      <c r="A41" s="23"/>
      <c r="C41" s="4"/>
    </row>
    <row r="42" spans="1:3" x14ac:dyDescent="0.2">
      <c r="A42" s="23"/>
      <c r="C42" s="4"/>
    </row>
    <row r="43" spans="1:3" x14ac:dyDescent="0.2">
      <c r="A43" s="23"/>
      <c r="C43" s="4"/>
    </row>
    <row r="44" spans="1:3" x14ac:dyDescent="0.2">
      <c r="A44" s="23"/>
      <c r="C44" s="4"/>
    </row>
    <row r="45" spans="1:3" x14ac:dyDescent="0.2">
      <c r="A45" s="23"/>
      <c r="C45" s="4"/>
    </row>
    <row r="46" spans="1:3" x14ac:dyDescent="0.2">
      <c r="A46" s="23"/>
      <c r="C46" s="4"/>
    </row>
    <row r="47" spans="1:3" x14ac:dyDescent="0.2">
      <c r="A47" s="23"/>
      <c r="C47" s="4"/>
    </row>
    <row r="48" spans="1:3" x14ac:dyDescent="0.2">
      <c r="A48" s="23"/>
      <c r="C48" s="4"/>
    </row>
    <row r="49" spans="1:3" x14ac:dyDescent="0.2">
      <c r="A49" s="23"/>
      <c r="C49" s="4"/>
    </row>
    <row r="50" spans="1:3" x14ac:dyDescent="0.2">
      <c r="A50" s="23"/>
      <c r="C50" s="4"/>
    </row>
    <row r="51" spans="1:3" x14ac:dyDescent="0.2">
      <c r="A51" s="23"/>
      <c r="C51" s="4"/>
    </row>
    <row r="52" spans="1:3" x14ac:dyDescent="0.2">
      <c r="A52" s="23"/>
      <c r="C52" s="4"/>
    </row>
    <row r="53" spans="1:3" x14ac:dyDescent="0.2">
      <c r="A53" s="23"/>
      <c r="C53" s="4"/>
    </row>
    <row r="54" spans="1:3" x14ac:dyDescent="0.2">
      <c r="A54" s="23"/>
      <c r="C54" s="4"/>
    </row>
    <row r="55" spans="1:3" x14ac:dyDescent="0.2">
      <c r="A55" s="23"/>
      <c r="C55" s="4"/>
    </row>
    <row r="56" spans="1:3" x14ac:dyDescent="0.2">
      <c r="A56" s="23"/>
      <c r="C56" s="4"/>
    </row>
    <row r="57" spans="1:3" x14ac:dyDescent="0.2">
      <c r="A57" s="23"/>
      <c r="C57" s="4"/>
    </row>
    <row r="58" spans="1:3" x14ac:dyDescent="0.2">
      <c r="A58" s="23"/>
      <c r="C58" s="4"/>
    </row>
    <row r="59" spans="1:3" x14ac:dyDescent="0.2">
      <c r="A59" s="23"/>
      <c r="C59" s="4"/>
    </row>
    <row r="60" spans="1:3" x14ac:dyDescent="0.2">
      <c r="A60" s="23"/>
      <c r="C60" s="4"/>
    </row>
    <row r="61" spans="1:3" x14ac:dyDescent="0.2">
      <c r="A61" s="23"/>
      <c r="C61" s="4"/>
    </row>
    <row r="62" spans="1:3" x14ac:dyDescent="0.2">
      <c r="A62" s="23"/>
      <c r="C62" s="4"/>
    </row>
    <row r="63" spans="1:3" x14ac:dyDescent="0.2">
      <c r="A63" s="23"/>
      <c r="C63" s="4"/>
    </row>
    <row r="64" spans="1:3" x14ac:dyDescent="0.2">
      <c r="A64" s="23"/>
      <c r="C64" s="4"/>
    </row>
    <row r="65" spans="1:3" x14ac:dyDescent="0.2">
      <c r="A65" s="23"/>
      <c r="C65" s="4"/>
    </row>
    <row r="66" spans="1:3" x14ac:dyDescent="0.2">
      <c r="A66" s="23"/>
      <c r="C66" s="4"/>
    </row>
    <row r="67" spans="1:3" x14ac:dyDescent="0.2">
      <c r="A67" s="23"/>
      <c r="C67" s="4"/>
    </row>
    <row r="68" spans="1:3" x14ac:dyDescent="0.2">
      <c r="A68" s="23"/>
      <c r="C68" s="4"/>
    </row>
    <row r="69" spans="1:3" x14ac:dyDescent="0.2">
      <c r="A69" s="23"/>
      <c r="C69" s="4"/>
    </row>
    <row r="70" spans="1:3" x14ac:dyDescent="0.2">
      <c r="A70" s="23"/>
      <c r="C70" s="4"/>
    </row>
    <row r="71" spans="1:3" x14ac:dyDescent="0.2">
      <c r="A71" s="23"/>
      <c r="C71" s="4"/>
    </row>
    <row r="72" spans="1:3" x14ac:dyDescent="0.2">
      <c r="A72" s="23"/>
      <c r="C72" s="4"/>
    </row>
    <row r="73" spans="1:3" x14ac:dyDescent="0.2">
      <c r="A73" s="23"/>
      <c r="C73" s="4"/>
    </row>
    <row r="74" spans="1:3" x14ac:dyDescent="0.2">
      <c r="A74" s="23"/>
      <c r="C74" s="4"/>
    </row>
    <row r="75" spans="1:3" x14ac:dyDescent="0.2">
      <c r="A75" s="23"/>
      <c r="C75" s="4"/>
    </row>
    <row r="76" spans="1:3" x14ac:dyDescent="0.2">
      <c r="A76" s="23"/>
      <c r="C76" s="4"/>
    </row>
    <row r="77" spans="1:3" x14ac:dyDescent="0.2">
      <c r="A77" s="23"/>
      <c r="C77" s="4"/>
    </row>
    <row r="78" spans="1:3" x14ac:dyDescent="0.2">
      <c r="A78" s="23"/>
      <c r="C78" s="4"/>
    </row>
    <row r="79" spans="1:3" x14ac:dyDescent="0.2">
      <c r="A79" s="23"/>
      <c r="C79" s="4"/>
    </row>
    <row r="80" spans="1:3" x14ac:dyDescent="0.2">
      <c r="A80" s="23"/>
      <c r="C80" s="4"/>
    </row>
    <row r="81" spans="1:3" x14ac:dyDescent="0.2">
      <c r="A81" s="23"/>
      <c r="C81" s="4"/>
    </row>
    <row r="82" spans="1:3" x14ac:dyDescent="0.2">
      <c r="A82" s="23"/>
      <c r="C82" s="4"/>
    </row>
    <row r="83" spans="1:3" x14ac:dyDescent="0.2">
      <c r="A83" s="23"/>
      <c r="C83" s="4"/>
    </row>
    <row r="84" spans="1:3" x14ac:dyDescent="0.2">
      <c r="A84" s="23"/>
      <c r="C84" s="4"/>
    </row>
    <row r="85" spans="1:3" x14ac:dyDescent="0.2">
      <c r="A85" s="23"/>
      <c r="C85" s="4"/>
    </row>
    <row r="86" spans="1:3" x14ac:dyDescent="0.2">
      <c r="A86" s="23"/>
      <c r="C86" s="4"/>
    </row>
    <row r="87" spans="1:3" x14ac:dyDescent="0.2">
      <c r="A87" s="23"/>
      <c r="C87" s="4"/>
    </row>
    <row r="88" spans="1:3" x14ac:dyDescent="0.2">
      <c r="A88" s="23"/>
      <c r="C88" s="4"/>
    </row>
    <row r="89" spans="1:3" x14ac:dyDescent="0.2">
      <c r="A89" s="23"/>
      <c r="C89" s="4"/>
    </row>
    <row r="90" spans="1:3" x14ac:dyDescent="0.2">
      <c r="A90" s="23"/>
      <c r="C90" s="4"/>
    </row>
    <row r="91" spans="1:3" x14ac:dyDescent="0.2">
      <c r="A91" s="23"/>
      <c r="C91" s="4"/>
    </row>
    <row r="92" spans="1:3" x14ac:dyDescent="0.2">
      <c r="A92" s="23"/>
      <c r="C92" s="4"/>
    </row>
    <row r="93" spans="1:3" x14ac:dyDescent="0.2">
      <c r="A93" s="23"/>
      <c r="C93" s="4"/>
    </row>
    <row r="94" spans="1:3" x14ac:dyDescent="0.2">
      <c r="A94" s="23"/>
      <c r="C94" s="4"/>
    </row>
    <row r="95" spans="1:3" x14ac:dyDescent="0.2">
      <c r="A95" s="23"/>
      <c r="C95" s="4"/>
    </row>
    <row r="96" spans="1:3" x14ac:dyDescent="0.2">
      <c r="A96" s="23"/>
      <c r="C96" s="4"/>
    </row>
    <row r="97" spans="1:3" x14ac:dyDescent="0.2">
      <c r="A97" s="23"/>
      <c r="C97" s="4"/>
    </row>
    <row r="98" spans="1:3" x14ac:dyDescent="0.2">
      <c r="A98" s="23"/>
      <c r="C98" s="4"/>
    </row>
    <row r="99" spans="1:3" x14ac:dyDescent="0.2">
      <c r="A99" s="23"/>
      <c r="C99" s="4"/>
    </row>
    <row r="100" spans="1:3" x14ac:dyDescent="0.2">
      <c r="A100" s="23"/>
      <c r="C100" s="4"/>
    </row>
    <row r="101" spans="1:3" x14ac:dyDescent="0.2">
      <c r="A101" s="23"/>
      <c r="C101" s="4"/>
    </row>
    <row r="102" spans="1:3" x14ac:dyDescent="0.2">
      <c r="A102" s="23"/>
      <c r="C102" s="4"/>
    </row>
    <row r="103" spans="1:3" x14ac:dyDescent="0.2">
      <c r="A103" s="23"/>
      <c r="C103" s="4"/>
    </row>
    <row r="104" spans="1:3" x14ac:dyDescent="0.2">
      <c r="A104" s="23"/>
      <c r="C104" s="4"/>
    </row>
    <row r="105" spans="1:3" x14ac:dyDescent="0.2">
      <c r="A105" s="23"/>
      <c r="C105" s="4"/>
    </row>
    <row r="106" spans="1:3" x14ac:dyDescent="0.2">
      <c r="A106" s="23"/>
      <c r="C106" s="4"/>
    </row>
    <row r="107" spans="1:3" x14ac:dyDescent="0.2">
      <c r="A107" s="23"/>
      <c r="C107" s="4"/>
    </row>
    <row r="108" spans="1:3" x14ac:dyDescent="0.2">
      <c r="A108" s="23"/>
      <c r="C108" s="4"/>
    </row>
    <row r="109" spans="1:3" x14ac:dyDescent="0.2">
      <c r="A109" s="23"/>
      <c r="C109" s="4"/>
    </row>
    <row r="110" spans="1:3" x14ac:dyDescent="0.2">
      <c r="A110" s="23"/>
      <c r="C110" s="4"/>
    </row>
    <row r="111" spans="1:3" x14ac:dyDescent="0.2">
      <c r="A111" s="23"/>
      <c r="C111" s="4"/>
    </row>
    <row r="112" spans="1:3" x14ac:dyDescent="0.2">
      <c r="A112" s="23"/>
      <c r="C112" s="4"/>
    </row>
    <row r="113" spans="1:3" x14ac:dyDescent="0.2">
      <c r="A113" s="23"/>
      <c r="C113" s="4"/>
    </row>
    <row r="114" spans="1:3" x14ac:dyDescent="0.2">
      <c r="A114" s="23"/>
      <c r="C114" s="4"/>
    </row>
    <row r="115" spans="1:3" x14ac:dyDescent="0.2">
      <c r="A115" s="23"/>
      <c r="C115" s="4"/>
    </row>
    <row r="116" spans="1:3" x14ac:dyDescent="0.2">
      <c r="A116" s="23"/>
      <c r="C116" s="4"/>
    </row>
    <row r="117" spans="1:3" x14ac:dyDescent="0.2">
      <c r="A117" s="23"/>
      <c r="C117" s="4"/>
    </row>
    <row r="118" spans="1:3" x14ac:dyDescent="0.2">
      <c r="A118" s="23"/>
      <c r="C118" s="4"/>
    </row>
    <row r="119" spans="1:3" x14ac:dyDescent="0.2">
      <c r="A119" s="23"/>
      <c r="C119" s="4"/>
    </row>
    <row r="120" spans="1:3" x14ac:dyDescent="0.2">
      <c r="A120" s="23"/>
      <c r="C120" s="4"/>
    </row>
    <row r="121" spans="1:3" x14ac:dyDescent="0.2">
      <c r="A121" s="23"/>
      <c r="C121" s="4"/>
    </row>
    <row r="122" spans="1:3" x14ac:dyDescent="0.2">
      <c r="A122" s="23"/>
      <c r="C122" s="4"/>
    </row>
    <row r="123" spans="1:3" x14ac:dyDescent="0.2">
      <c r="A123" s="23"/>
      <c r="C123" s="4"/>
    </row>
    <row r="124" spans="1:3" x14ac:dyDescent="0.2">
      <c r="A124" s="23"/>
      <c r="C124" s="4"/>
    </row>
    <row r="125" spans="1:3" x14ac:dyDescent="0.2">
      <c r="A125" s="23"/>
      <c r="C125" s="4"/>
    </row>
    <row r="126" spans="1:3" x14ac:dyDescent="0.2">
      <c r="A126" s="23"/>
      <c r="C126" s="4"/>
    </row>
    <row r="127" spans="1:3" x14ac:dyDescent="0.2">
      <c r="A127" s="23"/>
      <c r="C127" s="4"/>
    </row>
    <row r="128" spans="1:3" x14ac:dyDescent="0.2">
      <c r="A128" s="23"/>
      <c r="C128" s="4"/>
    </row>
    <row r="129" spans="1:3" x14ac:dyDescent="0.2">
      <c r="A129" s="23"/>
      <c r="C129" s="4"/>
    </row>
    <row r="130" spans="1:3" x14ac:dyDescent="0.2">
      <c r="A130" s="23"/>
      <c r="C130" s="4"/>
    </row>
    <row r="131" spans="1:3" x14ac:dyDescent="0.2">
      <c r="A131" s="23"/>
      <c r="C131" s="4"/>
    </row>
    <row r="132" spans="1:3" x14ac:dyDescent="0.2">
      <c r="A132" s="23"/>
      <c r="C132" s="4"/>
    </row>
    <row r="133" spans="1:3" x14ac:dyDescent="0.2">
      <c r="A133" s="23"/>
      <c r="C133" s="4"/>
    </row>
    <row r="134" spans="1:3" x14ac:dyDescent="0.2">
      <c r="A134" s="23"/>
      <c r="C134" s="4"/>
    </row>
    <row r="135" spans="1:3" x14ac:dyDescent="0.2">
      <c r="A135" s="23"/>
      <c r="C135" s="4"/>
    </row>
    <row r="136" spans="1:3" x14ac:dyDescent="0.2">
      <c r="A136" s="23"/>
      <c r="C136" s="4"/>
    </row>
    <row r="137" spans="1:3" x14ac:dyDescent="0.2">
      <c r="A137" s="23"/>
      <c r="C137" s="4"/>
    </row>
    <row r="138" spans="1:3" x14ac:dyDescent="0.2">
      <c r="A138" s="23"/>
      <c r="C138" s="4"/>
    </row>
    <row r="139" spans="1:3" x14ac:dyDescent="0.2">
      <c r="A139" s="23"/>
      <c r="C139" s="4"/>
    </row>
    <row r="140" spans="1:3" x14ac:dyDescent="0.2">
      <c r="A140" s="23"/>
      <c r="C140" s="4"/>
    </row>
    <row r="141" spans="1:3" x14ac:dyDescent="0.2">
      <c r="A141" s="23"/>
      <c r="C141" s="4"/>
    </row>
    <row r="142" spans="1:3" x14ac:dyDescent="0.2">
      <c r="A142" s="23"/>
      <c r="C142" s="4"/>
    </row>
    <row r="143" spans="1:3" x14ac:dyDescent="0.2">
      <c r="A143" s="23"/>
      <c r="C143" s="4"/>
    </row>
    <row r="144" spans="1:3" x14ac:dyDescent="0.2">
      <c r="A144" s="23"/>
      <c r="C144" s="4"/>
    </row>
    <row r="145" spans="1:3" x14ac:dyDescent="0.2">
      <c r="A145" s="23"/>
      <c r="C145" s="4"/>
    </row>
    <row r="146" spans="1:3" x14ac:dyDescent="0.2">
      <c r="A146" s="23"/>
      <c r="C146" s="4"/>
    </row>
    <row r="147" spans="1:3" x14ac:dyDescent="0.2">
      <c r="A147" s="23"/>
      <c r="C147" s="4"/>
    </row>
    <row r="148" spans="1:3" x14ac:dyDescent="0.2">
      <c r="A148" s="23"/>
      <c r="C148" s="4"/>
    </row>
    <row r="149" spans="1:3" x14ac:dyDescent="0.2">
      <c r="A149" s="23"/>
      <c r="C149" s="4"/>
    </row>
    <row r="150" spans="1:3" x14ac:dyDescent="0.2">
      <c r="A150" s="23"/>
      <c r="C150" s="4"/>
    </row>
    <row r="151" spans="1:3" x14ac:dyDescent="0.2">
      <c r="A151" s="23"/>
      <c r="C151" s="4"/>
    </row>
    <row r="152" spans="1:3" x14ac:dyDescent="0.2">
      <c r="A152" s="23"/>
      <c r="C152" s="4"/>
    </row>
    <row r="153" spans="1:3" x14ac:dyDescent="0.2">
      <c r="A153" s="23"/>
      <c r="C153" s="4"/>
    </row>
    <row r="154" spans="1:3" x14ac:dyDescent="0.2">
      <c r="A154" s="23"/>
      <c r="C154" s="4"/>
    </row>
    <row r="155" spans="1:3" x14ac:dyDescent="0.2">
      <c r="A155" s="23"/>
      <c r="C155" s="4"/>
    </row>
    <row r="156" spans="1:3" x14ac:dyDescent="0.2">
      <c r="A156" s="23"/>
      <c r="C156" s="4"/>
    </row>
    <row r="157" spans="1:3" x14ac:dyDescent="0.2">
      <c r="A157" s="23"/>
      <c r="C157" s="4"/>
    </row>
    <row r="158" spans="1:3" x14ac:dyDescent="0.2">
      <c r="A158" s="23"/>
      <c r="C158" s="4"/>
    </row>
    <row r="159" spans="1:3" x14ac:dyDescent="0.2">
      <c r="A159" s="23"/>
      <c r="C159" s="4"/>
    </row>
    <row r="160" spans="1:3" x14ac:dyDescent="0.2">
      <c r="A160" s="23"/>
      <c r="C160" s="4"/>
    </row>
    <row r="161" spans="1:3" x14ac:dyDescent="0.2">
      <c r="A161" s="23"/>
      <c r="C161" s="4"/>
    </row>
    <row r="162" spans="1:3" x14ac:dyDescent="0.2">
      <c r="A162" s="23"/>
      <c r="C162" s="4"/>
    </row>
    <row r="163" spans="1:3" x14ac:dyDescent="0.2">
      <c r="A163" s="23"/>
      <c r="C163" s="4"/>
    </row>
    <row r="164" spans="1:3" x14ac:dyDescent="0.2">
      <c r="A164" s="23"/>
      <c r="C164" s="4"/>
    </row>
    <row r="165" spans="1:3" x14ac:dyDescent="0.2">
      <c r="A165" s="23"/>
      <c r="C165" s="4"/>
    </row>
    <row r="166" spans="1:3" x14ac:dyDescent="0.2">
      <c r="A166" s="23"/>
      <c r="C166" s="4"/>
    </row>
    <row r="167" spans="1:3" x14ac:dyDescent="0.2">
      <c r="A167" s="23"/>
      <c r="C167" s="4"/>
    </row>
    <row r="168" spans="1:3" x14ac:dyDescent="0.2">
      <c r="A168" s="23"/>
      <c r="C168" s="4"/>
    </row>
    <row r="169" spans="1:3" x14ac:dyDescent="0.2">
      <c r="A169" s="23"/>
      <c r="C169" s="4"/>
    </row>
    <row r="170" spans="1:3" x14ac:dyDescent="0.2">
      <c r="A170" s="23"/>
      <c r="C170" s="4"/>
    </row>
    <row r="171" spans="1:3" x14ac:dyDescent="0.2">
      <c r="A171" s="23"/>
      <c r="C171" s="4"/>
    </row>
    <row r="172" spans="1:3" x14ac:dyDescent="0.2">
      <c r="A172" s="23"/>
      <c r="C172" s="4"/>
    </row>
    <row r="173" spans="1:3" x14ac:dyDescent="0.2">
      <c r="A173" s="23"/>
      <c r="C173" s="4"/>
    </row>
    <row r="174" spans="1:3" x14ac:dyDescent="0.2">
      <c r="A174" s="23"/>
      <c r="C174" s="4"/>
    </row>
    <row r="175" spans="1:3" x14ac:dyDescent="0.2">
      <c r="A175" s="23"/>
      <c r="C175" s="4"/>
    </row>
    <row r="176" spans="1:3" x14ac:dyDescent="0.2">
      <c r="A176" s="23"/>
      <c r="C176" s="4"/>
    </row>
    <row r="177" spans="1:3" x14ac:dyDescent="0.2">
      <c r="A177" s="23"/>
      <c r="C177" s="4"/>
    </row>
    <row r="178" spans="1:3" x14ac:dyDescent="0.2">
      <c r="A178" s="23"/>
      <c r="C178" s="4"/>
    </row>
    <row r="179" spans="1:3" x14ac:dyDescent="0.2">
      <c r="A179" s="23"/>
      <c r="C179" s="4"/>
    </row>
    <row r="180" spans="1:3" x14ac:dyDescent="0.2">
      <c r="A180" s="23"/>
      <c r="C180" s="4"/>
    </row>
    <row r="181" spans="1:3" x14ac:dyDescent="0.2">
      <c r="A181" s="23"/>
      <c r="C181" s="4"/>
    </row>
    <row r="182" spans="1:3" x14ac:dyDescent="0.2">
      <c r="A182" s="23"/>
      <c r="C182" s="4"/>
    </row>
    <row r="183" spans="1:3" x14ac:dyDescent="0.2">
      <c r="A183" s="23"/>
      <c r="C183" s="4"/>
    </row>
    <row r="184" spans="1:3" x14ac:dyDescent="0.2">
      <c r="A184" s="23"/>
      <c r="C184" s="4"/>
    </row>
    <row r="185" spans="1:3" x14ac:dyDescent="0.2">
      <c r="A185" s="23"/>
      <c r="C185" s="4"/>
    </row>
    <row r="186" spans="1:3" x14ac:dyDescent="0.2">
      <c r="A186" s="23"/>
      <c r="C186" s="4"/>
    </row>
    <row r="187" spans="1:3" x14ac:dyDescent="0.2">
      <c r="A187" s="23"/>
      <c r="C187" s="4"/>
    </row>
    <row r="188" spans="1:3" x14ac:dyDescent="0.2">
      <c r="A188" s="23"/>
      <c r="C188" s="4"/>
    </row>
    <row r="189" spans="1:3" x14ac:dyDescent="0.2">
      <c r="A189" s="23"/>
      <c r="C189" s="4"/>
    </row>
    <row r="190" spans="1:3" x14ac:dyDescent="0.2">
      <c r="A190" s="23"/>
      <c r="C190" s="4"/>
    </row>
    <row r="191" spans="1:3" x14ac:dyDescent="0.2">
      <c r="A191" s="23"/>
      <c r="C191" s="4"/>
    </row>
    <row r="192" spans="1:3" x14ac:dyDescent="0.2">
      <c r="A192" s="23"/>
      <c r="C192" s="4"/>
    </row>
    <row r="193" spans="1:3" x14ac:dyDescent="0.2">
      <c r="A193" s="23"/>
      <c r="C193" s="4"/>
    </row>
    <row r="194" spans="1:3" x14ac:dyDescent="0.2">
      <c r="A194" s="23"/>
      <c r="C194" s="4"/>
    </row>
    <row r="195" spans="1:3" x14ac:dyDescent="0.2">
      <c r="A195" s="23"/>
      <c r="C195" s="4"/>
    </row>
    <row r="196" spans="1:3" x14ac:dyDescent="0.2">
      <c r="A196" s="23"/>
      <c r="C196" s="4"/>
    </row>
    <row r="197" spans="1:3" x14ac:dyDescent="0.2">
      <c r="A197" s="23"/>
      <c r="C197" s="4"/>
    </row>
    <row r="198" spans="1:3" x14ac:dyDescent="0.2">
      <c r="A198" s="23"/>
      <c r="C198" s="4"/>
    </row>
    <row r="199" spans="1:3" x14ac:dyDescent="0.2">
      <c r="A199" s="23"/>
      <c r="C199" s="4"/>
    </row>
    <row r="200" spans="1:3" x14ac:dyDescent="0.2">
      <c r="A200" s="23"/>
      <c r="C200" s="4"/>
    </row>
    <row r="201" spans="1:3" x14ac:dyDescent="0.2">
      <c r="A201" s="23"/>
      <c r="C201" s="4"/>
    </row>
    <row r="202" spans="1:3" x14ac:dyDescent="0.2">
      <c r="A202" s="23"/>
      <c r="C202" s="4"/>
    </row>
    <row r="203" spans="1:3" x14ac:dyDescent="0.2">
      <c r="A203" s="23"/>
      <c r="C203" s="4"/>
    </row>
    <row r="204" spans="1:3" x14ac:dyDescent="0.2">
      <c r="A204" s="23"/>
      <c r="C204" s="4"/>
    </row>
    <row r="205" spans="1:3" x14ac:dyDescent="0.2">
      <c r="A205" s="23"/>
      <c r="C205" s="4"/>
    </row>
    <row r="206" spans="1:3" x14ac:dyDescent="0.2">
      <c r="A206" s="23"/>
      <c r="C206" s="4"/>
    </row>
    <row r="207" spans="1:3" x14ac:dyDescent="0.2">
      <c r="A207" s="23"/>
      <c r="C207" s="4"/>
    </row>
    <row r="208" spans="1:3" x14ac:dyDescent="0.2">
      <c r="A208" s="23"/>
      <c r="C208" s="4"/>
    </row>
    <row r="209" spans="1:3" x14ac:dyDescent="0.2">
      <c r="A209" s="23"/>
      <c r="C209" s="4"/>
    </row>
    <row r="210" spans="1:3" x14ac:dyDescent="0.2">
      <c r="A210" s="23"/>
      <c r="C210" s="4"/>
    </row>
    <row r="211" spans="1:3" x14ac:dyDescent="0.2">
      <c r="A211" s="23"/>
      <c r="C211" s="4"/>
    </row>
    <row r="212" spans="1:3" x14ac:dyDescent="0.2">
      <c r="A212" s="23"/>
      <c r="C212" s="4"/>
    </row>
    <row r="213" spans="1:3" x14ac:dyDescent="0.2">
      <c r="A213" s="23"/>
      <c r="C213" s="4"/>
    </row>
    <row r="214" spans="1:3" x14ac:dyDescent="0.2">
      <c r="A214" s="23"/>
      <c r="C214" s="4"/>
    </row>
    <row r="215" spans="1:3" x14ac:dyDescent="0.2">
      <c r="A215" s="23"/>
      <c r="C215" s="4"/>
    </row>
    <row r="216" spans="1:3" x14ac:dyDescent="0.2">
      <c r="A216" s="23"/>
      <c r="C216" s="4"/>
    </row>
    <row r="217" spans="1:3" x14ac:dyDescent="0.2">
      <c r="A217" s="23"/>
      <c r="C217" s="4"/>
    </row>
    <row r="218" spans="1:3" x14ac:dyDescent="0.2">
      <c r="A218" s="23"/>
      <c r="C218" s="4"/>
    </row>
    <row r="219" spans="1:3" x14ac:dyDescent="0.2">
      <c r="A219" s="23"/>
      <c r="C219" s="4"/>
    </row>
    <row r="220" spans="1:3" x14ac:dyDescent="0.2">
      <c r="A220" s="23"/>
      <c r="C220" s="4"/>
    </row>
    <row r="221" spans="1:3" x14ac:dyDescent="0.2">
      <c r="A221" s="23"/>
      <c r="C221" s="4"/>
    </row>
    <row r="222" spans="1:3" x14ac:dyDescent="0.2">
      <c r="A222" s="23"/>
      <c r="C222" s="4"/>
    </row>
    <row r="223" spans="1:3" x14ac:dyDescent="0.2">
      <c r="A223" s="23"/>
      <c r="C223" s="4"/>
    </row>
    <row r="224" spans="1:3" x14ac:dyDescent="0.2">
      <c r="A224" s="23"/>
      <c r="C224" s="4"/>
    </row>
    <row r="225" spans="1:3" x14ac:dyDescent="0.2">
      <c r="A225" s="23"/>
      <c r="C225" s="4"/>
    </row>
    <row r="226" spans="1:3" x14ac:dyDescent="0.2">
      <c r="A226" s="23"/>
      <c r="C226" s="4"/>
    </row>
    <row r="227" spans="1:3" x14ac:dyDescent="0.2">
      <c r="A227" s="23"/>
      <c r="C227" s="4"/>
    </row>
    <row r="228" spans="1:3" x14ac:dyDescent="0.2">
      <c r="A228" s="23"/>
      <c r="C228" s="4"/>
    </row>
    <row r="229" spans="1:3" x14ac:dyDescent="0.2">
      <c r="A229" s="23"/>
      <c r="C229" s="4"/>
    </row>
    <row r="230" spans="1:3" x14ac:dyDescent="0.2">
      <c r="A230" s="23"/>
      <c r="C230" s="4"/>
    </row>
    <row r="231" spans="1:3" x14ac:dyDescent="0.2">
      <c r="A231" s="23"/>
      <c r="C231" s="4"/>
    </row>
    <row r="232" spans="1:3" x14ac:dyDescent="0.2">
      <c r="A232" s="23"/>
      <c r="C232" s="4"/>
    </row>
    <row r="233" spans="1:3" x14ac:dyDescent="0.2">
      <c r="A233" s="23"/>
      <c r="C233" s="4"/>
    </row>
    <row r="234" spans="1:3" x14ac:dyDescent="0.2">
      <c r="A234" s="23"/>
      <c r="C234" s="4"/>
    </row>
    <row r="235" spans="1:3" x14ac:dyDescent="0.2">
      <c r="A235" s="23"/>
      <c r="C235" s="4"/>
    </row>
    <row r="236" spans="1:3" x14ac:dyDescent="0.2">
      <c r="A236" s="23"/>
      <c r="C236" s="4"/>
    </row>
    <row r="237" spans="1:3" x14ac:dyDescent="0.2">
      <c r="A237" s="23"/>
      <c r="C237" s="4"/>
    </row>
    <row r="238" spans="1:3" x14ac:dyDescent="0.2">
      <c r="A238" s="23"/>
      <c r="C238" s="4"/>
    </row>
    <row r="239" spans="1:3" x14ac:dyDescent="0.2">
      <c r="A239" s="23"/>
      <c r="C239" s="4"/>
    </row>
    <row r="240" spans="1:3" x14ac:dyDescent="0.2">
      <c r="A240" s="23"/>
      <c r="C240" s="4"/>
    </row>
    <row r="241" spans="1:3" x14ac:dyDescent="0.2">
      <c r="A241" s="23"/>
      <c r="C241" s="4"/>
    </row>
    <row r="242" spans="1:3" x14ac:dyDescent="0.2">
      <c r="A242" s="23"/>
      <c r="C242" s="4"/>
    </row>
    <row r="243" spans="1:3" x14ac:dyDescent="0.2">
      <c r="A243" s="23"/>
      <c r="C243" s="4"/>
    </row>
    <row r="244" spans="1:3" x14ac:dyDescent="0.2">
      <c r="A244" s="23"/>
      <c r="C244" s="4"/>
    </row>
    <row r="245" spans="1:3" x14ac:dyDescent="0.2">
      <c r="A245" s="23"/>
      <c r="C245" s="4"/>
    </row>
    <row r="246" spans="1:3" x14ac:dyDescent="0.2">
      <c r="A246" s="23"/>
      <c r="C246" s="4"/>
    </row>
    <row r="247" spans="1:3" x14ac:dyDescent="0.2">
      <c r="A247" s="23"/>
      <c r="C247" s="4"/>
    </row>
    <row r="248" spans="1:3" x14ac:dyDescent="0.2">
      <c r="A248" s="23"/>
      <c r="C248" s="4"/>
    </row>
    <row r="249" spans="1:3" x14ac:dyDescent="0.2">
      <c r="A249" s="23"/>
      <c r="C249" s="4"/>
    </row>
    <row r="250" spans="1:3" x14ac:dyDescent="0.2">
      <c r="A250" s="23"/>
      <c r="C250" s="4"/>
    </row>
    <row r="251" spans="1:3" x14ac:dyDescent="0.2">
      <c r="A251" s="23"/>
      <c r="C251" s="4"/>
    </row>
    <row r="252" spans="1:3" x14ac:dyDescent="0.2">
      <c r="A252" s="23"/>
      <c r="C252" s="4"/>
    </row>
    <row r="253" spans="1:3" x14ac:dyDescent="0.2">
      <c r="A253" s="23"/>
      <c r="C253" s="4"/>
    </row>
    <row r="254" spans="1:3" x14ac:dyDescent="0.2">
      <c r="A254" s="23"/>
      <c r="C254" s="4"/>
    </row>
    <row r="255" spans="1:3" x14ac:dyDescent="0.2">
      <c r="A255" s="23"/>
      <c r="C255" s="4"/>
    </row>
    <row r="256" spans="1:3" x14ac:dyDescent="0.2">
      <c r="A256" s="23"/>
      <c r="C256" s="4"/>
    </row>
    <row r="257" spans="1:3" x14ac:dyDescent="0.2">
      <c r="A257" s="23"/>
      <c r="C257" s="4"/>
    </row>
    <row r="258" spans="1:3" x14ac:dyDescent="0.2">
      <c r="A258" s="23"/>
      <c r="C258" s="4"/>
    </row>
    <row r="259" spans="1:3" x14ac:dyDescent="0.2">
      <c r="A259" s="23"/>
      <c r="C259" s="4"/>
    </row>
    <row r="260" spans="1:3" x14ac:dyDescent="0.2">
      <c r="A260" s="23"/>
      <c r="C260" s="4"/>
    </row>
    <row r="261" spans="1:3" x14ac:dyDescent="0.2">
      <c r="A261" s="23"/>
      <c r="C261" s="4"/>
    </row>
    <row r="262" spans="1:3" x14ac:dyDescent="0.2">
      <c r="A262" s="23"/>
      <c r="C262" s="4"/>
    </row>
    <row r="263" spans="1:3" x14ac:dyDescent="0.2">
      <c r="A263" s="23"/>
      <c r="C263" s="4"/>
    </row>
    <row r="264" spans="1:3" x14ac:dyDescent="0.2">
      <c r="A264" s="23"/>
      <c r="C264" s="4"/>
    </row>
    <row r="265" spans="1:3" x14ac:dyDescent="0.2">
      <c r="A265" s="23"/>
      <c r="C265" s="4"/>
    </row>
    <row r="266" spans="1:3" x14ac:dyDescent="0.2">
      <c r="A266" s="23"/>
      <c r="C266" s="4"/>
    </row>
    <row r="267" spans="1:3" x14ac:dyDescent="0.2">
      <c r="A267" s="23"/>
      <c r="C267" s="4"/>
    </row>
    <row r="268" spans="1:3" x14ac:dyDescent="0.2">
      <c r="A268" s="23"/>
      <c r="C268" s="4"/>
    </row>
    <row r="269" spans="1:3" x14ac:dyDescent="0.2">
      <c r="A269" s="23"/>
      <c r="C269" s="4"/>
    </row>
    <row r="270" spans="1:3" x14ac:dyDescent="0.2">
      <c r="A270" s="23"/>
      <c r="C270" s="4"/>
    </row>
    <row r="271" spans="1:3" x14ac:dyDescent="0.2">
      <c r="A271" s="23"/>
      <c r="C271" s="4"/>
    </row>
    <row r="272" spans="1:3" x14ac:dyDescent="0.2">
      <c r="A272" s="23"/>
      <c r="C272" s="4"/>
    </row>
    <row r="273" spans="1:3" x14ac:dyDescent="0.2">
      <c r="A273" s="23"/>
      <c r="C273" s="4"/>
    </row>
    <row r="274" spans="1:3" x14ac:dyDescent="0.2">
      <c r="A274" s="23"/>
      <c r="C274" s="4"/>
    </row>
    <row r="275" spans="1:3" x14ac:dyDescent="0.2">
      <c r="A275" s="23"/>
      <c r="C275" s="4"/>
    </row>
    <row r="276" spans="1:3" x14ac:dyDescent="0.2">
      <c r="A276" s="23"/>
      <c r="C276" s="4"/>
    </row>
    <row r="277" spans="1:3" x14ac:dyDescent="0.2">
      <c r="A277" s="23"/>
      <c r="C277" s="4"/>
    </row>
    <row r="278" spans="1:3" x14ac:dyDescent="0.2">
      <c r="A278" s="23"/>
      <c r="C278" s="4"/>
    </row>
    <row r="279" spans="1:3" x14ac:dyDescent="0.2">
      <c r="A279" s="23"/>
      <c r="C279" s="4"/>
    </row>
    <row r="280" spans="1:3" x14ac:dyDescent="0.2">
      <c r="A280" s="23"/>
      <c r="C280" s="4"/>
    </row>
    <row r="281" spans="1:3" x14ac:dyDescent="0.2">
      <c r="A281" s="23"/>
      <c r="C281" s="4"/>
    </row>
    <row r="282" spans="1:3" x14ac:dyDescent="0.2">
      <c r="A282" s="23"/>
      <c r="C282" s="4"/>
    </row>
    <row r="283" spans="1:3" x14ac:dyDescent="0.2">
      <c r="A283" s="23"/>
      <c r="C283" s="4"/>
    </row>
    <row r="284" spans="1:3" x14ac:dyDescent="0.2">
      <c r="A284" s="23"/>
      <c r="C284" s="4"/>
    </row>
    <row r="285" spans="1:3" x14ac:dyDescent="0.2">
      <c r="A285" s="23"/>
      <c r="C285" s="4"/>
    </row>
    <row r="286" spans="1:3" x14ac:dyDescent="0.2">
      <c r="A286" s="23"/>
      <c r="C286" s="4"/>
    </row>
    <row r="287" spans="1:3" x14ac:dyDescent="0.2">
      <c r="A287" s="23"/>
      <c r="C287" s="4"/>
    </row>
    <row r="288" spans="1:3" x14ac:dyDescent="0.2">
      <c r="A288" s="23"/>
      <c r="C288" s="4"/>
    </row>
    <row r="289" spans="1:3" x14ac:dyDescent="0.2">
      <c r="A289" s="23"/>
      <c r="C289" s="4"/>
    </row>
    <row r="290" spans="1:3" x14ac:dyDescent="0.2">
      <c r="A290" s="23"/>
      <c r="C290" s="4"/>
    </row>
    <row r="291" spans="1:3" x14ac:dyDescent="0.2">
      <c r="A291" s="23"/>
      <c r="C291" s="4"/>
    </row>
    <row r="292" spans="1:3" x14ac:dyDescent="0.2">
      <c r="A292" s="23"/>
      <c r="C292" s="4"/>
    </row>
    <row r="293" spans="1:3" x14ac:dyDescent="0.2">
      <c r="A293" s="23"/>
      <c r="C293" s="4"/>
    </row>
    <row r="294" spans="1:3" x14ac:dyDescent="0.2">
      <c r="A294" s="23"/>
      <c r="C294" s="4"/>
    </row>
    <row r="295" spans="1:3" x14ac:dyDescent="0.2">
      <c r="A295" s="23"/>
      <c r="C295" s="4"/>
    </row>
    <row r="296" spans="1:3" x14ac:dyDescent="0.2">
      <c r="A296" s="23"/>
      <c r="C296" s="4"/>
    </row>
    <row r="297" spans="1:3" x14ac:dyDescent="0.2">
      <c r="A297" s="23"/>
      <c r="C297" s="4"/>
    </row>
    <row r="298" spans="1:3" x14ac:dyDescent="0.2">
      <c r="A298" s="23"/>
      <c r="C298" s="4"/>
    </row>
    <row r="299" spans="1:3" x14ac:dyDescent="0.2">
      <c r="A299" s="23"/>
      <c r="C299" s="4"/>
    </row>
    <row r="300" spans="1:3" x14ac:dyDescent="0.2">
      <c r="A300" s="23"/>
      <c r="C300" s="4"/>
    </row>
    <row r="301" spans="1:3" x14ac:dyDescent="0.2">
      <c r="A301" s="23"/>
      <c r="C301" s="4"/>
    </row>
    <row r="302" spans="1:3" x14ac:dyDescent="0.2">
      <c r="A302" s="23"/>
      <c r="C302" s="4"/>
    </row>
    <row r="303" spans="1:3" x14ac:dyDescent="0.2">
      <c r="A303" s="23"/>
      <c r="C303" s="4"/>
    </row>
    <row r="304" spans="1:3" x14ac:dyDescent="0.2">
      <c r="A304" s="23"/>
      <c r="C304" s="4"/>
    </row>
    <row r="305" spans="1:3" x14ac:dyDescent="0.2">
      <c r="A305" s="23"/>
      <c r="C305" s="4"/>
    </row>
    <row r="306" spans="1:3" x14ac:dyDescent="0.2">
      <c r="A306" s="23"/>
      <c r="C306" s="4"/>
    </row>
    <row r="307" spans="1:3" x14ac:dyDescent="0.2">
      <c r="A307" s="23"/>
      <c r="C307" s="4"/>
    </row>
    <row r="308" spans="1:3" x14ac:dyDescent="0.2">
      <c r="A308" s="23"/>
      <c r="C308" s="4"/>
    </row>
    <row r="309" spans="1:3" x14ac:dyDescent="0.2">
      <c r="A309" s="23"/>
      <c r="C309" s="4"/>
    </row>
    <row r="310" spans="1:3" x14ac:dyDescent="0.2">
      <c r="A310" s="23"/>
      <c r="C310" s="4"/>
    </row>
    <row r="311" spans="1:3" x14ac:dyDescent="0.2">
      <c r="A311" s="23"/>
      <c r="C311" s="4"/>
    </row>
    <row r="312" spans="1:3" x14ac:dyDescent="0.2">
      <c r="A312" s="23"/>
      <c r="C312" s="4"/>
    </row>
    <row r="313" spans="1:3" x14ac:dyDescent="0.2">
      <c r="A313" s="23"/>
      <c r="C313" s="4"/>
    </row>
    <row r="314" spans="1:3" x14ac:dyDescent="0.2">
      <c r="A314" s="23"/>
      <c r="C314" s="4"/>
    </row>
    <row r="315" spans="1:3" x14ac:dyDescent="0.2">
      <c r="A315" s="23"/>
      <c r="C315" s="4"/>
    </row>
    <row r="316" spans="1:3" x14ac:dyDescent="0.2">
      <c r="A316" s="23"/>
      <c r="C316" s="4"/>
    </row>
    <row r="317" spans="1:3" x14ac:dyDescent="0.2">
      <c r="A317" s="23"/>
      <c r="C317" s="4"/>
    </row>
    <row r="318" spans="1:3" x14ac:dyDescent="0.2">
      <c r="A318" s="23"/>
      <c r="C318" s="4"/>
    </row>
    <row r="319" spans="1:3" x14ac:dyDescent="0.2">
      <c r="A319" s="23"/>
      <c r="C319" s="4"/>
    </row>
    <row r="320" spans="1:3" x14ac:dyDescent="0.2">
      <c r="A320" s="23"/>
      <c r="C320" s="4"/>
    </row>
    <row r="321" spans="1:3" x14ac:dyDescent="0.2">
      <c r="A321" s="23"/>
      <c r="C321" s="4"/>
    </row>
    <row r="322" spans="1:3" x14ac:dyDescent="0.2">
      <c r="A322" s="23"/>
      <c r="C322" s="4"/>
    </row>
    <row r="323" spans="1:3" x14ac:dyDescent="0.2">
      <c r="A323" s="23"/>
      <c r="C323" s="4"/>
    </row>
    <row r="324" spans="1:3" x14ac:dyDescent="0.2">
      <c r="A324" s="23"/>
      <c r="C324" s="4"/>
    </row>
    <row r="325" spans="1:3" x14ac:dyDescent="0.2">
      <c r="A325" s="23"/>
      <c r="C325" s="4"/>
    </row>
    <row r="326" spans="1:3" x14ac:dyDescent="0.2">
      <c r="A326" s="23"/>
      <c r="C326" s="4"/>
    </row>
    <row r="327" spans="1:3" x14ac:dyDescent="0.2">
      <c r="A327" s="23"/>
      <c r="C327" s="4"/>
    </row>
    <row r="328" spans="1:3" x14ac:dyDescent="0.2">
      <c r="A328" s="23"/>
      <c r="C328" s="4"/>
    </row>
    <row r="329" spans="1:3" x14ac:dyDescent="0.2">
      <c r="A329" s="23"/>
      <c r="C329" s="4"/>
    </row>
    <row r="330" spans="1:3" x14ac:dyDescent="0.2">
      <c r="A330" s="23"/>
      <c r="C330" s="4"/>
    </row>
    <row r="331" spans="1:3" x14ac:dyDescent="0.2">
      <c r="A331" s="23"/>
      <c r="C331" s="4"/>
    </row>
    <row r="332" spans="1:3" x14ac:dyDescent="0.2">
      <c r="A332" s="23"/>
      <c r="C332" s="4"/>
    </row>
    <row r="333" spans="1:3" x14ac:dyDescent="0.2">
      <c r="A333" s="23"/>
      <c r="C333" s="4"/>
    </row>
    <row r="334" spans="1:3" x14ac:dyDescent="0.2">
      <c r="A334" s="23"/>
      <c r="C334" s="4"/>
    </row>
    <row r="335" spans="1:3" x14ac:dyDescent="0.2">
      <c r="A335" s="23"/>
      <c r="C335" s="4"/>
    </row>
    <row r="336" spans="1:3" x14ac:dyDescent="0.2">
      <c r="A336" s="23"/>
      <c r="C336" s="4"/>
    </row>
    <row r="337" spans="1:3" x14ac:dyDescent="0.2">
      <c r="A337" s="23"/>
      <c r="C337" s="4"/>
    </row>
    <row r="338" spans="1:3" x14ac:dyDescent="0.2">
      <c r="A338" s="23"/>
      <c r="C338" s="4"/>
    </row>
    <row r="339" spans="1:3" x14ac:dyDescent="0.2">
      <c r="A339" s="23"/>
      <c r="C339" s="4"/>
    </row>
    <row r="340" spans="1:3" x14ac:dyDescent="0.2">
      <c r="A340" s="23"/>
      <c r="C340" s="4"/>
    </row>
    <row r="341" spans="1:3" x14ac:dyDescent="0.2">
      <c r="A341" s="23"/>
      <c r="C341" s="4"/>
    </row>
    <row r="342" spans="1:3" x14ac:dyDescent="0.2">
      <c r="A342" s="23"/>
      <c r="C342" s="4"/>
    </row>
    <row r="343" spans="1:3" x14ac:dyDescent="0.2">
      <c r="A343" s="23"/>
      <c r="C343" s="4"/>
    </row>
    <row r="344" spans="1:3" x14ac:dyDescent="0.2">
      <c r="A344" s="23"/>
      <c r="C344" s="4"/>
    </row>
    <row r="345" spans="1:3" x14ac:dyDescent="0.2">
      <c r="A345" s="23"/>
      <c r="C345" s="4"/>
    </row>
    <row r="346" spans="1:3" x14ac:dyDescent="0.2">
      <c r="A346" s="23"/>
      <c r="C346" s="4"/>
    </row>
    <row r="347" spans="1:3" x14ac:dyDescent="0.2">
      <c r="A347" s="23"/>
      <c r="C347" s="4"/>
    </row>
    <row r="348" spans="1:3" x14ac:dyDescent="0.2">
      <c r="A348" s="23"/>
      <c r="C348" s="4"/>
    </row>
    <row r="349" spans="1:3" x14ac:dyDescent="0.2">
      <c r="A349" s="23"/>
      <c r="C349" s="4"/>
    </row>
    <row r="350" spans="1:3" x14ac:dyDescent="0.2">
      <c r="A350" s="23"/>
      <c r="C350" s="4"/>
    </row>
    <row r="351" spans="1:3" x14ac:dyDescent="0.2">
      <c r="A351" s="23"/>
      <c r="C351" s="4"/>
    </row>
    <row r="352" spans="1:3" x14ac:dyDescent="0.2">
      <c r="A352" s="23"/>
      <c r="C352" s="4"/>
    </row>
    <row r="353" spans="1:3" x14ac:dyDescent="0.2">
      <c r="A353" s="23"/>
      <c r="C353" s="4"/>
    </row>
    <row r="354" spans="1:3" x14ac:dyDescent="0.2">
      <c r="A354" s="23"/>
      <c r="C354" s="4"/>
    </row>
    <row r="355" spans="1:3" x14ac:dyDescent="0.2">
      <c r="A355" s="23"/>
      <c r="C355" s="4"/>
    </row>
    <row r="356" spans="1:3" x14ac:dyDescent="0.2">
      <c r="A356" s="23"/>
      <c r="C356" s="4"/>
    </row>
    <row r="357" spans="1:3" x14ac:dyDescent="0.2">
      <c r="A357" s="23"/>
      <c r="C357" s="4"/>
    </row>
    <row r="358" spans="1:3" x14ac:dyDescent="0.2">
      <c r="A358" s="23"/>
      <c r="C358" s="4"/>
    </row>
    <row r="359" spans="1:3" x14ac:dyDescent="0.2">
      <c r="A359" s="23"/>
      <c r="C359" s="4"/>
    </row>
    <row r="360" spans="1:3" x14ac:dyDescent="0.2">
      <c r="A360" s="23"/>
      <c r="C360" s="4"/>
    </row>
    <row r="361" spans="1:3" x14ac:dyDescent="0.2">
      <c r="A361" s="23"/>
      <c r="C361" s="4"/>
    </row>
    <row r="362" spans="1:3" x14ac:dyDescent="0.2">
      <c r="A362" s="23"/>
      <c r="C362" s="4"/>
    </row>
    <row r="363" spans="1:3" x14ac:dyDescent="0.2">
      <c r="A363" s="23"/>
      <c r="C363" s="4"/>
    </row>
    <row r="364" spans="1:3" x14ac:dyDescent="0.2">
      <c r="A364" s="23"/>
      <c r="C364" s="4"/>
    </row>
    <row r="365" spans="1:3" x14ac:dyDescent="0.2">
      <c r="A365" s="23"/>
      <c r="C365" s="4"/>
    </row>
    <row r="366" spans="1:3" x14ac:dyDescent="0.2">
      <c r="A366" s="23"/>
      <c r="C366" s="4"/>
    </row>
    <row r="367" spans="1:3" x14ac:dyDescent="0.2">
      <c r="A367" s="23"/>
      <c r="C367" s="4"/>
    </row>
    <row r="368" spans="1:3" x14ac:dyDescent="0.2">
      <c r="A368" s="23"/>
      <c r="C368" s="4"/>
    </row>
    <row r="369" spans="1:3" x14ac:dyDescent="0.2">
      <c r="A369" s="23"/>
      <c r="C369" s="4"/>
    </row>
    <row r="370" spans="1:3" x14ac:dyDescent="0.2">
      <c r="A370" s="23"/>
      <c r="C370" s="4"/>
    </row>
    <row r="371" spans="1:3" x14ac:dyDescent="0.2">
      <c r="A371" s="23"/>
      <c r="C371" s="4"/>
    </row>
    <row r="372" spans="1:3" x14ac:dyDescent="0.2">
      <c r="A372" s="23"/>
      <c r="C372" s="4"/>
    </row>
    <row r="373" spans="1:3" x14ac:dyDescent="0.2">
      <c r="A373" s="23"/>
      <c r="C373" s="4"/>
    </row>
    <row r="374" spans="1:3" x14ac:dyDescent="0.2">
      <c r="A374" s="23"/>
      <c r="C374" s="4"/>
    </row>
    <row r="375" spans="1:3" x14ac:dyDescent="0.2">
      <c r="A375" s="23"/>
      <c r="C375" s="4"/>
    </row>
    <row r="376" spans="1:3" x14ac:dyDescent="0.2">
      <c r="A376" s="23"/>
      <c r="C376" s="4"/>
    </row>
    <row r="377" spans="1:3" x14ac:dyDescent="0.2">
      <c r="A377" s="23"/>
      <c r="C377" s="4"/>
    </row>
    <row r="378" spans="1:3" x14ac:dyDescent="0.2">
      <c r="A378" s="23"/>
      <c r="C378" s="4"/>
    </row>
    <row r="379" spans="1:3" x14ac:dyDescent="0.2">
      <c r="A379" s="23"/>
      <c r="C379" s="4"/>
    </row>
    <row r="380" spans="1:3" x14ac:dyDescent="0.2">
      <c r="A380" s="23"/>
      <c r="C380" s="4"/>
    </row>
    <row r="381" spans="1:3" x14ac:dyDescent="0.2">
      <c r="A381" s="23"/>
      <c r="C381" s="4"/>
    </row>
    <row r="382" spans="1:3" x14ac:dyDescent="0.2">
      <c r="A382" s="23"/>
      <c r="C382" s="4"/>
    </row>
    <row r="383" spans="1:3" x14ac:dyDescent="0.2">
      <c r="A383" s="23"/>
      <c r="C383" s="4"/>
    </row>
    <row r="384" spans="1:3" x14ac:dyDescent="0.2">
      <c r="A384" s="23"/>
      <c r="C384" s="4"/>
    </row>
    <row r="385" spans="1:3" x14ac:dyDescent="0.2">
      <c r="A385" s="23"/>
      <c r="C385" s="4"/>
    </row>
    <row r="386" spans="1:3" x14ac:dyDescent="0.2">
      <c r="A386" s="23"/>
      <c r="C386" s="4"/>
    </row>
    <row r="387" spans="1:3" x14ac:dyDescent="0.2">
      <c r="A387" s="23"/>
      <c r="C387" s="4"/>
    </row>
    <row r="388" spans="1:3" x14ac:dyDescent="0.2">
      <c r="A388" s="23"/>
      <c r="C388" s="4"/>
    </row>
    <row r="389" spans="1:3" x14ac:dyDescent="0.2">
      <c r="A389" s="23"/>
      <c r="C389" s="4"/>
    </row>
    <row r="390" spans="1:3" x14ac:dyDescent="0.2">
      <c r="A390" s="23"/>
      <c r="C390" s="4"/>
    </row>
    <row r="391" spans="1:3" x14ac:dyDescent="0.2">
      <c r="A391" s="23"/>
      <c r="C391" s="4"/>
    </row>
    <row r="392" spans="1:3" x14ac:dyDescent="0.2">
      <c r="A392" s="23"/>
      <c r="C392" s="4"/>
    </row>
    <row r="393" spans="1:3" x14ac:dyDescent="0.2">
      <c r="A393" s="23"/>
      <c r="C393" s="4"/>
    </row>
    <row r="394" spans="1:3" x14ac:dyDescent="0.2">
      <c r="A394" s="23"/>
      <c r="C394" s="4"/>
    </row>
    <row r="395" spans="1:3" x14ac:dyDescent="0.2">
      <c r="A395" s="23"/>
      <c r="C395" s="4"/>
    </row>
    <row r="396" spans="1:3" x14ac:dyDescent="0.2">
      <c r="A396" s="23"/>
      <c r="C396" s="4"/>
    </row>
    <row r="397" spans="1:3" x14ac:dyDescent="0.2">
      <c r="A397" s="23"/>
      <c r="C397" s="4"/>
    </row>
    <row r="398" spans="1:3" x14ac:dyDescent="0.2">
      <c r="A398" s="23"/>
      <c r="C398" s="4"/>
    </row>
    <row r="399" spans="1:3" x14ac:dyDescent="0.2">
      <c r="A399" s="23"/>
      <c r="C399" s="4"/>
    </row>
    <row r="400" spans="1:3" x14ac:dyDescent="0.2">
      <c r="A400" s="23"/>
      <c r="C400" s="4"/>
    </row>
    <row r="401" spans="1:3" x14ac:dyDescent="0.2">
      <c r="A401" s="23"/>
      <c r="C401" s="4"/>
    </row>
    <row r="402" spans="1:3" x14ac:dyDescent="0.2">
      <c r="A402" s="23"/>
      <c r="C402" s="4"/>
    </row>
    <row r="403" spans="1:3" x14ac:dyDescent="0.2">
      <c r="A403" s="23"/>
      <c r="C403" s="4"/>
    </row>
    <row r="404" spans="1:3" x14ac:dyDescent="0.2">
      <c r="A404" s="23"/>
      <c r="C404" s="4"/>
    </row>
    <row r="405" spans="1:3" x14ac:dyDescent="0.2">
      <c r="A405" s="23"/>
      <c r="C405" s="4"/>
    </row>
    <row r="406" spans="1:3" x14ac:dyDescent="0.2">
      <c r="A406" s="23"/>
      <c r="C406" s="4"/>
    </row>
    <row r="407" spans="1:3" x14ac:dyDescent="0.2">
      <c r="A407" s="23"/>
      <c r="C407" s="4"/>
    </row>
    <row r="408" spans="1:3" x14ac:dyDescent="0.2">
      <c r="A408" s="23"/>
      <c r="C408" s="4"/>
    </row>
    <row r="409" spans="1:3" x14ac:dyDescent="0.2">
      <c r="A409" s="23"/>
      <c r="C409" s="4"/>
    </row>
    <row r="410" spans="1:3" x14ac:dyDescent="0.2">
      <c r="A410" s="23"/>
      <c r="C410" s="4"/>
    </row>
    <row r="411" spans="1:3" x14ac:dyDescent="0.2">
      <c r="A411" s="23"/>
      <c r="C411" s="4"/>
    </row>
    <row r="412" spans="1:3" x14ac:dyDescent="0.2">
      <c r="A412" s="23"/>
      <c r="C412" s="4"/>
    </row>
    <row r="413" spans="1:3" x14ac:dyDescent="0.2">
      <c r="A413" s="23"/>
      <c r="C413" s="4"/>
    </row>
    <row r="414" spans="1:3" x14ac:dyDescent="0.2">
      <c r="A414" s="23"/>
      <c r="C414" s="4"/>
    </row>
    <row r="415" spans="1:3" x14ac:dyDescent="0.2">
      <c r="A415" s="23"/>
      <c r="C415" s="4"/>
    </row>
    <row r="416" spans="1:3" x14ac:dyDescent="0.2">
      <c r="A416" s="23"/>
      <c r="C416" s="4"/>
    </row>
    <row r="417" spans="1:3" x14ac:dyDescent="0.2">
      <c r="A417" s="23"/>
      <c r="C417" s="4"/>
    </row>
    <row r="418" spans="1:3" x14ac:dyDescent="0.2">
      <c r="A418" s="23"/>
      <c r="C418" s="4"/>
    </row>
    <row r="419" spans="1:3" x14ac:dyDescent="0.2">
      <c r="A419" s="23"/>
      <c r="C419" s="4"/>
    </row>
    <row r="420" spans="1:3" x14ac:dyDescent="0.2">
      <c r="A420" s="23"/>
      <c r="C420" s="4"/>
    </row>
    <row r="421" spans="1:3" x14ac:dyDescent="0.2">
      <c r="A421" s="23"/>
      <c r="C421" s="4"/>
    </row>
    <row r="422" spans="1:3" x14ac:dyDescent="0.2">
      <c r="A422" s="23"/>
      <c r="C422" s="4"/>
    </row>
    <row r="423" spans="1:3" x14ac:dyDescent="0.2">
      <c r="A423" s="23"/>
      <c r="C423" s="4"/>
    </row>
    <row r="424" spans="1:3" x14ac:dyDescent="0.2">
      <c r="A424" s="23"/>
      <c r="C424" s="4"/>
    </row>
    <row r="425" spans="1:3" x14ac:dyDescent="0.2">
      <c r="A425" s="23"/>
      <c r="C425" s="4"/>
    </row>
    <row r="426" spans="1:3" x14ac:dyDescent="0.2">
      <c r="A426" s="23"/>
      <c r="C426" s="4"/>
    </row>
    <row r="427" spans="1:3" x14ac:dyDescent="0.2">
      <c r="A427" s="23"/>
      <c r="C427" s="4"/>
    </row>
    <row r="428" spans="1:3" x14ac:dyDescent="0.2">
      <c r="A428" s="23"/>
      <c r="C428" s="4"/>
    </row>
    <row r="429" spans="1:3" x14ac:dyDescent="0.2">
      <c r="A429" s="23"/>
      <c r="C429" s="4"/>
    </row>
    <row r="430" spans="1:3" x14ac:dyDescent="0.2">
      <c r="A430" s="23"/>
      <c r="C430" s="4"/>
    </row>
    <row r="431" spans="1:3" x14ac:dyDescent="0.2">
      <c r="A431" s="23"/>
      <c r="C431" s="4"/>
    </row>
    <row r="432" spans="1:3" x14ac:dyDescent="0.2">
      <c r="A432" s="23"/>
      <c r="C432" s="4"/>
    </row>
    <row r="433" spans="1:3" x14ac:dyDescent="0.2">
      <c r="A433" s="23"/>
      <c r="C433" s="4"/>
    </row>
    <row r="434" spans="1:3" x14ac:dyDescent="0.2">
      <c r="A434" s="23"/>
      <c r="C434" s="4"/>
    </row>
    <row r="435" spans="1:3" x14ac:dyDescent="0.2">
      <c r="A435" s="23"/>
      <c r="C435" s="4"/>
    </row>
    <row r="436" spans="1:3" x14ac:dyDescent="0.2">
      <c r="A436" s="23"/>
      <c r="C436" s="4"/>
    </row>
    <row r="437" spans="1:3" x14ac:dyDescent="0.2">
      <c r="A437" s="23"/>
      <c r="C437" s="4"/>
    </row>
    <row r="438" spans="1:3" x14ac:dyDescent="0.2">
      <c r="A438" s="23"/>
      <c r="C438" s="4"/>
    </row>
    <row r="439" spans="1:3" x14ac:dyDescent="0.2">
      <c r="A439" s="23"/>
      <c r="C439" s="4"/>
    </row>
    <row r="440" spans="1:3" x14ac:dyDescent="0.2">
      <c r="A440" s="23"/>
      <c r="C440" s="4"/>
    </row>
    <row r="441" spans="1:3" x14ac:dyDescent="0.2">
      <c r="A441" s="23"/>
      <c r="C441" s="4"/>
    </row>
    <row r="442" spans="1:3" x14ac:dyDescent="0.2">
      <c r="A442" s="23"/>
      <c r="C442" s="4"/>
    </row>
    <row r="443" spans="1:3" x14ac:dyDescent="0.2">
      <c r="A443" s="23"/>
      <c r="C443" s="4"/>
    </row>
    <row r="444" spans="1:3" x14ac:dyDescent="0.2">
      <c r="A444" s="23"/>
      <c r="C444" s="4"/>
    </row>
    <row r="445" spans="1:3" x14ac:dyDescent="0.2">
      <c r="A445" s="23"/>
      <c r="C445" s="4"/>
    </row>
    <row r="446" spans="1:3" x14ac:dyDescent="0.2">
      <c r="A446" s="23"/>
      <c r="C446" s="4"/>
    </row>
    <row r="447" spans="1:3" x14ac:dyDescent="0.2">
      <c r="A447" s="23"/>
      <c r="C447" s="4"/>
    </row>
    <row r="448" spans="1:3" x14ac:dyDescent="0.2">
      <c r="A448" s="23"/>
      <c r="C448" s="4"/>
    </row>
    <row r="449" spans="1:3" x14ac:dyDescent="0.2">
      <c r="A449" s="23"/>
      <c r="C449" s="4"/>
    </row>
    <row r="450" spans="1:3" x14ac:dyDescent="0.2">
      <c r="A450" s="23"/>
      <c r="C450" s="4"/>
    </row>
    <row r="451" spans="1:3" x14ac:dyDescent="0.2">
      <c r="A451" s="23"/>
      <c r="C451" s="4"/>
    </row>
    <row r="452" spans="1:3" x14ac:dyDescent="0.2">
      <c r="A452" s="23"/>
      <c r="C452" s="4"/>
    </row>
    <row r="453" spans="1:3" x14ac:dyDescent="0.2">
      <c r="A453" s="23"/>
      <c r="C453" s="4"/>
    </row>
    <row r="454" spans="1:3" x14ac:dyDescent="0.2">
      <c r="A454" s="23"/>
      <c r="C454" s="4"/>
    </row>
    <row r="455" spans="1:3" x14ac:dyDescent="0.2">
      <c r="A455" s="23"/>
      <c r="C455" s="4"/>
    </row>
    <row r="456" spans="1:3" x14ac:dyDescent="0.2">
      <c r="A456" s="23"/>
      <c r="C456" s="4"/>
    </row>
    <row r="457" spans="1:3" x14ac:dyDescent="0.2">
      <c r="A457" s="23"/>
      <c r="C457" s="4"/>
    </row>
    <row r="458" spans="1:3" x14ac:dyDescent="0.2">
      <c r="A458" s="23"/>
      <c r="C458" s="4"/>
    </row>
    <row r="459" spans="1:3" x14ac:dyDescent="0.2">
      <c r="A459" s="23"/>
      <c r="C459" s="4"/>
    </row>
    <row r="460" spans="1:3" x14ac:dyDescent="0.2">
      <c r="A460" s="23"/>
      <c r="C460" s="4"/>
    </row>
    <row r="461" spans="1:3" x14ac:dyDescent="0.2">
      <c r="A461" s="23"/>
      <c r="C461" s="4"/>
    </row>
    <row r="462" spans="1:3" x14ac:dyDescent="0.2">
      <c r="A462" s="23"/>
      <c r="C462" s="4"/>
    </row>
    <row r="463" spans="1:3" x14ac:dyDescent="0.2">
      <c r="A463" s="23"/>
      <c r="C463" s="4"/>
    </row>
    <row r="464" spans="1:3" x14ac:dyDescent="0.2">
      <c r="A464" s="23"/>
      <c r="C464" s="4"/>
    </row>
    <row r="465" spans="1:3" x14ac:dyDescent="0.2">
      <c r="A465" s="23"/>
      <c r="C465" s="4"/>
    </row>
    <row r="466" spans="1:3" x14ac:dyDescent="0.2">
      <c r="A466" s="23"/>
      <c r="C466" s="4"/>
    </row>
    <row r="467" spans="1:3" x14ac:dyDescent="0.2">
      <c r="A467" s="23"/>
      <c r="C467" s="4"/>
    </row>
    <row r="468" spans="1:3" x14ac:dyDescent="0.2">
      <c r="A468" s="23"/>
      <c r="C468" s="4"/>
    </row>
    <row r="469" spans="1:3" x14ac:dyDescent="0.2">
      <c r="A469" s="23"/>
      <c r="C469" s="4"/>
    </row>
    <row r="470" spans="1:3" x14ac:dyDescent="0.2">
      <c r="A470" s="23"/>
      <c r="C470" s="4"/>
    </row>
    <row r="471" spans="1:3" x14ac:dyDescent="0.2">
      <c r="A471" s="23"/>
      <c r="C471" s="4"/>
    </row>
    <row r="472" spans="1:3" x14ac:dyDescent="0.2">
      <c r="A472" s="23"/>
      <c r="C472" s="4"/>
    </row>
    <row r="473" spans="1:3" x14ac:dyDescent="0.2">
      <c r="A473" s="23"/>
      <c r="C473" s="4"/>
    </row>
    <row r="474" spans="1:3" x14ac:dyDescent="0.2">
      <c r="A474" s="23"/>
      <c r="C474" s="4"/>
    </row>
    <row r="475" spans="1:3" x14ac:dyDescent="0.2">
      <c r="A475" s="23"/>
      <c r="C475" s="4"/>
    </row>
    <row r="476" spans="1:3" x14ac:dyDescent="0.2">
      <c r="A476" s="23"/>
      <c r="C476" s="4"/>
    </row>
    <row r="477" spans="1:3" x14ac:dyDescent="0.2">
      <c r="A477" s="23"/>
      <c r="C477" s="4"/>
    </row>
    <row r="478" spans="1:3" x14ac:dyDescent="0.2">
      <c r="A478" s="23"/>
      <c r="C478" s="4"/>
    </row>
    <row r="479" spans="1:3" x14ac:dyDescent="0.2">
      <c r="A479" s="23"/>
      <c r="C479" s="4"/>
    </row>
    <row r="480" spans="1:3" x14ac:dyDescent="0.2">
      <c r="A480" s="23"/>
      <c r="C480" s="4"/>
    </row>
    <row r="481" spans="1:3" x14ac:dyDescent="0.2">
      <c r="A481" s="23"/>
      <c r="C481" s="4"/>
    </row>
    <row r="482" spans="1:3" x14ac:dyDescent="0.2">
      <c r="A482" s="23"/>
      <c r="C482" s="4"/>
    </row>
    <row r="483" spans="1:3" x14ac:dyDescent="0.2">
      <c r="A483" s="23"/>
      <c r="C483" s="4"/>
    </row>
    <row r="484" spans="1:3" x14ac:dyDescent="0.2">
      <c r="A484" s="23"/>
      <c r="C484" s="4"/>
    </row>
    <row r="485" spans="1:3" x14ac:dyDescent="0.2">
      <c r="A485" s="23"/>
      <c r="C485" s="4"/>
    </row>
    <row r="486" spans="1:3" x14ac:dyDescent="0.2">
      <c r="A486" s="23"/>
      <c r="C486" s="4"/>
    </row>
    <row r="487" spans="1:3" x14ac:dyDescent="0.2">
      <c r="A487" s="23"/>
      <c r="C487" s="4"/>
    </row>
    <row r="488" spans="1:3" x14ac:dyDescent="0.2">
      <c r="A488" s="23"/>
      <c r="C488" s="4"/>
    </row>
    <row r="489" spans="1:3" x14ac:dyDescent="0.2">
      <c r="A489" s="23"/>
      <c r="C489" s="4"/>
    </row>
    <row r="490" spans="1:3" x14ac:dyDescent="0.2">
      <c r="A490" s="23"/>
      <c r="C490" s="4"/>
    </row>
    <row r="491" spans="1:3" x14ac:dyDescent="0.2">
      <c r="A491" s="23"/>
      <c r="C491" s="4"/>
    </row>
    <row r="492" spans="1:3" x14ac:dyDescent="0.2">
      <c r="A492" s="23"/>
      <c r="C492" s="4"/>
    </row>
    <row r="493" spans="1:3" x14ac:dyDescent="0.2">
      <c r="A493" s="23"/>
      <c r="C493" s="4"/>
    </row>
    <row r="494" spans="1:3" x14ac:dyDescent="0.2">
      <c r="A494" s="23"/>
      <c r="C494" s="4"/>
    </row>
    <row r="495" spans="1:3" x14ac:dyDescent="0.2">
      <c r="A495" s="23"/>
      <c r="C495" s="4"/>
    </row>
    <row r="496" spans="1:3" x14ac:dyDescent="0.2">
      <c r="A496" s="23"/>
      <c r="C496" s="4"/>
    </row>
    <row r="497" spans="1:3" x14ac:dyDescent="0.2">
      <c r="A497" s="23"/>
      <c r="C497" s="4"/>
    </row>
    <row r="498" spans="1:3" x14ac:dyDescent="0.2">
      <c r="A498" s="23"/>
      <c r="C498" s="4"/>
    </row>
    <row r="499" spans="1:3" x14ac:dyDescent="0.2">
      <c r="A499" s="23"/>
      <c r="C499" s="4"/>
    </row>
    <row r="500" spans="1:3" x14ac:dyDescent="0.2">
      <c r="A500" s="23"/>
      <c r="C500" s="4"/>
    </row>
    <row r="501" spans="1:3" x14ac:dyDescent="0.2">
      <c r="A501" s="23"/>
      <c r="C501" s="4"/>
    </row>
    <row r="502" spans="1:3" x14ac:dyDescent="0.2">
      <c r="A502" s="23"/>
      <c r="C502" s="4"/>
    </row>
    <row r="503" spans="1:3" x14ac:dyDescent="0.2">
      <c r="A503" s="23"/>
      <c r="C503" s="4"/>
    </row>
    <row r="504" spans="1:3" x14ac:dyDescent="0.2">
      <c r="A504" s="23"/>
      <c r="C504" s="4"/>
    </row>
    <row r="505" spans="1:3" x14ac:dyDescent="0.2">
      <c r="A505" s="23"/>
      <c r="C505" s="4"/>
    </row>
    <row r="506" spans="1:3" x14ac:dyDescent="0.2">
      <c r="A506" s="23"/>
      <c r="C506" s="4"/>
    </row>
    <row r="507" spans="1:3" x14ac:dyDescent="0.2">
      <c r="A507" s="23"/>
      <c r="C507" s="4"/>
    </row>
    <row r="508" spans="1:3" x14ac:dyDescent="0.2">
      <c r="A508" s="23"/>
      <c r="C508" s="4"/>
    </row>
    <row r="509" spans="1:3" x14ac:dyDescent="0.2">
      <c r="A509" s="23"/>
      <c r="C509" s="4"/>
    </row>
    <row r="510" spans="1:3" x14ac:dyDescent="0.2">
      <c r="A510" s="23"/>
      <c r="C510" s="4"/>
    </row>
    <row r="511" spans="1:3" x14ac:dyDescent="0.2">
      <c r="A511" s="23"/>
      <c r="C511" s="4"/>
    </row>
    <row r="512" spans="1:3" x14ac:dyDescent="0.2">
      <c r="A512" s="23"/>
      <c r="C512" s="4"/>
    </row>
    <row r="513" spans="1:3" x14ac:dyDescent="0.2">
      <c r="A513" s="23"/>
      <c r="C513" s="4"/>
    </row>
    <row r="514" spans="1:3" x14ac:dyDescent="0.2">
      <c r="A514" s="23"/>
      <c r="C514" s="4"/>
    </row>
    <row r="515" spans="1:3" x14ac:dyDescent="0.2">
      <c r="A515" s="23"/>
      <c r="C515" s="4"/>
    </row>
    <row r="516" spans="1:3" x14ac:dyDescent="0.2">
      <c r="A516" s="23"/>
      <c r="C516" s="4"/>
    </row>
    <row r="517" spans="1:3" x14ac:dyDescent="0.2">
      <c r="A517" s="23"/>
      <c r="C517" s="4"/>
    </row>
    <row r="518" spans="1:3" x14ac:dyDescent="0.2">
      <c r="A518" s="23"/>
      <c r="C518" s="4"/>
    </row>
    <row r="519" spans="1:3" x14ac:dyDescent="0.2">
      <c r="A519" s="23"/>
      <c r="C519" s="4"/>
    </row>
    <row r="520" spans="1:3" x14ac:dyDescent="0.2">
      <c r="A520" s="23"/>
      <c r="C520" s="4"/>
    </row>
    <row r="521" spans="1:3" x14ac:dyDescent="0.2">
      <c r="A521" s="23"/>
      <c r="C521" s="4"/>
    </row>
    <row r="522" spans="1:3" x14ac:dyDescent="0.2">
      <c r="A522" s="23"/>
      <c r="C522" s="4"/>
    </row>
    <row r="523" spans="1:3" x14ac:dyDescent="0.2">
      <c r="A523" s="23"/>
      <c r="C523" s="4"/>
    </row>
    <row r="524" spans="1:3" x14ac:dyDescent="0.2">
      <c r="A524" s="23"/>
      <c r="C524" s="4"/>
    </row>
    <row r="525" spans="1:3" x14ac:dyDescent="0.2">
      <c r="A525" s="23"/>
      <c r="C525" s="4"/>
    </row>
    <row r="526" spans="1:3" x14ac:dyDescent="0.2">
      <c r="A526" s="23"/>
      <c r="C526" s="4"/>
    </row>
    <row r="527" spans="1:3" x14ac:dyDescent="0.2">
      <c r="A527" s="23"/>
      <c r="C527" s="4"/>
    </row>
    <row r="528" spans="1:3" x14ac:dyDescent="0.2">
      <c r="A528" s="23"/>
      <c r="C528" s="4"/>
    </row>
    <row r="529" spans="1:3" x14ac:dyDescent="0.2">
      <c r="A529" s="23"/>
      <c r="C529" s="4"/>
    </row>
    <row r="530" spans="1:3" x14ac:dyDescent="0.2">
      <c r="A530" s="23"/>
      <c r="C530" s="4"/>
    </row>
    <row r="531" spans="1:3" x14ac:dyDescent="0.2">
      <c r="A531" s="23"/>
      <c r="C531" s="4"/>
    </row>
    <row r="532" spans="1:3" x14ac:dyDescent="0.2">
      <c r="A532" s="23"/>
      <c r="C532" s="4"/>
    </row>
    <row r="533" spans="1:3" x14ac:dyDescent="0.2">
      <c r="A533" s="23"/>
      <c r="C533" s="4"/>
    </row>
    <row r="534" spans="1:3" x14ac:dyDescent="0.2">
      <c r="A534" s="23"/>
      <c r="C534" s="4"/>
    </row>
    <row r="535" spans="1:3" x14ac:dyDescent="0.2">
      <c r="A535" s="23"/>
      <c r="C535" s="4"/>
    </row>
    <row r="536" spans="1:3" x14ac:dyDescent="0.2">
      <c r="A536" s="23"/>
      <c r="C536" s="4"/>
    </row>
    <row r="537" spans="1:3" x14ac:dyDescent="0.2">
      <c r="A537" s="23"/>
      <c r="C537" s="4"/>
    </row>
    <row r="538" spans="1:3" x14ac:dyDescent="0.2">
      <c r="A538" s="23"/>
      <c r="C538" s="4"/>
    </row>
    <row r="539" spans="1:3" x14ac:dyDescent="0.2">
      <c r="A539" s="23"/>
      <c r="C539" s="4"/>
    </row>
    <row r="540" spans="1:3" x14ac:dyDescent="0.2">
      <c r="A540" s="23"/>
      <c r="C540" s="4"/>
    </row>
    <row r="541" spans="1:3" x14ac:dyDescent="0.2">
      <c r="A541" s="23"/>
      <c r="C541" s="4"/>
    </row>
    <row r="542" spans="1:3" x14ac:dyDescent="0.2">
      <c r="A542" s="23"/>
      <c r="C542" s="4"/>
    </row>
    <row r="543" spans="1:3" x14ac:dyDescent="0.2">
      <c r="A543" s="23"/>
      <c r="C543" s="4"/>
    </row>
    <row r="544" spans="1:3" x14ac:dyDescent="0.2">
      <c r="A544" s="23"/>
      <c r="C544" s="4"/>
    </row>
    <row r="545" spans="1:3" x14ac:dyDescent="0.2">
      <c r="A545" s="23"/>
      <c r="C545" s="4"/>
    </row>
    <row r="546" spans="1:3" x14ac:dyDescent="0.2">
      <c r="A546" s="23"/>
      <c r="C546" s="4"/>
    </row>
    <row r="547" spans="1:3" x14ac:dyDescent="0.2">
      <c r="A547" s="23"/>
      <c r="C547" s="4"/>
    </row>
    <row r="548" spans="1:3" x14ac:dyDescent="0.2">
      <c r="A548" s="23"/>
      <c r="C548" s="4"/>
    </row>
    <row r="549" spans="1:3" x14ac:dyDescent="0.2">
      <c r="A549" s="23"/>
      <c r="C549" s="4"/>
    </row>
    <row r="550" spans="1:3" x14ac:dyDescent="0.2">
      <c r="A550" s="23"/>
      <c r="C550" s="4"/>
    </row>
    <row r="551" spans="1:3" x14ac:dyDescent="0.2">
      <c r="A551" s="23"/>
      <c r="C551" s="4"/>
    </row>
    <row r="552" spans="1:3" x14ac:dyDescent="0.2">
      <c r="A552" s="23"/>
      <c r="C552" s="4"/>
    </row>
    <row r="553" spans="1:3" x14ac:dyDescent="0.2">
      <c r="A553" s="23"/>
      <c r="C553" s="4"/>
    </row>
    <row r="554" spans="1:3" x14ac:dyDescent="0.2">
      <c r="A554" s="23"/>
      <c r="C554" s="4"/>
    </row>
    <row r="555" spans="1:3" x14ac:dyDescent="0.2">
      <c r="A555" s="23"/>
      <c r="C555" s="4"/>
    </row>
    <row r="556" spans="1:3" x14ac:dyDescent="0.2">
      <c r="A556" s="23"/>
      <c r="C556" s="4"/>
    </row>
    <row r="557" spans="1:3" x14ac:dyDescent="0.2">
      <c r="A557" s="23"/>
      <c r="C557" s="4"/>
    </row>
    <row r="558" spans="1:3" x14ac:dyDescent="0.2">
      <c r="A558" s="23"/>
      <c r="C558" s="4"/>
    </row>
    <row r="559" spans="1:3" x14ac:dyDescent="0.2">
      <c r="A559" s="23"/>
      <c r="C559" s="4"/>
    </row>
    <row r="560" spans="1:3" x14ac:dyDescent="0.2">
      <c r="A560" s="23"/>
      <c r="C560" s="4"/>
    </row>
    <row r="561" spans="1:3" x14ac:dyDescent="0.2">
      <c r="A561" s="23"/>
      <c r="C561" s="4"/>
    </row>
    <row r="562" spans="1:3" x14ac:dyDescent="0.2">
      <c r="A562" s="23"/>
      <c r="C562" s="4"/>
    </row>
    <row r="563" spans="1:3" x14ac:dyDescent="0.2">
      <c r="A563" s="23"/>
      <c r="C563" s="4"/>
    </row>
    <row r="564" spans="1:3" x14ac:dyDescent="0.2">
      <c r="A564" s="23"/>
      <c r="C564" s="4"/>
    </row>
    <row r="565" spans="1:3" x14ac:dyDescent="0.2">
      <c r="A565" s="23"/>
      <c r="C565" s="4"/>
    </row>
    <row r="566" spans="1:3" x14ac:dyDescent="0.2">
      <c r="A566" s="23"/>
      <c r="C566" s="4"/>
    </row>
    <row r="567" spans="1:3" x14ac:dyDescent="0.2">
      <c r="A567" s="23"/>
      <c r="C567" s="4"/>
    </row>
    <row r="568" spans="1:3" x14ac:dyDescent="0.2">
      <c r="A568" s="23"/>
      <c r="C568" s="4"/>
    </row>
    <row r="569" spans="1:3" x14ac:dyDescent="0.2">
      <c r="A569" s="23"/>
      <c r="C569" s="4"/>
    </row>
    <row r="570" spans="1:3" x14ac:dyDescent="0.2">
      <c r="A570" s="23"/>
      <c r="C570" s="4"/>
    </row>
    <row r="571" spans="1:3" x14ac:dyDescent="0.2">
      <c r="A571" s="23"/>
      <c r="C571" s="4"/>
    </row>
    <row r="572" spans="1:3" x14ac:dyDescent="0.2">
      <c r="A572" s="23"/>
      <c r="C572" s="4"/>
    </row>
    <row r="573" spans="1:3" x14ac:dyDescent="0.2">
      <c r="A573" s="23"/>
      <c r="C573" s="4"/>
    </row>
    <row r="574" spans="1:3" x14ac:dyDescent="0.2">
      <c r="A574" s="23"/>
      <c r="C574" s="4"/>
    </row>
    <row r="575" spans="1:3" x14ac:dyDescent="0.2">
      <c r="A575" s="23"/>
      <c r="C575" s="4"/>
    </row>
    <row r="576" spans="1:3" x14ac:dyDescent="0.2">
      <c r="A576" s="23"/>
      <c r="C576" s="4"/>
    </row>
    <row r="577" spans="1:3" x14ac:dyDescent="0.2">
      <c r="A577" s="23"/>
      <c r="C577" s="4"/>
    </row>
    <row r="578" spans="1:3" x14ac:dyDescent="0.2">
      <c r="A578" s="23"/>
      <c r="C578" s="4"/>
    </row>
    <row r="579" spans="1:3" x14ac:dyDescent="0.2">
      <c r="A579" s="23"/>
      <c r="C579" s="4"/>
    </row>
    <row r="580" spans="1:3" x14ac:dyDescent="0.2">
      <c r="A580" s="23"/>
      <c r="C580" s="4"/>
    </row>
    <row r="581" spans="1:3" x14ac:dyDescent="0.2">
      <c r="A581" s="23"/>
      <c r="C581" s="4"/>
    </row>
    <row r="582" spans="1:3" x14ac:dyDescent="0.2">
      <c r="A582" s="23"/>
      <c r="C582" s="4"/>
    </row>
    <row r="583" spans="1:3" x14ac:dyDescent="0.2">
      <c r="A583" s="23"/>
      <c r="C583" s="4"/>
    </row>
    <row r="584" spans="1:3" x14ac:dyDescent="0.2">
      <c r="A584" s="23"/>
      <c r="C584" s="4"/>
    </row>
    <row r="585" spans="1:3" x14ac:dyDescent="0.2">
      <c r="A585" s="23"/>
      <c r="C585" s="4"/>
    </row>
    <row r="586" spans="1:3" x14ac:dyDescent="0.2">
      <c r="A586" s="23"/>
      <c r="C586" s="4"/>
    </row>
    <row r="587" spans="1:3" x14ac:dyDescent="0.2">
      <c r="A587" s="23"/>
      <c r="C587" s="4"/>
    </row>
    <row r="588" spans="1:3" x14ac:dyDescent="0.2">
      <c r="A588" s="23"/>
      <c r="C588" s="4"/>
    </row>
    <row r="589" spans="1:3" x14ac:dyDescent="0.2">
      <c r="A589" s="23"/>
      <c r="C589" s="4"/>
    </row>
    <row r="590" spans="1:3" x14ac:dyDescent="0.2">
      <c r="A590" s="23"/>
      <c r="C590" s="4"/>
    </row>
    <row r="591" spans="1:3" x14ac:dyDescent="0.2">
      <c r="A591" s="23"/>
      <c r="C591" s="4"/>
    </row>
    <row r="592" spans="1:3" x14ac:dyDescent="0.2">
      <c r="A592" s="23"/>
      <c r="C592" s="4"/>
    </row>
    <row r="593" spans="1:3" x14ac:dyDescent="0.2">
      <c r="A593" s="23"/>
      <c r="C593" s="4"/>
    </row>
    <row r="594" spans="1:3" x14ac:dyDescent="0.2">
      <c r="A594" s="23"/>
      <c r="C594" s="4"/>
    </row>
    <row r="595" spans="1:3" x14ac:dyDescent="0.2">
      <c r="A595" s="23"/>
      <c r="C595" s="4"/>
    </row>
    <row r="596" spans="1:3" x14ac:dyDescent="0.2">
      <c r="A596" s="23"/>
      <c r="C596" s="4"/>
    </row>
    <row r="597" spans="1:3" x14ac:dyDescent="0.2">
      <c r="A597" s="23"/>
      <c r="C597" s="4"/>
    </row>
    <row r="598" spans="1:3" x14ac:dyDescent="0.2">
      <c r="A598" s="23"/>
      <c r="C598" s="4"/>
    </row>
    <row r="599" spans="1:3" x14ac:dyDescent="0.2">
      <c r="A599" s="23"/>
      <c r="C599" s="4"/>
    </row>
    <row r="600" spans="1:3" x14ac:dyDescent="0.2">
      <c r="A600" s="23"/>
      <c r="C600" s="4"/>
    </row>
    <row r="601" spans="1:3" x14ac:dyDescent="0.2">
      <c r="A601" s="23"/>
      <c r="C601" s="4"/>
    </row>
    <row r="602" spans="1:3" x14ac:dyDescent="0.2">
      <c r="A602" s="23"/>
      <c r="C602" s="4"/>
    </row>
    <row r="603" spans="1:3" x14ac:dyDescent="0.2">
      <c r="A603" s="23"/>
      <c r="C603" s="4"/>
    </row>
    <row r="604" spans="1:3" x14ac:dyDescent="0.2">
      <c r="A604" s="23"/>
      <c r="C604" s="4"/>
    </row>
    <row r="605" spans="1:3" x14ac:dyDescent="0.2">
      <c r="A605" s="23"/>
      <c r="C605" s="4"/>
    </row>
    <row r="606" spans="1:3" x14ac:dyDescent="0.2">
      <c r="A606" s="23"/>
      <c r="C606" s="4"/>
    </row>
    <row r="607" spans="1:3" x14ac:dyDescent="0.2">
      <c r="A607" s="23"/>
      <c r="C607" s="4"/>
    </row>
    <row r="608" spans="1:3" x14ac:dyDescent="0.2">
      <c r="A608" s="23"/>
      <c r="C608" s="4"/>
    </row>
    <row r="609" spans="1:3" x14ac:dyDescent="0.2">
      <c r="A609" s="23"/>
      <c r="C609" s="4"/>
    </row>
    <row r="610" spans="1:3" x14ac:dyDescent="0.2">
      <c r="A610" s="23"/>
      <c r="C610" s="4"/>
    </row>
    <row r="611" spans="1:3" x14ac:dyDescent="0.2">
      <c r="A611" s="23"/>
      <c r="C611" s="4"/>
    </row>
    <row r="612" spans="1:3" x14ac:dyDescent="0.2">
      <c r="A612" s="23"/>
      <c r="C612" s="4"/>
    </row>
    <row r="613" spans="1:3" x14ac:dyDescent="0.2">
      <c r="A613" s="23"/>
      <c r="C613" s="4"/>
    </row>
    <row r="614" spans="1:3" x14ac:dyDescent="0.2">
      <c r="A614" s="23"/>
      <c r="C614" s="4"/>
    </row>
    <row r="615" spans="1:3" x14ac:dyDescent="0.2">
      <c r="A615" s="23"/>
      <c r="C615" s="4"/>
    </row>
    <row r="616" spans="1:3" x14ac:dyDescent="0.2">
      <c r="A616" s="23"/>
      <c r="C616" s="4"/>
    </row>
    <row r="617" spans="1:3" x14ac:dyDescent="0.2">
      <c r="A617" s="23"/>
      <c r="C617" s="4"/>
    </row>
    <row r="618" spans="1:3" x14ac:dyDescent="0.2">
      <c r="A618" s="23"/>
      <c r="C618" s="4"/>
    </row>
    <row r="619" spans="1:3" x14ac:dyDescent="0.2">
      <c r="A619" s="23"/>
      <c r="C619" s="4"/>
    </row>
    <row r="620" spans="1:3" x14ac:dyDescent="0.2">
      <c r="A620" s="23"/>
      <c r="C620" s="4"/>
    </row>
    <row r="621" spans="1:3" x14ac:dyDescent="0.2">
      <c r="A621" s="23"/>
      <c r="C621" s="4"/>
    </row>
    <row r="622" spans="1:3" x14ac:dyDescent="0.2">
      <c r="A622" s="23"/>
      <c r="C622" s="4"/>
    </row>
    <row r="623" spans="1:3" x14ac:dyDescent="0.2">
      <c r="A623" s="23"/>
      <c r="C623" s="4"/>
    </row>
    <row r="624" spans="1:3" x14ac:dyDescent="0.2">
      <c r="A624" s="23"/>
      <c r="C624" s="4"/>
    </row>
    <row r="625" spans="1:3" x14ac:dyDescent="0.2">
      <c r="A625" s="23"/>
      <c r="C625" s="4"/>
    </row>
    <row r="626" spans="1:3" x14ac:dyDescent="0.2">
      <c r="A626" s="23"/>
      <c r="C626" s="4"/>
    </row>
    <row r="627" spans="1:3" x14ac:dyDescent="0.2">
      <c r="A627" s="23"/>
      <c r="C627" s="4"/>
    </row>
    <row r="628" spans="1:3" x14ac:dyDescent="0.2">
      <c r="A628" s="23"/>
      <c r="C628" s="4"/>
    </row>
    <row r="629" spans="1:3" x14ac:dyDescent="0.2">
      <c r="A629" s="23"/>
      <c r="C629" s="4"/>
    </row>
    <row r="630" spans="1:3" x14ac:dyDescent="0.2">
      <c r="A630" s="23"/>
      <c r="C630" s="4"/>
    </row>
    <row r="631" spans="1:3" x14ac:dyDescent="0.2">
      <c r="A631" s="23"/>
      <c r="C631" s="4"/>
    </row>
    <row r="632" spans="1:3" x14ac:dyDescent="0.2">
      <c r="A632" s="23"/>
      <c r="C632" s="4"/>
    </row>
    <row r="633" spans="1:3" x14ac:dyDescent="0.2">
      <c r="A633" s="23"/>
      <c r="C633" s="4"/>
    </row>
    <row r="634" spans="1:3" x14ac:dyDescent="0.2">
      <c r="A634" s="23"/>
      <c r="C634" s="4"/>
    </row>
    <row r="635" spans="1:3" x14ac:dyDescent="0.2">
      <c r="A635" s="23"/>
      <c r="C635" s="4"/>
    </row>
    <row r="636" spans="1:3" x14ac:dyDescent="0.2">
      <c r="A636" s="23"/>
      <c r="C636" s="4"/>
    </row>
    <row r="637" spans="1:3" x14ac:dyDescent="0.2">
      <c r="A637" s="23"/>
      <c r="C637" s="4"/>
    </row>
    <row r="638" spans="1:3" x14ac:dyDescent="0.2">
      <c r="A638" s="23"/>
      <c r="C638" s="4"/>
    </row>
    <row r="639" spans="1:3" x14ac:dyDescent="0.2">
      <c r="A639" s="23"/>
      <c r="C639" s="4"/>
    </row>
    <row r="640" spans="1:3" x14ac:dyDescent="0.2">
      <c r="A640" s="23"/>
      <c r="C640" s="4"/>
    </row>
    <row r="641" spans="1:3" x14ac:dyDescent="0.2">
      <c r="A641" s="23"/>
      <c r="C641" s="4"/>
    </row>
    <row r="642" spans="1:3" x14ac:dyDescent="0.2">
      <c r="A642" s="23"/>
      <c r="C642" s="4"/>
    </row>
    <row r="643" spans="1:3" x14ac:dyDescent="0.2">
      <c r="A643" s="23"/>
      <c r="C643" s="4"/>
    </row>
    <row r="644" spans="1:3" x14ac:dyDescent="0.2">
      <c r="A644" s="23"/>
      <c r="C644" s="4"/>
    </row>
    <row r="645" spans="1:3" x14ac:dyDescent="0.2">
      <c r="A645" s="23"/>
      <c r="C645" s="4"/>
    </row>
    <row r="646" spans="1:3" x14ac:dyDescent="0.2">
      <c r="A646" s="23"/>
      <c r="C646" s="4"/>
    </row>
    <row r="647" spans="1:3" x14ac:dyDescent="0.2">
      <c r="A647" s="23"/>
      <c r="C647" s="4"/>
    </row>
    <row r="648" spans="1:3" x14ac:dyDescent="0.2">
      <c r="A648" s="23"/>
      <c r="C648" s="4"/>
    </row>
    <row r="649" spans="1:3" x14ac:dyDescent="0.2">
      <c r="A649" s="23"/>
      <c r="C649" s="4"/>
    </row>
    <row r="650" spans="1:3" x14ac:dyDescent="0.2">
      <c r="A650" s="23"/>
      <c r="C650" s="4"/>
    </row>
    <row r="651" spans="1:3" x14ac:dyDescent="0.2">
      <c r="A651" s="23"/>
      <c r="C651" s="4"/>
    </row>
    <row r="652" spans="1:3" x14ac:dyDescent="0.2">
      <c r="A652" s="23"/>
      <c r="C652" s="4"/>
    </row>
    <row r="653" spans="1:3" x14ac:dyDescent="0.2">
      <c r="A653" s="23"/>
      <c r="C653" s="4"/>
    </row>
    <row r="654" spans="1:3" x14ac:dyDescent="0.2">
      <c r="A654" s="23"/>
      <c r="C654" s="4"/>
    </row>
    <row r="655" spans="1:3" x14ac:dyDescent="0.2">
      <c r="A655" s="23"/>
      <c r="C655" s="4"/>
    </row>
    <row r="656" spans="1:3" x14ac:dyDescent="0.2">
      <c r="A656" s="23"/>
      <c r="C656" s="4"/>
    </row>
    <row r="657" spans="1:3" x14ac:dyDescent="0.2">
      <c r="A657" s="23"/>
      <c r="C657" s="4"/>
    </row>
    <row r="658" spans="1:3" x14ac:dyDescent="0.2">
      <c r="A658" s="23"/>
      <c r="C658" s="4"/>
    </row>
    <row r="659" spans="1:3" x14ac:dyDescent="0.2">
      <c r="A659" s="23"/>
      <c r="C659" s="4"/>
    </row>
    <row r="660" spans="1:3" x14ac:dyDescent="0.2">
      <c r="A660" s="23"/>
      <c r="C660" s="4"/>
    </row>
    <row r="661" spans="1:3" x14ac:dyDescent="0.2">
      <c r="A661" s="23"/>
      <c r="C661" s="4"/>
    </row>
    <row r="662" spans="1:3" x14ac:dyDescent="0.2">
      <c r="A662" s="23"/>
      <c r="C662" s="4"/>
    </row>
    <row r="663" spans="1:3" x14ac:dyDescent="0.2">
      <c r="A663" s="23"/>
      <c r="C663" s="4"/>
    </row>
    <row r="664" spans="1:3" x14ac:dyDescent="0.2">
      <c r="A664" s="23"/>
      <c r="C664" s="4"/>
    </row>
    <row r="665" spans="1:3" x14ac:dyDescent="0.2">
      <c r="A665" s="23"/>
      <c r="C665" s="4"/>
    </row>
    <row r="666" spans="1:3" x14ac:dyDescent="0.2">
      <c r="A666" s="23"/>
      <c r="C666" s="4"/>
    </row>
    <row r="667" spans="1:3" x14ac:dyDescent="0.2">
      <c r="A667" s="23"/>
      <c r="C667" s="4"/>
    </row>
    <row r="668" spans="1:3" x14ac:dyDescent="0.2">
      <c r="A668" s="23"/>
      <c r="C668" s="4"/>
    </row>
    <row r="669" spans="1:3" x14ac:dyDescent="0.2">
      <c r="A669" s="23"/>
      <c r="C669" s="4"/>
    </row>
    <row r="670" spans="1:3" x14ac:dyDescent="0.2">
      <c r="A670" s="23"/>
      <c r="C670" s="4"/>
    </row>
    <row r="671" spans="1:3" x14ac:dyDescent="0.2">
      <c r="A671" s="23"/>
      <c r="C671" s="4"/>
    </row>
    <row r="672" spans="1:3" x14ac:dyDescent="0.2">
      <c r="A672" s="23"/>
      <c r="C672" s="4"/>
    </row>
    <row r="673" spans="1:3" x14ac:dyDescent="0.2">
      <c r="A673" s="23"/>
      <c r="C673" s="4"/>
    </row>
    <row r="674" spans="1:3" x14ac:dyDescent="0.2">
      <c r="A674" s="23"/>
      <c r="C674" s="4"/>
    </row>
    <row r="675" spans="1:3" x14ac:dyDescent="0.2">
      <c r="A675" s="23"/>
      <c r="C675" s="4"/>
    </row>
    <row r="676" spans="1:3" x14ac:dyDescent="0.2">
      <c r="A676" s="23"/>
      <c r="C676" s="4"/>
    </row>
    <row r="677" spans="1:3" x14ac:dyDescent="0.2">
      <c r="A677" s="23"/>
      <c r="C677" s="4"/>
    </row>
    <row r="678" spans="1:3" x14ac:dyDescent="0.2">
      <c r="A678" s="23"/>
      <c r="C678" s="4"/>
    </row>
    <row r="679" spans="1:3" x14ac:dyDescent="0.2">
      <c r="A679" s="23"/>
      <c r="C679" s="4"/>
    </row>
    <row r="680" spans="1:3" x14ac:dyDescent="0.2">
      <c r="A680" s="23"/>
      <c r="C680" s="4"/>
    </row>
    <row r="681" spans="1:3" x14ac:dyDescent="0.2">
      <c r="A681" s="23"/>
      <c r="C681" s="4"/>
    </row>
    <row r="682" spans="1:3" x14ac:dyDescent="0.2">
      <c r="A682" s="23"/>
      <c r="C682" s="4"/>
    </row>
    <row r="683" spans="1:3" x14ac:dyDescent="0.2">
      <c r="A683" s="23"/>
      <c r="C683" s="4"/>
    </row>
    <row r="684" spans="1:3" x14ac:dyDescent="0.2">
      <c r="A684" s="23"/>
      <c r="C684" s="4"/>
    </row>
    <row r="685" spans="1:3" x14ac:dyDescent="0.2">
      <c r="A685" s="23"/>
      <c r="C685" s="4"/>
    </row>
    <row r="686" spans="1:3" x14ac:dyDescent="0.2">
      <c r="A686" s="23"/>
      <c r="C686" s="4"/>
    </row>
    <row r="687" spans="1:3" x14ac:dyDescent="0.2">
      <c r="A687" s="23"/>
      <c r="C687" s="4"/>
    </row>
    <row r="688" spans="1:3" x14ac:dyDescent="0.2">
      <c r="A688" s="23"/>
      <c r="C688" s="4"/>
    </row>
    <row r="689" spans="1:3" x14ac:dyDescent="0.2">
      <c r="A689" s="23"/>
      <c r="C689" s="4"/>
    </row>
    <row r="690" spans="1:3" x14ac:dyDescent="0.2">
      <c r="A690" s="23"/>
      <c r="C690" s="4"/>
    </row>
    <row r="691" spans="1:3" x14ac:dyDescent="0.2">
      <c r="A691" s="23"/>
      <c r="C691" s="4"/>
    </row>
    <row r="692" spans="1:3" x14ac:dyDescent="0.2">
      <c r="A692" s="23"/>
      <c r="C692" s="4"/>
    </row>
    <row r="693" spans="1:3" x14ac:dyDescent="0.2">
      <c r="A693" s="23"/>
      <c r="C693" s="4"/>
    </row>
    <row r="694" spans="1:3" x14ac:dyDescent="0.2">
      <c r="A694" s="23"/>
      <c r="C694" s="4"/>
    </row>
    <row r="695" spans="1:3" x14ac:dyDescent="0.2">
      <c r="A695" s="23"/>
      <c r="C695" s="4"/>
    </row>
    <row r="696" spans="1:3" x14ac:dyDescent="0.2">
      <c r="A696" s="23"/>
      <c r="C696" s="4"/>
    </row>
    <row r="697" spans="1:3" x14ac:dyDescent="0.2">
      <c r="A697" s="23"/>
      <c r="C697" s="4"/>
    </row>
    <row r="698" spans="1:3" x14ac:dyDescent="0.2">
      <c r="A698" s="23"/>
      <c r="C698" s="4"/>
    </row>
    <row r="699" spans="1:3" x14ac:dyDescent="0.2">
      <c r="A699" s="23"/>
      <c r="C699" s="4"/>
    </row>
    <row r="700" spans="1:3" x14ac:dyDescent="0.2">
      <c r="A700" s="23"/>
      <c r="C700" s="4"/>
    </row>
    <row r="701" spans="1:3" x14ac:dyDescent="0.2">
      <c r="A701" s="23"/>
      <c r="C701" s="4"/>
    </row>
    <row r="702" spans="1:3" x14ac:dyDescent="0.2">
      <c r="A702" s="23"/>
      <c r="C702" s="4"/>
    </row>
    <row r="703" spans="1:3" x14ac:dyDescent="0.2">
      <c r="A703" s="23"/>
      <c r="C703" s="4"/>
    </row>
    <row r="704" spans="1:3" x14ac:dyDescent="0.2">
      <c r="A704" s="23"/>
      <c r="C704" s="4"/>
    </row>
    <row r="705" spans="1:3" x14ac:dyDescent="0.2">
      <c r="A705" s="23"/>
      <c r="C705" s="4"/>
    </row>
    <row r="706" spans="1:3" x14ac:dyDescent="0.2">
      <c r="A706" s="23"/>
      <c r="C706" s="4"/>
    </row>
    <row r="707" spans="1:3" x14ac:dyDescent="0.2">
      <c r="A707" s="23"/>
      <c r="C707" s="4"/>
    </row>
    <row r="708" spans="1:3" x14ac:dyDescent="0.2">
      <c r="A708" s="23"/>
      <c r="C708" s="4"/>
    </row>
    <row r="709" spans="1:3" x14ac:dyDescent="0.2">
      <c r="A709" s="23"/>
      <c r="C709" s="4"/>
    </row>
    <row r="710" spans="1:3" x14ac:dyDescent="0.2">
      <c r="A710" s="23"/>
      <c r="C710" s="4"/>
    </row>
    <row r="711" spans="1:3" x14ac:dyDescent="0.2">
      <c r="A711" s="23"/>
      <c r="C711" s="4"/>
    </row>
    <row r="712" spans="1:3" x14ac:dyDescent="0.2">
      <c r="A712" s="23"/>
      <c r="C712" s="4"/>
    </row>
    <row r="713" spans="1:3" x14ac:dyDescent="0.2">
      <c r="A713" s="23"/>
      <c r="C713" s="4"/>
    </row>
    <row r="714" spans="1:3" x14ac:dyDescent="0.2">
      <c r="A714" s="23"/>
      <c r="C714" s="4"/>
    </row>
    <row r="715" spans="1:3" x14ac:dyDescent="0.2">
      <c r="A715" s="23"/>
      <c r="C715" s="4"/>
    </row>
    <row r="716" spans="1:3" x14ac:dyDescent="0.2">
      <c r="A716" s="23"/>
      <c r="C716" s="4"/>
    </row>
    <row r="717" spans="1:3" x14ac:dyDescent="0.2">
      <c r="A717" s="23"/>
      <c r="C717" s="4"/>
    </row>
    <row r="718" spans="1:3" x14ac:dyDescent="0.2">
      <c r="A718" s="23"/>
      <c r="C718" s="4"/>
    </row>
    <row r="719" spans="1:3" x14ac:dyDescent="0.2">
      <c r="A719" s="23"/>
      <c r="C719" s="4"/>
    </row>
    <row r="720" spans="1:3" x14ac:dyDescent="0.2">
      <c r="A720" s="23"/>
      <c r="C720" s="4"/>
    </row>
    <row r="721" spans="1:3" x14ac:dyDescent="0.2">
      <c r="A721" s="23"/>
      <c r="C721" s="4"/>
    </row>
    <row r="722" spans="1:3" x14ac:dyDescent="0.2">
      <c r="A722" s="23"/>
      <c r="C722" s="4"/>
    </row>
    <row r="723" spans="1:3" x14ac:dyDescent="0.2">
      <c r="A723" s="23"/>
      <c r="C723" s="4"/>
    </row>
    <row r="724" spans="1:3" x14ac:dyDescent="0.2">
      <c r="A724" s="23"/>
      <c r="C724" s="4"/>
    </row>
    <row r="725" spans="1:3" x14ac:dyDescent="0.2">
      <c r="A725" s="23"/>
      <c r="C725" s="4"/>
    </row>
    <row r="726" spans="1:3" x14ac:dyDescent="0.2">
      <c r="A726" s="23"/>
      <c r="C726" s="4"/>
    </row>
    <row r="727" spans="1:3" x14ac:dyDescent="0.2">
      <c r="A727" s="23"/>
      <c r="C727" s="4"/>
    </row>
    <row r="728" spans="1:3" x14ac:dyDescent="0.2">
      <c r="A728" s="23"/>
      <c r="C728" s="4"/>
    </row>
    <row r="729" spans="1:3" x14ac:dyDescent="0.2">
      <c r="A729" s="23"/>
      <c r="C729" s="4"/>
    </row>
    <row r="730" spans="1:3" x14ac:dyDescent="0.2">
      <c r="A730" s="23"/>
      <c r="C730" s="4"/>
    </row>
    <row r="731" spans="1:3" x14ac:dyDescent="0.2">
      <c r="A731" s="23"/>
      <c r="C731" s="4"/>
    </row>
    <row r="732" spans="1:3" x14ac:dyDescent="0.2">
      <c r="A732" s="23"/>
      <c r="C732" s="4"/>
    </row>
    <row r="733" spans="1:3" x14ac:dyDescent="0.2">
      <c r="A733" s="23"/>
      <c r="C733" s="4"/>
    </row>
    <row r="734" spans="1:3" x14ac:dyDescent="0.2">
      <c r="A734" s="23"/>
      <c r="C734" s="4"/>
    </row>
    <row r="735" spans="1:3" x14ac:dyDescent="0.2">
      <c r="A735" s="23"/>
      <c r="C735" s="4"/>
    </row>
    <row r="736" spans="1:3" x14ac:dyDescent="0.2">
      <c r="A736" s="23"/>
      <c r="C736" s="4"/>
    </row>
    <row r="737" spans="1:3" x14ac:dyDescent="0.2">
      <c r="A737" s="23"/>
      <c r="C737" s="4"/>
    </row>
    <row r="738" spans="1:3" x14ac:dyDescent="0.2">
      <c r="A738" s="23"/>
      <c r="C738" s="4"/>
    </row>
    <row r="739" spans="1:3" x14ac:dyDescent="0.2">
      <c r="A739" s="23"/>
      <c r="C739" s="4"/>
    </row>
    <row r="740" spans="1:3" x14ac:dyDescent="0.2">
      <c r="A740" s="23"/>
      <c r="C740" s="4"/>
    </row>
    <row r="741" spans="1:3" x14ac:dyDescent="0.2">
      <c r="A741" s="23"/>
      <c r="C741" s="4"/>
    </row>
    <row r="742" spans="1:3" x14ac:dyDescent="0.2">
      <c r="A742" s="23"/>
      <c r="C742" s="4"/>
    </row>
    <row r="743" spans="1:3" x14ac:dyDescent="0.2">
      <c r="A743" s="23"/>
      <c r="C743" s="4"/>
    </row>
    <row r="744" spans="1:3" x14ac:dyDescent="0.2">
      <c r="A744" s="23"/>
      <c r="C744" s="4"/>
    </row>
    <row r="745" spans="1:3" x14ac:dyDescent="0.2">
      <c r="A745" s="23"/>
      <c r="C745" s="4"/>
    </row>
    <row r="746" spans="1:3" x14ac:dyDescent="0.2">
      <c r="A746" s="23"/>
      <c r="C746" s="4"/>
    </row>
    <row r="747" spans="1:3" x14ac:dyDescent="0.2">
      <c r="A747" s="23"/>
      <c r="C747" s="4"/>
    </row>
    <row r="748" spans="1:3" x14ac:dyDescent="0.2">
      <c r="A748" s="23"/>
      <c r="C748" s="4"/>
    </row>
    <row r="749" spans="1:3" x14ac:dyDescent="0.2">
      <c r="A749" s="23"/>
      <c r="C749" s="4"/>
    </row>
    <row r="750" spans="1:3" x14ac:dyDescent="0.2">
      <c r="A750" s="23"/>
      <c r="C750" s="4"/>
    </row>
    <row r="751" spans="1:3" x14ac:dyDescent="0.2">
      <c r="A751" s="23"/>
      <c r="C751" s="4"/>
    </row>
    <row r="752" spans="1:3" x14ac:dyDescent="0.2">
      <c r="A752" s="23"/>
      <c r="C752" s="4"/>
    </row>
    <row r="753" spans="1:3" x14ac:dyDescent="0.2">
      <c r="A753" s="23"/>
      <c r="C753" s="4"/>
    </row>
    <row r="754" spans="1:3" x14ac:dyDescent="0.2">
      <c r="A754" s="23"/>
      <c r="C754" s="4"/>
    </row>
    <row r="755" spans="1:3" x14ac:dyDescent="0.2">
      <c r="A755" s="23"/>
      <c r="C755" s="4"/>
    </row>
    <row r="756" spans="1:3" x14ac:dyDescent="0.2">
      <c r="A756" s="23"/>
      <c r="C756" s="4"/>
    </row>
    <row r="757" spans="1:3" x14ac:dyDescent="0.2">
      <c r="A757" s="23"/>
      <c r="C757" s="4"/>
    </row>
    <row r="758" spans="1:3" x14ac:dyDescent="0.2">
      <c r="A758" s="23"/>
      <c r="C758" s="4"/>
    </row>
    <row r="759" spans="1:3" x14ac:dyDescent="0.2">
      <c r="A759" s="23"/>
      <c r="C759" s="4"/>
    </row>
    <row r="760" spans="1:3" x14ac:dyDescent="0.2">
      <c r="A760" s="23"/>
      <c r="C760" s="4"/>
    </row>
    <row r="761" spans="1:3" x14ac:dyDescent="0.2">
      <c r="A761" s="23"/>
      <c r="C761" s="4"/>
    </row>
    <row r="762" spans="1:3" x14ac:dyDescent="0.2">
      <c r="A762" s="23"/>
      <c r="C762" s="4"/>
    </row>
    <row r="763" spans="1:3" x14ac:dyDescent="0.2">
      <c r="A763" s="23"/>
      <c r="C763" s="4"/>
    </row>
    <row r="764" spans="1:3" x14ac:dyDescent="0.2">
      <c r="A764" s="23"/>
      <c r="C764" s="4"/>
    </row>
    <row r="765" spans="1:3" x14ac:dyDescent="0.2">
      <c r="A765" s="23"/>
      <c r="C765" s="4"/>
    </row>
    <row r="766" spans="1:3" x14ac:dyDescent="0.2">
      <c r="A766" s="23"/>
      <c r="C766" s="4"/>
    </row>
    <row r="767" spans="1:3" x14ac:dyDescent="0.2">
      <c r="A767" s="23"/>
      <c r="C767" s="4"/>
    </row>
    <row r="768" spans="1:3" x14ac:dyDescent="0.2">
      <c r="A768" s="23"/>
      <c r="C768" s="4"/>
    </row>
    <row r="769" spans="1:3" x14ac:dyDescent="0.2">
      <c r="A769" s="23"/>
      <c r="C769" s="4"/>
    </row>
    <row r="770" spans="1:3" x14ac:dyDescent="0.2">
      <c r="A770" s="23"/>
      <c r="C770" s="4"/>
    </row>
    <row r="771" spans="1:3" x14ac:dyDescent="0.2">
      <c r="A771" s="23"/>
      <c r="C771" s="4"/>
    </row>
    <row r="772" spans="1:3" x14ac:dyDescent="0.2">
      <c r="A772" s="23"/>
      <c r="C772" s="4"/>
    </row>
    <row r="773" spans="1:3" x14ac:dyDescent="0.2">
      <c r="A773" s="23"/>
      <c r="C773" s="4"/>
    </row>
    <row r="774" spans="1:3" x14ac:dyDescent="0.2">
      <c r="A774" s="23"/>
      <c r="C774" s="4"/>
    </row>
    <row r="775" spans="1:3" x14ac:dyDescent="0.2">
      <c r="A775" s="23"/>
      <c r="C775" s="4"/>
    </row>
    <row r="776" spans="1:3" x14ac:dyDescent="0.2">
      <c r="A776" s="23"/>
      <c r="C776" s="4"/>
    </row>
    <row r="777" spans="1:3" x14ac:dyDescent="0.2">
      <c r="A777" s="23"/>
      <c r="C777" s="4"/>
    </row>
    <row r="778" spans="1:3" x14ac:dyDescent="0.2">
      <c r="A778" s="23"/>
      <c r="C778" s="4"/>
    </row>
    <row r="779" spans="1:3" x14ac:dyDescent="0.2">
      <c r="A779" s="23"/>
      <c r="C779" s="4"/>
    </row>
    <row r="780" spans="1:3" x14ac:dyDescent="0.2">
      <c r="A780" s="23"/>
      <c r="C780" s="4"/>
    </row>
    <row r="781" spans="1:3" x14ac:dyDescent="0.2">
      <c r="A781" s="23"/>
      <c r="C781" s="4"/>
    </row>
    <row r="782" spans="1:3" x14ac:dyDescent="0.2">
      <c r="A782" s="23"/>
      <c r="C782" s="4"/>
    </row>
    <row r="783" spans="1:3" x14ac:dyDescent="0.2">
      <c r="A783" s="23"/>
      <c r="C783" s="4"/>
    </row>
    <row r="784" spans="1:3" x14ac:dyDescent="0.2">
      <c r="A784" s="23"/>
      <c r="C784" s="4"/>
    </row>
    <row r="785" spans="1:3" x14ac:dyDescent="0.2">
      <c r="A785" s="23"/>
      <c r="C785" s="4"/>
    </row>
    <row r="786" spans="1:3" x14ac:dyDescent="0.2">
      <c r="A786" s="23"/>
      <c r="C786" s="4"/>
    </row>
    <row r="787" spans="1:3" x14ac:dyDescent="0.2">
      <c r="A787" s="23"/>
      <c r="C787" s="4"/>
    </row>
    <row r="788" spans="1:3" x14ac:dyDescent="0.2">
      <c r="A788" s="23"/>
      <c r="C788" s="4"/>
    </row>
    <row r="789" spans="1:3" x14ac:dyDescent="0.2">
      <c r="A789" s="23"/>
      <c r="C789" s="4"/>
    </row>
    <row r="790" spans="1:3" x14ac:dyDescent="0.2">
      <c r="A790" s="23"/>
      <c r="C790" s="4"/>
    </row>
    <row r="791" spans="1:3" x14ac:dyDescent="0.2">
      <c r="A791" s="23"/>
      <c r="C791" s="4"/>
    </row>
    <row r="792" spans="1:3" x14ac:dyDescent="0.2">
      <c r="A792" s="23"/>
      <c r="C792" s="4"/>
    </row>
    <row r="793" spans="1:3" x14ac:dyDescent="0.2">
      <c r="A793" s="23"/>
      <c r="C793" s="4"/>
    </row>
    <row r="794" spans="1:3" x14ac:dyDescent="0.2">
      <c r="A794" s="23"/>
      <c r="C794" s="4"/>
    </row>
    <row r="795" spans="1:3" x14ac:dyDescent="0.2">
      <c r="A795" s="23"/>
      <c r="C795" s="4"/>
    </row>
    <row r="796" spans="1:3" x14ac:dyDescent="0.2">
      <c r="A796" s="23"/>
      <c r="C796" s="4"/>
    </row>
    <row r="797" spans="1:3" x14ac:dyDescent="0.2">
      <c r="A797" s="23"/>
      <c r="C797" s="4"/>
    </row>
    <row r="798" spans="1:3" x14ac:dyDescent="0.2">
      <c r="A798" s="23"/>
      <c r="C798" s="4"/>
    </row>
    <row r="799" spans="1:3" x14ac:dyDescent="0.2">
      <c r="A799" s="23"/>
      <c r="C799" s="4"/>
    </row>
    <row r="800" spans="1:3" x14ac:dyDescent="0.2">
      <c r="A800" s="23"/>
      <c r="C800" s="4"/>
    </row>
    <row r="801" spans="1:3" x14ac:dyDescent="0.2">
      <c r="A801" s="23"/>
      <c r="C801" s="4"/>
    </row>
    <row r="802" spans="1:3" x14ac:dyDescent="0.2">
      <c r="A802" s="23"/>
      <c r="C802" s="4"/>
    </row>
    <row r="803" spans="1:3" x14ac:dyDescent="0.2">
      <c r="A803" s="23"/>
      <c r="C803" s="4"/>
    </row>
    <row r="804" spans="1:3" x14ac:dyDescent="0.2">
      <c r="A804" s="23"/>
      <c r="C804" s="4"/>
    </row>
    <row r="805" spans="1:3" x14ac:dyDescent="0.2">
      <c r="A805" s="23"/>
      <c r="C805" s="4"/>
    </row>
    <row r="806" spans="1:3" x14ac:dyDescent="0.2">
      <c r="A806" s="23"/>
      <c r="C806" s="4"/>
    </row>
    <row r="807" spans="1:3" x14ac:dyDescent="0.2">
      <c r="A807" s="23"/>
      <c r="C807" s="4"/>
    </row>
    <row r="808" spans="1:3" x14ac:dyDescent="0.2">
      <c r="A808" s="23"/>
      <c r="C808" s="4"/>
    </row>
    <row r="809" spans="1:3" x14ac:dyDescent="0.2">
      <c r="A809" s="23"/>
      <c r="C809" s="4"/>
    </row>
    <row r="810" spans="1:3" x14ac:dyDescent="0.2">
      <c r="A810" s="23"/>
      <c r="C810" s="4"/>
    </row>
    <row r="811" spans="1:3" x14ac:dyDescent="0.2">
      <c r="A811" s="23"/>
      <c r="C811" s="4"/>
    </row>
    <row r="812" spans="1:3" x14ac:dyDescent="0.2">
      <c r="A812" s="23"/>
      <c r="C812" s="4"/>
    </row>
    <row r="813" spans="1:3" x14ac:dyDescent="0.2">
      <c r="A813" s="23"/>
      <c r="C813" s="4"/>
    </row>
    <row r="814" spans="1:3" x14ac:dyDescent="0.2">
      <c r="A814" s="23"/>
      <c r="C814" s="4"/>
    </row>
    <row r="815" spans="1:3" x14ac:dyDescent="0.2">
      <c r="A815" s="23"/>
      <c r="C815" s="4"/>
    </row>
    <row r="816" spans="1:3" x14ac:dyDescent="0.2">
      <c r="A816" s="23"/>
      <c r="C816" s="4"/>
    </row>
    <row r="817" spans="1:3" x14ac:dyDescent="0.2">
      <c r="A817" s="23"/>
      <c r="C817" s="4"/>
    </row>
    <row r="818" spans="1:3" x14ac:dyDescent="0.2">
      <c r="A818" s="23"/>
      <c r="C818" s="4"/>
    </row>
    <row r="819" spans="1:3" x14ac:dyDescent="0.2">
      <c r="A819" s="23"/>
      <c r="C819" s="4"/>
    </row>
    <row r="820" spans="1:3" x14ac:dyDescent="0.2">
      <c r="A820" s="23"/>
      <c r="C820" s="4"/>
    </row>
    <row r="821" spans="1:3" x14ac:dyDescent="0.2">
      <c r="A821" s="23"/>
      <c r="C821" s="4"/>
    </row>
    <row r="822" spans="1:3" x14ac:dyDescent="0.2">
      <c r="A822" s="23"/>
      <c r="C822" s="4"/>
    </row>
    <row r="823" spans="1:3" x14ac:dyDescent="0.2">
      <c r="A823" s="23"/>
      <c r="C823" s="4"/>
    </row>
    <row r="824" spans="1:3" x14ac:dyDescent="0.2">
      <c r="A824" s="23"/>
      <c r="C824" s="4"/>
    </row>
    <row r="825" spans="1:3" x14ac:dyDescent="0.2">
      <c r="A825" s="23"/>
      <c r="C825" s="4"/>
    </row>
    <row r="826" spans="1:3" x14ac:dyDescent="0.2">
      <c r="A826" s="23"/>
      <c r="C826" s="4"/>
    </row>
    <row r="827" spans="1:3" x14ac:dyDescent="0.2">
      <c r="A827" s="23"/>
      <c r="C827" s="4"/>
    </row>
    <row r="828" spans="1:3" x14ac:dyDescent="0.2">
      <c r="A828" s="23"/>
      <c r="C828" s="4"/>
    </row>
    <row r="829" spans="1:3" x14ac:dyDescent="0.2">
      <c r="A829" s="23"/>
      <c r="C829" s="4"/>
    </row>
    <row r="830" spans="1:3" x14ac:dyDescent="0.2">
      <c r="A830" s="23"/>
      <c r="C830" s="4"/>
    </row>
    <row r="831" spans="1:3" x14ac:dyDescent="0.2">
      <c r="A831" s="23"/>
      <c r="C831" s="4"/>
    </row>
    <row r="832" spans="1:3" x14ac:dyDescent="0.2">
      <c r="A832" s="23"/>
      <c r="C832" s="4"/>
    </row>
    <row r="833" spans="1:3" x14ac:dyDescent="0.2">
      <c r="A833" s="23"/>
      <c r="C833" s="4"/>
    </row>
    <row r="834" spans="1:3" x14ac:dyDescent="0.2">
      <c r="A834" s="23"/>
      <c r="C834" s="4"/>
    </row>
    <row r="835" spans="1:3" x14ac:dyDescent="0.2">
      <c r="A835" s="23"/>
      <c r="C835" s="4"/>
    </row>
    <row r="836" spans="1:3" x14ac:dyDescent="0.2">
      <c r="A836" s="23"/>
      <c r="C836" s="4"/>
    </row>
    <row r="837" spans="1:3" x14ac:dyDescent="0.2">
      <c r="A837" s="23"/>
      <c r="C837" s="4"/>
    </row>
    <row r="838" spans="1:3" x14ac:dyDescent="0.2">
      <c r="A838" s="23"/>
      <c r="C838" s="4"/>
    </row>
    <row r="839" spans="1:3" x14ac:dyDescent="0.2">
      <c r="A839" s="23"/>
      <c r="C839" s="4"/>
    </row>
    <row r="840" spans="1:3" x14ac:dyDescent="0.2">
      <c r="A840" s="23"/>
      <c r="C840" s="4"/>
    </row>
    <row r="841" spans="1:3" x14ac:dyDescent="0.2">
      <c r="A841" s="23"/>
      <c r="C841" s="4"/>
    </row>
    <row r="842" spans="1:3" x14ac:dyDescent="0.2">
      <c r="A842" s="23"/>
      <c r="C842" s="4"/>
    </row>
    <row r="843" spans="1:3" x14ac:dyDescent="0.2">
      <c r="A843" s="23"/>
      <c r="C843" s="4"/>
    </row>
    <row r="844" spans="1:3" x14ac:dyDescent="0.2">
      <c r="A844" s="23"/>
      <c r="C844" s="4"/>
    </row>
    <row r="845" spans="1:3" x14ac:dyDescent="0.2">
      <c r="A845" s="23"/>
      <c r="C845" s="4"/>
    </row>
    <row r="846" spans="1:3" x14ac:dyDescent="0.2">
      <c r="A846" s="23"/>
      <c r="C846" s="4"/>
    </row>
    <row r="847" spans="1:3" x14ac:dyDescent="0.2">
      <c r="A847" s="23"/>
      <c r="C847" s="4"/>
    </row>
    <row r="848" spans="1:3" x14ac:dyDescent="0.2">
      <c r="A848" s="23"/>
      <c r="C848" s="4"/>
    </row>
    <row r="849" spans="1:3" x14ac:dyDescent="0.2">
      <c r="A849" s="23"/>
      <c r="C849" s="4"/>
    </row>
    <row r="850" spans="1:3" x14ac:dyDescent="0.2">
      <c r="A850" s="23"/>
      <c r="C850" s="4"/>
    </row>
    <row r="851" spans="1:3" x14ac:dyDescent="0.2">
      <c r="A851" s="23"/>
      <c r="C851" s="4"/>
    </row>
    <row r="852" spans="1:3" x14ac:dyDescent="0.2">
      <c r="A852" s="23"/>
      <c r="C852" s="4"/>
    </row>
    <row r="853" spans="1:3" x14ac:dyDescent="0.2">
      <c r="A853" s="23"/>
      <c r="C853" s="4"/>
    </row>
    <row r="854" spans="1:3" x14ac:dyDescent="0.2">
      <c r="A854" s="23"/>
      <c r="C854" s="4"/>
    </row>
    <row r="855" spans="1:3" x14ac:dyDescent="0.2">
      <c r="A855" s="23"/>
      <c r="C855" s="4"/>
    </row>
    <row r="856" spans="1:3" x14ac:dyDescent="0.2">
      <c r="A856" s="23"/>
      <c r="C856" s="4"/>
    </row>
    <row r="857" spans="1:3" x14ac:dyDescent="0.2">
      <c r="A857" s="23"/>
      <c r="C857" s="4"/>
    </row>
    <row r="858" spans="1:3" x14ac:dyDescent="0.2">
      <c r="A858" s="23"/>
      <c r="C858" s="4"/>
    </row>
    <row r="859" spans="1:3" x14ac:dyDescent="0.2">
      <c r="A859" s="23"/>
      <c r="C859" s="4"/>
    </row>
    <row r="860" spans="1:3" x14ac:dyDescent="0.2">
      <c r="A860" s="23"/>
      <c r="C860" s="4"/>
    </row>
    <row r="861" spans="1:3" x14ac:dyDescent="0.2">
      <c r="A861" s="23"/>
      <c r="C861" s="4"/>
    </row>
    <row r="862" spans="1:3" x14ac:dyDescent="0.2">
      <c r="A862" s="23"/>
      <c r="C862" s="4"/>
    </row>
    <row r="863" spans="1:3" x14ac:dyDescent="0.2">
      <c r="A863" s="23"/>
      <c r="C863" s="4"/>
    </row>
    <row r="864" spans="1:3" x14ac:dyDescent="0.2">
      <c r="A864" s="23"/>
      <c r="C864" s="4"/>
    </row>
    <row r="865" spans="1:3" x14ac:dyDescent="0.2">
      <c r="A865" s="23"/>
      <c r="C865" s="4"/>
    </row>
    <row r="866" spans="1:3" x14ac:dyDescent="0.2">
      <c r="A866" s="23"/>
      <c r="C866" s="4"/>
    </row>
    <row r="867" spans="1:3" x14ac:dyDescent="0.2">
      <c r="A867" s="23"/>
      <c r="C867" s="4"/>
    </row>
    <row r="868" spans="1:3" x14ac:dyDescent="0.2">
      <c r="A868" s="23"/>
      <c r="C868" s="4"/>
    </row>
    <row r="869" spans="1:3" x14ac:dyDescent="0.2">
      <c r="A869" s="23"/>
      <c r="C869" s="4"/>
    </row>
    <row r="870" spans="1:3" x14ac:dyDescent="0.2">
      <c r="A870" s="23"/>
      <c r="C870" s="4"/>
    </row>
    <row r="871" spans="1:3" x14ac:dyDescent="0.2">
      <c r="A871" s="23"/>
      <c r="C871" s="4"/>
    </row>
    <row r="872" spans="1:3" x14ac:dyDescent="0.2">
      <c r="A872" s="23"/>
      <c r="C872" s="4"/>
    </row>
    <row r="873" spans="1:3" x14ac:dyDescent="0.2">
      <c r="A873" s="23"/>
      <c r="C873" s="4"/>
    </row>
    <row r="874" spans="1:3" x14ac:dyDescent="0.2">
      <c r="A874" s="23"/>
      <c r="C874" s="4"/>
    </row>
    <row r="875" spans="1:3" x14ac:dyDescent="0.2">
      <c r="A875" s="23"/>
      <c r="C875" s="4"/>
    </row>
    <row r="876" spans="1:3" x14ac:dyDescent="0.2">
      <c r="A876" s="23"/>
      <c r="C876" s="4"/>
    </row>
    <row r="877" spans="1:3" x14ac:dyDescent="0.2">
      <c r="A877" s="23"/>
      <c r="C877" s="4"/>
    </row>
    <row r="878" spans="1:3" x14ac:dyDescent="0.2">
      <c r="A878" s="23"/>
      <c r="C878" s="4"/>
    </row>
    <row r="879" spans="1:3" x14ac:dyDescent="0.2">
      <c r="A879" s="23"/>
      <c r="C879" s="4"/>
    </row>
    <row r="880" spans="1:3" x14ac:dyDescent="0.2">
      <c r="A880" s="23"/>
      <c r="C880" s="4"/>
    </row>
    <row r="881" spans="1:3" x14ac:dyDescent="0.2">
      <c r="A881" s="23"/>
      <c r="C881" s="4"/>
    </row>
    <row r="882" spans="1:3" x14ac:dyDescent="0.2">
      <c r="A882" s="23"/>
      <c r="C882" s="4"/>
    </row>
    <row r="883" spans="1:3" x14ac:dyDescent="0.2">
      <c r="A883" s="23"/>
      <c r="C883" s="4"/>
    </row>
    <row r="884" spans="1:3" x14ac:dyDescent="0.2">
      <c r="A884" s="23"/>
      <c r="C884" s="4"/>
    </row>
    <row r="885" spans="1:3" x14ac:dyDescent="0.2">
      <c r="A885" s="23"/>
      <c r="C885" s="4"/>
    </row>
    <row r="886" spans="1:3" x14ac:dyDescent="0.2">
      <c r="A886" s="23"/>
      <c r="C886" s="4"/>
    </row>
    <row r="887" spans="1:3" x14ac:dyDescent="0.2">
      <c r="A887" s="23"/>
      <c r="C887" s="4"/>
    </row>
    <row r="888" spans="1:3" x14ac:dyDescent="0.2">
      <c r="A888" s="23"/>
      <c r="C888" s="4"/>
    </row>
    <row r="889" spans="1:3" x14ac:dyDescent="0.2">
      <c r="A889" s="23"/>
      <c r="C889" s="4"/>
    </row>
    <row r="890" spans="1:3" x14ac:dyDescent="0.2">
      <c r="A890" s="23"/>
      <c r="C890" s="4"/>
    </row>
    <row r="891" spans="1:3" x14ac:dyDescent="0.2">
      <c r="A891" s="23"/>
      <c r="C891" s="4"/>
    </row>
    <row r="892" spans="1:3" x14ac:dyDescent="0.2">
      <c r="A892" s="23"/>
      <c r="C892" s="4"/>
    </row>
    <row r="893" spans="1:3" x14ac:dyDescent="0.2">
      <c r="A893" s="23"/>
      <c r="C893" s="4"/>
    </row>
    <row r="894" spans="1:3" x14ac:dyDescent="0.2">
      <c r="A894" s="23"/>
      <c r="C894" s="4"/>
    </row>
    <row r="895" spans="1:3" x14ac:dyDescent="0.2">
      <c r="A895" s="23"/>
      <c r="C895" s="4"/>
    </row>
    <row r="896" spans="1:3" x14ac:dyDescent="0.2">
      <c r="A896" s="23"/>
      <c r="C896" s="4"/>
    </row>
    <row r="897" spans="1:3" x14ac:dyDescent="0.2">
      <c r="A897" s="23"/>
      <c r="C897" s="4"/>
    </row>
    <row r="898" spans="1:3" x14ac:dyDescent="0.2">
      <c r="A898" s="23"/>
      <c r="C898" s="4"/>
    </row>
    <row r="899" spans="1:3" x14ac:dyDescent="0.2">
      <c r="A899" s="23"/>
      <c r="C899" s="4"/>
    </row>
    <row r="900" spans="1:3" x14ac:dyDescent="0.2">
      <c r="A900" s="23"/>
      <c r="C900" s="4"/>
    </row>
    <row r="901" spans="1:3" x14ac:dyDescent="0.2">
      <c r="A901" s="23"/>
      <c r="C901" s="4"/>
    </row>
    <row r="902" spans="1:3" x14ac:dyDescent="0.2">
      <c r="A902" s="23"/>
      <c r="C902" s="4"/>
    </row>
    <row r="903" spans="1:3" x14ac:dyDescent="0.2">
      <c r="A903" s="23"/>
      <c r="C903" s="4"/>
    </row>
    <row r="904" spans="1:3" x14ac:dyDescent="0.2">
      <c r="A904" s="23"/>
      <c r="C904" s="4"/>
    </row>
    <row r="905" spans="1:3" x14ac:dyDescent="0.2">
      <c r="A905" s="23"/>
      <c r="C905" s="4"/>
    </row>
    <row r="906" spans="1:3" x14ac:dyDescent="0.2">
      <c r="A906" s="23"/>
      <c r="C906" s="4"/>
    </row>
    <row r="907" spans="1:3" x14ac:dyDescent="0.2">
      <c r="A907" s="23"/>
      <c r="C907" s="4"/>
    </row>
    <row r="908" spans="1:3" x14ac:dyDescent="0.2">
      <c r="A908" s="23"/>
      <c r="C908" s="4"/>
    </row>
    <row r="909" spans="1:3" x14ac:dyDescent="0.2">
      <c r="A909" s="23"/>
      <c r="C909" s="4"/>
    </row>
    <row r="910" spans="1:3" x14ac:dyDescent="0.2">
      <c r="A910" s="23"/>
      <c r="C910" s="4"/>
    </row>
    <row r="911" spans="1:3" x14ac:dyDescent="0.2">
      <c r="A911" s="23"/>
      <c r="C911" s="4"/>
    </row>
    <row r="912" spans="1:3" x14ac:dyDescent="0.2">
      <c r="A912" s="23"/>
      <c r="C912" s="4"/>
    </row>
    <row r="913" spans="1:3" x14ac:dyDescent="0.2">
      <c r="A913" s="23"/>
      <c r="C913" s="4"/>
    </row>
    <row r="914" spans="1:3" x14ac:dyDescent="0.2">
      <c r="A914" s="23"/>
      <c r="C914" s="4"/>
    </row>
    <row r="915" spans="1:3" x14ac:dyDescent="0.2">
      <c r="A915" s="23"/>
      <c r="C915" s="4"/>
    </row>
    <row r="916" spans="1:3" x14ac:dyDescent="0.2">
      <c r="A916" s="23"/>
      <c r="C916" s="4"/>
    </row>
    <row r="917" spans="1:3" x14ac:dyDescent="0.2">
      <c r="A917" s="23"/>
      <c r="C917" s="4"/>
    </row>
    <row r="918" spans="1:3" x14ac:dyDescent="0.2">
      <c r="A918" s="23"/>
      <c r="C918" s="4"/>
    </row>
    <row r="919" spans="1:3" x14ac:dyDescent="0.2">
      <c r="A919" s="23"/>
      <c r="C919" s="4"/>
    </row>
    <row r="920" spans="1:3" x14ac:dyDescent="0.2">
      <c r="A920" s="23"/>
      <c r="C920" s="4"/>
    </row>
    <row r="921" spans="1:3" x14ac:dyDescent="0.2">
      <c r="A921" s="23"/>
      <c r="C921" s="4"/>
    </row>
    <row r="922" spans="1:3" x14ac:dyDescent="0.2">
      <c r="A922" s="23"/>
      <c r="C922" s="4"/>
    </row>
    <row r="923" spans="1:3" x14ac:dyDescent="0.2">
      <c r="A923" s="23"/>
      <c r="C923" s="4"/>
    </row>
    <row r="924" spans="1:3" x14ac:dyDescent="0.2">
      <c r="A924" s="23"/>
      <c r="C924" s="4"/>
    </row>
    <row r="925" spans="1:3" x14ac:dyDescent="0.2">
      <c r="A925" s="23"/>
      <c r="C925" s="4"/>
    </row>
    <row r="926" spans="1:3" x14ac:dyDescent="0.2">
      <c r="A926" s="23"/>
      <c r="C926" s="4"/>
    </row>
    <row r="927" spans="1:3" x14ac:dyDescent="0.2">
      <c r="A927" s="23"/>
      <c r="C927" s="4"/>
    </row>
    <row r="928" spans="1:3" x14ac:dyDescent="0.2">
      <c r="A928" s="23"/>
      <c r="C928" s="4"/>
    </row>
    <row r="929" spans="1:3" x14ac:dyDescent="0.2">
      <c r="A929" s="23"/>
      <c r="C929" s="4"/>
    </row>
    <row r="930" spans="1:3" x14ac:dyDescent="0.2">
      <c r="A930" s="23"/>
      <c r="C930" s="4"/>
    </row>
    <row r="931" spans="1:3" x14ac:dyDescent="0.2">
      <c r="A931" s="23"/>
      <c r="C931" s="4"/>
    </row>
    <row r="932" spans="1:3" x14ac:dyDescent="0.2">
      <c r="A932" s="23"/>
      <c r="C932" s="4"/>
    </row>
    <row r="933" spans="1:3" x14ac:dyDescent="0.2">
      <c r="A933" s="23"/>
      <c r="C933" s="4"/>
    </row>
    <row r="934" spans="1:3" x14ac:dyDescent="0.2">
      <c r="A934" s="23"/>
      <c r="C934" s="4"/>
    </row>
    <row r="935" spans="1:3" x14ac:dyDescent="0.2">
      <c r="A935" s="23"/>
      <c r="C935" s="4"/>
    </row>
    <row r="936" spans="1:3" x14ac:dyDescent="0.2">
      <c r="A936" s="23"/>
      <c r="C936" s="4"/>
    </row>
    <row r="937" spans="1:3" x14ac:dyDescent="0.2">
      <c r="A937" s="23"/>
      <c r="C937" s="4"/>
    </row>
    <row r="938" spans="1:3" x14ac:dyDescent="0.2">
      <c r="A938" s="23"/>
      <c r="C938" s="4"/>
    </row>
    <row r="939" spans="1:3" x14ac:dyDescent="0.2">
      <c r="A939" s="23"/>
      <c r="C939" s="4"/>
    </row>
    <row r="940" spans="1:3" x14ac:dyDescent="0.2">
      <c r="A940" s="23"/>
      <c r="C940" s="4"/>
    </row>
    <row r="941" spans="1:3" x14ac:dyDescent="0.2">
      <c r="A941" s="23"/>
      <c r="C941" s="4"/>
    </row>
    <row r="942" spans="1:3" x14ac:dyDescent="0.2">
      <c r="A942" s="23"/>
      <c r="C942" s="4"/>
    </row>
    <row r="943" spans="1:3" x14ac:dyDescent="0.2">
      <c r="A943" s="23"/>
      <c r="C943" s="4"/>
    </row>
    <row r="944" spans="1:3" x14ac:dyDescent="0.2">
      <c r="A944" s="23"/>
      <c r="C944" s="4"/>
    </row>
    <row r="945" spans="1:3" x14ac:dyDescent="0.2">
      <c r="A945" s="23"/>
      <c r="C945" s="4"/>
    </row>
    <row r="946" spans="1:3" x14ac:dyDescent="0.2">
      <c r="A946" s="23"/>
      <c r="C946" s="4"/>
    </row>
    <row r="947" spans="1:3" x14ac:dyDescent="0.2">
      <c r="A947" s="23"/>
      <c r="C947" s="4"/>
    </row>
    <row r="948" spans="1:3" x14ac:dyDescent="0.2">
      <c r="A948" s="23"/>
      <c r="C948" s="4"/>
    </row>
    <row r="949" spans="1:3" x14ac:dyDescent="0.2">
      <c r="A949" s="23"/>
      <c r="C949" s="4"/>
    </row>
    <row r="950" spans="1:3" x14ac:dyDescent="0.2">
      <c r="A950" s="23"/>
      <c r="C950" s="4"/>
    </row>
    <row r="951" spans="1:3" x14ac:dyDescent="0.2">
      <c r="A951" s="23"/>
      <c r="C951" s="4"/>
    </row>
    <row r="952" spans="1:3" x14ac:dyDescent="0.2">
      <c r="A952" s="23"/>
      <c r="C952" s="4"/>
    </row>
    <row r="953" spans="1:3" x14ac:dyDescent="0.2">
      <c r="A953" s="23"/>
      <c r="C953" s="4"/>
    </row>
    <row r="954" spans="1:3" x14ac:dyDescent="0.2">
      <c r="A954" s="23"/>
      <c r="C954" s="4"/>
    </row>
    <row r="955" spans="1:3" x14ac:dyDescent="0.2">
      <c r="A955" s="23"/>
      <c r="C955" s="4"/>
    </row>
    <row r="956" spans="1:3" x14ac:dyDescent="0.2">
      <c r="A956" s="23"/>
      <c r="C956" s="4"/>
    </row>
    <row r="957" spans="1:3" x14ac:dyDescent="0.2">
      <c r="A957" s="23"/>
      <c r="C957" s="4"/>
    </row>
    <row r="958" spans="1:3" x14ac:dyDescent="0.2">
      <c r="A958" s="23"/>
      <c r="C958" s="4"/>
    </row>
    <row r="959" spans="1:3" x14ac:dyDescent="0.2">
      <c r="A959" s="23"/>
      <c r="C959" s="4"/>
    </row>
    <row r="960" spans="1:3" x14ac:dyDescent="0.2">
      <c r="A960" s="23"/>
      <c r="C960" s="4"/>
    </row>
    <row r="961" spans="1:3" x14ac:dyDescent="0.2">
      <c r="A961" s="23"/>
      <c r="C961" s="4"/>
    </row>
    <row r="962" spans="1:3" x14ac:dyDescent="0.2">
      <c r="A962" s="23"/>
      <c r="C962" s="4"/>
    </row>
    <row r="963" spans="1:3" x14ac:dyDescent="0.2">
      <c r="A963" s="23"/>
      <c r="C963" s="4"/>
    </row>
    <row r="964" spans="1:3" x14ac:dyDescent="0.2">
      <c r="A964" s="23"/>
      <c r="C964" s="4"/>
    </row>
    <row r="965" spans="1:3" x14ac:dyDescent="0.2">
      <c r="A965" s="23"/>
      <c r="C965" s="4"/>
    </row>
    <row r="966" spans="1:3" x14ac:dyDescent="0.2">
      <c r="A966" s="23"/>
      <c r="C966" s="4"/>
    </row>
    <row r="967" spans="1:3" x14ac:dyDescent="0.2">
      <c r="A967" s="23"/>
      <c r="C967" s="4"/>
    </row>
    <row r="968" spans="1:3" x14ac:dyDescent="0.2">
      <c r="A968" s="23"/>
      <c r="C968" s="4"/>
    </row>
    <row r="969" spans="1:3" x14ac:dyDescent="0.2">
      <c r="A969" s="23"/>
      <c r="C969" s="4"/>
    </row>
    <row r="970" spans="1:3" x14ac:dyDescent="0.2">
      <c r="A970" s="23"/>
      <c r="C970" s="4"/>
    </row>
    <row r="971" spans="1:3" x14ac:dyDescent="0.2">
      <c r="A971" s="23"/>
      <c r="C971" s="4"/>
    </row>
    <row r="972" spans="1:3" x14ac:dyDescent="0.2">
      <c r="A972" s="23"/>
      <c r="C972" s="4"/>
    </row>
    <row r="973" spans="1:3" x14ac:dyDescent="0.2">
      <c r="A973" s="23"/>
      <c r="C973" s="4"/>
    </row>
    <row r="974" spans="1:3" x14ac:dyDescent="0.2">
      <c r="A974" s="23"/>
      <c r="C974" s="4"/>
    </row>
    <row r="975" spans="1:3" x14ac:dyDescent="0.2">
      <c r="A975" s="23"/>
      <c r="C975" s="4"/>
    </row>
    <row r="976" spans="1:3" x14ac:dyDescent="0.2">
      <c r="A976" s="23"/>
      <c r="C976" s="4"/>
    </row>
    <row r="977" spans="1:3" x14ac:dyDescent="0.2">
      <c r="A977" s="23"/>
      <c r="C977" s="4"/>
    </row>
    <row r="978" spans="1:3" x14ac:dyDescent="0.2">
      <c r="A978" s="23"/>
      <c r="C978" s="4"/>
    </row>
    <row r="979" spans="1:3" x14ac:dyDescent="0.2">
      <c r="A979" s="23"/>
      <c r="C979" s="4"/>
    </row>
    <row r="980" spans="1:3" x14ac:dyDescent="0.2">
      <c r="A980" s="23"/>
      <c r="C980" s="4"/>
    </row>
    <row r="981" spans="1:3" x14ac:dyDescent="0.2">
      <c r="A981" s="23"/>
      <c r="C981" s="4"/>
    </row>
    <row r="982" spans="1:3" x14ac:dyDescent="0.2">
      <c r="A982" s="23"/>
      <c r="C982" s="4"/>
    </row>
    <row r="983" spans="1:3" x14ac:dyDescent="0.2">
      <c r="A983" s="23"/>
      <c r="C983" s="4"/>
    </row>
    <row r="984" spans="1:3" x14ac:dyDescent="0.2">
      <c r="A984" s="23"/>
      <c r="C984" s="4"/>
    </row>
    <row r="985" spans="1:3" x14ac:dyDescent="0.2">
      <c r="A985" s="23"/>
      <c r="C985" s="4"/>
    </row>
    <row r="986" spans="1:3" x14ac:dyDescent="0.2">
      <c r="A986" s="23"/>
      <c r="C986" s="4"/>
    </row>
    <row r="987" spans="1:3" x14ac:dyDescent="0.2">
      <c r="A987" s="23"/>
      <c r="C987" s="4"/>
    </row>
    <row r="988" spans="1:3" x14ac:dyDescent="0.2">
      <c r="A988" s="23"/>
      <c r="C988" s="4"/>
    </row>
    <row r="989" spans="1:3" x14ac:dyDescent="0.2">
      <c r="A989" s="23"/>
      <c r="C989" s="4"/>
    </row>
    <row r="990" spans="1:3" x14ac:dyDescent="0.2">
      <c r="A990" s="23"/>
      <c r="C990" s="4"/>
    </row>
    <row r="991" spans="1:3" x14ac:dyDescent="0.2">
      <c r="A991" s="23"/>
      <c r="C991" s="4"/>
    </row>
    <row r="992" spans="1:3" x14ac:dyDescent="0.2">
      <c r="A992" s="23"/>
      <c r="C992" s="4"/>
    </row>
    <row r="993" spans="1:3" x14ac:dyDescent="0.2">
      <c r="A993" s="23"/>
      <c r="C993" s="4"/>
    </row>
    <row r="994" spans="1:3" x14ac:dyDescent="0.2">
      <c r="A994" s="23"/>
      <c r="C994" s="4"/>
    </row>
    <row r="995" spans="1:3" x14ac:dyDescent="0.2">
      <c r="A995" s="23"/>
      <c r="C995" s="4"/>
    </row>
    <row r="996" spans="1:3" x14ac:dyDescent="0.2">
      <c r="A996" s="23"/>
      <c r="C996" s="4"/>
    </row>
    <row r="997" spans="1:3" x14ac:dyDescent="0.2">
      <c r="A997" s="23"/>
      <c r="C997" s="4"/>
    </row>
    <row r="998" spans="1:3" x14ac:dyDescent="0.2">
      <c r="A998" s="23"/>
      <c r="C998" s="4"/>
    </row>
    <row r="999" spans="1:3" x14ac:dyDescent="0.2">
      <c r="A999" s="23"/>
      <c r="C999" s="4"/>
    </row>
    <row r="1000" spans="1:3" x14ac:dyDescent="0.2">
      <c r="A1000" s="23"/>
      <c r="C1000" s="4"/>
    </row>
    <row r="1001" spans="1:3" x14ac:dyDescent="0.2">
      <c r="A1001" s="23"/>
      <c r="C1001" s="4"/>
    </row>
    <row r="1002" spans="1:3" x14ac:dyDescent="0.2">
      <c r="A1002" s="23"/>
      <c r="C1002" s="4"/>
    </row>
    <row r="1003" spans="1:3" x14ac:dyDescent="0.2">
      <c r="A1003" s="23"/>
      <c r="C1003" s="4"/>
    </row>
    <row r="1004" spans="1:3" x14ac:dyDescent="0.2">
      <c r="A1004" s="23"/>
      <c r="C1004" s="4"/>
    </row>
    <row r="1005" spans="1:3" x14ac:dyDescent="0.2">
      <c r="A1005" s="23"/>
      <c r="C1005" s="4"/>
    </row>
    <row r="1006" spans="1:3" x14ac:dyDescent="0.2">
      <c r="A1006" s="23"/>
      <c r="C1006" s="4"/>
    </row>
    <row r="1007" spans="1:3" x14ac:dyDescent="0.2">
      <c r="A1007" s="23"/>
      <c r="C1007" s="4"/>
    </row>
    <row r="1008" spans="1:3" x14ac:dyDescent="0.2">
      <c r="A1008" s="23"/>
      <c r="C1008" s="4"/>
    </row>
    <row r="1009" spans="1:3" x14ac:dyDescent="0.2">
      <c r="A1009" s="23"/>
      <c r="C1009" s="4"/>
    </row>
    <row r="1010" spans="1:3" x14ac:dyDescent="0.2">
      <c r="A1010" s="23"/>
      <c r="C1010" s="4"/>
    </row>
    <row r="1011" spans="1:3" x14ac:dyDescent="0.2">
      <c r="A1011" s="23"/>
      <c r="C1011" s="4"/>
    </row>
    <row r="1012" spans="1:3" x14ac:dyDescent="0.2">
      <c r="A1012" s="23"/>
      <c r="C1012" s="4"/>
    </row>
    <row r="1013" spans="1:3" x14ac:dyDescent="0.2">
      <c r="A1013" s="23"/>
      <c r="C1013" s="4"/>
    </row>
    <row r="1014" spans="1:3" x14ac:dyDescent="0.2">
      <c r="A1014" s="23"/>
      <c r="C1014" s="4"/>
    </row>
    <row r="1015" spans="1:3" x14ac:dyDescent="0.2">
      <c r="A1015" s="23"/>
      <c r="C1015" s="4"/>
    </row>
    <row r="1016" spans="1:3" x14ac:dyDescent="0.2">
      <c r="A1016" s="23"/>
      <c r="C1016" s="4"/>
    </row>
    <row r="1017" spans="1:3" x14ac:dyDescent="0.2">
      <c r="A1017" s="23"/>
      <c r="C1017" s="4"/>
    </row>
    <row r="1018" spans="1:3" x14ac:dyDescent="0.2">
      <c r="A1018" s="23"/>
      <c r="C1018" s="4"/>
    </row>
    <row r="1019" spans="1:3" x14ac:dyDescent="0.2">
      <c r="A1019" s="23"/>
      <c r="C1019" s="4"/>
    </row>
    <row r="1020" spans="1:3" x14ac:dyDescent="0.2">
      <c r="A1020" s="23"/>
      <c r="C1020" s="4"/>
    </row>
    <row r="1021" spans="1:3" x14ac:dyDescent="0.2">
      <c r="A1021" s="23"/>
      <c r="C1021" s="4"/>
    </row>
    <row r="1022" spans="1:3" x14ac:dyDescent="0.2">
      <c r="A1022" s="23"/>
      <c r="C1022" s="4"/>
    </row>
    <row r="1023" spans="1:3" x14ac:dyDescent="0.2">
      <c r="A1023" s="23"/>
      <c r="C1023" s="4"/>
    </row>
    <row r="1024" spans="1:3" x14ac:dyDescent="0.2">
      <c r="A1024" s="23"/>
      <c r="C1024" s="4"/>
    </row>
    <row r="1025" spans="1:3" x14ac:dyDescent="0.2">
      <c r="A1025" s="23"/>
      <c r="C1025" s="4"/>
    </row>
    <row r="1026" spans="1:3" x14ac:dyDescent="0.2">
      <c r="A1026" s="23"/>
      <c r="C1026" s="4"/>
    </row>
    <row r="1027" spans="1:3" x14ac:dyDescent="0.2">
      <c r="A1027" s="23"/>
      <c r="C1027" s="4"/>
    </row>
    <row r="1028" spans="1:3" x14ac:dyDescent="0.2">
      <c r="A1028" s="23"/>
      <c r="C1028" s="4"/>
    </row>
    <row r="1029" spans="1:3" x14ac:dyDescent="0.2">
      <c r="A1029" s="23"/>
      <c r="C1029" s="4"/>
    </row>
    <row r="1030" spans="1:3" x14ac:dyDescent="0.2">
      <c r="A1030" s="23"/>
      <c r="C1030" s="4"/>
    </row>
    <row r="1031" spans="1:3" x14ac:dyDescent="0.2">
      <c r="A1031" s="23"/>
      <c r="C1031" s="4"/>
    </row>
    <row r="1032" spans="1:3" x14ac:dyDescent="0.2">
      <c r="A1032" s="23"/>
      <c r="C1032" s="4"/>
    </row>
    <row r="1033" spans="1:3" x14ac:dyDescent="0.2">
      <c r="A1033" s="23"/>
      <c r="C1033" s="4"/>
    </row>
    <row r="1034" spans="1:3" x14ac:dyDescent="0.2">
      <c r="A1034" s="23"/>
      <c r="C1034" s="4"/>
    </row>
    <row r="1035" spans="1:3" x14ac:dyDescent="0.2">
      <c r="A1035" s="23"/>
      <c r="C1035" s="4"/>
    </row>
    <row r="1036" spans="1:3" x14ac:dyDescent="0.2">
      <c r="A1036" s="23"/>
      <c r="C1036" s="4"/>
    </row>
    <row r="1037" spans="1:3" x14ac:dyDescent="0.2">
      <c r="A1037" s="23"/>
      <c r="C1037" s="4"/>
    </row>
    <row r="1038" spans="1:3" x14ac:dyDescent="0.2">
      <c r="A1038" s="23"/>
      <c r="C1038" s="4"/>
    </row>
    <row r="1039" spans="1:3" x14ac:dyDescent="0.2">
      <c r="A1039" s="23"/>
      <c r="C1039" s="4"/>
    </row>
    <row r="1040" spans="1:3" x14ac:dyDescent="0.2">
      <c r="A1040" s="23"/>
      <c r="C1040" s="4"/>
    </row>
    <row r="1041" spans="1:3" x14ac:dyDescent="0.2">
      <c r="A1041" s="23"/>
      <c r="C1041" s="4"/>
    </row>
    <row r="1042" spans="1:3" x14ac:dyDescent="0.2">
      <c r="A1042" s="23"/>
      <c r="C1042" s="4"/>
    </row>
    <row r="1043" spans="1:3" x14ac:dyDescent="0.2">
      <c r="A1043" s="23"/>
      <c r="C1043" s="4"/>
    </row>
    <row r="1044" spans="1:3" x14ac:dyDescent="0.2">
      <c r="A1044" s="23"/>
      <c r="C1044" s="4"/>
    </row>
    <row r="1045" spans="1:3" x14ac:dyDescent="0.2">
      <c r="A1045" s="23"/>
      <c r="C1045" s="4"/>
    </row>
    <row r="1046" spans="1:3" x14ac:dyDescent="0.2">
      <c r="A1046" s="23"/>
      <c r="C1046" s="4"/>
    </row>
    <row r="1047" spans="1:3" x14ac:dyDescent="0.2">
      <c r="A1047" s="23"/>
      <c r="C1047" s="4"/>
    </row>
    <row r="1048" spans="1:3" x14ac:dyDescent="0.2">
      <c r="A1048" s="23"/>
      <c r="C1048" s="4"/>
    </row>
    <row r="1049" spans="1:3" x14ac:dyDescent="0.2">
      <c r="A1049" s="23"/>
      <c r="C1049" s="4"/>
    </row>
    <row r="1050" spans="1:3" x14ac:dyDescent="0.2">
      <c r="A1050" s="23"/>
      <c r="C1050" s="4"/>
    </row>
    <row r="1051" spans="1:3" x14ac:dyDescent="0.2">
      <c r="A1051" s="23"/>
      <c r="C1051" s="4"/>
    </row>
    <row r="1052" spans="1:3" x14ac:dyDescent="0.2">
      <c r="A1052" s="23"/>
      <c r="C1052" s="4"/>
    </row>
    <row r="1053" spans="1:3" x14ac:dyDescent="0.2">
      <c r="A1053" s="23"/>
      <c r="C1053" s="4"/>
    </row>
    <row r="1054" spans="1:3" x14ac:dyDescent="0.2">
      <c r="A1054" s="23"/>
      <c r="C1054" s="4"/>
    </row>
    <row r="1055" spans="1:3" x14ac:dyDescent="0.2">
      <c r="A1055" s="23"/>
      <c r="C1055" s="4"/>
    </row>
    <row r="1056" spans="1:3" x14ac:dyDescent="0.2">
      <c r="A1056" s="23"/>
      <c r="C1056" s="4"/>
    </row>
    <row r="1057" spans="1:3" x14ac:dyDescent="0.2">
      <c r="A1057" s="23"/>
      <c r="C1057" s="4"/>
    </row>
    <row r="1058" spans="1:3" x14ac:dyDescent="0.2">
      <c r="A1058" s="23"/>
      <c r="C1058" s="4"/>
    </row>
    <row r="1059" spans="1:3" x14ac:dyDescent="0.2">
      <c r="A1059" s="23"/>
      <c r="C1059" s="4"/>
    </row>
    <row r="1060" spans="1:3" x14ac:dyDescent="0.2">
      <c r="A1060" s="23"/>
      <c r="C1060" s="4"/>
    </row>
    <row r="1061" spans="1:3" x14ac:dyDescent="0.2">
      <c r="A1061" s="23"/>
      <c r="C1061" s="4"/>
    </row>
    <row r="1062" spans="1:3" x14ac:dyDescent="0.2">
      <c r="A1062" s="23"/>
      <c r="C1062" s="4"/>
    </row>
    <row r="1063" spans="1:3" x14ac:dyDescent="0.2">
      <c r="A1063" s="23"/>
      <c r="C1063" s="4"/>
    </row>
    <row r="1064" spans="1:3" x14ac:dyDescent="0.2">
      <c r="A1064" s="23"/>
      <c r="C1064" s="4"/>
    </row>
    <row r="1065" spans="1:3" x14ac:dyDescent="0.2">
      <c r="A1065" s="23"/>
      <c r="C1065" s="4"/>
    </row>
    <row r="1066" spans="1:3" x14ac:dyDescent="0.2">
      <c r="A1066" s="23"/>
      <c r="C1066" s="4"/>
    </row>
    <row r="1067" spans="1:3" x14ac:dyDescent="0.2">
      <c r="A1067" s="23"/>
      <c r="C1067" s="4"/>
    </row>
    <row r="1068" spans="1:3" x14ac:dyDescent="0.2">
      <c r="A1068" s="23"/>
      <c r="C1068" s="4"/>
    </row>
    <row r="1069" spans="1:3" x14ac:dyDescent="0.2">
      <c r="A1069" s="23"/>
      <c r="C1069" s="4"/>
    </row>
    <row r="1070" spans="1:3" x14ac:dyDescent="0.2">
      <c r="A1070" s="23"/>
      <c r="C1070" s="4"/>
    </row>
    <row r="1071" spans="1:3" x14ac:dyDescent="0.2">
      <c r="A1071" s="23"/>
      <c r="C1071" s="4"/>
    </row>
    <row r="1072" spans="1:3" x14ac:dyDescent="0.2">
      <c r="A1072" s="23"/>
      <c r="C1072" s="4"/>
    </row>
    <row r="1073" spans="1:3" x14ac:dyDescent="0.2">
      <c r="A1073" s="23"/>
      <c r="C1073" s="4"/>
    </row>
    <row r="1074" spans="1:3" x14ac:dyDescent="0.2">
      <c r="A1074" s="23"/>
      <c r="C1074" s="4"/>
    </row>
    <row r="1075" spans="1:3" x14ac:dyDescent="0.2">
      <c r="A1075" s="23"/>
      <c r="C1075" s="4"/>
    </row>
    <row r="1076" spans="1:3" x14ac:dyDescent="0.2">
      <c r="A1076" s="23"/>
      <c r="C1076" s="4"/>
    </row>
    <row r="1077" spans="1:3" x14ac:dyDescent="0.2">
      <c r="A1077" s="23"/>
      <c r="C1077" s="4"/>
    </row>
    <row r="1078" spans="1:3" x14ac:dyDescent="0.2">
      <c r="A1078" s="23"/>
      <c r="C1078" s="4"/>
    </row>
    <row r="1079" spans="1:3" x14ac:dyDescent="0.2">
      <c r="A1079" s="23"/>
      <c r="C1079" s="4"/>
    </row>
    <row r="1080" spans="1:3" x14ac:dyDescent="0.2">
      <c r="A1080" s="23"/>
      <c r="C1080" s="4"/>
    </row>
    <row r="1081" spans="1:3" x14ac:dyDescent="0.2">
      <c r="A1081" s="23"/>
      <c r="C1081" s="4"/>
    </row>
    <row r="1082" spans="1:3" x14ac:dyDescent="0.2">
      <c r="A1082" s="23"/>
      <c r="C1082" s="4"/>
    </row>
    <row r="1083" spans="1:3" x14ac:dyDescent="0.2">
      <c r="A1083" s="23"/>
      <c r="C1083" s="4"/>
    </row>
    <row r="1084" spans="1:3" x14ac:dyDescent="0.2">
      <c r="A1084" s="23"/>
      <c r="C1084" s="4"/>
    </row>
    <row r="1085" spans="1:3" x14ac:dyDescent="0.2">
      <c r="A1085" s="23"/>
      <c r="C1085" s="4"/>
    </row>
    <row r="1086" spans="1:3" x14ac:dyDescent="0.2">
      <c r="A1086" s="23"/>
      <c r="C1086" s="4"/>
    </row>
    <row r="1087" spans="1:3" x14ac:dyDescent="0.2">
      <c r="A1087" s="23"/>
      <c r="C1087" s="4"/>
    </row>
    <row r="1088" spans="1:3" x14ac:dyDescent="0.2">
      <c r="A1088" s="23"/>
      <c r="C1088" s="4"/>
    </row>
    <row r="1089" spans="1:3" x14ac:dyDescent="0.2">
      <c r="A1089" s="23"/>
      <c r="C1089" s="4"/>
    </row>
    <row r="1090" spans="1:3" x14ac:dyDescent="0.2">
      <c r="A1090" s="23"/>
      <c r="C1090" s="4"/>
    </row>
    <row r="1091" spans="1:3" x14ac:dyDescent="0.2">
      <c r="A1091" s="23"/>
      <c r="C1091" s="4"/>
    </row>
    <row r="1092" spans="1:3" x14ac:dyDescent="0.2">
      <c r="A1092" s="23"/>
      <c r="C1092" s="4"/>
    </row>
    <row r="1093" spans="1:3" x14ac:dyDescent="0.2">
      <c r="A1093" s="23"/>
      <c r="C1093" s="4"/>
    </row>
    <row r="1094" spans="1:3" x14ac:dyDescent="0.2">
      <c r="A1094" s="23"/>
      <c r="C1094" s="4"/>
    </row>
    <row r="1095" spans="1:3" x14ac:dyDescent="0.2">
      <c r="A1095" s="23"/>
      <c r="C1095" s="4"/>
    </row>
    <row r="1096" spans="1:3" x14ac:dyDescent="0.2">
      <c r="A1096" s="23"/>
      <c r="C1096" s="4"/>
    </row>
    <row r="1097" spans="1:3" x14ac:dyDescent="0.2">
      <c r="A1097" s="23"/>
      <c r="C1097" s="4"/>
    </row>
    <row r="1098" spans="1:3" x14ac:dyDescent="0.2">
      <c r="A1098" s="23"/>
      <c r="C1098" s="4"/>
    </row>
    <row r="1099" spans="1:3" x14ac:dyDescent="0.2">
      <c r="A1099" s="23"/>
      <c r="C1099" s="4"/>
    </row>
    <row r="1100" spans="1:3" x14ac:dyDescent="0.2">
      <c r="A1100" s="23"/>
      <c r="C1100" s="4"/>
    </row>
    <row r="1101" spans="1:3" x14ac:dyDescent="0.2">
      <c r="A1101" s="23"/>
      <c r="C1101" s="4"/>
    </row>
    <row r="1102" spans="1:3" x14ac:dyDescent="0.2">
      <c r="A1102" s="23"/>
      <c r="C1102" s="4"/>
    </row>
    <row r="1103" spans="1:3" x14ac:dyDescent="0.2">
      <c r="A1103" s="23"/>
      <c r="C1103" s="4"/>
    </row>
    <row r="1104" spans="1:3" x14ac:dyDescent="0.2">
      <c r="A1104" s="23"/>
      <c r="C1104" s="4"/>
    </row>
    <row r="1105" spans="1:3" x14ac:dyDescent="0.2">
      <c r="A1105" s="23"/>
      <c r="C1105" s="4"/>
    </row>
    <row r="1106" spans="1:3" x14ac:dyDescent="0.2">
      <c r="A1106" s="23"/>
      <c r="C1106" s="4"/>
    </row>
    <row r="1107" spans="1:3" x14ac:dyDescent="0.2">
      <c r="A1107" s="23"/>
      <c r="C1107" s="4"/>
    </row>
    <row r="1108" spans="1:3" x14ac:dyDescent="0.2">
      <c r="A1108" s="23"/>
      <c r="C1108" s="4"/>
    </row>
    <row r="1109" spans="1:3" x14ac:dyDescent="0.2">
      <c r="A1109" s="23"/>
      <c r="C1109" s="4"/>
    </row>
    <row r="1110" spans="1:3" x14ac:dyDescent="0.2">
      <c r="A1110" s="23"/>
      <c r="C1110" s="4"/>
    </row>
    <row r="1111" spans="1:3" x14ac:dyDescent="0.2">
      <c r="A1111" s="23"/>
      <c r="C1111" s="4"/>
    </row>
    <row r="1112" spans="1:3" x14ac:dyDescent="0.2">
      <c r="A1112" s="23"/>
      <c r="C1112" s="4"/>
    </row>
    <row r="1113" spans="1:3" x14ac:dyDescent="0.2">
      <c r="A1113" s="23"/>
      <c r="C1113" s="4"/>
    </row>
    <row r="1114" spans="1:3" x14ac:dyDescent="0.2">
      <c r="A1114" s="23"/>
      <c r="C1114" s="4"/>
    </row>
    <row r="1115" spans="1:3" x14ac:dyDescent="0.2">
      <c r="A1115" s="23"/>
      <c r="C1115" s="4"/>
    </row>
    <row r="1116" spans="1:3" x14ac:dyDescent="0.2">
      <c r="A1116" s="23"/>
      <c r="C1116" s="4"/>
    </row>
    <row r="1117" spans="1:3" x14ac:dyDescent="0.2">
      <c r="A1117" s="23"/>
      <c r="C1117" s="4"/>
    </row>
    <row r="1118" spans="1:3" x14ac:dyDescent="0.2">
      <c r="A1118" s="23"/>
      <c r="C1118" s="4"/>
    </row>
    <row r="1119" spans="1:3" x14ac:dyDescent="0.2">
      <c r="A1119" s="23"/>
      <c r="C1119" s="4"/>
    </row>
    <row r="1120" spans="1:3" x14ac:dyDescent="0.2">
      <c r="A1120" s="23"/>
      <c r="C1120" s="4"/>
    </row>
    <row r="1121" spans="1:3" x14ac:dyDescent="0.2">
      <c r="A1121" s="23"/>
      <c r="C1121" s="4"/>
    </row>
    <row r="1122" spans="1:3" x14ac:dyDescent="0.2">
      <c r="A1122" s="23"/>
      <c r="C1122" s="4"/>
    </row>
    <row r="1123" spans="1:3" x14ac:dyDescent="0.2">
      <c r="A1123" s="23"/>
      <c r="C1123" s="4"/>
    </row>
    <row r="1124" spans="1:3" x14ac:dyDescent="0.2">
      <c r="A1124" s="23"/>
      <c r="C1124" s="4"/>
    </row>
    <row r="1125" spans="1:3" x14ac:dyDescent="0.2">
      <c r="A1125" s="23"/>
      <c r="C1125" s="4"/>
    </row>
    <row r="1126" spans="1:3" x14ac:dyDescent="0.2">
      <c r="A1126" s="23"/>
      <c r="C1126" s="4"/>
    </row>
    <row r="1127" spans="1:3" x14ac:dyDescent="0.2">
      <c r="A1127" s="23"/>
      <c r="C1127" s="4"/>
    </row>
    <row r="1128" spans="1:3" x14ac:dyDescent="0.2">
      <c r="A1128" s="23"/>
      <c r="C1128" s="4"/>
    </row>
    <row r="1129" spans="1:3" x14ac:dyDescent="0.2">
      <c r="A1129" s="23"/>
      <c r="C1129" s="4"/>
    </row>
    <row r="1130" spans="1:3" x14ac:dyDescent="0.2">
      <c r="A1130" s="23"/>
      <c r="C1130" s="4"/>
    </row>
    <row r="1131" spans="1:3" x14ac:dyDescent="0.2">
      <c r="A1131" s="23"/>
      <c r="C1131" s="4"/>
    </row>
    <row r="1132" spans="1:3" x14ac:dyDescent="0.2">
      <c r="A1132" s="23"/>
      <c r="C1132" s="4"/>
    </row>
    <row r="1133" spans="1:3" x14ac:dyDescent="0.2">
      <c r="A1133" s="23"/>
      <c r="C1133" s="4"/>
    </row>
    <row r="1134" spans="1:3" x14ac:dyDescent="0.2">
      <c r="A1134" s="23"/>
      <c r="C1134" s="4"/>
    </row>
    <row r="1135" spans="1:3" x14ac:dyDescent="0.2">
      <c r="A1135" s="23"/>
      <c r="C1135" s="4"/>
    </row>
    <row r="1136" spans="1:3" x14ac:dyDescent="0.2">
      <c r="A1136" s="23"/>
      <c r="C1136" s="4"/>
    </row>
    <row r="1137" spans="1:3" x14ac:dyDescent="0.2">
      <c r="A1137" s="23"/>
      <c r="C1137" s="4"/>
    </row>
    <row r="1138" spans="1:3" x14ac:dyDescent="0.2">
      <c r="A1138" s="23"/>
      <c r="C1138" s="4"/>
    </row>
    <row r="1139" spans="1:3" x14ac:dyDescent="0.2">
      <c r="A1139" s="23"/>
      <c r="C1139" s="4"/>
    </row>
    <row r="1140" spans="1:3" x14ac:dyDescent="0.2">
      <c r="A1140" s="23"/>
      <c r="C1140" s="4"/>
    </row>
    <row r="1141" spans="1:3" x14ac:dyDescent="0.2">
      <c r="A1141" s="23"/>
      <c r="C1141" s="4"/>
    </row>
    <row r="1142" spans="1:3" x14ac:dyDescent="0.2">
      <c r="A1142" s="23"/>
      <c r="C1142" s="4"/>
    </row>
    <row r="1143" spans="1:3" x14ac:dyDescent="0.2">
      <c r="A1143" s="23"/>
      <c r="C1143" s="4"/>
    </row>
    <row r="1144" spans="1:3" x14ac:dyDescent="0.2">
      <c r="A1144" s="23"/>
      <c r="C1144" s="4"/>
    </row>
    <row r="1145" spans="1:3" x14ac:dyDescent="0.2">
      <c r="A1145" s="23"/>
      <c r="C1145" s="4"/>
    </row>
    <row r="1146" spans="1:3" x14ac:dyDescent="0.2">
      <c r="A1146" s="23"/>
      <c r="C1146" s="4"/>
    </row>
    <row r="1147" spans="1:3" x14ac:dyDescent="0.2">
      <c r="A1147" s="23"/>
      <c r="C1147" s="4"/>
    </row>
    <row r="1148" spans="1:3" x14ac:dyDescent="0.2">
      <c r="A1148" s="23"/>
      <c r="C1148" s="4"/>
    </row>
    <row r="1149" spans="1:3" x14ac:dyDescent="0.2">
      <c r="A1149" s="23"/>
      <c r="C1149" s="4"/>
    </row>
    <row r="1150" spans="1:3" x14ac:dyDescent="0.2">
      <c r="A1150" s="23"/>
      <c r="C1150" s="4"/>
    </row>
    <row r="1151" spans="1:3" x14ac:dyDescent="0.2">
      <c r="A1151" s="23"/>
      <c r="C1151" s="4"/>
    </row>
    <row r="1152" spans="1:3" x14ac:dyDescent="0.2">
      <c r="A1152" s="23"/>
      <c r="C1152" s="4"/>
    </row>
    <row r="1153" spans="1:3" x14ac:dyDescent="0.2">
      <c r="A1153" s="23"/>
      <c r="C1153" s="4"/>
    </row>
    <row r="1154" spans="1:3" x14ac:dyDescent="0.2">
      <c r="A1154" s="23"/>
      <c r="C1154" s="4"/>
    </row>
    <row r="1155" spans="1:3" x14ac:dyDescent="0.2">
      <c r="A1155" s="23"/>
      <c r="C1155" s="4"/>
    </row>
    <row r="1156" spans="1:3" x14ac:dyDescent="0.2">
      <c r="A1156" s="23"/>
      <c r="C1156" s="4"/>
    </row>
    <row r="1157" spans="1:3" x14ac:dyDescent="0.2">
      <c r="A1157" s="23"/>
      <c r="C1157" s="4"/>
    </row>
    <row r="1158" spans="1:3" x14ac:dyDescent="0.2">
      <c r="A1158" s="23"/>
      <c r="C1158" s="4"/>
    </row>
    <row r="1159" spans="1:3" x14ac:dyDescent="0.2">
      <c r="A1159" s="23"/>
      <c r="C1159" s="4"/>
    </row>
    <row r="1160" spans="1:3" x14ac:dyDescent="0.2">
      <c r="A1160" s="23"/>
      <c r="C1160" s="4"/>
    </row>
    <row r="1161" spans="1:3" x14ac:dyDescent="0.2">
      <c r="A1161" s="23"/>
      <c r="C1161" s="4"/>
    </row>
    <row r="1162" spans="1:3" x14ac:dyDescent="0.2">
      <c r="A1162" s="23"/>
      <c r="C1162" s="4"/>
    </row>
    <row r="1163" spans="1:3" x14ac:dyDescent="0.2">
      <c r="A1163" s="23"/>
      <c r="C1163" s="4"/>
    </row>
    <row r="1164" spans="1:3" x14ac:dyDescent="0.2">
      <c r="A1164" s="23"/>
      <c r="C1164" s="4"/>
    </row>
    <row r="1165" spans="1:3" x14ac:dyDescent="0.2">
      <c r="A1165" s="23"/>
      <c r="C1165" s="4"/>
    </row>
    <row r="1166" spans="1:3" x14ac:dyDescent="0.2">
      <c r="A1166" s="23"/>
      <c r="C1166" s="4"/>
    </row>
    <row r="1167" spans="1:3" x14ac:dyDescent="0.2">
      <c r="A1167" s="23"/>
      <c r="C1167" s="4"/>
    </row>
    <row r="1168" spans="1:3" x14ac:dyDescent="0.2">
      <c r="A1168" s="23"/>
      <c r="C1168" s="4"/>
    </row>
    <row r="1169" spans="1:3" x14ac:dyDescent="0.2">
      <c r="A1169" s="23"/>
      <c r="C1169" s="4"/>
    </row>
    <row r="1170" spans="1:3" x14ac:dyDescent="0.2">
      <c r="A1170" s="23"/>
      <c r="C1170" s="4"/>
    </row>
    <row r="1171" spans="1:3" x14ac:dyDescent="0.2">
      <c r="A1171" s="23"/>
      <c r="C1171" s="4"/>
    </row>
    <row r="1172" spans="1:3" x14ac:dyDescent="0.2">
      <c r="A1172" s="23"/>
      <c r="C1172" s="4"/>
    </row>
    <row r="1173" spans="1:3" x14ac:dyDescent="0.2">
      <c r="A1173" s="23"/>
      <c r="C1173" s="4"/>
    </row>
    <row r="1174" spans="1:3" x14ac:dyDescent="0.2">
      <c r="A1174" s="23"/>
      <c r="C1174" s="4"/>
    </row>
    <row r="1175" spans="1:3" x14ac:dyDescent="0.2">
      <c r="A1175" s="23"/>
      <c r="C1175" s="4"/>
    </row>
    <row r="1176" spans="1:3" x14ac:dyDescent="0.2">
      <c r="A1176" s="23"/>
      <c r="C1176" s="4"/>
    </row>
    <row r="1177" spans="1:3" x14ac:dyDescent="0.2">
      <c r="A1177" s="23"/>
      <c r="C1177" s="4"/>
    </row>
    <row r="1178" spans="1:3" x14ac:dyDescent="0.2">
      <c r="A1178" s="23"/>
      <c r="C1178" s="4"/>
    </row>
    <row r="1179" spans="1:3" x14ac:dyDescent="0.2">
      <c r="A1179" s="23"/>
      <c r="C1179" s="4"/>
    </row>
    <row r="1180" spans="1:3" x14ac:dyDescent="0.2">
      <c r="A1180" s="23"/>
      <c r="C1180" s="4"/>
    </row>
    <row r="1181" spans="1:3" x14ac:dyDescent="0.2">
      <c r="A1181" s="23"/>
      <c r="C1181" s="4"/>
    </row>
    <row r="1182" spans="1:3" x14ac:dyDescent="0.2">
      <c r="A1182" s="23"/>
      <c r="C1182" s="4"/>
    </row>
    <row r="1183" spans="1:3" x14ac:dyDescent="0.2">
      <c r="A1183" s="23"/>
      <c r="C1183" s="4"/>
    </row>
    <row r="1184" spans="1:3" x14ac:dyDescent="0.2">
      <c r="A1184" s="23"/>
      <c r="C1184" s="4"/>
    </row>
    <row r="1185" spans="1:3" x14ac:dyDescent="0.2">
      <c r="A1185" s="23"/>
      <c r="C1185" s="4"/>
    </row>
    <row r="1186" spans="1:3" x14ac:dyDescent="0.2">
      <c r="A1186" s="23"/>
      <c r="C1186" s="4"/>
    </row>
    <row r="1187" spans="1:3" x14ac:dyDescent="0.2">
      <c r="A1187" s="23"/>
      <c r="C1187" s="4"/>
    </row>
    <row r="1188" spans="1:3" x14ac:dyDescent="0.2">
      <c r="A1188" s="23"/>
      <c r="C1188" s="4"/>
    </row>
    <row r="1189" spans="1:3" x14ac:dyDescent="0.2">
      <c r="A1189" s="23"/>
      <c r="C1189" s="4"/>
    </row>
    <row r="1190" spans="1:3" x14ac:dyDescent="0.2">
      <c r="A1190" s="23"/>
      <c r="C1190" s="4"/>
    </row>
    <row r="1191" spans="1:3" x14ac:dyDescent="0.2">
      <c r="A1191" s="23"/>
      <c r="C1191" s="4"/>
    </row>
    <row r="1192" spans="1:3" x14ac:dyDescent="0.2">
      <c r="A1192" s="23"/>
      <c r="C1192" s="4"/>
    </row>
    <row r="1193" spans="1:3" x14ac:dyDescent="0.2">
      <c r="A1193" s="23"/>
      <c r="C1193" s="4"/>
    </row>
    <row r="1194" spans="1:3" x14ac:dyDescent="0.2">
      <c r="A1194" s="23"/>
      <c r="C1194" s="4"/>
    </row>
    <row r="1195" spans="1:3" x14ac:dyDescent="0.2">
      <c r="A1195" s="23"/>
      <c r="C1195" s="4"/>
    </row>
    <row r="1196" spans="1:3" x14ac:dyDescent="0.2">
      <c r="A1196" s="23"/>
      <c r="C1196" s="4"/>
    </row>
    <row r="1197" spans="1:3" x14ac:dyDescent="0.2">
      <c r="A1197" s="23"/>
      <c r="C1197" s="4"/>
    </row>
    <row r="1198" spans="1:3" x14ac:dyDescent="0.2">
      <c r="A1198" s="23"/>
      <c r="C1198" s="4"/>
    </row>
    <row r="1199" spans="1:3" x14ac:dyDescent="0.2">
      <c r="A1199" s="23"/>
      <c r="C1199" s="4"/>
    </row>
    <row r="1200" spans="1:3" x14ac:dyDescent="0.2">
      <c r="A1200" s="23"/>
      <c r="C1200" s="4"/>
    </row>
    <row r="1201" spans="1:3" x14ac:dyDescent="0.2">
      <c r="A1201" s="23"/>
      <c r="C1201" s="4"/>
    </row>
    <row r="1202" spans="1:3" x14ac:dyDescent="0.2">
      <c r="A1202" s="23"/>
      <c r="C1202" s="4"/>
    </row>
    <row r="1203" spans="1:3" x14ac:dyDescent="0.2">
      <c r="A1203" s="23"/>
      <c r="C1203" s="4"/>
    </row>
    <row r="1204" spans="1:3" x14ac:dyDescent="0.2">
      <c r="A1204" s="23"/>
      <c r="C1204" s="4"/>
    </row>
    <row r="1205" spans="1:3" x14ac:dyDescent="0.2">
      <c r="A1205" s="23"/>
      <c r="C1205" s="4"/>
    </row>
    <row r="1206" spans="1:3" x14ac:dyDescent="0.2">
      <c r="A1206" s="23"/>
      <c r="C1206" s="4"/>
    </row>
    <row r="1207" spans="1:3" x14ac:dyDescent="0.2">
      <c r="A1207" s="23"/>
      <c r="C1207" s="4"/>
    </row>
    <row r="1208" spans="1:3" x14ac:dyDescent="0.2">
      <c r="A1208" s="23"/>
      <c r="C1208" s="4"/>
    </row>
    <row r="1209" spans="1:3" x14ac:dyDescent="0.2">
      <c r="A1209" s="23"/>
      <c r="C1209" s="4"/>
    </row>
    <row r="1210" spans="1:3" x14ac:dyDescent="0.2">
      <c r="A1210" s="23"/>
      <c r="C1210" s="4"/>
    </row>
    <row r="1211" spans="1:3" x14ac:dyDescent="0.2">
      <c r="A1211" s="23"/>
      <c r="C1211" s="4"/>
    </row>
    <row r="1212" spans="1:3" x14ac:dyDescent="0.2">
      <c r="A1212" s="23"/>
      <c r="C1212" s="4"/>
    </row>
    <row r="1213" spans="1:3" x14ac:dyDescent="0.2">
      <c r="A1213" s="23"/>
      <c r="C1213" s="4"/>
    </row>
    <row r="1214" spans="1:3" x14ac:dyDescent="0.2">
      <c r="A1214" s="23"/>
      <c r="C1214" s="4"/>
    </row>
    <row r="1215" spans="1:3" x14ac:dyDescent="0.2">
      <c r="A1215" s="23"/>
      <c r="C1215" s="4"/>
    </row>
    <row r="1216" spans="1:3" x14ac:dyDescent="0.2">
      <c r="A1216" s="23"/>
      <c r="C1216" s="4"/>
    </row>
    <row r="1217" spans="1:3" x14ac:dyDescent="0.2">
      <c r="A1217" s="23"/>
      <c r="C1217" s="4"/>
    </row>
    <row r="1218" spans="1:3" x14ac:dyDescent="0.2">
      <c r="A1218" s="23"/>
      <c r="C1218" s="4"/>
    </row>
    <row r="1219" spans="1:3" x14ac:dyDescent="0.2">
      <c r="A1219" s="23"/>
      <c r="C1219" s="4"/>
    </row>
    <row r="1220" spans="1:3" x14ac:dyDescent="0.2">
      <c r="A1220" s="23"/>
      <c r="C1220" s="4"/>
    </row>
    <row r="1221" spans="1:3" x14ac:dyDescent="0.2">
      <c r="A1221" s="23"/>
      <c r="C1221" s="4"/>
    </row>
    <row r="1222" spans="1:3" x14ac:dyDescent="0.2">
      <c r="A1222" s="23"/>
      <c r="C1222" s="4"/>
    </row>
    <row r="1223" spans="1:3" x14ac:dyDescent="0.2">
      <c r="A1223" s="23"/>
      <c r="C1223" s="4"/>
    </row>
    <row r="1224" spans="1:3" x14ac:dyDescent="0.2">
      <c r="A1224" s="23"/>
      <c r="C1224" s="4"/>
    </row>
    <row r="1225" spans="1:3" x14ac:dyDescent="0.2">
      <c r="A1225" s="23"/>
      <c r="C1225" s="4"/>
    </row>
    <row r="1226" spans="1:3" x14ac:dyDescent="0.2">
      <c r="A1226" s="23"/>
      <c r="C1226" s="4"/>
    </row>
    <row r="1227" spans="1:3" x14ac:dyDescent="0.2">
      <c r="A1227" s="23"/>
      <c r="C1227" s="4"/>
    </row>
    <row r="1228" spans="1:3" x14ac:dyDescent="0.2">
      <c r="A1228" s="23"/>
      <c r="C1228" s="4"/>
    </row>
    <row r="1229" spans="1:3" x14ac:dyDescent="0.2">
      <c r="A1229" s="23"/>
      <c r="C1229" s="4"/>
    </row>
    <row r="1230" spans="1:3" x14ac:dyDescent="0.2">
      <c r="A1230" s="23"/>
      <c r="C1230" s="4"/>
    </row>
    <row r="1231" spans="1:3" x14ac:dyDescent="0.2">
      <c r="A1231" s="23"/>
      <c r="C1231" s="4"/>
    </row>
    <row r="1232" spans="1:3" x14ac:dyDescent="0.2">
      <c r="A1232" s="23"/>
      <c r="C1232" s="4"/>
    </row>
    <row r="1233" spans="1:3" x14ac:dyDescent="0.2">
      <c r="A1233" s="23"/>
      <c r="C1233" s="4"/>
    </row>
    <row r="1234" spans="1:3" x14ac:dyDescent="0.2">
      <c r="A1234" s="23"/>
      <c r="C1234" s="4"/>
    </row>
    <row r="1235" spans="1:3" x14ac:dyDescent="0.2">
      <c r="A1235" s="23"/>
      <c r="C1235" s="4"/>
    </row>
    <row r="1236" spans="1:3" x14ac:dyDescent="0.2">
      <c r="A1236" s="23"/>
      <c r="C1236" s="4"/>
    </row>
    <row r="1237" spans="1:3" x14ac:dyDescent="0.2">
      <c r="A1237" s="23"/>
      <c r="C1237" s="4"/>
    </row>
    <row r="1238" spans="1:3" x14ac:dyDescent="0.2">
      <c r="A1238" s="23"/>
      <c r="C1238" s="4"/>
    </row>
    <row r="1239" spans="1:3" x14ac:dyDescent="0.2">
      <c r="A1239" s="23"/>
      <c r="C1239" s="4"/>
    </row>
    <row r="1240" spans="1:3" x14ac:dyDescent="0.2">
      <c r="A1240" s="23"/>
      <c r="C1240" s="4"/>
    </row>
    <row r="1241" spans="1:3" x14ac:dyDescent="0.2">
      <c r="A1241" s="23"/>
      <c r="C1241" s="4"/>
    </row>
    <row r="1242" spans="1:3" x14ac:dyDescent="0.2">
      <c r="A1242" s="23"/>
      <c r="C1242" s="4"/>
    </row>
    <row r="1243" spans="1:3" x14ac:dyDescent="0.2">
      <c r="A1243" s="23"/>
      <c r="C1243" s="4"/>
    </row>
    <row r="1244" spans="1:3" x14ac:dyDescent="0.2">
      <c r="A1244" s="23"/>
      <c r="C1244" s="4"/>
    </row>
    <row r="1245" spans="1:3" x14ac:dyDescent="0.2">
      <c r="A1245" s="23"/>
      <c r="C1245" s="4"/>
    </row>
    <row r="1246" spans="1:3" x14ac:dyDescent="0.2">
      <c r="A1246" s="23"/>
      <c r="C1246" s="4"/>
    </row>
    <row r="1247" spans="1:3" x14ac:dyDescent="0.2">
      <c r="A1247" s="23"/>
      <c r="C1247" s="4"/>
    </row>
    <row r="1248" spans="1:3" x14ac:dyDescent="0.2">
      <c r="A1248" s="23"/>
      <c r="C1248" s="4"/>
    </row>
    <row r="1249" spans="1:3" x14ac:dyDescent="0.2">
      <c r="A1249" s="23"/>
      <c r="C1249" s="4"/>
    </row>
    <row r="1250" spans="1:3" x14ac:dyDescent="0.2">
      <c r="A1250" s="23"/>
      <c r="C1250" s="4"/>
    </row>
    <row r="1251" spans="1:3" x14ac:dyDescent="0.2">
      <c r="A1251" s="23"/>
      <c r="C1251" s="4"/>
    </row>
    <row r="1252" spans="1:3" x14ac:dyDescent="0.2">
      <c r="A1252" s="23"/>
      <c r="C1252" s="4"/>
    </row>
    <row r="1253" spans="1:3" x14ac:dyDescent="0.2">
      <c r="A1253" s="23"/>
      <c r="C1253" s="4"/>
    </row>
    <row r="1254" spans="1:3" x14ac:dyDescent="0.2">
      <c r="A1254" s="23"/>
      <c r="C1254" s="4"/>
    </row>
    <row r="1255" spans="1:3" x14ac:dyDescent="0.2">
      <c r="A1255" s="23"/>
      <c r="C1255" s="4"/>
    </row>
    <row r="1256" spans="1:3" x14ac:dyDescent="0.2">
      <c r="A1256" s="23"/>
      <c r="C1256" s="4"/>
    </row>
    <row r="1257" spans="1:3" x14ac:dyDescent="0.2">
      <c r="A1257" s="23"/>
      <c r="C1257" s="4"/>
    </row>
    <row r="1258" spans="1:3" x14ac:dyDescent="0.2">
      <c r="A1258" s="23"/>
      <c r="C1258" s="4"/>
    </row>
    <row r="1259" spans="1:3" x14ac:dyDescent="0.2">
      <c r="A1259" s="23"/>
      <c r="C1259" s="4"/>
    </row>
    <row r="1260" spans="1:3" x14ac:dyDescent="0.2">
      <c r="A1260" s="23"/>
      <c r="C1260" s="4"/>
    </row>
    <row r="1261" spans="1:3" x14ac:dyDescent="0.2">
      <c r="A1261" s="23"/>
      <c r="C1261" s="4"/>
    </row>
    <row r="1262" spans="1:3" x14ac:dyDescent="0.2">
      <c r="A1262" s="23"/>
      <c r="C1262" s="4"/>
    </row>
    <row r="1263" spans="1:3" x14ac:dyDescent="0.2">
      <c r="A1263" s="23"/>
      <c r="C1263" s="4"/>
    </row>
    <row r="1264" spans="1:3" x14ac:dyDescent="0.2">
      <c r="A1264" s="23"/>
      <c r="C1264" s="4"/>
    </row>
    <row r="1265" spans="1:3" x14ac:dyDescent="0.2">
      <c r="A1265" s="23"/>
      <c r="C1265" s="4"/>
    </row>
    <row r="1266" spans="1:3" x14ac:dyDescent="0.2">
      <c r="A1266" s="23"/>
      <c r="C1266" s="4"/>
    </row>
    <row r="1267" spans="1:3" x14ac:dyDescent="0.2">
      <c r="A1267" s="23"/>
      <c r="C1267" s="4"/>
    </row>
    <row r="1268" spans="1:3" x14ac:dyDescent="0.2">
      <c r="A1268" s="23"/>
      <c r="C1268" s="4"/>
    </row>
    <row r="1269" spans="1:3" x14ac:dyDescent="0.2">
      <c r="A1269" s="23"/>
      <c r="C1269" s="4"/>
    </row>
    <row r="1270" spans="1:3" x14ac:dyDescent="0.2">
      <c r="A1270" s="23"/>
      <c r="C1270" s="4"/>
    </row>
    <row r="1271" spans="1:3" x14ac:dyDescent="0.2">
      <c r="A1271" s="23"/>
      <c r="C1271" s="4"/>
    </row>
    <row r="1272" spans="1:3" x14ac:dyDescent="0.2">
      <c r="A1272" s="23"/>
      <c r="C1272" s="4"/>
    </row>
    <row r="1273" spans="1:3" x14ac:dyDescent="0.2">
      <c r="A1273" s="23"/>
      <c r="C1273" s="4"/>
    </row>
    <row r="1274" spans="1:3" x14ac:dyDescent="0.2">
      <c r="A1274" s="23"/>
      <c r="C1274" s="4"/>
    </row>
    <row r="1275" spans="1:3" x14ac:dyDescent="0.2">
      <c r="A1275" s="23"/>
      <c r="C1275" s="4"/>
    </row>
    <row r="1276" spans="1:3" x14ac:dyDescent="0.2">
      <c r="A1276" s="23"/>
      <c r="C1276" s="4"/>
    </row>
    <row r="1277" spans="1:3" x14ac:dyDescent="0.2">
      <c r="A1277" s="23"/>
      <c r="C1277" s="4"/>
    </row>
    <row r="1278" spans="1:3" x14ac:dyDescent="0.2">
      <c r="A1278" s="23"/>
      <c r="C1278" s="4"/>
    </row>
    <row r="1279" spans="1:3" x14ac:dyDescent="0.2">
      <c r="A1279" s="23"/>
      <c r="C1279" s="4"/>
    </row>
    <row r="1280" spans="1:3" x14ac:dyDescent="0.2">
      <c r="A1280" s="23"/>
      <c r="C1280" s="4"/>
    </row>
    <row r="1281" spans="1:3" x14ac:dyDescent="0.2">
      <c r="A1281" s="23"/>
      <c r="C1281" s="4"/>
    </row>
    <row r="1282" spans="1:3" x14ac:dyDescent="0.2">
      <c r="A1282" s="23"/>
      <c r="C1282" s="4"/>
    </row>
    <row r="1283" spans="1:3" x14ac:dyDescent="0.2">
      <c r="A1283" s="23"/>
      <c r="C1283" s="4"/>
    </row>
    <row r="1284" spans="1:3" x14ac:dyDescent="0.2">
      <c r="A1284" s="23"/>
      <c r="C1284" s="4"/>
    </row>
    <row r="1285" spans="1:3" x14ac:dyDescent="0.2">
      <c r="A1285" s="23"/>
      <c r="C1285" s="4"/>
    </row>
    <row r="1286" spans="1:3" x14ac:dyDescent="0.2">
      <c r="A1286" s="23"/>
      <c r="C1286" s="4"/>
    </row>
    <row r="1287" spans="1:3" x14ac:dyDescent="0.2">
      <c r="A1287" s="23"/>
      <c r="C1287" s="4"/>
    </row>
    <row r="1288" spans="1:3" x14ac:dyDescent="0.2">
      <c r="A1288" s="23"/>
      <c r="C1288" s="4"/>
    </row>
    <row r="1289" spans="1:3" x14ac:dyDescent="0.2">
      <c r="A1289" s="23"/>
      <c r="C1289" s="4"/>
    </row>
    <row r="1290" spans="1:3" x14ac:dyDescent="0.2">
      <c r="A1290" s="23"/>
      <c r="C1290" s="4"/>
    </row>
    <row r="1291" spans="1:3" x14ac:dyDescent="0.2">
      <c r="A1291" s="23"/>
      <c r="C1291" s="4"/>
    </row>
    <row r="1292" spans="1:3" x14ac:dyDescent="0.2">
      <c r="A1292" s="23"/>
      <c r="C1292" s="4"/>
    </row>
    <row r="1293" spans="1:3" x14ac:dyDescent="0.2">
      <c r="A1293" s="23"/>
      <c r="C1293" s="4"/>
    </row>
    <row r="1294" spans="1:3" x14ac:dyDescent="0.2">
      <c r="A1294" s="23"/>
      <c r="C1294" s="4"/>
    </row>
    <row r="1295" spans="1:3" x14ac:dyDescent="0.2">
      <c r="A1295" s="23"/>
      <c r="C1295" s="4"/>
    </row>
    <row r="1296" spans="1:3" x14ac:dyDescent="0.2">
      <c r="A1296" s="23"/>
      <c r="C1296" s="4"/>
    </row>
    <row r="1297" spans="1:3" x14ac:dyDescent="0.2">
      <c r="A1297" s="23"/>
      <c r="C1297" s="4"/>
    </row>
    <row r="1298" spans="1:3" x14ac:dyDescent="0.2">
      <c r="A1298" s="23"/>
      <c r="C1298" s="4"/>
    </row>
    <row r="1299" spans="1:3" x14ac:dyDescent="0.2">
      <c r="A1299" s="23"/>
      <c r="C1299" s="4"/>
    </row>
    <row r="1300" spans="1:3" x14ac:dyDescent="0.2">
      <c r="A1300" s="23"/>
      <c r="C1300" s="4"/>
    </row>
    <row r="1301" spans="1:3" x14ac:dyDescent="0.2">
      <c r="A1301" s="23"/>
      <c r="C1301" s="4"/>
    </row>
    <row r="1302" spans="1:3" x14ac:dyDescent="0.2">
      <c r="A1302" s="23"/>
      <c r="C1302" s="4"/>
    </row>
    <row r="1303" spans="1:3" x14ac:dyDescent="0.2">
      <c r="A1303" s="23"/>
      <c r="C1303" s="4"/>
    </row>
    <row r="1304" spans="1:3" x14ac:dyDescent="0.2">
      <c r="A1304" s="23"/>
      <c r="C1304" s="4"/>
    </row>
    <row r="1305" spans="1:3" x14ac:dyDescent="0.2">
      <c r="A1305" s="23"/>
      <c r="C1305" s="4"/>
    </row>
    <row r="1306" spans="1:3" x14ac:dyDescent="0.2">
      <c r="A1306" s="23"/>
      <c r="C1306" s="4"/>
    </row>
    <row r="1307" spans="1:3" x14ac:dyDescent="0.2">
      <c r="A1307" s="23"/>
      <c r="C1307" s="4"/>
    </row>
    <row r="1308" spans="1:3" x14ac:dyDescent="0.2">
      <c r="A1308" s="23"/>
      <c r="C1308" s="4"/>
    </row>
    <row r="1309" spans="1:3" x14ac:dyDescent="0.2">
      <c r="A1309" s="23"/>
      <c r="C1309" s="4"/>
    </row>
    <row r="1310" spans="1:3" x14ac:dyDescent="0.2">
      <c r="A1310" s="23"/>
      <c r="C1310" s="4"/>
    </row>
    <row r="1311" spans="1:3" x14ac:dyDescent="0.2">
      <c r="A1311" s="23"/>
      <c r="C1311" s="4"/>
    </row>
    <row r="1312" spans="1:3" x14ac:dyDescent="0.2">
      <c r="A1312" s="23"/>
      <c r="C1312" s="4"/>
    </row>
    <row r="1313" spans="1:3" x14ac:dyDescent="0.2">
      <c r="A1313" s="23"/>
      <c r="C1313" s="4"/>
    </row>
    <row r="1314" spans="1:3" x14ac:dyDescent="0.2">
      <c r="A1314" s="23"/>
      <c r="C1314" s="4"/>
    </row>
    <row r="1315" spans="1:3" x14ac:dyDescent="0.2">
      <c r="A1315" s="23"/>
      <c r="C1315" s="4"/>
    </row>
    <row r="1316" spans="1:3" x14ac:dyDescent="0.2">
      <c r="A1316" s="23"/>
      <c r="C1316" s="4"/>
    </row>
    <row r="1317" spans="1:3" x14ac:dyDescent="0.2">
      <c r="A1317" s="23"/>
      <c r="C1317" s="4"/>
    </row>
    <row r="1318" spans="1:3" x14ac:dyDescent="0.2">
      <c r="A1318" s="23"/>
      <c r="C1318" s="4"/>
    </row>
    <row r="1319" spans="1:3" x14ac:dyDescent="0.2">
      <c r="A1319" s="23"/>
      <c r="C1319" s="4"/>
    </row>
    <row r="1320" spans="1:3" x14ac:dyDescent="0.2">
      <c r="A1320" s="23"/>
      <c r="C1320" s="4"/>
    </row>
    <row r="1321" spans="1:3" x14ac:dyDescent="0.2">
      <c r="A1321" s="23"/>
      <c r="C1321" s="4"/>
    </row>
    <row r="1322" spans="1:3" x14ac:dyDescent="0.2">
      <c r="A1322" s="23"/>
      <c r="C1322" s="4"/>
    </row>
    <row r="1323" spans="1:3" x14ac:dyDescent="0.2">
      <c r="A1323" s="23"/>
      <c r="C1323" s="4"/>
    </row>
    <row r="1324" spans="1:3" x14ac:dyDescent="0.2">
      <c r="A1324" s="23"/>
      <c r="C1324" s="4"/>
    </row>
    <row r="1325" spans="1:3" x14ac:dyDescent="0.2">
      <c r="A1325" s="23"/>
      <c r="C1325" s="4"/>
    </row>
    <row r="1326" spans="1:3" x14ac:dyDescent="0.2">
      <c r="A1326" s="23"/>
      <c r="C1326" s="4"/>
    </row>
    <row r="1327" spans="1:3" x14ac:dyDescent="0.2">
      <c r="A1327" s="23"/>
      <c r="C1327" s="4"/>
    </row>
    <row r="1328" spans="1:3" x14ac:dyDescent="0.2">
      <c r="A1328" s="23"/>
      <c r="C1328" s="4"/>
    </row>
    <row r="1329" spans="1:3" x14ac:dyDescent="0.2">
      <c r="A1329" s="23"/>
      <c r="C1329" s="4"/>
    </row>
    <row r="1330" spans="1:3" x14ac:dyDescent="0.2">
      <c r="A1330" s="23"/>
      <c r="C1330" s="4"/>
    </row>
    <row r="1331" spans="1:3" x14ac:dyDescent="0.2">
      <c r="A1331" s="23"/>
      <c r="C1331" s="4"/>
    </row>
    <row r="1332" spans="1:3" x14ac:dyDescent="0.2">
      <c r="A1332" s="23"/>
      <c r="C1332" s="4"/>
    </row>
    <row r="1333" spans="1:3" x14ac:dyDescent="0.2">
      <c r="A1333" s="23"/>
      <c r="C1333" s="4"/>
    </row>
    <row r="1334" spans="1:3" x14ac:dyDescent="0.2">
      <c r="A1334" s="23"/>
      <c r="C1334" s="4"/>
    </row>
    <row r="1335" spans="1:3" x14ac:dyDescent="0.2">
      <c r="A1335" s="23"/>
      <c r="C1335" s="4"/>
    </row>
    <row r="1336" spans="1:3" x14ac:dyDescent="0.2">
      <c r="A1336" s="23"/>
      <c r="C1336" s="4"/>
    </row>
    <row r="1337" spans="1:3" x14ac:dyDescent="0.2">
      <c r="A1337" s="23"/>
      <c r="C1337" s="4"/>
    </row>
    <row r="1338" spans="1:3" x14ac:dyDescent="0.2">
      <c r="A1338" s="23"/>
      <c r="C1338" s="4"/>
    </row>
    <row r="1339" spans="1:3" x14ac:dyDescent="0.2">
      <c r="A1339" s="23"/>
      <c r="C1339" s="4"/>
    </row>
    <row r="1340" spans="1:3" x14ac:dyDescent="0.2">
      <c r="A1340" s="23"/>
      <c r="C1340" s="4"/>
    </row>
    <row r="1341" spans="1:3" x14ac:dyDescent="0.2">
      <c r="A1341" s="23"/>
      <c r="C1341" s="4"/>
    </row>
    <row r="1342" spans="1:3" x14ac:dyDescent="0.2">
      <c r="A1342" s="23"/>
      <c r="C1342" s="4"/>
    </row>
    <row r="1343" spans="1:3" x14ac:dyDescent="0.2">
      <c r="A1343" s="23"/>
      <c r="C1343" s="4"/>
    </row>
    <row r="1344" spans="1:3" x14ac:dyDescent="0.2">
      <c r="A1344" s="23"/>
      <c r="C1344" s="4"/>
    </row>
    <row r="1345" spans="1:3" x14ac:dyDescent="0.2">
      <c r="A1345" s="23"/>
      <c r="C1345" s="4"/>
    </row>
    <row r="1346" spans="1:3" x14ac:dyDescent="0.2">
      <c r="A1346" s="23"/>
      <c r="C1346" s="4"/>
    </row>
    <row r="1347" spans="1:3" x14ac:dyDescent="0.2">
      <c r="A1347" s="23"/>
      <c r="C1347" s="4"/>
    </row>
    <row r="1348" spans="1:3" x14ac:dyDescent="0.2">
      <c r="A1348" s="23"/>
      <c r="C1348" s="4"/>
    </row>
    <row r="1349" spans="1:3" x14ac:dyDescent="0.2">
      <c r="A1349" s="23"/>
      <c r="C1349" s="4"/>
    </row>
    <row r="1350" spans="1:3" x14ac:dyDescent="0.2">
      <c r="A1350" s="23"/>
      <c r="C1350" s="4"/>
    </row>
    <row r="1351" spans="1:3" x14ac:dyDescent="0.2">
      <c r="A1351" s="23"/>
      <c r="C1351" s="4"/>
    </row>
    <row r="1352" spans="1:3" x14ac:dyDescent="0.2">
      <c r="A1352" s="23"/>
      <c r="C1352" s="4"/>
    </row>
    <row r="1353" spans="1:3" x14ac:dyDescent="0.2">
      <c r="A1353" s="23"/>
      <c r="C1353" s="4"/>
    </row>
    <row r="1354" spans="1:3" x14ac:dyDescent="0.2">
      <c r="A1354" s="23"/>
      <c r="C1354" s="4"/>
    </row>
    <row r="1355" spans="1:3" x14ac:dyDescent="0.2">
      <c r="A1355" s="23"/>
      <c r="C1355" s="4"/>
    </row>
    <row r="1356" spans="1:3" x14ac:dyDescent="0.2">
      <c r="A1356" s="23"/>
      <c r="C1356" s="4"/>
    </row>
    <row r="1357" spans="1:3" x14ac:dyDescent="0.2">
      <c r="A1357" s="23"/>
      <c r="C1357" s="4"/>
    </row>
    <row r="1358" spans="1:3" x14ac:dyDescent="0.2">
      <c r="A1358" s="23"/>
      <c r="C1358" s="4"/>
    </row>
    <row r="1359" spans="1:3" x14ac:dyDescent="0.2">
      <c r="A1359" s="23"/>
      <c r="C1359" s="4"/>
    </row>
    <row r="1360" spans="1:3" x14ac:dyDescent="0.2">
      <c r="A1360" s="23"/>
      <c r="C1360" s="4"/>
    </row>
    <row r="1361" spans="1:3" x14ac:dyDescent="0.2">
      <c r="A1361" s="23"/>
      <c r="C1361" s="4"/>
    </row>
    <row r="1362" spans="1:3" x14ac:dyDescent="0.2">
      <c r="A1362" s="23"/>
      <c r="C1362" s="4"/>
    </row>
    <row r="1363" spans="1:3" x14ac:dyDescent="0.2">
      <c r="A1363" s="23"/>
      <c r="C1363" s="4"/>
    </row>
    <row r="1364" spans="1:3" x14ac:dyDescent="0.2">
      <c r="A1364" s="23"/>
      <c r="C1364" s="4"/>
    </row>
    <row r="1365" spans="1:3" x14ac:dyDescent="0.2">
      <c r="A1365" s="23"/>
      <c r="C1365" s="4"/>
    </row>
    <row r="1366" spans="1:3" x14ac:dyDescent="0.2">
      <c r="A1366" s="23"/>
      <c r="C1366" s="4"/>
    </row>
    <row r="1367" spans="1:3" x14ac:dyDescent="0.2">
      <c r="A1367" s="23"/>
      <c r="C1367" s="4"/>
    </row>
    <row r="1368" spans="1:3" x14ac:dyDescent="0.2">
      <c r="A1368" s="23"/>
      <c r="C1368" s="4"/>
    </row>
    <row r="1369" spans="1:3" x14ac:dyDescent="0.2">
      <c r="A1369" s="23"/>
      <c r="C1369" s="4"/>
    </row>
    <row r="1370" spans="1:3" x14ac:dyDescent="0.2">
      <c r="A1370" s="23"/>
      <c r="C1370" s="4"/>
    </row>
    <row r="1371" spans="1:3" x14ac:dyDescent="0.2">
      <c r="A1371" s="23"/>
      <c r="C1371" s="4"/>
    </row>
    <row r="1372" spans="1:3" x14ac:dyDescent="0.2">
      <c r="A1372" s="23"/>
      <c r="C1372" s="4"/>
    </row>
    <row r="1373" spans="1:3" x14ac:dyDescent="0.2">
      <c r="A1373" s="23"/>
      <c r="C1373" s="4"/>
    </row>
    <row r="1374" spans="1:3" x14ac:dyDescent="0.2">
      <c r="A1374" s="23"/>
      <c r="C1374" s="4"/>
    </row>
    <row r="1375" spans="1:3" x14ac:dyDescent="0.2">
      <c r="A1375" s="23"/>
      <c r="C1375" s="4"/>
    </row>
    <row r="1376" spans="1:3" x14ac:dyDescent="0.2">
      <c r="A1376" s="23"/>
      <c r="C1376" s="4"/>
    </row>
    <row r="1377" spans="1:3" x14ac:dyDescent="0.2">
      <c r="A1377" s="23"/>
      <c r="C1377" s="4"/>
    </row>
    <row r="1378" spans="1:3" x14ac:dyDescent="0.2">
      <c r="A1378" s="23"/>
      <c r="C1378" s="4"/>
    </row>
    <row r="1379" spans="1:3" x14ac:dyDescent="0.2">
      <c r="A1379" s="23"/>
      <c r="C1379" s="4"/>
    </row>
    <row r="1380" spans="1:3" x14ac:dyDescent="0.2">
      <c r="A1380" s="23"/>
      <c r="C1380" s="4"/>
    </row>
    <row r="1381" spans="1:3" x14ac:dyDescent="0.2">
      <c r="A1381" s="23"/>
      <c r="C1381" s="4"/>
    </row>
    <row r="1382" spans="1:3" x14ac:dyDescent="0.2">
      <c r="A1382" s="23"/>
      <c r="C1382" s="4"/>
    </row>
    <row r="1383" spans="1:3" x14ac:dyDescent="0.2">
      <c r="A1383" s="23"/>
      <c r="C1383" s="4"/>
    </row>
    <row r="1384" spans="1:3" x14ac:dyDescent="0.2">
      <c r="A1384" s="23"/>
      <c r="C1384" s="4"/>
    </row>
    <row r="1385" spans="1:3" x14ac:dyDescent="0.2">
      <c r="A1385" s="23"/>
      <c r="C1385" s="4"/>
    </row>
    <row r="1386" spans="1:3" x14ac:dyDescent="0.2">
      <c r="A1386" s="23"/>
      <c r="C1386" s="4"/>
    </row>
    <row r="1387" spans="1:3" x14ac:dyDescent="0.2">
      <c r="A1387" s="23"/>
      <c r="C1387" s="4"/>
    </row>
    <row r="1388" spans="1:3" x14ac:dyDescent="0.2">
      <c r="A1388" s="23"/>
      <c r="C1388" s="4"/>
    </row>
    <row r="1389" spans="1:3" x14ac:dyDescent="0.2">
      <c r="A1389" s="23"/>
      <c r="C1389" s="4"/>
    </row>
    <row r="1390" spans="1:3" x14ac:dyDescent="0.2">
      <c r="A1390" s="23"/>
      <c r="C1390" s="4"/>
    </row>
    <row r="1391" spans="1:3" x14ac:dyDescent="0.2">
      <c r="A1391" s="23"/>
      <c r="C1391" s="4"/>
    </row>
    <row r="1392" spans="1:3" x14ac:dyDescent="0.2">
      <c r="A1392" s="23"/>
      <c r="C1392" s="4"/>
    </row>
    <row r="1393" spans="1:3" x14ac:dyDescent="0.2">
      <c r="A1393" s="23"/>
      <c r="C1393" s="4"/>
    </row>
    <row r="1394" spans="1:3" x14ac:dyDescent="0.2">
      <c r="A1394" s="23"/>
      <c r="C1394" s="4"/>
    </row>
    <row r="1395" spans="1:3" x14ac:dyDescent="0.2">
      <c r="A1395" s="23"/>
      <c r="C1395" s="4"/>
    </row>
    <row r="1396" spans="1:3" x14ac:dyDescent="0.2">
      <c r="A1396" s="23"/>
      <c r="C1396" s="4"/>
    </row>
    <row r="1397" spans="1:3" x14ac:dyDescent="0.2">
      <c r="A1397" s="23"/>
      <c r="C1397" s="4"/>
    </row>
    <row r="1398" spans="1:3" x14ac:dyDescent="0.2">
      <c r="A1398" s="23"/>
      <c r="C1398" s="4"/>
    </row>
    <row r="1399" spans="1:3" x14ac:dyDescent="0.2">
      <c r="A1399" s="23"/>
      <c r="C1399" s="4"/>
    </row>
    <row r="1400" spans="1:3" x14ac:dyDescent="0.2">
      <c r="A1400" s="23"/>
      <c r="C1400" s="4"/>
    </row>
    <row r="1401" spans="1:3" x14ac:dyDescent="0.2">
      <c r="A1401" s="23"/>
      <c r="C1401" s="4"/>
    </row>
    <row r="1402" spans="1:3" x14ac:dyDescent="0.2">
      <c r="A1402" s="23"/>
      <c r="C1402" s="4"/>
    </row>
    <row r="1403" spans="1:3" x14ac:dyDescent="0.2">
      <c r="A1403" s="23"/>
      <c r="C1403" s="4"/>
    </row>
    <row r="1404" spans="1:3" x14ac:dyDescent="0.2">
      <c r="A1404" s="23"/>
      <c r="C1404" s="4"/>
    </row>
    <row r="1405" spans="1:3" x14ac:dyDescent="0.2">
      <c r="A1405" s="23"/>
      <c r="C1405" s="4"/>
    </row>
    <row r="1406" spans="1:3" x14ac:dyDescent="0.2">
      <c r="A1406" s="23"/>
      <c r="C1406" s="4"/>
    </row>
    <row r="1407" spans="1:3" x14ac:dyDescent="0.2">
      <c r="A1407" s="23"/>
      <c r="C1407" s="4"/>
    </row>
    <row r="1408" spans="1:3" x14ac:dyDescent="0.2">
      <c r="A1408" s="23"/>
      <c r="C1408" s="4"/>
    </row>
    <row r="1409" spans="1:3" x14ac:dyDescent="0.2">
      <c r="A1409" s="23"/>
      <c r="C1409" s="4"/>
    </row>
    <row r="1410" spans="1:3" x14ac:dyDescent="0.2">
      <c r="A1410" s="23"/>
      <c r="C1410" s="4"/>
    </row>
    <row r="1411" spans="1:3" x14ac:dyDescent="0.2">
      <c r="A1411" s="23"/>
      <c r="C1411" s="4"/>
    </row>
    <row r="1412" spans="1:3" x14ac:dyDescent="0.2">
      <c r="A1412" s="23"/>
      <c r="C1412" s="4"/>
    </row>
    <row r="1413" spans="1:3" x14ac:dyDescent="0.2">
      <c r="A1413" s="23"/>
      <c r="C1413" s="4"/>
    </row>
    <row r="1414" spans="1:3" x14ac:dyDescent="0.2">
      <c r="A1414" s="23"/>
      <c r="C1414" s="4"/>
    </row>
    <row r="1415" spans="1:3" x14ac:dyDescent="0.2">
      <c r="A1415" s="23"/>
      <c r="C1415" s="4"/>
    </row>
    <row r="1416" spans="1:3" x14ac:dyDescent="0.2">
      <c r="A1416" s="23"/>
      <c r="C1416" s="4"/>
    </row>
    <row r="1417" spans="1:3" x14ac:dyDescent="0.2">
      <c r="A1417" s="23"/>
      <c r="C1417" s="4"/>
    </row>
    <row r="1418" spans="1:3" x14ac:dyDescent="0.2">
      <c r="A1418" s="23"/>
      <c r="C1418" s="4"/>
    </row>
    <row r="1419" spans="1:3" x14ac:dyDescent="0.2">
      <c r="A1419" s="23"/>
      <c r="C1419" s="4"/>
    </row>
    <row r="1420" spans="1:3" x14ac:dyDescent="0.2">
      <c r="A1420" s="23"/>
      <c r="C1420" s="4"/>
    </row>
    <row r="1421" spans="1:3" x14ac:dyDescent="0.2">
      <c r="A1421" s="23"/>
      <c r="C1421" s="4"/>
    </row>
    <row r="1422" spans="1:3" x14ac:dyDescent="0.2">
      <c r="A1422" s="23"/>
      <c r="C1422" s="4"/>
    </row>
    <row r="1423" spans="1:3" x14ac:dyDescent="0.2">
      <c r="A1423" s="23"/>
      <c r="C1423" s="4"/>
    </row>
    <row r="1424" spans="1:3" x14ac:dyDescent="0.2">
      <c r="A1424" s="23"/>
      <c r="C1424" s="4"/>
    </row>
    <row r="1425" spans="1:3" x14ac:dyDescent="0.2">
      <c r="A1425" s="23"/>
      <c r="C1425" s="4"/>
    </row>
    <row r="1426" spans="1:3" x14ac:dyDescent="0.2">
      <c r="A1426" s="23"/>
      <c r="C1426" s="4"/>
    </row>
    <row r="1427" spans="1:3" x14ac:dyDescent="0.2">
      <c r="A1427" s="23"/>
      <c r="C1427" s="4"/>
    </row>
    <row r="1428" spans="1:3" x14ac:dyDescent="0.2">
      <c r="A1428" s="23"/>
      <c r="C1428" s="4"/>
    </row>
    <row r="1429" spans="1:3" x14ac:dyDescent="0.2">
      <c r="A1429" s="23"/>
      <c r="C1429" s="4"/>
    </row>
    <row r="1430" spans="1:3" x14ac:dyDescent="0.2">
      <c r="A1430" s="23"/>
      <c r="C1430" s="4"/>
    </row>
    <row r="1431" spans="1:3" x14ac:dyDescent="0.2">
      <c r="A1431" s="23"/>
      <c r="C1431" s="4"/>
    </row>
    <row r="1432" spans="1:3" x14ac:dyDescent="0.2">
      <c r="A1432" s="23"/>
      <c r="C1432" s="4"/>
    </row>
    <row r="1433" spans="1:3" x14ac:dyDescent="0.2">
      <c r="A1433" s="23"/>
      <c r="C1433" s="4"/>
    </row>
    <row r="1434" spans="1:3" x14ac:dyDescent="0.2">
      <c r="A1434" s="23"/>
      <c r="C1434" s="4"/>
    </row>
    <row r="1435" spans="1:3" x14ac:dyDescent="0.2">
      <c r="A1435" s="23"/>
      <c r="C1435" s="4"/>
    </row>
    <row r="1436" spans="1:3" x14ac:dyDescent="0.2">
      <c r="A1436" s="23"/>
      <c r="C1436" s="4"/>
    </row>
    <row r="1437" spans="1:3" x14ac:dyDescent="0.2">
      <c r="A1437" s="23"/>
      <c r="C1437" s="4"/>
    </row>
    <row r="1438" spans="1:3" x14ac:dyDescent="0.2">
      <c r="A1438" s="23"/>
      <c r="C1438" s="4"/>
    </row>
    <row r="1439" spans="1:3" x14ac:dyDescent="0.2">
      <c r="A1439" s="23"/>
      <c r="C1439" s="4"/>
    </row>
    <row r="1440" spans="1:3" x14ac:dyDescent="0.2">
      <c r="A1440" s="23"/>
      <c r="C1440" s="4"/>
    </row>
    <row r="1441" spans="1:3" x14ac:dyDescent="0.2">
      <c r="A1441" s="23"/>
      <c r="C1441" s="4"/>
    </row>
    <row r="1442" spans="1:3" x14ac:dyDescent="0.2">
      <c r="A1442" s="23"/>
      <c r="C1442" s="4"/>
    </row>
    <row r="1443" spans="1:3" x14ac:dyDescent="0.2">
      <c r="A1443" s="23"/>
      <c r="C1443" s="4"/>
    </row>
    <row r="1444" spans="1:3" x14ac:dyDescent="0.2">
      <c r="A1444" s="23"/>
      <c r="C1444" s="4"/>
    </row>
    <row r="1445" spans="1:3" x14ac:dyDescent="0.2">
      <c r="A1445" s="23"/>
      <c r="C1445" s="4"/>
    </row>
    <row r="1446" spans="1:3" x14ac:dyDescent="0.2">
      <c r="A1446" s="23"/>
      <c r="C1446" s="4"/>
    </row>
    <row r="1447" spans="1:3" x14ac:dyDescent="0.2">
      <c r="A1447" s="23"/>
      <c r="C1447" s="4"/>
    </row>
    <row r="1448" spans="1:3" x14ac:dyDescent="0.2">
      <c r="A1448" s="23"/>
      <c r="C1448" s="4"/>
    </row>
    <row r="1449" spans="1:3" x14ac:dyDescent="0.2">
      <c r="A1449" s="23"/>
      <c r="C1449" s="4"/>
    </row>
    <row r="1450" spans="1:3" x14ac:dyDescent="0.2">
      <c r="A1450" s="23"/>
      <c r="C1450" s="4"/>
    </row>
    <row r="1451" spans="1:3" x14ac:dyDescent="0.2">
      <c r="A1451" s="23"/>
      <c r="C1451" s="4"/>
    </row>
    <row r="1452" spans="1:3" x14ac:dyDescent="0.2">
      <c r="A1452" s="23"/>
      <c r="C1452" s="4"/>
    </row>
    <row r="1453" spans="1:3" x14ac:dyDescent="0.2">
      <c r="A1453" s="23"/>
      <c r="C1453" s="4"/>
    </row>
    <row r="1454" spans="1:3" x14ac:dyDescent="0.2">
      <c r="A1454" s="23"/>
      <c r="C1454" s="4"/>
    </row>
    <row r="1455" spans="1:3" x14ac:dyDescent="0.2">
      <c r="A1455" s="23"/>
      <c r="C1455" s="4"/>
    </row>
    <row r="1456" spans="1:3" x14ac:dyDescent="0.2">
      <c r="A1456" s="23"/>
      <c r="C1456" s="4"/>
    </row>
    <row r="1457" spans="1:3" x14ac:dyDescent="0.2">
      <c r="A1457" s="23"/>
      <c r="C1457" s="4"/>
    </row>
    <row r="1458" spans="1:3" x14ac:dyDescent="0.2">
      <c r="A1458" s="23"/>
      <c r="C1458" s="4"/>
    </row>
    <row r="1459" spans="1:3" x14ac:dyDescent="0.2">
      <c r="A1459" s="23"/>
      <c r="C1459" s="4"/>
    </row>
    <row r="1460" spans="1:3" x14ac:dyDescent="0.2">
      <c r="A1460" s="23"/>
      <c r="C1460" s="4"/>
    </row>
    <row r="1461" spans="1:3" x14ac:dyDescent="0.2">
      <c r="A1461" s="23"/>
      <c r="C1461" s="4"/>
    </row>
    <row r="1462" spans="1:3" x14ac:dyDescent="0.2">
      <c r="A1462" s="23"/>
      <c r="C1462" s="4"/>
    </row>
    <row r="1463" spans="1:3" x14ac:dyDescent="0.2">
      <c r="A1463" s="23"/>
      <c r="C1463" s="4"/>
    </row>
    <row r="1464" spans="1:3" x14ac:dyDescent="0.2">
      <c r="A1464" s="23"/>
      <c r="C1464" s="4"/>
    </row>
    <row r="1465" spans="1:3" x14ac:dyDescent="0.2">
      <c r="A1465" s="23"/>
      <c r="C1465" s="4"/>
    </row>
    <row r="1466" spans="1:3" x14ac:dyDescent="0.2">
      <c r="A1466" s="23"/>
      <c r="C1466" s="4"/>
    </row>
    <row r="1467" spans="1:3" x14ac:dyDescent="0.2">
      <c r="A1467" s="23"/>
      <c r="C1467" s="4"/>
    </row>
    <row r="1468" spans="1:3" x14ac:dyDescent="0.2">
      <c r="A1468" s="23"/>
      <c r="C1468" s="4"/>
    </row>
    <row r="1469" spans="1:3" x14ac:dyDescent="0.2">
      <c r="A1469" s="23"/>
      <c r="C1469" s="4"/>
    </row>
    <row r="1470" spans="1:3" x14ac:dyDescent="0.2">
      <c r="A1470" s="23"/>
      <c r="C1470" s="4"/>
    </row>
    <row r="1471" spans="1:3" x14ac:dyDescent="0.2">
      <c r="A1471" s="23"/>
      <c r="C1471" s="4"/>
    </row>
    <row r="1472" spans="1:3" x14ac:dyDescent="0.2">
      <c r="A1472" s="23"/>
      <c r="C1472" s="4"/>
    </row>
    <row r="1473" spans="1:3" x14ac:dyDescent="0.2">
      <c r="A1473" s="23"/>
      <c r="C1473" s="4"/>
    </row>
    <row r="1474" spans="1:3" x14ac:dyDescent="0.2">
      <c r="A1474" s="23"/>
      <c r="C1474" s="4"/>
    </row>
    <row r="1475" spans="1:3" x14ac:dyDescent="0.2">
      <c r="A1475" s="23"/>
      <c r="C1475" s="4"/>
    </row>
    <row r="1476" spans="1:3" x14ac:dyDescent="0.2">
      <c r="A1476" s="23"/>
      <c r="C1476" s="4"/>
    </row>
    <row r="1477" spans="1:3" x14ac:dyDescent="0.2">
      <c r="A1477" s="23"/>
      <c r="C1477" s="4"/>
    </row>
    <row r="1478" spans="1:3" x14ac:dyDescent="0.2">
      <c r="A1478" s="23"/>
      <c r="C1478" s="4"/>
    </row>
    <row r="1479" spans="1:3" x14ac:dyDescent="0.2">
      <c r="A1479" s="23"/>
      <c r="C1479" s="4"/>
    </row>
    <row r="1480" spans="1:3" x14ac:dyDescent="0.2">
      <c r="A1480" s="23"/>
      <c r="C1480" s="4"/>
    </row>
    <row r="1481" spans="1:3" x14ac:dyDescent="0.2">
      <c r="A1481" s="23"/>
      <c r="C1481" s="4"/>
    </row>
    <row r="1482" spans="1:3" x14ac:dyDescent="0.2">
      <c r="A1482" s="23"/>
      <c r="C1482" s="4"/>
    </row>
    <row r="1483" spans="1:3" x14ac:dyDescent="0.2">
      <c r="A1483" s="23"/>
      <c r="C1483" s="4"/>
    </row>
    <row r="1484" spans="1:3" x14ac:dyDescent="0.2">
      <c r="A1484" s="23"/>
      <c r="C1484" s="4"/>
    </row>
    <row r="1485" spans="1:3" x14ac:dyDescent="0.2">
      <c r="A1485" s="23"/>
      <c r="C1485" s="4"/>
    </row>
    <row r="1486" spans="1:3" x14ac:dyDescent="0.2">
      <c r="A1486" s="23"/>
      <c r="C1486" s="4"/>
    </row>
    <row r="1487" spans="1:3" x14ac:dyDescent="0.2">
      <c r="A1487" s="23"/>
      <c r="C1487" s="4"/>
    </row>
    <row r="1488" spans="1:3" x14ac:dyDescent="0.2">
      <c r="A1488" s="23"/>
      <c r="C1488" s="4"/>
    </row>
    <row r="1489" spans="1:3" x14ac:dyDescent="0.2">
      <c r="A1489" s="23"/>
      <c r="C1489" s="4"/>
    </row>
    <row r="1490" spans="1:3" x14ac:dyDescent="0.2">
      <c r="A1490" s="23"/>
      <c r="C1490" s="4"/>
    </row>
    <row r="1491" spans="1:3" x14ac:dyDescent="0.2">
      <c r="A1491" s="23"/>
      <c r="C1491" s="4"/>
    </row>
    <row r="1492" spans="1:3" x14ac:dyDescent="0.2">
      <c r="A1492" s="23"/>
      <c r="C1492" s="4"/>
    </row>
    <row r="1493" spans="1:3" x14ac:dyDescent="0.2">
      <c r="A1493" s="23"/>
      <c r="C1493" s="4"/>
    </row>
    <row r="1494" spans="1:3" x14ac:dyDescent="0.2">
      <c r="A1494" s="23"/>
      <c r="C1494" s="4"/>
    </row>
    <row r="1495" spans="1:3" x14ac:dyDescent="0.2">
      <c r="A1495" s="23"/>
      <c r="C1495" s="4"/>
    </row>
    <row r="1496" spans="1:3" x14ac:dyDescent="0.2">
      <c r="A1496" s="23"/>
      <c r="C1496" s="4"/>
    </row>
    <row r="1497" spans="1:3" x14ac:dyDescent="0.2">
      <c r="A1497" s="23"/>
      <c r="C1497" s="4"/>
    </row>
    <row r="1498" spans="1:3" x14ac:dyDescent="0.2">
      <c r="A1498" s="23"/>
      <c r="C1498" s="4"/>
    </row>
    <row r="1499" spans="1:3" x14ac:dyDescent="0.2">
      <c r="A1499" s="23"/>
      <c r="C1499" s="4"/>
    </row>
    <row r="1500" spans="1:3" x14ac:dyDescent="0.2">
      <c r="A1500" s="23"/>
      <c r="C1500" s="4"/>
    </row>
    <row r="1501" spans="1:3" x14ac:dyDescent="0.2">
      <c r="A1501" s="23"/>
      <c r="C1501" s="4"/>
    </row>
    <row r="1502" spans="1:3" x14ac:dyDescent="0.2">
      <c r="A1502" s="23"/>
      <c r="C1502" s="4"/>
    </row>
    <row r="1503" spans="1:3" x14ac:dyDescent="0.2">
      <c r="A1503" s="23"/>
      <c r="C1503" s="4"/>
    </row>
    <row r="1504" spans="1:3" x14ac:dyDescent="0.2">
      <c r="A1504" s="23"/>
      <c r="C1504" s="4"/>
    </row>
    <row r="1505" spans="1:3" x14ac:dyDescent="0.2">
      <c r="A1505" s="23"/>
      <c r="C1505" s="4"/>
    </row>
    <row r="1506" spans="1:3" x14ac:dyDescent="0.2">
      <c r="A1506" s="23"/>
      <c r="C1506" s="4"/>
    </row>
    <row r="1507" spans="1:3" x14ac:dyDescent="0.2">
      <c r="A1507" s="23"/>
      <c r="C1507" s="4"/>
    </row>
    <row r="1508" spans="1:3" x14ac:dyDescent="0.2">
      <c r="A1508" s="23"/>
      <c r="C1508" s="4"/>
    </row>
    <row r="1509" spans="1:3" x14ac:dyDescent="0.2">
      <c r="A1509" s="23"/>
      <c r="C1509" s="4"/>
    </row>
    <row r="1510" spans="1:3" x14ac:dyDescent="0.2">
      <c r="A1510" s="23"/>
      <c r="C1510" s="4"/>
    </row>
    <row r="1511" spans="1:3" x14ac:dyDescent="0.2">
      <c r="A1511" s="23"/>
      <c r="C1511" s="4"/>
    </row>
    <row r="1512" spans="1:3" x14ac:dyDescent="0.2">
      <c r="A1512" s="23"/>
      <c r="C1512" s="4"/>
    </row>
    <row r="1513" spans="1:3" x14ac:dyDescent="0.2">
      <c r="A1513" s="23"/>
      <c r="C1513" s="4"/>
    </row>
    <row r="1514" spans="1:3" x14ac:dyDescent="0.2">
      <c r="A1514" s="23"/>
      <c r="C1514" s="4"/>
    </row>
    <row r="1515" spans="1:3" x14ac:dyDescent="0.2">
      <c r="A1515" s="23"/>
      <c r="C1515" s="4"/>
    </row>
    <row r="1516" spans="1:3" x14ac:dyDescent="0.2">
      <c r="A1516" s="23"/>
      <c r="C1516" s="4"/>
    </row>
    <row r="1517" spans="1:3" x14ac:dyDescent="0.2">
      <c r="A1517" s="23"/>
      <c r="C1517" s="4"/>
    </row>
    <row r="1518" spans="1:3" x14ac:dyDescent="0.2">
      <c r="A1518" s="23"/>
      <c r="C1518" s="4"/>
    </row>
    <row r="1519" spans="1:3" x14ac:dyDescent="0.2">
      <c r="A1519" s="23"/>
      <c r="C1519" s="4"/>
    </row>
    <row r="1520" spans="1:3" x14ac:dyDescent="0.2">
      <c r="A1520" s="23"/>
      <c r="C1520" s="4"/>
    </row>
    <row r="1521" spans="1:3" x14ac:dyDescent="0.2">
      <c r="A1521" s="23"/>
      <c r="C1521" s="4"/>
    </row>
    <row r="1522" spans="1:3" x14ac:dyDescent="0.2">
      <c r="A1522" s="23"/>
      <c r="C1522" s="4"/>
    </row>
    <row r="1523" spans="1:3" x14ac:dyDescent="0.2">
      <c r="A1523" s="23"/>
      <c r="C1523" s="4"/>
    </row>
    <row r="1524" spans="1:3" x14ac:dyDescent="0.2">
      <c r="A1524" s="23"/>
      <c r="C1524" s="4"/>
    </row>
    <row r="1525" spans="1:3" x14ac:dyDescent="0.2">
      <c r="A1525" s="23"/>
      <c r="C1525" s="4"/>
    </row>
    <row r="1526" spans="1:3" x14ac:dyDescent="0.2">
      <c r="A1526" s="23"/>
      <c r="C1526" s="4"/>
    </row>
    <row r="1527" spans="1:3" x14ac:dyDescent="0.2">
      <c r="A1527" s="23"/>
      <c r="C1527" s="4"/>
    </row>
    <row r="1528" spans="1:3" x14ac:dyDescent="0.2">
      <c r="A1528" s="23"/>
      <c r="C1528" s="4"/>
    </row>
    <row r="1529" spans="1:3" x14ac:dyDescent="0.2">
      <c r="A1529" s="23"/>
      <c r="C1529" s="4"/>
    </row>
    <row r="1530" spans="1:3" x14ac:dyDescent="0.2">
      <c r="A1530" s="23"/>
      <c r="C1530" s="4"/>
    </row>
    <row r="1531" spans="1:3" x14ac:dyDescent="0.2">
      <c r="A1531" s="23"/>
      <c r="C1531" s="4"/>
    </row>
    <row r="1532" spans="1:3" x14ac:dyDescent="0.2">
      <c r="A1532" s="23"/>
      <c r="C1532" s="4"/>
    </row>
    <row r="1533" spans="1:3" x14ac:dyDescent="0.2">
      <c r="A1533" s="23"/>
      <c r="C1533" s="4"/>
    </row>
    <row r="1534" spans="1:3" x14ac:dyDescent="0.2">
      <c r="A1534" s="23"/>
      <c r="C1534" s="4"/>
    </row>
    <row r="1535" spans="1:3" x14ac:dyDescent="0.2">
      <c r="A1535" s="23"/>
      <c r="C1535" s="4"/>
    </row>
    <row r="1536" spans="1:3" x14ac:dyDescent="0.2">
      <c r="A1536" s="23"/>
      <c r="C1536" s="4"/>
    </row>
    <row r="1537" spans="1:3" x14ac:dyDescent="0.2">
      <c r="A1537" s="23"/>
      <c r="C1537" s="4"/>
    </row>
    <row r="1538" spans="1:3" x14ac:dyDescent="0.2">
      <c r="A1538" s="23"/>
      <c r="C1538" s="4"/>
    </row>
    <row r="1539" spans="1:3" x14ac:dyDescent="0.2">
      <c r="A1539" s="23"/>
      <c r="C1539" s="4"/>
    </row>
    <row r="1540" spans="1:3" x14ac:dyDescent="0.2">
      <c r="A1540" s="23"/>
      <c r="C1540" s="4"/>
    </row>
    <row r="1541" spans="1:3" x14ac:dyDescent="0.2">
      <c r="A1541" s="23"/>
      <c r="C1541" s="4"/>
    </row>
    <row r="1542" spans="1:3" x14ac:dyDescent="0.2">
      <c r="A1542" s="23"/>
      <c r="C1542" s="4"/>
    </row>
    <row r="1543" spans="1:3" x14ac:dyDescent="0.2">
      <c r="A1543" s="23"/>
      <c r="C1543" s="4"/>
    </row>
    <row r="1544" spans="1:3" x14ac:dyDescent="0.2">
      <c r="A1544" s="23"/>
      <c r="C1544" s="4"/>
    </row>
    <row r="1545" spans="1:3" x14ac:dyDescent="0.2">
      <c r="A1545" s="23"/>
      <c r="C1545" s="4"/>
    </row>
    <row r="1546" spans="1:3" x14ac:dyDescent="0.2">
      <c r="A1546" s="23"/>
      <c r="C1546" s="4"/>
    </row>
    <row r="1547" spans="1:3" x14ac:dyDescent="0.2">
      <c r="A1547" s="23"/>
      <c r="C1547" s="4"/>
    </row>
    <row r="1548" spans="1:3" x14ac:dyDescent="0.2">
      <c r="A1548" s="23"/>
      <c r="C1548" s="4"/>
    </row>
    <row r="1549" spans="1:3" x14ac:dyDescent="0.2">
      <c r="A1549" s="23"/>
      <c r="C1549" s="4"/>
    </row>
    <row r="1550" spans="1:3" x14ac:dyDescent="0.2">
      <c r="A1550" s="23"/>
      <c r="C1550" s="4"/>
    </row>
    <row r="1551" spans="1:3" x14ac:dyDescent="0.2">
      <c r="A1551" s="23"/>
      <c r="C1551" s="4"/>
    </row>
    <row r="1552" spans="1:3" x14ac:dyDescent="0.2">
      <c r="A1552" s="23"/>
      <c r="C1552" s="4"/>
    </row>
    <row r="1553" spans="1:3" x14ac:dyDescent="0.2">
      <c r="A1553" s="23"/>
      <c r="C1553" s="4"/>
    </row>
    <row r="1554" spans="1:3" x14ac:dyDescent="0.2">
      <c r="A1554" s="23"/>
      <c r="C1554" s="4"/>
    </row>
    <row r="1555" spans="1:3" x14ac:dyDescent="0.2">
      <c r="A1555" s="23"/>
      <c r="C1555" s="4"/>
    </row>
    <row r="1556" spans="1:3" x14ac:dyDescent="0.2">
      <c r="A1556" s="23"/>
      <c r="C1556" s="4"/>
    </row>
    <row r="1557" spans="1:3" x14ac:dyDescent="0.2">
      <c r="A1557" s="23"/>
      <c r="C1557" s="4"/>
    </row>
    <row r="1558" spans="1:3" x14ac:dyDescent="0.2">
      <c r="A1558" s="23"/>
      <c r="C1558" s="4"/>
    </row>
    <row r="1559" spans="1:3" x14ac:dyDescent="0.2">
      <c r="A1559" s="23"/>
      <c r="C1559" s="4"/>
    </row>
    <row r="1560" spans="1:3" x14ac:dyDescent="0.2">
      <c r="A1560" s="23"/>
      <c r="C1560" s="4"/>
    </row>
    <row r="1561" spans="1:3" x14ac:dyDescent="0.2">
      <c r="A1561" s="23"/>
      <c r="C1561" s="4"/>
    </row>
    <row r="1562" spans="1:3" x14ac:dyDescent="0.2">
      <c r="A1562" s="23"/>
      <c r="C1562" s="4"/>
    </row>
    <row r="1563" spans="1:3" x14ac:dyDescent="0.2">
      <c r="A1563" s="23"/>
      <c r="C1563" s="4"/>
    </row>
    <row r="1564" spans="1:3" x14ac:dyDescent="0.2">
      <c r="A1564" s="23"/>
      <c r="C1564" s="4"/>
    </row>
    <row r="1565" spans="1:3" x14ac:dyDescent="0.2">
      <c r="A1565" s="23"/>
      <c r="C1565" s="4"/>
    </row>
    <row r="1566" spans="1:3" x14ac:dyDescent="0.2">
      <c r="A1566" s="23"/>
      <c r="C1566" s="4"/>
    </row>
    <row r="1567" spans="1:3" x14ac:dyDescent="0.2">
      <c r="A1567" s="23"/>
      <c r="C1567" s="4"/>
    </row>
    <row r="1568" spans="1:3" x14ac:dyDescent="0.2">
      <c r="A1568" s="23"/>
      <c r="C1568" s="4"/>
    </row>
    <row r="1569" spans="1:3" x14ac:dyDescent="0.2">
      <c r="A1569" s="23"/>
      <c r="C1569" s="4"/>
    </row>
    <row r="1570" spans="1:3" x14ac:dyDescent="0.2">
      <c r="A1570" s="23"/>
      <c r="C1570" s="4"/>
    </row>
    <row r="1571" spans="1:3" x14ac:dyDescent="0.2">
      <c r="A1571" s="23"/>
      <c r="C1571" s="4"/>
    </row>
    <row r="1572" spans="1:3" x14ac:dyDescent="0.2">
      <c r="A1572" s="23"/>
      <c r="C1572" s="4"/>
    </row>
    <row r="1573" spans="1:3" x14ac:dyDescent="0.2">
      <c r="A1573" s="23"/>
      <c r="C1573" s="4"/>
    </row>
    <row r="1574" spans="1:3" x14ac:dyDescent="0.2">
      <c r="A1574" s="23"/>
      <c r="C1574" s="4"/>
    </row>
    <row r="1575" spans="1:3" x14ac:dyDescent="0.2">
      <c r="A1575" s="23"/>
      <c r="C1575" s="4"/>
    </row>
    <row r="1576" spans="1:3" x14ac:dyDescent="0.2">
      <c r="A1576" s="23"/>
      <c r="C1576" s="4"/>
    </row>
    <row r="1577" spans="1:3" x14ac:dyDescent="0.2">
      <c r="A1577" s="23"/>
      <c r="C1577" s="4"/>
    </row>
    <row r="1578" spans="1:3" x14ac:dyDescent="0.2">
      <c r="A1578" s="23"/>
      <c r="C1578" s="4"/>
    </row>
    <row r="1579" spans="1:3" x14ac:dyDescent="0.2">
      <c r="A1579" s="23"/>
      <c r="C1579" s="4"/>
    </row>
    <row r="1580" spans="1:3" x14ac:dyDescent="0.2">
      <c r="A1580" s="23"/>
      <c r="C1580" s="4"/>
    </row>
    <row r="1581" spans="1:3" x14ac:dyDescent="0.2">
      <c r="A1581" s="23"/>
      <c r="C1581" s="4"/>
    </row>
    <row r="1582" spans="1:3" x14ac:dyDescent="0.2">
      <c r="A1582" s="23"/>
      <c r="C1582" s="4"/>
    </row>
    <row r="1583" spans="1:3" x14ac:dyDescent="0.2">
      <c r="A1583" s="23"/>
      <c r="C1583" s="4"/>
    </row>
    <row r="1584" spans="1:3" x14ac:dyDescent="0.2">
      <c r="A1584" s="23"/>
      <c r="C1584" s="4"/>
    </row>
    <row r="1585" spans="1:3" x14ac:dyDescent="0.2">
      <c r="A1585" s="23"/>
      <c r="C1585" s="4"/>
    </row>
    <row r="1586" spans="1:3" x14ac:dyDescent="0.2">
      <c r="A1586" s="23"/>
      <c r="C1586" s="4"/>
    </row>
    <row r="1587" spans="1:3" x14ac:dyDescent="0.2">
      <c r="A1587" s="23"/>
      <c r="C1587" s="4"/>
    </row>
    <row r="1588" spans="1:3" x14ac:dyDescent="0.2">
      <c r="A1588" s="23"/>
      <c r="C1588" s="4"/>
    </row>
    <row r="1589" spans="1:3" x14ac:dyDescent="0.2">
      <c r="A1589" s="23"/>
      <c r="C1589" s="4"/>
    </row>
    <row r="1590" spans="1:3" x14ac:dyDescent="0.2">
      <c r="A1590" s="23"/>
      <c r="C1590" s="4"/>
    </row>
    <row r="1591" spans="1:3" x14ac:dyDescent="0.2">
      <c r="A1591" s="23"/>
      <c r="C1591" s="4"/>
    </row>
    <row r="1592" spans="1:3" x14ac:dyDescent="0.2">
      <c r="A1592" s="23"/>
      <c r="C1592" s="4"/>
    </row>
    <row r="1593" spans="1:3" x14ac:dyDescent="0.2">
      <c r="A1593" s="23"/>
      <c r="C1593" s="4"/>
    </row>
    <row r="1594" spans="1:3" x14ac:dyDescent="0.2">
      <c r="A1594" s="23"/>
      <c r="C1594" s="4"/>
    </row>
    <row r="1595" spans="1:3" x14ac:dyDescent="0.2">
      <c r="A1595" s="23"/>
      <c r="C1595" s="4"/>
    </row>
    <row r="1596" spans="1:3" x14ac:dyDescent="0.2">
      <c r="A1596" s="23"/>
      <c r="C1596" s="4"/>
    </row>
    <row r="1597" spans="1:3" x14ac:dyDescent="0.2">
      <c r="A1597" s="23"/>
      <c r="C1597" s="4"/>
    </row>
    <row r="1598" spans="1:3" x14ac:dyDescent="0.2">
      <c r="A1598" s="23"/>
      <c r="C1598" s="4"/>
    </row>
    <row r="1599" spans="1:3" x14ac:dyDescent="0.2">
      <c r="A1599" s="23"/>
      <c r="C1599" s="4"/>
    </row>
    <row r="1600" spans="1:3" x14ac:dyDescent="0.2">
      <c r="A1600" s="23"/>
      <c r="C1600" s="4"/>
    </row>
    <row r="1601" spans="1:3" x14ac:dyDescent="0.2">
      <c r="A1601" s="23"/>
      <c r="C1601" s="4"/>
    </row>
    <row r="1602" spans="1:3" x14ac:dyDescent="0.2">
      <c r="A1602" s="23"/>
      <c r="C1602" s="4"/>
    </row>
    <row r="1603" spans="1:3" x14ac:dyDescent="0.2">
      <c r="A1603" s="23"/>
      <c r="C1603" s="4"/>
    </row>
    <row r="1604" spans="1:3" x14ac:dyDescent="0.2">
      <c r="A1604" s="23"/>
      <c r="C1604" s="4"/>
    </row>
    <row r="1605" spans="1:3" x14ac:dyDescent="0.2">
      <c r="A1605" s="23"/>
      <c r="C1605" s="4"/>
    </row>
    <row r="1606" spans="1:3" x14ac:dyDescent="0.2">
      <c r="A1606" s="23"/>
      <c r="C1606" s="4"/>
    </row>
    <row r="1607" spans="1:3" x14ac:dyDescent="0.2">
      <c r="A1607" s="23"/>
      <c r="C1607" s="4"/>
    </row>
    <row r="1608" spans="1:3" x14ac:dyDescent="0.2">
      <c r="A1608" s="23"/>
      <c r="C1608" s="4"/>
    </row>
    <row r="1609" spans="1:3" x14ac:dyDescent="0.2">
      <c r="A1609" s="23"/>
      <c r="C1609" s="4"/>
    </row>
    <row r="1610" spans="1:3" x14ac:dyDescent="0.2">
      <c r="A1610" s="23"/>
      <c r="C1610" s="4"/>
    </row>
    <row r="1611" spans="1:3" x14ac:dyDescent="0.2">
      <c r="A1611" s="23"/>
      <c r="C1611" s="4"/>
    </row>
    <row r="1612" spans="1:3" x14ac:dyDescent="0.2">
      <c r="A1612" s="23"/>
      <c r="C1612" s="4"/>
    </row>
    <row r="1613" spans="1:3" x14ac:dyDescent="0.2">
      <c r="A1613" s="23"/>
      <c r="C1613" s="4"/>
    </row>
    <row r="1614" spans="1:3" x14ac:dyDescent="0.2">
      <c r="A1614" s="23"/>
      <c r="C1614" s="4"/>
    </row>
    <row r="1615" spans="1:3" x14ac:dyDescent="0.2">
      <c r="A1615" s="23"/>
      <c r="C1615" s="4"/>
    </row>
    <row r="1616" spans="1:3" x14ac:dyDescent="0.2">
      <c r="A1616" s="23"/>
      <c r="C1616" s="4"/>
    </row>
    <row r="1617" spans="1:3" x14ac:dyDescent="0.2">
      <c r="A1617" s="23"/>
      <c r="C1617" s="4"/>
    </row>
    <row r="1618" spans="1:3" x14ac:dyDescent="0.2">
      <c r="A1618" s="23"/>
      <c r="C1618" s="4"/>
    </row>
    <row r="1619" spans="1:3" x14ac:dyDescent="0.2">
      <c r="A1619" s="23"/>
      <c r="C1619" s="4"/>
    </row>
    <row r="1620" spans="1:3" x14ac:dyDescent="0.2">
      <c r="A1620" s="23"/>
      <c r="C1620" s="4"/>
    </row>
    <row r="1621" spans="1:3" x14ac:dyDescent="0.2">
      <c r="A1621" s="23"/>
      <c r="C1621" s="4"/>
    </row>
    <row r="1622" spans="1:3" x14ac:dyDescent="0.2">
      <c r="A1622" s="23"/>
      <c r="C1622" s="4"/>
    </row>
    <row r="1623" spans="1:3" x14ac:dyDescent="0.2">
      <c r="A1623" s="23"/>
      <c r="C1623" s="4"/>
    </row>
    <row r="1624" spans="1:3" x14ac:dyDescent="0.2">
      <c r="A1624" s="23"/>
      <c r="C1624" s="4"/>
    </row>
    <row r="1625" spans="1:3" x14ac:dyDescent="0.2">
      <c r="A1625" s="23"/>
      <c r="C1625" s="4"/>
    </row>
    <row r="1626" spans="1:3" x14ac:dyDescent="0.2">
      <c r="A1626" s="23"/>
      <c r="C1626" s="4"/>
    </row>
    <row r="1627" spans="1:3" x14ac:dyDescent="0.2">
      <c r="A1627" s="23"/>
      <c r="C1627" s="4"/>
    </row>
    <row r="1628" spans="1:3" x14ac:dyDescent="0.2">
      <c r="A1628" s="23"/>
      <c r="C1628" s="4"/>
    </row>
    <row r="1629" spans="1:3" x14ac:dyDescent="0.2">
      <c r="A1629" s="23"/>
      <c r="C1629" s="4"/>
    </row>
    <row r="1630" spans="1:3" x14ac:dyDescent="0.2">
      <c r="A1630" s="23"/>
      <c r="C1630" s="4"/>
    </row>
    <row r="1631" spans="1:3" x14ac:dyDescent="0.2">
      <c r="A1631" s="23"/>
      <c r="C1631" s="4"/>
    </row>
    <row r="1632" spans="1:3" x14ac:dyDescent="0.2">
      <c r="A1632" s="23"/>
      <c r="C1632" s="4"/>
    </row>
    <row r="1633" spans="1:3" x14ac:dyDescent="0.2">
      <c r="A1633" s="23"/>
      <c r="C1633" s="4"/>
    </row>
    <row r="1634" spans="1:3" x14ac:dyDescent="0.2">
      <c r="A1634" s="23"/>
      <c r="C1634" s="4"/>
    </row>
    <row r="1635" spans="1:3" x14ac:dyDescent="0.2">
      <c r="A1635" s="23"/>
      <c r="C1635" s="4"/>
    </row>
    <row r="1636" spans="1:3" x14ac:dyDescent="0.2">
      <c r="A1636" s="23"/>
      <c r="C1636" s="4"/>
    </row>
    <row r="1637" spans="1:3" x14ac:dyDescent="0.2">
      <c r="A1637" s="23"/>
      <c r="C1637" s="4"/>
    </row>
    <row r="1638" spans="1:3" x14ac:dyDescent="0.2">
      <c r="A1638" s="23"/>
      <c r="C1638" s="4"/>
    </row>
    <row r="1639" spans="1:3" x14ac:dyDescent="0.2">
      <c r="A1639" s="23"/>
      <c r="C1639" s="4"/>
    </row>
    <row r="1640" spans="1:3" x14ac:dyDescent="0.2">
      <c r="A1640" s="23"/>
      <c r="C1640" s="4"/>
    </row>
    <row r="1641" spans="1:3" x14ac:dyDescent="0.2">
      <c r="A1641" s="23"/>
      <c r="C1641" s="4"/>
    </row>
    <row r="1642" spans="1:3" x14ac:dyDescent="0.2">
      <c r="A1642" s="23"/>
      <c r="C1642" s="4"/>
    </row>
    <row r="1643" spans="1:3" x14ac:dyDescent="0.2">
      <c r="A1643" s="23"/>
      <c r="C1643" s="4"/>
    </row>
    <row r="1644" spans="1:3" x14ac:dyDescent="0.2">
      <c r="A1644" s="23"/>
      <c r="C1644" s="4"/>
    </row>
    <row r="1645" spans="1:3" x14ac:dyDescent="0.2">
      <c r="A1645" s="23"/>
      <c r="C1645" s="4"/>
    </row>
    <row r="1646" spans="1:3" x14ac:dyDescent="0.2">
      <c r="A1646" s="23"/>
      <c r="C1646" s="4"/>
    </row>
    <row r="1647" spans="1:3" x14ac:dyDescent="0.2">
      <c r="A1647" s="23"/>
      <c r="C1647" s="4"/>
    </row>
    <row r="1648" spans="1:3" x14ac:dyDescent="0.2">
      <c r="A1648" s="23"/>
      <c r="C1648" s="4"/>
    </row>
    <row r="1649" spans="1:3" x14ac:dyDescent="0.2">
      <c r="A1649" s="23"/>
      <c r="C1649" s="4"/>
    </row>
    <row r="1650" spans="1:3" x14ac:dyDescent="0.2">
      <c r="A1650" s="23"/>
      <c r="C1650" s="4"/>
    </row>
    <row r="1651" spans="1:3" x14ac:dyDescent="0.2">
      <c r="A1651" s="23"/>
      <c r="C1651" s="4"/>
    </row>
    <row r="1652" spans="1:3" x14ac:dyDescent="0.2">
      <c r="A1652" s="23"/>
      <c r="C1652" s="4"/>
    </row>
    <row r="1653" spans="1:3" x14ac:dyDescent="0.2">
      <c r="A1653" s="23"/>
      <c r="C1653" s="4"/>
    </row>
    <row r="1654" spans="1:3" x14ac:dyDescent="0.2">
      <c r="A1654" s="23"/>
      <c r="C1654" s="4"/>
    </row>
    <row r="1655" spans="1:3" x14ac:dyDescent="0.2">
      <c r="A1655" s="23"/>
      <c r="C1655" s="4"/>
    </row>
    <row r="1656" spans="1:3" x14ac:dyDescent="0.2">
      <c r="A1656" s="23"/>
      <c r="C1656" s="4"/>
    </row>
    <row r="1657" spans="1:3" x14ac:dyDescent="0.2">
      <c r="A1657" s="23"/>
      <c r="C1657" s="4"/>
    </row>
    <row r="1658" spans="1:3" x14ac:dyDescent="0.2">
      <c r="A1658" s="23"/>
      <c r="C1658" s="4"/>
    </row>
    <row r="1659" spans="1:3" x14ac:dyDescent="0.2">
      <c r="A1659" s="23"/>
      <c r="C1659" s="4"/>
    </row>
    <row r="1660" spans="1:3" x14ac:dyDescent="0.2">
      <c r="A1660" s="23"/>
      <c r="C1660" s="4"/>
    </row>
    <row r="1661" spans="1:3" x14ac:dyDescent="0.2">
      <c r="A1661" s="23"/>
      <c r="C1661" s="4"/>
    </row>
    <row r="1662" spans="1:3" x14ac:dyDescent="0.2">
      <c r="A1662" s="23"/>
      <c r="C1662" s="4"/>
    </row>
    <row r="1663" spans="1:3" x14ac:dyDescent="0.2">
      <c r="A1663" s="23"/>
      <c r="C1663" s="4"/>
    </row>
    <row r="1664" spans="1:3" x14ac:dyDescent="0.2">
      <c r="A1664" s="23"/>
      <c r="C1664" s="4"/>
    </row>
    <row r="1665" spans="1:3" x14ac:dyDescent="0.2">
      <c r="A1665" s="23"/>
      <c r="C1665" s="4"/>
    </row>
    <row r="1666" spans="1:3" x14ac:dyDescent="0.2">
      <c r="A1666" s="23"/>
      <c r="C1666" s="4"/>
    </row>
    <row r="1667" spans="1:3" x14ac:dyDescent="0.2">
      <c r="A1667" s="23"/>
      <c r="C1667" s="4"/>
    </row>
    <row r="1668" spans="1:3" x14ac:dyDescent="0.2">
      <c r="A1668" s="23"/>
      <c r="C1668" s="4"/>
    </row>
    <row r="1669" spans="1:3" x14ac:dyDescent="0.2">
      <c r="A1669" s="23"/>
      <c r="C1669" s="4"/>
    </row>
    <row r="1670" spans="1:3" x14ac:dyDescent="0.2">
      <c r="A1670" s="23"/>
      <c r="C1670" s="4"/>
    </row>
    <row r="1671" spans="1:3" x14ac:dyDescent="0.2">
      <c r="A1671" s="23"/>
      <c r="C1671" s="4"/>
    </row>
    <row r="1672" spans="1:3" x14ac:dyDescent="0.2">
      <c r="A1672" s="23"/>
      <c r="C1672" s="4"/>
    </row>
    <row r="1673" spans="1:3" x14ac:dyDescent="0.2">
      <c r="A1673" s="23"/>
      <c r="C1673" s="4"/>
    </row>
    <row r="1674" spans="1:3" x14ac:dyDescent="0.2">
      <c r="A1674" s="23"/>
      <c r="C1674" s="4"/>
    </row>
    <row r="1675" spans="1:3" x14ac:dyDescent="0.2">
      <c r="A1675" s="23"/>
      <c r="C1675" s="4"/>
    </row>
    <row r="1676" spans="1:3" x14ac:dyDescent="0.2">
      <c r="A1676" s="23"/>
      <c r="C1676" s="4"/>
    </row>
    <row r="1677" spans="1:3" x14ac:dyDescent="0.2">
      <c r="A1677" s="23"/>
      <c r="C1677" s="4"/>
    </row>
    <row r="1678" spans="1:3" x14ac:dyDescent="0.2">
      <c r="A1678" s="23"/>
      <c r="C1678" s="4"/>
    </row>
    <row r="1679" spans="1:3" x14ac:dyDescent="0.2">
      <c r="A1679" s="23"/>
      <c r="C1679" s="4"/>
    </row>
    <row r="1680" spans="1:3" x14ac:dyDescent="0.2">
      <c r="A1680" s="23"/>
      <c r="C1680" s="4"/>
    </row>
    <row r="1681" spans="1:3" x14ac:dyDescent="0.2">
      <c r="A1681" s="23"/>
      <c r="C1681" s="4"/>
    </row>
    <row r="1682" spans="1:3" x14ac:dyDescent="0.2">
      <c r="A1682" s="23"/>
      <c r="C1682" s="4"/>
    </row>
    <row r="1683" spans="1:3" x14ac:dyDescent="0.2">
      <c r="A1683" s="23"/>
      <c r="C1683" s="4"/>
    </row>
    <row r="1684" spans="1:3" x14ac:dyDescent="0.2">
      <c r="A1684" s="23"/>
      <c r="C1684" s="4"/>
    </row>
    <row r="1685" spans="1:3" x14ac:dyDescent="0.2">
      <c r="A1685" s="23"/>
      <c r="C1685" s="4"/>
    </row>
    <row r="1686" spans="1:3" x14ac:dyDescent="0.2">
      <c r="A1686" s="23"/>
      <c r="C1686" s="4"/>
    </row>
    <row r="1687" spans="1:3" x14ac:dyDescent="0.2">
      <c r="A1687" s="23"/>
      <c r="C1687" s="4"/>
    </row>
    <row r="1688" spans="1:3" x14ac:dyDescent="0.2">
      <c r="A1688" s="23"/>
      <c r="C1688" s="4"/>
    </row>
    <row r="1689" spans="1:3" x14ac:dyDescent="0.2">
      <c r="A1689" s="23"/>
      <c r="C1689" s="4"/>
    </row>
    <row r="1690" spans="1:3" x14ac:dyDescent="0.2">
      <c r="A1690" s="23"/>
      <c r="C1690" s="4"/>
    </row>
    <row r="1691" spans="1:3" x14ac:dyDescent="0.2">
      <c r="A1691" s="23"/>
      <c r="C1691" s="4"/>
    </row>
    <row r="1692" spans="1:3" x14ac:dyDescent="0.2">
      <c r="A1692" s="23"/>
      <c r="C1692" s="4"/>
    </row>
    <row r="1693" spans="1:3" x14ac:dyDescent="0.2">
      <c r="A1693" s="23"/>
      <c r="C1693" s="4"/>
    </row>
    <row r="1694" spans="1:3" x14ac:dyDescent="0.2">
      <c r="A1694" s="23"/>
      <c r="C1694" s="4"/>
    </row>
    <row r="1695" spans="1:3" x14ac:dyDescent="0.2">
      <c r="A1695" s="23"/>
      <c r="C1695" s="4"/>
    </row>
    <row r="1696" spans="1:3" x14ac:dyDescent="0.2">
      <c r="A1696" s="23"/>
      <c r="C1696" s="4"/>
    </row>
    <row r="1697" spans="1:3" x14ac:dyDescent="0.2">
      <c r="A1697" s="23"/>
      <c r="C1697" s="4"/>
    </row>
    <row r="1698" spans="1:3" x14ac:dyDescent="0.2">
      <c r="A1698" s="23"/>
      <c r="C1698" s="4"/>
    </row>
    <row r="1699" spans="1:3" x14ac:dyDescent="0.2">
      <c r="A1699" s="23"/>
      <c r="C1699" s="4"/>
    </row>
    <row r="1700" spans="1:3" x14ac:dyDescent="0.2">
      <c r="A1700" s="23"/>
      <c r="C1700" s="4"/>
    </row>
    <row r="1701" spans="1:3" x14ac:dyDescent="0.2">
      <c r="A1701" s="23"/>
      <c r="C1701" s="4"/>
    </row>
    <row r="1702" spans="1:3" x14ac:dyDescent="0.2">
      <c r="A1702" s="23"/>
      <c r="C1702" s="4"/>
    </row>
    <row r="1703" spans="1:3" x14ac:dyDescent="0.2">
      <c r="A1703" s="23"/>
      <c r="C1703" s="4"/>
    </row>
    <row r="1704" spans="1:3" x14ac:dyDescent="0.2">
      <c r="A1704" s="23"/>
      <c r="C1704" s="4"/>
    </row>
    <row r="1705" spans="1:3" x14ac:dyDescent="0.2">
      <c r="A1705" s="23"/>
      <c r="C1705" s="4"/>
    </row>
    <row r="1706" spans="1:3" x14ac:dyDescent="0.2">
      <c r="A1706" s="23"/>
      <c r="C1706" s="4"/>
    </row>
    <row r="1707" spans="1:3" x14ac:dyDescent="0.2">
      <c r="A1707" s="23"/>
      <c r="C1707" s="4"/>
    </row>
    <row r="1708" spans="1:3" x14ac:dyDescent="0.2">
      <c r="A1708" s="23"/>
      <c r="C1708" s="4"/>
    </row>
    <row r="1709" spans="1:3" x14ac:dyDescent="0.2">
      <c r="A1709" s="23"/>
      <c r="C1709" s="4"/>
    </row>
    <row r="1710" spans="1:3" x14ac:dyDescent="0.2">
      <c r="A1710" s="23"/>
      <c r="C1710" s="4"/>
    </row>
    <row r="1711" spans="1:3" x14ac:dyDescent="0.2">
      <c r="A1711" s="23"/>
      <c r="C1711" s="4"/>
    </row>
    <row r="1712" spans="1:3" x14ac:dyDescent="0.2">
      <c r="A1712" s="23"/>
      <c r="C1712" s="4"/>
    </row>
    <row r="1713" spans="1:3" x14ac:dyDescent="0.2">
      <c r="A1713" s="23"/>
      <c r="C1713" s="4"/>
    </row>
    <row r="1714" spans="1:3" x14ac:dyDescent="0.2">
      <c r="A1714" s="23"/>
      <c r="C1714" s="4"/>
    </row>
    <row r="1715" spans="1:3" x14ac:dyDescent="0.2">
      <c r="A1715" s="23"/>
      <c r="C1715" s="4"/>
    </row>
    <row r="1716" spans="1:3" x14ac:dyDescent="0.2">
      <c r="A1716" s="23"/>
      <c r="C1716" s="4"/>
    </row>
    <row r="1717" spans="1:3" x14ac:dyDescent="0.2">
      <c r="A1717" s="23"/>
      <c r="C1717" s="4"/>
    </row>
    <row r="1718" spans="1:3" x14ac:dyDescent="0.2">
      <c r="A1718" s="23"/>
      <c r="C1718" s="4"/>
    </row>
    <row r="1719" spans="1:3" x14ac:dyDescent="0.2">
      <c r="A1719" s="23"/>
      <c r="C1719" s="4"/>
    </row>
    <row r="1720" spans="1:3" x14ac:dyDescent="0.2">
      <c r="A1720" s="23"/>
      <c r="C1720" s="4"/>
    </row>
    <row r="1721" spans="1:3" x14ac:dyDescent="0.2">
      <c r="A1721" s="23"/>
      <c r="C1721" s="4"/>
    </row>
    <row r="1722" spans="1:3" x14ac:dyDescent="0.2">
      <c r="A1722" s="23"/>
      <c r="C1722" s="4"/>
    </row>
    <row r="1723" spans="1:3" x14ac:dyDescent="0.2">
      <c r="A1723" s="23"/>
      <c r="C1723" s="4"/>
    </row>
    <row r="1724" spans="1:3" x14ac:dyDescent="0.2">
      <c r="A1724" s="23"/>
      <c r="C1724" s="4"/>
    </row>
    <row r="1725" spans="1:3" x14ac:dyDescent="0.2">
      <c r="A1725" s="23"/>
      <c r="C1725" s="4"/>
    </row>
    <row r="1726" spans="1:3" x14ac:dyDescent="0.2">
      <c r="A1726" s="23"/>
      <c r="C1726" s="4"/>
    </row>
    <row r="1727" spans="1:3" x14ac:dyDescent="0.2">
      <c r="A1727" s="23"/>
      <c r="C1727" s="4"/>
    </row>
    <row r="1728" spans="1:3" x14ac:dyDescent="0.2">
      <c r="A1728" s="23"/>
      <c r="C1728" s="4"/>
    </row>
    <row r="1729" spans="1:3" x14ac:dyDescent="0.2">
      <c r="A1729" s="23"/>
      <c r="C1729" s="4"/>
    </row>
    <row r="1730" spans="1:3" x14ac:dyDescent="0.2">
      <c r="A1730" s="23"/>
      <c r="C1730" s="4"/>
    </row>
    <row r="1731" spans="1:3" x14ac:dyDescent="0.2">
      <c r="A1731" s="23"/>
      <c r="C1731" s="4"/>
    </row>
    <row r="1732" spans="1:3" x14ac:dyDescent="0.2">
      <c r="A1732" s="23"/>
      <c r="C1732" s="4"/>
    </row>
    <row r="1733" spans="1:3" x14ac:dyDescent="0.2">
      <c r="A1733" s="23"/>
      <c r="C1733" s="4"/>
    </row>
    <row r="1734" spans="1:3" x14ac:dyDescent="0.2">
      <c r="A1734" s="23"/>
      <c r="C1734" s="4"/>
    </row>
    <row r="1735" spans="1:3" x14ac:dyDescent="0.2">
      <c r="A1735" s="23"/>
      <c r="C1735" s="4"/>
    </row>
    <row r="1736" spans="1:3" x14ac:dyDescent="0.2">
      <c r="A1736" s="23"/>
      <c r="C1736" s="4"/>
    </row>
    <row r="1737" spans="1:3" x14ac:dyDescent="0.2">
      <c r="A1737" s="23"/>
      <c r="C1737" s="4"/>
    </row>
    <row r="1738" spans="1:3" x14ac:dyDescent="0.2">
      <c r="A1738" s="23"/>
      <c r="C1738" s="4"/>
    </row>
    <row r="1739" spans="1:3" x14ac:dyDescent="0.2">
      <c r="A1739" s="23"/>
      <c r="C1739" s="4"/>
    </row>
    <row r="1740" spans="1:3" x14ac:dyDescent="0.2">
      <c r="A1740" s="23"/>
      <c r="C1740" s="4"/>
    </row>
    <row r="1741" spans="1:3" x14ac:dyDescent="0.2">
      <c r="A1741" s="23"/>
      <c r="C1741" s="4"/>
    </row>
    <row r="1742" spans="1:3" x14ac:dyDescent="0.2">
      <c r="A1742" s="23"/>
      <c r="C1742" s="4"/>
    </row>
    <row r="1743" spans="1:3" x14ac:dyDescent="0.2">
      <c r="A1743" s="23"/>
      <c r="C1743" s="4"/>
    </row>
    <row r="1744" spans="1:3" x14ac:dyDescent="0.2">
      <c r="A1744" s="23"/>
      <c r="C1744" s="4"/>
    </row>
    <row r="1745" spans="1:3" x14ac:dyDescent="0.2">
      <c r="A1745" s="23"/>
      <c r="C1745" s="4"/>
    </row>
    <row r="1746" spans="1:3" x14ac:dyDescent="0.2">
      <c r="A1746" s="23"/>
      <c r="C1746" s="4"/>
    </row>
    <row r="1747" spans="1:3" x14ac:dyDescent="0.2">
      <c r="A1747" s="23"/>
      <c r="C1747" s="4"/>
    </row>
    <row r="1748" spans="1:3" x14ac:dyDescent="0.2">
      <c r="A1748" s="23"/>
      <c r="C1748" s="4"/>
    </row>
    <row r="1749" spans="1:3" x14ac:dyDescent="0.2">
      <c r="A1749" s="23"/>
      <c r="C1749" s="4"/>
    </row>
    <row r="1750" spans="1:3" x14ac:dyDescent="0.2">
      <c r="A1750" s="23"/>
      <c r="C1750" s="4"/>
    </row>
    <row r="1751" spans="1:3" x14ac:dyDescent="0.2">
      <c r="A1751" s="23"/>
      <c r="C1751" s="4"/>
    </row>
    <row r="1752" spans="1:3" x14ac:dyDescent="0.2">
      <c r="A1752" s="23"/>
      <c r="C1752" s="4"/>
    </row>
    <row r="1753" spans="1:3" x14ac:dyDescent="0.2">
      <c r="A1753" s="23"/>
      <c r="C1753" s="4"/>
    </row>
    <row r="1754" spans="1:3" x14ac:dyDescent="0.2">
      <c r="A1754" s="23"/>
      <c r="C1754" s="4"/>
    </row>
    <row r="1755" spans="1:3" x14ac:dyDescent="0.2">
      <c r="A1755" s="23"/>
      <c r="C1755" s="4"/>
    </row>
    <row r="1756" spans="1:3" x14ac:dyDescent="0.2">
      <c r="A1756" s="23"/>
      <c r="C1756" s="4"/>
    </row>
    <row r="1757" spans="1:3" x14ac:dyDescent="0.2">
      <c r="A1757" s="23"/>
      <c r="C1757" s="4"/>
    </row>
    <row r="1758" spans="1:3" x14ac:dyDescent="0.2">
      <c r="A1758" s="23"/>
      <c r="C1758" s="4"/>
    </row>
    <row r="1759" spans="1:3" x14ac:dyDescent="0.2">
      <c r="A1759" s="23"/>
      <c r="C1759" s="4"/>
    </row>
    <row r="1760" spans="1:3" x14ac:dyDescent="0.2">
      <c r="A1760" s="23"/>
      <c r="C1760" s="4"/>
    </row>
    <row r="1761" spans="1:3" x14ac:dyDescent="0.2">
      <c r="A1761" s="23"/>
      <c r="C1761" s="4"/>
    </row>
    <row r="1762" spans="1:3" x14ac:dyDescent="0.2">
      <c r="A1762" s="23"/>
      <c r="C1762" s="4"/>
    </row>
    <row r="1763" spans="1:3" x14ac:dyDescent="0.2">
      <c r="A1763" s="23"/>
      <c r="C1763" s="4"/>
    </row>
    <row r="1764" spans="1:3" x14ac:dyDescent="0.2">
      <c r="A1764" s="23"/>
      <c r="C1764" s="4"/>
    </row>
    <row r="1765" spans="1:3" x14ac:dyDescent="0.2">
      <c r="A1765" s="23"/>
      <c r="C1765" s="4"/>
    </row>
    <row r="1766" spans="1:3" x14ac:dyDescent="0.2">
      <c r="A1766" s="23"/>
      <c r="C1766" s="4"/>
    </row>
    <row r="1767" spans="1:3" x14ac:dyDescent="0.2">
      <c r="A1767" s="23"/>
      <c r="C1767" s="4"/>
    </row>
    <row r="1768" spans="1:3" x14ac:dyDescent="0.2">
      <c r="A1768" s="23"/>
      <c r="C1768" s="4"/>
    </row>
    <row r="1769" spans="1:3" x14ac:dyDescent="0.2">
      <c r="A1769" s="23"/>
      <c r="C1769" s="4"/>
    </row>
    <row r="1770" spans="1:3" x14ac:dyDescent="0.2">
      <c r="A1770" s="23"/>
      <c r="C1770" s="4"/>
    </row>
    <row r="1771" spans="1:3" x14ac:dyDescent="0.2">
      <c r="A1771" s="23"/>
      <c r="C1771" s="4"/>
    </row>
    <row r="1772" spans="1:3" x14ac:dyDescent="0.2">
      <c r="A1772" s="23"/>
      <c r="C1772" s="4"/>
    </row>
    <row r="1773" spans="1:3" x14ac:dyDescent="0.2">
      <c r="A1773" s="23"/>
      <c r="C1773" s="4"/>
    </row>
    <row r="1774" spans="1:3" x14ac:dyDescent="0.2">
      <c r="A1774" s="23"/>
      <c r="C1774" s="4"/>
    </row>
    <row r="1775" spans="1:3" x14ac:dyDescent="0.2">
      <c r="A1775" s="23"/>
      <c r="C1775" s="4"/>
    </row>
    <row r="1776" spans="1:3" x14ac:dyDescent="0.2">
      <c r="A1776" s="23"/>
      <c r="C1776" s="4"/>
    </row>
    <row r="1777" spans="1:3" x14ac:dyDescent="0.2">
      <c r="A1777" s="23"/>
      <c r="C1777" s="4"/>
    </row>
    <row r="1778" spans="1:3" x14ac:dyDescent="0.2">
      <c r="A1778" s="23"/>
      <c r="C1778" s="4"/>
    </row>
    <row r="1779" spans="1:3" x14ac:dyDescent="0.2">
      <c r="A1779" s="23"/>
      <c r="C1779" s="4"/>
    </row>
    <row r="1780" spans="1:3" x14ac:dyDescent="0.2">
      <c r="A1780" s="23"/>
      <c r="C1780" s="4"/>
    </row>
    <row r="1781" spans="1:3" x14ac:dyDescent="0.2">
      <c r="A1781" s="23"/>
      <c r="C1781" s="4"/>
    </row>
    <row r="1782" spans="1:3" x14ac:dyDescent="0.2">
      <c r="A1782" s="23"/>
      <c r="C1782" s="4"/>
    </row>
    <row r="1783" spans="1:3" x14ac:dyDescent="0.2">
      <c r="A1783" s="23"/>
      <c r="C1783" s="4"/>
    </row>
    <row r="1784" spans="1:3" x14ac:dyDescent="0.2">
      <c r="A1784" s="23"/>
      <c r="C1784" s="4"/>
    </row>
    <row r="1785" spans="1:3" x14ac:dyDescent="0.2">
      <c r="A1785" s="23"/>
      <c r="C1785" s="4"/>
    </row>
    <row r="1786" spans="1:3" x14ac:dyDescent="0.2">
      <c r="A1786" s="23"/>
      <c r="C1786" s="4"/>
    </row>
    <row r="1787" spans="1:3" x14ac:dyDescent="0.2">
      <c r="A1787" s="23"/>
      <c r="C1787" s="4"/>
    </row>
    <row r="1788" spans="1:3" x14ac:dyDescent="0.2">
      <c r="A1788" s="23"/>
      <c r="C1788" s="4"/>
    </row>
    <row r="1789" spans="1:3" x14ac:dyDescent="0.2">
      <c r="A1789" s="23"/>
      <c r="C1789" s="4"/>
    </row>
    <row r="1790" spans="1:3" x14ac:dyDescent="0.2">
      <c r="A1790" s="23"/>
      <c r="C1790" s="4"/>
    </row>
    <row r="1791" spans="1:3" x14ac:dyDescent="0.2">
      <c r="A1791" s="23"/>
      <c r="C1791" s="4"/>
    </row>
    <row r="1792" spans="1:3" x14ac:dyDescent="0.2">
      <c r="A1792" s="23"/>
      <c r="C1792" s="4"/>
    </row>
    <row r="1793" spans="1:3" x14ac:dyDescent="0.2">
      <c r="A1793" s="23"/>
      <c r="C1793" s="4"/>
    </row>
    <row r="1794" spans="1:3" x14ac:dyDescent="0.2">
      <c r="A1794" s="23"/>
      <c r="C1794" s="4"/>
    </row>
    <row r="1795" spans="1:3" x14ac:dyDescent="0.2">
      <c r="A1795" s="23"/>
      <c r="C1795" s="4"/>
    </row>
    <row r="1796" spans="1:3" x14ac:dyDescent="0.2">
      <c r="A1796" s="23"/>
      <c r="C1796" s="4"/>
    </row>
    <row r="1797" spans="1:3" x14ac:dyDescent="0.2">
      <c r="A1797" s="23"/>
      <c r="C1797" s="4"/>
    </row>
    <row r="1798" spans="1:3" x14ac:dyDescent="0.2">
      <c r="A1798" s="23"/>
      <c r="C1798" s="4"/>
    </row>
    <row r="1799" spans="1:3" x14ac:dyDescent="0.2">
      <c r="A1799" s="23"/>
      <c r="C1799" s="4"/>
    </row>
    <row r="1800" spans="1:3" x14ac:dyDescent="0.2">
      <c r="A1800" s="23"/>
      <c r="C1800" s="4"/>
    </row>
    <row r="1801" spans="1:3" x14ac:dyDescent="0.2">
      <c r="A1801" s="23"/>
      <c r="C1801" s="4"/>
    </row>
    <row r="1802" spans="1:3" x14ac:dyDescent="0.2">
      <c r="A1802" s="23"/>
      <c r="C1802" s="4"/>
    </row>
    <row r="1803" spans="1:3" x14ac:dyDescent="0.2">
      <c r="A1803" s="23"/>
      <c r="C1803" s="4"/>
    </row>
    <row r="1804" spans="1:3" x14ac:dyDescent="0.2">
      <c r="A1804" s="23"/>
      <c r="C1804" s="4"/>
    </row>
    <row r="1805" spans="1:3" x14ac:dyDescent="0.2">
      <c r="A1805" s="23"/>
      <c r="C1805" s="4"/>
    </row>
    <row r="1806" spans="1:3" x14ac:dyDescent="0.2">
      <c r="A1806" s="23"/>
      <c r="C1806" s="4"/>
    </row>
    <row r="1807" spans="1:3" x14ac:dyDescent="0.2">
      <c r="A1807" s="23"/>
      <c r="C1807" s="4"/>
    </row>
    <row r="1808" spans="1:3" x14ac:dyDescent="0.2">
      <c r="A1808" s="23"/>
      <c r="C1808" s="4"/>
    </row>
    <row r="1809" spans="1:3" x14ac:dyDescent="0.2">
      <c r="A1809" s="23"/>
      <c r="C1809" s="4"/>
    </row>
    <row r="1810" spans="1:3" x14ac:dyDescent="0.2">
      <c r="A1810" s="23"/>
      <c r="C1810" s="4"/>
    </row>
    <row r="1811" spans="1:3" x14ac:dyDescent="0.2">
      <c r="A1811" s="23"/>
      <c r="C1811" s="4"/>
    </row>
    <row r="1812" spans="1:3" x14ac:dyDescent="0.2">
      <c r="A1812" s="23"/>
      <c r="C1812" s="4"/>
    </row>
    <row r="1813" spans="1:3" x14ac:dyDescent="0.2">
      <c r="A1813" s="23"/>
      <c r="C1813" s="4"/>
    </row>
    <row r="1814" spans="1:3" x14ac:dyDescent="0.2">
      <c r="A1814" s="23"/>
      <c r="C1814" s="4"/>
    </row>
    <row r="1815" spans="1:3" x14ac:dyDescent="0.2">
      <c r="A1815" s="23"/>
      <c r="C1815" s="4"/>
    </row>
    <row r="1816" spans="1:3" x14ac:dyDescent="0.2">
      <c r="A1816" s="23"/>
      <c r="C1816" s="4"/>
    </row>
    <row r="1817" spans="1:3" x14ac:dyDescent="0.2">
      <c r="A1817" s="23"/>
      <c r="C1817" s="4"/>
    </row>
    <row r="1818" spans="1:3" x14ac:dyDescent="0.2">
      <c r="A1818" s="23"/>
      <c r="C1818" s="4"/>
    </row>
    <row r="1819" spans="1:3" x14ac:dyDescent="0.2">
      <c r="A1819" s="23"/>
      <c r="C1819" s="4"/>
    </row>
    <row r="1820" spans="1:3" x14ac:dyDescent="0.2">
      <c r="A1820" s="23"/>
      <c r="C1820" s="4"/>
    </row>
    <row r="1821" spans="1:3" x14ac:dyDescent="0.2">
      <c r="A1821" s="23"/>
      <c r="C1821" s="4"/>
    </row>
    <row r="1822" spans="1:3" x14ac:dyDescent="0.2">
      <c r="A1822" s="23"/>
      <c r="C1822" s="4"/>
    </row>
    <row r="1823" spans="1:3" x14ac:dyDescent="0.2">
      <c r="A1823" s="23"/>
      <c r="C1823" s="4"/>
    </row>
    <row r="1824" spans="1:3" x14ac:dyDescent="0.2">
      <c r="A1824" s="23"/>
      <c r="C1824" s="4"/>
    </row>
    <row r="1825" spans="1:3" x14ac:dyDescent="0.2">
      <c r="A1825" s="23"/>
      <c r="C1825" s="4"/>
    </row>
    <row r="1826" spans="1:3" x14ac:dyDescent="0.2">
      <c r="A1826" s="23"/>
      <c r="C1826" s="4"/>
    </row>
    <row r="1827" spans="1:3" x14ac:dyDescent="0.2">
      <c r="A1827" s="23"/>
      <c r="C1827" s="4"/>
    </row>
    <row r="1828" spans="1:3" x14ac:dyDescent="0.2">
      <c r="A1828" s="23"/>
      <c r="C1828" s="4"/>
    </row>
    <row r="1829" spans="1:3" x14ac:dyDescent="0.2">
      <c r="A1829" s="23"/>
      <c r="C1829" s="4"/>
    </row>
    <row r="1830" spans="1:3" x14ac:dyDescent="0.2">
      <c r="A1830" s="23"/>
      <c r="C1830" s="4"/>
    </row>
    <row r="1831" spans="1:3" x14ac:dyDescent="0.2">
      <c r="A1831" s="23"/>
      <c r="C1831" s="4"/>
    </row>
    <row r="1832" spans="1:3" x14ac:dyDescent="0.2">
      <c r="A1832" s="23"/>
      <c r="C1832" s="4"/>
    </row>
    <row r="1833" spans="1:3" x14ac:dyDescent="0.2">
      <c r="A1833" s="23"/>
      <c r="C1833" s="4"/>
    </row>
    <row r="1834" spans="1:3" x14ac:dyDescent="0.2">
      <c r="A1834" s="23"/>
      <c r="C1834" s="4"/>
    </row>
    <row r="1835" spans="1:3" x14ac:dyDescent="0.2">
      <c r="A1835" s="23"/>
      <c r="C1835" s="4"/>
    </row>
    <row r="1836" spans="1:3" x14ac:dyDescent="0.2">
      <c r="A1836" s="23"/>
      <c r="C1836" s="4"/>
    </row>
    <row r="1837" spans="1:3" x14ac:dyDescent="0.2">
      <c r="A1837" s="23"/>
      <c r="C1837" s="4"/>
    </row>
    <row r="1838" spans="1:3" x14ac:dyDescent="0.2">
      <c r="A1838" s="23"/>
      <c r="C1838" s="4"/>
    </row>
    <row r="1839" spans="1:3" x14ac:dyDescent="0.2">
      <c r="A1839" s="23"/>
      <c r="C1839" s="4"/>
    </row>
    <row r="1840" spans="1:3" x14ac:dyDescent="0.2">
      <c r="A1840" s="23"/>
      <c r="C1840" s="4"/>
    </row>
    <row r="1841" spans="1:3" x14ac:dyDescent="0.2">
      <c r="A1841" s="23"/>
      <c r="C1841" s="4"/>
    </row>
    <row r="1842" spans="1:3" x14ac:dyDescent="0.2">
      <c r="A1842" s="23"/>
      <c r="C1842" s="4"/>
    </row>
    <row r="1843" spans="1:3" x14ac:dyDescent="0.2">
      <c r="A1843" s="23"/>
      <c r="C1843" s="4"/>
    </row>
    <row r="1844" spans="1:3" x14ac:dyDescent="0.2">
      <c r="A1844" s="23"/>
      <c r="C1844" s="4"/>
    </row>
    <row r="1845" spans="1:3" x14ac:dyDescent="0.2">
      <c r="A1845" s="23"/>
      <c r="C1845" s="4"/>
    </row>
    <row r="1846" spans="1:3" x14ac:dyDescent="0.2">
      <c r="A1846" s="23"/>
      <c r="C1846" s="4"/>
    </row>
    <row r="1847" spans="1:3" x14ac:dyDescent="0.2">
      <c r="A1847" s="23"/>
      <c r="C1847" s="4"/>
    </row>
    <row r="1848" spans="1:3" x14ac:dyDescent="0.2">
      <c r="A1848" s="23"/>
      <c r="C1848" s="4"/>
    </row>
    <row r="1849" spans="1:3" x14ac:dyDescent="0.2">
      <c r="A1849" s="23"/>
      <c r="C1849" s="4"/>
    </row>
    <row r="1850" spans="1:3" x14ac:dyDescent="0.2">
      <c r="A1850" s="23"/>
      <c r="C1850" s="4"/>
    </row>
    <row r="1851" spans="1:3" x14ac:dyDescent="0.2">
      <c r="A1851" s="23"/>
      <c r="C1851" s="4"/>
    </row>
    <row r="1852" spans="1:3" x14ac:dyDescent="0.2">
      <c r="A1852" s="23"/>
      <c r="C1852" s="4"/>
    </row>
    <row r="1853" spans="1:3" x14ac:dyDescent="0.2">
      <c r="A1853" s="23"/>
      <c r="C1853" s="4"/>
    </row>
    <row r="1854" spans="1:3" x14ac:dyDescent="0.2">
      <c r="A1854" s="23"/>
      <c r="C1854" s="4"/>
    </row>
    <row r="1855" spans="1:3" x14ac:dyDescent="0.2">
      <c r="A1855" s="23"/>
      <c r="C1855" s="4"/>
    </row>
    <row r="1856" spans="1:3" x14ac:dyDescent="0.2">
      <c r="A1856" s="23"/>
      <c r="C1856" s="4"/>
    </row>
    <row r="1857" spans="1:3" x14ac:dyDescent="0.2">
      <c r="A1857" s="23"/>
      <c r="C1857" s="4"/>
    </row>
    <row r="1858" spans="1:3" x14ac:dyDescent="0.2">
      <c r="A1858" s="23"/>
      <c r="C1858" s="4"/>
    </row>
    <row r="1859" spans="1:3" x14ac:dyDescent="0.2">
      <c r="A1859" s="23"/>
      <c r="C1859" s="4"/>
    </row>
    <row r="1860" spans="1:3" x14ac:dyDescent="0.2">
      <c r="A1860" s="23"/>
      <c r="C1860" s="4"/>
    </row>
    <row r="1861" spans="1:3" x14ac:dyDescent="0.2">
      <c r="A1861" s="23"/>
      <c r="C1861" s="4"/>
    </row>
    <row r="1862" spans="1:3" x14ac:dyDescent="0.2">
      <c r="A1862" s="23"/>
      <c r="C1862" s="4"/>
    </row>
    <row r="1863" spans="1:3" x14ac:dyDescent="0.2">
      <c r="A1863" s="23"/>
      <c r="C1863" s="4"/>
    </row>
    <row r="1864" spans="1:3" x14ac:dyDescent="0.2">
      <c r="A1864" s="23"/>
      <c r="C1864" s="4"/>
    </row>
    <row r="1865" spans="1:3" x14ac:dyDescent="0.2">
      <c r="A1865" s="23"/>
      <c r="C1865" s="4"/>
    </row>
    <row r="1866" spans="1:3" x14ac:dyDescent="0.2">
      <c r="A1866" s="23"/>
      <c r="C1866" s="4"/>
    </row>
    <row r="1867" spans="1:3" x14ac:dyDescent="0.2">
      <c r="A1867" s="23"/>
      <c r="C1867" s="4"/>
    </row>
    <row r="1868" spans="1:3" x14ac:dyDescent="0.2">
      <c r="A1868" s="23"/>
      <c r="C1868" s="4"/>
    </row>
    <row r="1869" spans="1:3" x14ac:dyDescent="0.2">
      <c r="A1869" s="23"/>
      <c r="C1869" s="4"/>
    </row>
    <row r="1870" spans="1:3" x14ac:dyDescent="0.2">
      <c r="A1870" s="23"/>
      <c r="C1870" s="4"/>
    </row>
    <row r="1871" spans="1:3" x14ac:dyDescent="0.2">
      <c r="A1871" s="23"/>
      <c r="C1871" s="4"/>
    </row>
    <row r="1872" spans="1:3" x14ac:dyDescent="0.2">
      <c r="A1872" s="23"/>
      <c r="C1872" s="4"/>
    </row>
    <row r="1873" spans="1:3" x14ac:dyDescent="0.2">
      <c r="A1873" s="23"/>
      <c r="C1873" s="4"/>
    </row>
    <row r="1874" spans="1:3" x14ac:dyDescent="0.2">
      <c r="A1874" s="23"/>
      <c r="C1874" s="4"/>
    </row>
    <row r="1875" spans="1:3" x14ac:dyDescent="0.2">
      <c r="A1875" s="23"/>
      <c r="C1875" s="4"/>
    </row>
    <row r="1876" spans="1:3" x14ac:dyDescent="0.2">
      <c r="A1876" s="23"/>
      <c r="C1876" s="4"/>
    </row>
    <row r="1877" spans="1:3" x14ac:dyDescent="0.2">
      <c r="A1877" s="23"/>
      <c r="C1877" s="4"/>
    </row>
    <row r="1878" spans="1:3" x14ac:dyDescent="0.2">
      <c r="A1878" s="23"/>
      <c r="C1878" s="4"/>
    </row>
    <row r="1879" spans="1:3" x14ac:dyDescent="0.2">
      <c r="A1879" s="23"/>
      <c r="C1879" s="4"/>
    </row>
    <row r="1880" spans="1:3" x14ac:dyDescent="0.2">
      <c r="A1880" s="23"/>
      <c r="C1880" s="4"/>
    </row>
    <row r="1881" spans="1:3" x14ac:dyDescent="0.2">
      <c r="A1881" s="23"/>
      <c r="C1881" s="4"/>
    </row>
    <row r="1882" spans="1:3" x14ac:dyDescent="0.2">
      <c r="A1882" s="23"/>
      <c r="C1882" s="4"/>
    </row>
    <row r="1883" spans="1:3" x14ac:dyDescent="0.2">
      <c r="A1883" s="23"/>
      <c r="C1883" s="4"/>
    </row>
    <row r="1884" spans="1:3" x14ac:dyDescent="0.2">
      <c r="A1884" s="23"/>
      <c r="C1884" s="4"/>
    </row>
    <row r="1885" spans="1:3" x14ac:dyDescent="0.2">
      <c r="A1885" s="23"/>
      <c r="C1885" s="4"/>
    </row>
    <row r="1886" spans="1:3" x14ac:dyDescent="0.2">
      <c r="A1886" s="23"/>
      <c r="C1886" s="4"/>
    </row>
    <row r="1887" spans="1:3" x14ac:dyDescent="0.2">
      <c r="A1887" s="23"/>
      <c r="C1887" s="4"/>
    </row>
    <row r="1888" spans="1:3" x14ac:dyDescent="0.2">
      <c r="A1888" s="23"/>
      <c r="C1888" s="4"/>
    </row>
    <row r="1889" spans="1:3" x14ac:dyDescent="0.2">
      <c r="A1889" s="23"/>
      <c r="C1889" s="4"/>
    </row>
    <row r="1890" spans="1:3" x14ac:dyDescent="0.2">
      <c r="A1890" s="23"/>
      <c r="C1890" s="4"/>
    </row>
    <row r="1891" spans="1:3" x14ac:dyDescent="0.2">
      <c r="A1891" s="23"/>
      <c r="C1891" s="4"/>
    </row>
    <row r="1892" spans="1:3" x14ac:dyDescent="0.2">
      <c r="A1892" s="23"/>
      <c r="C1892" s="4"/>
    </row>
    <row r="1893" spans="1:3" x14ac:dyDescent="0.2">
      <c r="A1893" s="23"/>
      <c r="C1893" s="4"/>
    </row>
    <row r="1894" spans="1:3" x14ac:dyDescent="0.2">
      <c r="A1894" s="23"/>
      <c r="C1894" s="4"/>
    </row>
    <row r="1895" spans="1:3" x14ac:dyDescent="0.2">
      <c r="A1895" s="23"/>
      <c r="C1895" s="4"/>
    </row>
    <row r="1896" spans="1:3" x14ac:dyDescent="0.2">
      <c r="A1896" s="23"/>
      <c r="C1896" s="4"/>
    </row>
    <row r="1897" spans="1:3" x14ac:dyDescent="0.2">
      <c r="A1897" s="23"/>
      <c r="C1897" s="4"/>
    </row>
    <row r="1898" spans="1:3" x14ac:dyDescent="0.2">
      <c r="A1898" s="23"/>
      <c r="C1898" s="4"/>
    </row>
    <row r="1899" spans="1:3" x14ac:dyDescent="0.2">
      <c r="A1899" s="23"/>
      <c r="C1899" s="4"/>
    </row>
    <row r="1900" spans="1:3" x14ac:dyDescent="0.2">
      <c r="A1900" s="23"/>
      <c r="C1900" s="4"/>
    </row>
    <row r="1901" spans="1:3" x14ac:dyDescent="0.2">
      <c r="A1901" s="23"/>
      <c r="C1901" s="4"/>
    </row>
    <row r="1902" spans="1:3" x14ac:dyDescent="0.2">
      <c r="A1902" s="23"/>
      <c r="C1902" s="4"/>
    </row>
    <row r="1903" spans="1:3" x14ac:dyDescent="0.2">
      <c r="A1903" s="23"/>
      <c r="C1903" s="4"/>
    </row>
    <row r="1904" spans="1:3" x14ac:dyDescent="0.2">
      <c r="A1904" s="23"/>
      <c r="C1904" s="4"/>
    </row>
    <row r="1905" spans="1:3" x14ac:dyDescent="0.2">
      <c r="A1905" s="23"/>
      <c r="C1905" s="4"/>
    </row>
    <row r="1906" spans="1:3" x14ac:dyDescent="0.2">
      <c r="A1906" s="23"/>
      <c r="C1906" s="4"/>
    </row>
    <row r="1907" spans="1:3" x14ac:dyDescent="0.2">
      <c r="A1907" s="23"/>
      <c r="C1907" s="4"/>
    </row>
    <row r="1908" spans="1:3" x14ac:dyDescent="0.2">
      <c r="A1908" s="23"/>
      <c r="C1908" s="4"/>
    </row>
    <row r="1909" spans="1:3" x14ac:dyDescent="0.2">
      <c r="A1909" s="23"/>
      <c r="C1909" s="4"/>
    </row>
    <row r="1910" spans="1:3" x14ac:dyDescent="0.2">
      <c r="A1910" s="23"/>
      <c r="C1910" s="4"/>
    </row>
    <row r="1911" spans="1:3" x14ac:dyDescent="0.2">
      <c r="A1911" s="23"/>
      <c r="C1911" s="4"/>
    </row>
    <row r="1912" spans="1:3" x14ac:dyDescent="0.2">
      <c r="A1912" s="23"/>
      <c r="C1912" s="4"/>
    </row>
    <row r="1913" spans="1:3" x14ac:dyDescent="0.2">
      <c r="A1913" s="23"/>
      <c r="C1913" s="4"/>
    </row>
    <row r="1914" spans="1:3" x14ac:dyDescent="0.2">
      <c r="A1914" s="23"/>
      <c r="C1914" s="4"/>
    </row>
    <row r="1915" spans="1:3" x14ac:dyDescent="0.2">
      <c r="A1915" s="23"/>
      <c r="C1915" s="4"/>
    </row>
    <row r="1916" spans="1:3" x14ac:dyDescent="0.2">
      <c r="A1916" s="23"/>
      <c r="C1916" s="4"/>
    </row>
    <row r="1917" spans="1:3" x14ac:dyDescent="0.2">
      <c r="A1917" s="23"/>
      <c r="C1917" s="4"/>
    </row>
    <row r="1918" spans="1:3" x14ac:dyDescent="0.2">
      <c r="A1918" s="23"/>
      <c r="C1918" s="4"/>
    </row>
    <row r="1919" spans="1:3" x14ac:dyDescent="0.2">
      <c r="A1919" s="23"/>
      <c r="C1919" s="4"/>
    </row>
    <row r="1920" spans="1:3" x14ac:dyDescent="0.2">
      <c r="A1920" s="23"/>
      <c r="C1920" s="4"/>
    </row>
    <row r="1921" spans="1:3" x14ac:dyDescent="0.2">
      <c r="A1921" s="23"/>
      <c r="C1921" s="4"/>
    </row>
    <row r="1922" spans="1:3" x14ac:dyDescent="0.2">
      <c r="A1922" s="23"/>
      <c r="C1922" s="4"/>
    </row>
    <row r="1923" spans="1:3" x14ac:dyDescent="0.2">
      <c r="A1923" s="23"/>
      <c r="C1923" s="4"/>
    </row>
    <row r="1924" spans="1:3" x14ac:dyDescent="0.2">
      <c r="A1924" s="23"/>
      <c r="C1924" s="4"/>
    </row>
    <row r="1925" spans="1:3" x14ac:dyDescent="0.2">
      <c r="A1925" s="23"/>
      <c r="C1925" s="4"/>
    </row>
    <row r="1926" spans="1:3" x14ac:dyDescent="0.2">
      <c r="A1926" s="23"/>
      <c r="C1926" s="4"/>
    </row>
    <row r="1927" spans="1:3" x14ac:dyDescent="0.2">
      <c r="A1927" s="23"/>
      <c r="C1927" s="4"/>
    </row>
    <row r="1928" spans="1:3" x14ac:dyDescent="0.2">
      <c r="A1928" s="23"/>
      <c r="C1928" s="4"/>
    </row>
    <row r="1929" spans="1:3" x14ac:dyDescent="0.2">
      <c r="A1929" s="23"/>
      <c r="C1929" s="4"/>
    </row>
    <row r="1930" spans="1:3" x14ac:dyDescent="0.2">
      <c r="A1930" s="23"/>
      <c r="C1930" s="4"/>
    </row>
    <row r="1931" spans="1:3" x14ac:dyDescent="0.2">
      <c r="A1931" s="23"/>
      <c r="C1931" s="4"/>
    </row>
    <row r="1932" spans="1:3" x14ac:dyDescent="0.2">
      <c r="A1932" s="23"/>
      <c r="C1932" s="4"/>
    </row>
    <row r="1933" spans="1:3" x14ac:dyDescent="0.2">
      <c r="A1933" s="23"/>
      <c r="C1933" s="4"/>
    </row>
    <row r="1934" spans="1:3" x14ac:dyDescent="0.2">
      <c r="A1934" s="23"/>
      <c r="C1934" s="4"/>
    </row>
    <row r="1935" spans="1:3" x14ac:dyDescent="0.2">
      <c r="A1935" s="23"/>
      <c r="C1935" s="4"/>
    </row>
    <row r="1936" spans="1:3" x14ac:dyDescent="0.2">
      <c r="A1936" s="23"/>
      <c r="C1936" s="4"/>
    </row>
    <row r="1937" spans="1:3" x14ac:dyDescent="0.2">
      <c r="A1937" s="23"/>
      <c r="C1937" s="4"/>
    </row>
    <row r="1938" spans="1:3" x14ac:dyDescent="0.2">
      <c r="A1938" s="23"/>
      <c r="C1938" s="4"/>
    </row>
    <row r="1939" spans="1:3" x14ac:dyDescent="0.2">
      <c r="A1939" s="23"/>
      <c r="C1939" s="4"/>
    </row>
    <row r="1940" spans="1:3" x14ac:dyDescent="0.2">
      <c r="A1940" s="23"/>
      <c r="C1940" s="4"/>
    </row>
    <row r="1941" spans="1:3" x14ac:dyDescent="0.2">
      <c r="A1941" s="23"/>
      <c r="C1941" s="4"/>
    </row>
    <row r="1942" spans="1:3" x14ac:dyDescent="0.2">
      <c r="A1942" s="23"/>
      <c r="C1942" s="4"/>
    </row>
    <row r="1943" spans="1:3" x14ac:dyDescent="0.2">
      <c r="A1943" s="23"/>
      <c r="C1943" s="4"/>
    </row>
    <row r="1944" spans="1:3" x14ac:dyDescent="0.2">
      <c r="A1944" s="23"/>
      <c r="C1944" s="4"/>
    </row>
    <row r="1945" spans="1:3" x14ac:dyDescent="0.2">
      <c r="A1945" s="23"/>
      <c r="C1945" s="4"/>
    </row>
    <row r="1946" spans="1:3" x14ac:dyDescent="0.2">
      <c r="A1946" s="23"/>
      <c r="C1946" s="4"/>
    </row>
    <row r="1947" spans="1:3" x14ac:dyDescent="0.2">
      <c r="A1947" s="23"/>
      <c r="C1947" s="4"/>
    </row>
    <row r="1948" spans="1:3" x14ac:dyDescent="0.2">
      <c r="A1948" s="23"/>
      <c r="C1948" s="4"/>
    </row>
    <row r="1949" spans="1:3" x14ac:dyDescent="0.2">
      <c r="A1949" s="23"/>
      <c r="C1949" s="4"/>
    </row>
    <row r="1950" spans="1:3" x14ac:dyDescent="0.2">
      <c r="A1950" s="23"/>
      <c r="C1950" s="4"/>
    </row>
    <row r="1951" spans="1:3" x14ac:dyDescent="0.2">
      <c r="A1951" s="23"/>
      <c r="C1951" s="4"/>
    </row>
    <row r="1952" spans="1:3" x14ac:dyDescent="0.2">
      <c r="A1952" s="23"/>
      <c r="C1952" s="4"/>
    </row>
    <row r="1953" spans="1:3" x14ac:dyDescent="0.2">
      <c r="A1953" s="23"/>
      <c r="C1953" s="4"/>
    </row>
    <row r="1954" spans="1:3" x14ac:dyDescent="0.2">
      <c r="A1954" s="23"/>
      <c r="C1954" s="4"/>
    </row>
    <row r="1955" spans="1:3" x14ac:dyDescent="0.2">
      <c r="A1955" s="23"/>
      <c r="C1955" s="4"/>
    </row>
    <row r="1956" spans="1:3" x14ac:dyDescent="0.2">
      <c r="A1956" s="23"/>
      <c r="C1956" s="4"/>
    </row>
    <row r="1957" spans="1:3" x14ac:dyDescent="0.2">
      <c r="A1957" s="23"/>
      <c r="C1957" s="4"/>
    </row>
    <row r="1958" spans="1:3" x14ac:dyDescent="0.2">
      <c r="A1958" s="23"/>
      <c r="C1958" s="4"/>
    </row>
    <row r="1959" spans="1:3" x14ac:dyDescent="0.2">
      <c r="A1959" s="23"/>
      <c r="C1959" s="4"/>
    </row>
    <row r="1960" spans="1:3" x14ac:dyDescent="0.2">
      <c r="A1960" s="23"/>
      <c r="C1960" s="4"/>
    </row>
    <row r="1961" spans="1:3" x14ac:dyDescent="0.2">
      <c r="A1961" s="23"/>
      <c r="C1961" s="4"/>
    </row>
    <row r="1962" spans="1:3" x14ac:dyDescent="0.2">
      <c r="A1962" s="23"/>
      <c r="C1962" s="4"/>
    </row>
    <row r="1963" spans="1:3" x14ac:dyDescent="0.2">
      <c r="A1963" s="23"/>
      <c r="C1963" s="4"/>
    </row>
    <row r="1964" spans="1:3" x14ac:dyDescent="0.2">
      <c r="A1964" s="23"/>
      <c r="C1964" s="4"/>
    </row>
    <row r="1965" spans="1:3" x14ac:dyDescent="0.2">
      <c r="A1965" s="23"/>
      <c r="C1965" s="4"/>
    </row>
    <row r="1966" spans="1:3" x14ac:dyDescent="0.2">
      <c r="A1966" s="23"/>
      <c r="C1966" s="4"/>
    </row>
    <row r="1967" spans="1:3" x14ac:dyDescent="0.2">
      <c r="A1967" s="23"/>
      <c r="C1967" s="4"/>
    </row>
    <row r="1968" spans="1:3" x14ac:dyDescent="0.2">
      <c r="A1968" s="23"/>
      <c r="C1968" s="4"/>
    </row>
    <row r="1969" spans="1:3" x14ac:dyDescent="0.2">
      <c r="A1969" s="23"/>
      <c r="C1969" s="4"/>
    </row>
    <row r="1970" spans="1:3" x14ac:dyDescent="0.2">
      <c r="A1970" s="23"/>
      <c r="C1970" s="4"/>
    </row>
    <row r="1971" spans="1:3" x14ac:dyDescent="0.2">
      <c r="A1971" s="23"/>
      <c r="C1971" s="4"/>
    </row>
    <row r="1972" spans="1:3" x14ac:dyDescent="0.2">
      <c r="A1972" s="23"/>
      <c r="C1972" s="4"/>
    </row>
    <row r="1973" spans="1:3" x14ac:dyDescent="0.2">
      <c r="A1973" s="23"/>
      <c r="C1973" s="4"/>
    </row>
    <row r="1974" spans="1:3" x14ac:dyDescent="0.2">
      <c r="A1974" s="23"/>
      <c r="C1974" s="4"/>
    </row>
    <row r="1975" spans="1:3" x14ac:dyDescent="0.2">
      <c r="A1975" s="23"/>
      <c r="C1975" s="4"/>
    </row>
    <row r="1976" spans="1:3" x14ac:dyDescent="0.2">
      <c r="A1976" s="23"/>
      <c r="C1976" s="4"/>
    </row>
    <row r="1977" spans="1:3" x14ac:dyDescent="0.2">
      <c r="A1977" s="23"/>
      <c r="C1977" s="4"/>
    </row>
    <row r="1978" spans="1:3" x14ac:dyDescent="0.2">
      <c r="A1978" s="23"/>
      <c r="C1978" s="4"/>
    </row>
    <row r="1979" spans="1:3" x14ac:dyDescent="0.2">
      <c r="A1979" s="23"/>
      <c r="C1979" s="4"/>
    </row>
    <row r="1980" spans="1:3" x14ac:dyDescent="0.2">
      <c r="A1980" s="23"/>
      <c r="C1980" s="4"/>
    </row>
    <row r="1981" spans="1:3" x14ac:dyDescent="0.2">
      <c r="A1981" s="23"/>
      <c r="C1981" s="4"/>
    </row>
    <row r="1982" spans="1:3" x14ac:dyDescent="0.2">
      <c r="A1982" s="23"/>
      <c r="C1982" s="4"/>
    </row>
    <row r="1983" spans="1:3" x14ac:dyDescent="0.2">
      <c r="A1983" s="23"/>
      <c r="C1983" s="4"/>
    </row>
    <row r="1984" spans="1:3" x14ac:dyDescent="0.2">
      <c r="A1984" s="23"/>
      <c r="C1984" s="4"/>
    </row>
    <row r="1985" spans="1:3" x14ac:dyDescent="0.2">
      <c r="A1985" s="23"/>
      <c r="C1985" s="4"/>
    </row>
    <row r="1986" spans="1:3" x14ac:dyDescent="0.2">
      <c r="A1986" s="23"/>
      <c r="C1986" s="4"/>
    </row>
    <row r="1987" spans="1:3" x14ac:dyDescent="0.2">
      <c r="A1987" s="23"/>
      <c r="C1987" s="4"/>
    </row>
    <row r="1988" spans="1:3" x14ac:dyDescent="0.2">
      <c r="A1988" s="23"/>
      <c r="C1988" s="4"/>
    </row>
    <row r="1989" spans="1:3" x14ac:dyDescent="0.2">
      <c r="A1989" s="23"/>
      <c r="C1989" s="4"/>
    </row>
    <row r="1990" spans="1:3" x14ac:dyDescent="0.2">
      <c r="A1990" s="23"/>
      <c r="C1990" s="4"/>
    </row>
    <row r="1991" spans="1:3" x14ac:dyDescent="0.2">
      <c r="A1991" s="23"/>
      <c r="C1991" s="4"/>
    </row>
    <row r="1992" spans="1:3" x14ac:dyDescent="0.2">
      <c r="A1992" s="23"/>
      <c r="C1992" s="4"/>
    </row>
  </sheetData>
  <mergeCells count="1">
    <mergeCell ref="H3:M12"/>
  </mergeCells>
  <dataValidations count="1">
    <dataValidation type="list" allowBlank="1" showInputMessage="1" showErrorMessage="1" sqref="E4:E4992" xr:uid="{2CDC0A65-FF08-444D-810D-41823CD0DD4B}">
      <formula1>lstEstados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Z2128"/>
  <sheetViews>
    <sheetView tabSelected="1" workbookViewId="0">
      <pane xSplit="2" ySplit="1" topLeftCell="L184" activePane="bottomRight" state="frozen"/>
      <selection pane="topRight" activeCell="C1" sqref="C1"/>
      <selection pane="bottomLeft" activeCell="A2" sqref="A2"/>
      <selection pane="bottomRight" activeCell="B47" sqref="B47"/>
    </sheetView>
  </sheetViews>
  <sheetFormatPr baseColWidth="10" defaultRowHeight="16" x14ac:dyDescent="0.2"/>
  <cols>
    <col min="1" max="1" width="12.83203125" customWidth="1"/>
    <col min="2" max="2" width="40.83203125" customWidth="1"/>
    <col min="3" max="3" width="7.6640625" bestFit="1" customWidth="1"/>
    <col min="4" max="4" width="52.1640625" bestFit="1" customWidth="1"/>
    <col min="5" max="5" width="7.83203125" bestFit="1" customWidth="1"/>
    <col min="6" max="6" width="56" bestFit="1" customWidth="1"/>
    <col min="7" max="7" width="11.83203125" customWidth="1"/>
    <col min="8" max="8" width="8" bestFit="1" customWidth="1"/>
    <col min="9" max="9" width="55.83203125" customWidth="1"/>
    <col min="10" max="10" width="30.83203125" customWidth="1"/>
    <col min="11" max="11" width="25.83203125" customWidth="1"/>
    <col min="12" max="17" width="13" customWidth="1"/>
    <col min="18" max="18" width="18.33203125" customWidth="1"/>
    <col min="19" max="22" width="13" customWidth="1"/>
    <col min="23" max="23" width="33.33203125" customWidth="1"/>
    <col min="24" max="25" width="13" customWidth="1"/>
  </cols>
  <sheetData>
    <row r="1" spans="1:26" ht="32" customHeight="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4" t="s">
        <v>9056</v>
      </c>
      <c r="M1" s="24" t="s">
        <v>9093</v>
      </c>
      <c r="N1" s="24" t="s">
        <v>9094</v>
      </c>
      <c r="O1" s="24" t="s">
        <v>9101</v>
      </c>
      <c r="P1" s="24" t="s">
        <v>9102</v>
      </c>
      <c r="Q1" s="24" t="s">
        <v>9110</v>
      </c>
      <c r="R1" s="24" t="s">
        <v>9060</v>
      </c>
      <c r="S1" s="24" t="s">
        <v>9111</v>
      </c>
      <c r="T1" s="24" t="s">
        <v>9112</v>
      </c>
      <c r="U1" s="24" t="s">
        <v>9113</v>
      </c>
      <c r="V1" s="24" t="s">
        <v>9114</v>
      </c>
      <c r="W1" s="24" t="s">
        <v>9115</v>
      </c>
      <c r="X1" s="24" t="s">
        <v>9061</v>
      </c>
      <c r="Y1" s="24" t="s">
        <v>9116</v>
      </c>
      <c r="Z1" s="32" t="s">
        <v>4416</v>
      </c>
    </row>
    <row r="2" spans="1:26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8.900000000000001E-2</v>
      </c>
      <c r="H2" t="s">
        <v>17</v>
      </c>
      <c r="I2" t="s">
        <v>18</v>
      </c>
      <c r="J2" t="s">
        <v>19</v>
      </c>
      <c r="K2" t="s">
        <v>20</v>
      </c>
      <c r="L2" s="14">
        <f>IFERROR(VALUE(LEFT(tblMatriculas[[#This Row],[Clases]],FIND("/",tblMatriculas[[#This Row],[Clases]])-1)),"")</f>
        <v>4</v>
      </c>
      <c r="M2" s="14">
        <f>IFERROR(VALUE(MID(tblMatriculas[[#This Row],[Clases]],FIND("/",tblMatriculas[[#This Row],[Clases]])+1,5)),"")</f>
        <v>45</v>
      </c>
      <c r="N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" s="14">
        <f>IF(OR(tblMatriculas[[#This Row],[Estado]]&lt;&gt;"activa",tblMatriculas[[#This Row],[Clases dictadas]]=""),"",MAX(0,tblMatriculas[[#This Row],[Clases dictadas]]-tblMatriculas[[#This Row],[Asistidas]]))</f>
        <v>5</v>
      </c>
      <c r="P2" s="1">
        <f>IF(OR(tblMatriculas[[#This Row],[Estado]]&lt;&gt;"activa",tblMatriculas[[#This Row],[Asistidas]]=""),"",tblMatriculas[[#This Row],[Asistencia]])</f>
        <v>8.900000000000001E-2</v>
      </c>
      <c r="Q2" t="b">
        <f>AND(tblMatriculas[[#This Row],[Estado]]="activa",ISNUMBER(tblMatriculas[[#This Row],[% asistencia]]),NOT(ISNUMBER(SEARCH(pPrueba,tblMatriculas[[#This Row],[Nombre]]))))</f>
        <v>1</v>
      </c>
      <c r="R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" s="23" t="str" cm="1">
        <f t="array" ref="S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" s="23" t="str" cm="1">
        <f t="array" ref="T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" s="14" t="str" cm="1">
        <f t="array" ref="U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" t="str" cm="1">
        <f t="array" ref="V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" t="str" cm="1">
        <f t="array" ref="W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" t="str">
        <f>IF(COUNTIFS('Base Estudiantes'!$C:$C,tblMatriculas[[#This Row],[Cédula]],'Base Estudiantes'!$I:$I,tblMatriculas[[#This Row],[Código]])&gt;0,"Sí","No")</f>
        <v>Sí</v>
      </c>
      <c r="Z2" s="23" cm="1">
        <f t="array" ref="Z2">_xlfn.XLOOKUP(tblMatriculas[[#This Row],[Cédula]]&amp;"|"&amp;tblMatriculas[[#This Row],[Código]],tblBase[Documento]&amp;"|"&amp;tblBase[Código grupo],tblBase[Fecha matrícula],"")</f>
        <v>46263</v>
      </c>
    </row>
    <row r="3" spans="1:26" x14ac:dyDescent="0.2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s="1">
        <v>2.2000000000000002E-2</v>
      </c>
      <c r="H3" t="s">
        <v>23</v>
      </c>
      <c r="I3" t="s">
        <v>18</v>
      </c>
      <c r="J3" t="s">
        <v>19</v>
      </c>
      <c r="K3" t="s">
        <v>24</v>
      </c>
      <c r="L3" s="14">
        <f>IFERROR(VALUE(LEFT(tblMatriculas[[#This Row],[Clases]],FIND("/",tblMatriculas[[#This Row],[Clases]])-1)),"")</f>
        <v>1</v>
      </c>
      <c r="M3" s="14">
        <f>IFERROR(VALUE(MID(tblMatriculas[[#This Row],[Clases]],FIND("/",tblMatriculas[[#This Row],[Clases]])+1,5)),"")</f>
        <v>45</v>
      </c>
      <c r="N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" s="14">
        <f>IF(OR(tblMatriculas[[#This Row],[Estado]]&lt;&gt;"activa",tblMatriculas[[#This Row],[Clases dictadas]]=""),"",MAX(0,tblMatriculas[[#This Row],[Clases dictadas]]-tblMatriculas[[#This Row],[Asistidas]]))</f>
        <v>8</v>
      </c>
      <c r="P3" s="1">
        <f>IF(OR(tblMatriculas[[#This Row],[Estado]]&lt;&gt;"activa",tblMatriculas[[#This Row],[Asistidas]]=""),"",tblMatriculas[[#This Row],[Asistencia]])</f>
        <v>2.2000000000000002E-2</v>
      </c>
      <c r="Q3" t="b">
        <f>AND(tblMatriculas[[#This Row],[Estado]]="activa",ISNUMBER(tblMatriculas[[#This Row],[% asistencia]]),NOT(ISNUMBER(SEARCH(pPrueba,tblMatriculas[[#This Row],[Nombre]]))))</f>
        <v>1</v>
      </c>
      <c r="R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" s="23" t="str" cm="1">
        <f t="array" ref="S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" s="23" t="str" cm="1">
        <f t="array" ref="T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" s="14" t="str" cm="1">
        <f t="array" ref="U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" t="str" cm="1">
        <f t="array" ref="V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" t="str" cm="1">
        <f t="array" ref="W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" t="str">
        <f>IF(COUNTIFS('Base Estudiantes'!$C:$C,tblMatriculas[[#This Row],[Cédula]],'Base Estudiantes'!$I:$I,tblMatriculas[[#This Row],[Código]])&gt;0,"Sí","No")</f>
        <v>Sí</v>
      </c>
      <c r="Z3" s="23" cm="1">
        <f t="array" ref="Z3">_xlfn.XLOOKUP(tblMatriculas[[#This Row],[Cédula]]&amp;"|"&amp;tblMatriculas[[#This Row],[Código]],tblBase[Documento]&amp;"|"&amp;tblBase[Código grupo],tblBase[Fecha matrícula],"")</f>
        <v>46263</v>
      </c>
    </row>
    <row r="4" spans="1:26" x14ac:dyDescent="0.2">
      <c r="A4" t="s">
        <v>25</v>
      </c>
      <c r="B4" t="s">
        <v>26</v>
      </c>
      <c r="C4" t="s">
        <v>13</v>
      </c>
      <c r="D4" t="s">
        <v>14</v>
      </c>
      <c r="E4" t="s">
        <v>15</v>
      </c>
      <c r="F4" t="s">
        <v>16</v>
      </c>
      <c r="G4" s="1">
        <v>0.2</v>
      </c>
      <c r="H4" t="s">
        <v>27</v>
      </c>
      <c r="I4" t="s">
        <v>18</v>
      </c>
      <c r="J4" t="s">
        <v>19</v>
      </c>
      <c r="K4" t="s">
        <v>24</v>
      </c>
      <c r="L4" s="14">
        <f>IFERROR(VALUE(LEFT(tblMatriculas[[#This Row],[Clases]],FIND("/",tblMatriculas[[#This Row],[Clases]])-1)),"")</f>
        <v>9</v>
      </c>
      <c r="M4" s="14">
        <f>IFERROR(VALUE(MID(tblMatriculas[[#This Row],[Clases]],FIND("/",tblMatriculas[[#This Row],[Clases]])+1,5)),"")</f>
        <v>45</v>
      </c>
      <c r="N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4" s="14">
        <f>IF(OR(tblMatriculas[[#This Row],[Estado]]&lt;&gt;"activa",tblMatriculas[[#This Row],[Clases dictadas]]=""),"",MAX(0,tblMatriculas[[#This Row],[Clases dictadas]]-tblMatriculas[[#This Row],[Asistidas]]))</f>
        <v>0</v>
      </c>
      <c r="P4" s="1">
        <f>IF(OR(tblMatriculas[[#This Row],[Estado]]&lt;&gt;"activa",tblMatriculas[[#This Row],[Asistidas]]=""),"",tblMatriculas[[#This Row],[Asistencia]])</f>
        <v>0.2</v>
      </c>
      <c r="Q4" t="b">
        <f>AND(tblMatriculas[[#This Row],[Estado]]="activa",ISNUMBER(tblMatriculas[[#This Row],[% asistencia]]),NOT(ISNUMBER(SEARCH(pPrueba,tblMatriculas[[#This Row],[Nombre]]))))</f>
        <v>1</v>
      </c>
      <c r="R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" s="23" t="str" cm="1">
        <f t="array" ref="S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" s="23" t="str" cm="1">
        <f t="array" ref="T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" s="14" t="str" cm="1">
        <f t="array" ref="U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" t="str" cm="1">
        <f t="array" ref="V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" t="str" cm="1">
        <f t="array" ref="W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" t="str">
        <f>IF(COUNTIFS('Base Estudiantes'!$C:$C,tblMatriculas[[#This Row],[Cédula]],'Base Estudiantes'!$I:$I,tblMatriculas[[#This Row],[Código]])&gt;0,"Sí","No")</f>
        <v>Sí</v>
      </c>
      <c r="Z4" s="23" cm="1">
        <f t="array" ref="Z4">_xlfn.XLOOKUP(tblMatriculas[[#This Row],[Cédula]]&amp;"|"&amp;tblMatriculas[[#This Row],[Código]],tblBase[Documento]&amp;"|"&amp;tblBase[Código grupo],tblBase[Fecha matrícula],"")</f>
        <v>46264</v>
      </c>
    </row>
    <row r="5" spans="1:26" x14ac:dyDescent="0.2">
      <c r="A5" t="s">
        <v>28</v>
      </c>
      <c r="B5" t="s">
        <v>29</v>
      </c>
      <c r="C5" t="s">
        <v>13</v>
      </c>
      <c r="D5" t="s">
        <v>14</v>
      </c>
      <c r="E5" t="s">
        <v>15</v>
      </c>
      <c r="F5" t="s">
        <v>16</v>
      </c>
      <c r="G5" s="1">
        <v>0.2</v>
      </c>
      <c r="H5" t="s">
        <v>27</v>
      </c>
      <c r="I5" t="s">
        <v>18</v>
      </c>
      <c r="J5" t="s">
        <v>19</v>
      </c>
      <c r="K5" t="s">
        <v>24</v>
      </c>
      <c r="L5" s="14">
        <f>IFERROR(VALUE(LEFT(tblMatriculas[[#This Row],[Clases]],FIND("/",tblMatriculas[[#This Row],[Clases]])-1)),"")</f>
        <v>9</v>
      </c>
      <c r="M5" s="14">
        <f>IFERROR(VALUE(MID(tblMatriculas[[#This Row],[Clases]],FIND("/",tblMatriculas[[#This Row],[Clases]])+1,5)),"")</f>
        <v>45</v>
      </c>
      <c r="N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5" s="14">
        <f>IF(OR(tblMatriculas[[#This Row],[Estado]]&lt;&gt;"activa",tblMatriculas[[#This Row],[Clases dictadas]]=""),"",MAX(0,tblMatriculas[[#This Row],[Clases dictadas]]-tblMatriculas[[#This Row],[Asistidas]]))</f>
        <v>0</v>
      </c>
      <c r="P5" s="1">
        <f>IF(OR(tblMatriculas[[#This Row],[Estado]]&lt;&gt;"activa",tblMatriculas[[#This Row],[Asistidas]]=""),"",tblMatriculas[[#This Row],[Asistencia]])</f>
        <v>0.2</v>
      </c>
      <c r="Q5" t="b">
        <f>AND(tblMatriculas[[#This Row],[Estado]]="activa",ISNUMBER(tblMatriculas[[#This Row],[% asistencia]]),NOT(ISNUMBER(SEARCH(pPrueba,tblMatriculas[[#This Row],[Nombre]]))))</f>
        <v>1</v>
      </c>
      <c r="R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" s="23" t="str" cm="1">
        <f t="array" ref="S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" s="23" t="str" cm="1">
        <f t="array" ref="T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" s="14" t="str" cm="1">
        <f t="array" ref="U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" t="str" cm="1">
        <f t="array" ref="V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" t="str" cm="1">
        <f t="array" ref="W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" t="str">
        <f>IF(COUNTIFS('Base Estudiantes'!$C:$C,tblMatriculas[[#This Row],[Cédula]],'Base Estudiantes'!$I:$I,tblMatriculas[[#This Row],[Código]])&gt;0,"Sí","No")</f>
        <v>Sí</v>
      </c>
      <c r="Z5" s="23" cm="1">
        <f t="array" ref="Z5">_xlfn.XLOOKUP(tblMatriculas[[#This Row],[Cédula]]&amp;"|"&amp;tblMatriculas[[#This Row],[Código]],tblBase[Documento]&amp;"|"&amp;tblBase[Código grupo],tblBase[Fecha matrícula],"")</f>
        <v>46264</v>
      </c>
    </row>
    <row r="6" spans="1:26" x14ac:dyDescent="0.2">
      <c r="A6" t="s">
        <v>30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s="1">
        <v>0.2</v>
      </c>
      <c r="H6" t="s">
        <v>27</v>
      </c>
      <c r="I6" t="s">
        <v>18</v>
      </c>
      <c r="J6" t="s">
        <v>19</v>
      </c>
      <c r="K6" t="s">
        <v>24</v>
      </c>
      <c r="L6" s="14">
        <f>IFERROR(VALUE(LEFT(tblMatriculas[[#This Row],[Clases]],FIND("/",tblMatriculas[[#This Row],[Clases]])-1)),"")</f>
        <v>9</v>
      </c>
      <c r="M6" s="14">
        <f>IFERROR(VALUE(MID(tblMatriculas[[#This Row],[Clases]],FIND("/",tblMatriculas[[#This Row],[Clases]])+1,5)),"")</f>
        <v>45</v>
      </c>
      <c r="N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6" s="14">
        <f>IF(OR(tblMatriculas[[#This Row],[Estado]]&lt;&gt;"activa",tblMatriculas[[#This Row],[Clases dictadas]]=""),"",MAX(0,tblMatriculas[[#This Row],[Clases dictadas]]-tblMatriculas[[#This Row],[Asistidas]]))</f>
        <v>0</v>
      </c>
      <c r="P6" s="1">
        <f>IF(OR(tblMatriculas[[#This Row],[Estado]]&lt;&gt;"activa",tblMatriculas[[#This Row],[Asistidas]]=""),"",tblMatriculas[[#This Row],[Asistencia]])</f>
        <v>0.2</v>
      </c>
      <c r="Q6" t="b">
        <f>AND(tblMatriculas[[#This Row],[Estado]]="activa",ISNUMBER(tblMatriculas[[#This Row],[% asistencia]]),NOT(ISNUMBER(SEARCH(pPrueba,tblMatriculas[[#This Row],[Nombre]]))))</f>
        <v>1</v>
      </c>
      <c r="R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" s="23" t="str" cm="1">
        <f t="array" ref="S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" s="23" t="str" cm="1">
        <f t="array" ref="T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" s="14" t="str" cm="1">
        <f t="array" ref="U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" t="str" cm="1">
        <f t="array" ref="V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" t="str" cm="1">
        <f t="array" ref="W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" t="str">
        <f>IF(COUNTIFS('Base Estudiantes'!$C:$C,tblMatriculas[[#This Row],[Cédula]],'Base Estudiantes'!$I:$I,tblMatriculas[[#This Row],[Código]])&gt;0,"Sí","No")</f>
        <v>Sí</v>
      </c>
      <c r="Z6" s="23" cm="1">
        <f t="array" ref="Z6">_xlfn.XLOOKUP(tblMatriculas[[#This Row],[Cédula]]&amp;"|"&amp;tblMatriculas[[#This Row],[Código]],tblBase[Documento]&amp;"|"&amp;tblBase[Código grupo],tblBase[Fecha matrícula],"")</f>
        <v>46264</v>
      </c>
    </row>
    <row r="7" spans="1:26" x14ac:dyDescent="0.2">
      <c r="A7" t="s">
        <v>32</v>
      </c>
      <c r="B7" t="s">
        <v>33</v>
      </c>
      <c r="C7" t="s">
        <v>13</v>
      </c>
      <c r="D7" t="s">
        <v>14</v>
      </c>
      <c r="E7" t="s">
        <v>15</v>
      </c>
      <c r="F7" t="s">
        <v>16</v>
      </c>
      <c r="G7" s="1">
        <v>0.2</v>
      </c>
      <c r="H7" t="s">
        <v>27</v>
      </c>
      <c r="I7" t="s">
        <v>18</v>
      </c>
      <c r="J7" t="s">
        <v>19</v>
      </c>
      <c r="K7" t="s">
        <v>24</v>
      </c>
      <c r="L7" s="14">
        <f>IFERROR(VALUE(LEFT(tblMatriculas[[#This Row],[Clases]],FIND("/",tblMatriculas[[#This Row],[Clases]])-1)),"")</f>
        <v>9</v>
      </c>
      <c r="M7" s="14">
        <f>IFERROR(VALUE(MID(tblMatriculas[[#This Row],[Clases]],FIND("/",tblMatriculas[[#This Row],[Clases]])+1,5)),"")</f>
        <v>45</v>
      </c>
      <c r="N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7" s="14">
        <f>IF(OR(tblMatriculas[[#This Row],[Estado]]&lt;&gt;"activa",tblMatriculas[[#This Row],[Clases dictadas]]=""),"",MAX(0,tblMatriculas[[#This Row],[Clases dictadas]]-tblMatriculas[[#This Row],[Asistidas]]))</f>
        <v>0</v>
      </c>
      <c r="P7" s="1">
        <f>IF(OR(tblMatriculas[[#This Row],[Estado]]&lt;&gt;"activa",tblMatriculas[[#This Row],[Asistidas]]=""),"",tblMatriculas[[#This Row],[Asistencia]])</f>
        <v>0.2</v>
      </c>
      <c r="Q7" t="b">
        <f>AND(tblMatriculas[[#This Row],[Estado]]="activa",ISNUMBER(tblMatriculas[[#This Row],[% asistencia]]),NOT(ISNUMBER(SEARCH(pPrueba,tblMatriculas[[#This Row],[Nombre]]))))</f>
        <v>1</v>
      </c>
      <c r="R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" s="23" t="str" cm="1">
        <f t="array" ref="S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" s="23" t="str" cm="1">
        <f t="array" ref="T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" s="14" t="str" cm="1">
        <f t="array" ref="U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" t="str" cm="1">
        <f t="array" ref="V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" t="str" cm="1">
        <f t="array" ref="W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" t="str">
        <f>IF(COUNTIFS('Base Estudiantes'!$C:$C,tblMatriculas[[#This Row],[Cédula]],'Base Estudiantes'!$I:$I,tblMatriculas[[#This Row],[Código]])&gt;0,"Sí","No")</f>
        <v>Sí</v>
      </c>
      <c r="Z7" s="23" cm="1">
        <f t="array" ref="Z7">_xlfn.XLOOKUP(tblMatriculas[[#This Row],[Cédula]]&amp;"|"&amp;tblMatriculas[[#This Row],[Código]],tblBase[Documento]&amp;"|"&amp;tblBase[Código grupo],tblBase[Fecha matrícula],"")</f>
        <v>46264</v>
      </c>
    </row>
    <row r="8" spans="1:26" x14ac:dyDescent="0.2">
      <c r="A8" t="s">
        <v>34</v>
      </c>
      <c r="B8" t="s">
        <v>35</v>
      </c>
      <c r="C8" t="s">
        <v>13</v>
      </c>
      <c r="D8" t="s">
        <v>14</v>
      </c>
      <c r="E8" t="s">
        <v>15</v>
      </c>
      <c r="F8" t="s">
        <v>16</v>
      </c>
      <c r="G8" s="1">
        <v>0.13300000000000001</v>
      </c>
      <c r="H8" t="s">
        <v>36</v>
      </c>
      <c r="I8" t="s">
        <v>18</v>
      </c>
      <c r="J8" t="s">
        <v>19</v>
      </c>
      <c r="K8" t="s">
        <v>24</v>
      </c>
      <c r="L8" s="14">
        <f>IFERROR(VALUE(LEFT(tblMatriculas[[#This Row],[Clases]],FIND("/",tblMatriculas[[#This Row],[Clases]])-1)),"")</f>
        <v>6</v>
      </c>
      <c r="M8" s="14">
        <f>IFERROR(VALUE(MID(tblMatriculas[[#This Row],[Clases]],FIND("/",tblMatriculas[[#This Row],[Clases]])+1,5)),"")</f>
        <v>45</v>
      </c>
      <c r="N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8" s="14">
        <f>IF(OR(tblMatriculas[[#This Row],[Estado]]&lt;&gt;"activa",tblMatriculas[[#This Row],[Clases dictadas]]=""),"",MAX(0,tblMatriculas[[#This Row],[Clases dictadas]]-tblMatriculas[[#This Row],[Asistidas]]))</f>
        <v>3</v>
      </c>
      <c r="P8" s="1">
        <f>IF(OR(tblMatriculas[[#This Row],[Estado]]&lt;&gt;"activa",tblMatriculas[[#This Row],[Asistidas]]=""),"",tblMatriculas[[#This Row],[Asistencia]])</f>
        <v>0.13300000000000001</v>
      </c>
      <c r="Q8" t="b">
        <f>AND(tblMatriculas[[#This Row],[Estado]]="activa",ISNUMBER(tblMatriculas[[#This Row],[% asistencia]]),NOT(ISNUMBER(SEARCH(pPrueba,tblMatriculas[[#This Row],[Nombre]]))))</f>
        <v>1</v>
      </c>
      <c r="R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" s="23" t="str" cm="1">
        <f t="array" ref="S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" s="23" t="str" cm="1">
        <f t="array" ref="T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" s="14" t="str" cm="1">
        <f t="array" ref="U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" t="str" cm="1">
        <f t="array" ref="V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" t="str" cm="1">
        <f t="array" ref="W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" t="str">
        <f>IF(COUNTIFS('Base Estudiantes'!$C:$C,tblMatriculas[[#This Row],[Cédula]],'Base Estudiantes'!$I:$I,tblMatriculas[[#This Row],[Código]])&gt;0,"Sí","No")</f>
        <v>Sí</v>
      </c>
      <c r="Z8" s="23" cm="1">
        <f t="array" ref="Z8">_xlfn.XLOOKUP(tblMatriculas[[#This Row],[Cédula]]&amp;"|"&amp;tblMatriculas[[#This Row],[Código]],tblBase[Documento]&amp;"|"&amp;tblBase[Código grupo],tblBase[Fecha matrícula],"")</f>
        <v>46264</v>
      </c>
    </row>
    <row r="9" spans="1:26" x14ac:dyDescent="0.2">
      <c r="A9" t="s">
        <v>37</v>
      </c>
      <c r="B9" t="s">
        <v>38</v>
      </c>
      <c r="C9" t="s">
        <v>13</v>
      </c>
      <c r="D9" t="s">
        <v>14</v>
      </c>
      <c r="E9" t="s">
        <v>15</v>
      </c>
      <c r="F9" t="s">
        <v>16</v>
      </c>
      <c r="G9" s="1">
        <v>0.17800000000000002</v>
      </c>
      <c r="H9" t="s">
        <v>39</v>
      </c>
      <c r="I9" t="s">
        <v>18</v>
      </c>
      <c r="J9" t="s">
        <v>19</v>
      </c>
      <c r="K9" t="s">
        <v>24</v>
      </c>
      <c r="L9" s="14">
        <f>IFERROR(VALUE(LEFT(tblMatriculas[[#This Row],[Clases]],FIND("/",tblMatriculas[[#This Row],[Clases]])-1)),"")</f>
        <v>8</v>
      </c>
      <c r="M9" s="14">
        <f>IFERROR(VALUE(MID(tblMatriculas[[#This Row],[Clases]],FIND("/",tblMatriculas[[#This Row],[Clases]])+1,5)),"")</f>
        <v>45</v>
      </c>
      <c r="N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9" s="14">
        <f>IF(OR(tblMatriculas[[#This Row],[Estado]]&lt;&gt;"activa",tblMatriculas[[#This Row],[Clases dictadas]]=""),"",MAX(0,tblMatriculas[[#This Row],[Clases dictadas]]-tblMatriculas[[#This Row],[Asistidas]]))</f>
        <v>1</v>
      </c>
      <c r="P9" s="1">
        <f>IF(OR(tblMatriculas[[#This Row],[Estado]]&lt;&gt;"activa",tblMatriculas[[#This Row],[Asistidas]]=""),"",tblMatriculas[[#This Row],[Asistencia]])</f>
        <v>0.17800000000000002</v>
      </c>
      <c r="Q9" t="b">
        <f>AND(tblMatriculas[[#This Row],[Estado]]="activa",ISNUMBER(tblMatriculas[[#This Row],[% asistencia]]),NOT(ISNUMBER(SEARCH(pPrueba,tblMatriculas[[#This Row],[Nombre]]))))</f>
        <v>1</v>
      </c>
      <c r="R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" s="23" t="str" cm="1">
        <f t="array" ref="S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" s="23" t="str" cm="1">
        <f t="array" ref="T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" s="14" t="str" cm="1">
        <f t="array" ref="U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" t="str" cm="1">
        <f t="array" ref="V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" t="str" cm="1">
        <f t="array" ref="W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" t="str">
        <f>IF(COUNTIFS('Base Estudiantes'!$C:$C,tblMatriculas[[#This Row],[Cédula]],'Base Estudiantes'!$I:$I,tblMatriculas[[#This Row],[Código]])&gt;0,"Sí","No")</f>
        <v>Sí</v>
      </c>
      <c r="Z9" s="23" cm="1">
        <f t="array" ref="Z9">_xlfn.XLOOKUP(tblMatriculas[[#This Row],[Cédula]]&amp;"|"&amp;tblMatriculas[[#This Row],[Código]],tblBase[Documento]&amp;"|"&amp;tblBase[Código grupo],tblBase[Fecha matrícula],"")</f>
        <v>46264</v>
      </c>
    </row>
    <row r="10" spans="1:26" x14ac:dyDescent="0.2">
      <c r="A10" t="s">
        <v>40</v>
      </c>
      <c r="B10" t="s">
        <v>41</v>
      </c>
      <c r="C10" t="s">
        <v>13</v>
      </c>
      <c r="D10" t="s">
        <v>14</v>
      </c>
      <c r="E10" t="s">
        <v>15</v>
      </c>
      <c r="F10" t="s">
        <v>16</v>
      </c>
      <c r="G10" s="1">
        <v>0.156</v>
      </c>
      <c r="H10" t="s">
        <v>42</v>
      </c>
      <c r="I10" t="s">
        <v>18</v>
      </c>
      <c r="J10" t="s">
        <v>19</v>
      </c>
      <c r="K10" t="s">
        <v>24</v>
      </c>
      <c r="L10" s="14">
        <f>IFERROR(VALUE(LEFT(tblMatriculas[[#This Row],[Clases]],FIND("/",tblMatriculas[[#This Row],[Clases]])-1)),"")</f>
        <v>7</v>
      </c>
      <c r="M10" s="14">
        <f>IFERROR(VALUE(MID(tblMatriculas[[#This Row],[Clases]],FIND("/",tblMatriculas[[#This Row],[Clases]])+1,5)),"")</f>
        <v>45</v>
      </c>
      <c r="N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0" s="14">
        <f>IF(OR(tblMatriculas[[#This Row],[Estado]]&lt;&gt;"activa",tblMatriculas[[#This Row],[Clases dictadas]]=""),"",MAX(0,tblMatriculas[[#This Row],[Clases dictadas]]-tblMatriculas[[#This Row],[Asistidas]]))</f>
        <v>2</v>
      </c>
      <c r="P10" s="1">
        <f>IF(OR(tblMatriculas[[#This Row],[Estado]]&lt;&gt;"activa",tblMatriculas[[#This Row],[Asistidas]]=""),"",tblMatriculas[[#This Row],[Asistencia]])</f>
        <v>0.156</v>
      </c>
      <c r="Q10" t="b">
        <f>AND(tblMatriculas[[#This Row],[Estado]]="activa",ISNUMBER(tblMatriculas[[#This Row],[% asistencia]]),NOT(ISNUMBER(SEARCH(pPrueba,tblMatriculas[[#This Row],[Nombre]]))))</f>
        <v>1</v>
      </c>
      <c r="R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" s="23" t="str" cm="1">
        <f t="array" ref="S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" s="23" t="str" cm="1">
        <f t="array" ref="T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" s="14" t="str" cm="1">
        <f t="array" ref="U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" t="str" cm="1">
        <f t="array" ref="V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" t="str" cm="1">
        <f t="array" ref="W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" t="str">
        <f>IF(COUNTIFS('Base Estudiantes'!$C:$C,tblMatriculas[[#This Row],[Cédula]],'Base Estudiantes'!$I:$I,tblMatriculas[[#This Row],[Código]])&gt;0,"Sí","No")</f>
        <v>Sí</v>
      </c>
      <c r="Z10" s="23" cm="1">
        <f t="array" ref="Z10">_xlfn.XLOOKUP(tblMatriculas[[#This Row],[Cédula]]&amp;"|"&amp;tblMatriculas[[#This Row],[Código]],tblBase[Documento]&amp;"|"&amp;tblBase[Código grupo],tblBase[Fecha matrícula],"")</f>
        <v>46264</v>
      </c>
    </row>
    <row r="11" spans="1:26" x14ac:dyDescent="0.2">
      <c r="A11" t="s">
        <v>43</v>
      </c>
      <c r="B11" t="s">
        <v>44</v>
      </c>
      <c r="C11" t="s">
        <v>13</v>
      </c>
      <c r="D11" t="s">
        <v>14</v>
      </c>
      <c r="E11" t="s">
        <v>15</v>
      </c>
      <c r="F11" t="s">
        <v>16</v>
      </c>
      <c r="G11" s="1">
        <v>0.2</v>
      </c>
      <c r="H11" t="s">
        <v>27</v>
      </c>
      <c r="I11" t="s">
        <v>18</v>
      </c>
      <c r="J11" t="s">
        <v>19</v>
      </c>
      <c r="K11" t="s">
        <v>24</v>
      </c>
      <c r="L11" s="14">
        <f>IFERROR(VALUE(LEFT(tblMatriculas[[#This Row],[Clases]],FIND("/",tblMatriculas[[#This Row],[Clases]])-1)),"")</f>
        <v>9</v>
      </c>
      <c r="M11" s="14">
        <f>IFERROR(VALUE(MID(tblMatriculas[[#This Row],[Clases]],FIND("/",tblMatriculas[[#This Row],[Clases]])+1,5)),"")</f>
        <v>45</v>
      </c>
      <c r="N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1" s="14">
        <f>IF(OR(tblMatriculas[[#This Row],[Estado]]&lt;&gt;"activa",tblMatriculas[[#This Row],[Clases dictadas]]=""),"",MAX(0,tblMatriculas[[#This Row],[Clases dictadas]]-tblMatriculas[[#This Row],[Asistidas]]))</f>
        <v>0</v>
      </c>
      <c r="P11" s="1">
        <f>IF(OR(tblMatriculas[[#This Row],[Estado]]&lt;&gt;"activa",tblMatriculas[[#This Row],[Asistidas]]=""),"",tblMatriculas[[#This Row],[Asistencia]])</f>
        <v>0.2</v>
      </c>
      <c r="Q11" t="b">
        <f>AND(tblMatriculas[[#This Row],[Estado]]="activa",ISNUMBER(tblMatriculas[[#This Row],[% asistencia]]),NOT(ISNUMBER(SEARCH(pPrueba,tblMatriculas[[#This Row],[Nombre]]))))</f>
        <v>1</v>
      </c>
      <c r="R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" s="23" t="str" cm="1">
        <f t="array" ref="S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" s="23" t="str" cm="1">
        <f t="array" ref="T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" s="14" t="str" cm="1">
        <f t="array" ref="U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" t="str" cm="1">
        <f t="array" ref="V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" t="str" cm="1">
        <f t="array" ref="W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" t="str">
        <f>IF(COUNTIFS('Base Estudiantes'!$C:$C,tblMatriculas[[#This Row],[Cédula]],'Base Estudiantes'!$I:$I,tblMatriculas[[#This Row],[Código]])&gt;0,"Sí","No")</f>
        <v>Sí</v>
      </c>
      <c r="Z11" s="23" cm="1">
        <f t="array" ref="Z11">_xlfn.XLOOKUP(tblMatriculas[[#This Row],[Cédula]]&amp;"|"&amp;tblMatriculas[[#This Row],[Código]],tblBase[Documento]&amp;"|"&amp;tblBase[Código grupo],tblBase[Fecha matrícula],"")</f>
        <v>46264</v>
      </c>
    </row>
    <row r="12" spans="1:26" x14ac:dyDescent="0.2">
      <c r="A12" t="s">
        <v>45</v>
      </c>
      <c r="B12" t="s">
        <v>46</v>
      </c>
      <c r="C12" t="s">
        <v>13</v>
      </c>
      <c r="D12" t="s">
        <v>14</v>
      </c>
      <c r="E12" t="s">
        <v>15</v>
      </c>
      <c r="F12" t="s">
        <v>16</v>
      </c>
      <c r="G12" s="1">
        <v>0.17800000000000002</v>
      </c>
      <c r="H12" t="s">
        <v>39</v>
      </c>
      <c r="I12" t="s">
        <v>18</v>
      </c>
      <c r="J12" t="s">
        <v>19</v>
      </c>
      <c r="K12" t="s">
        <v>24</v>
      </c>
      <c r="L12" s="14">
        <f>IFERROR(VALUE(LEFT(tblMatriculas[[#This Row],[Clases]],FIND("/",tblMatriculas[[#This Row],[Clases]])-1)),"")</f>
        <v>8</v>
      </c>
      <c r="M12" s="14">
        <f>IFERROR(VALUE(MID(tblMatriculas[[#This Row],[Clases]],FIND("/",tblMatriculas[[#This Row],[Clases]])+1,5)),"")</f>
        <v>45</v>
      </c>
      <c r="N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2" s="14">
        <f>IF(OR(tblMatriculas[[#This Row],[Estado]]&lt;&gt;"activa",tblMatriculas[[#This Row],[Clases dictadas]]=""),"",MAX(0,tblMatriculas[[#This Row],[Clases dictadas]]-tblMatriculas[[#This Row],[Asistidas]]))</f>
        <v>1</v>
      </c>
      <c r="P12" s="1">
        <f>IF(OR(tblMatriculas[[#This Row],[Estado]]&lt;&gt;"activa",tblMatriculas[[#This Row],[Asistidas]]=""),"",tblMatriculas[[#This Row],[Asistencia]])</f>
        <v>0.17800000000000002</v>
      </c>
      <c r="Q12" t="b">
        <f>AND(tblMatriculas[[#This Row],[Estado]]="activa",ISNUMBER(tblMatriculas[[#This Row],[% asistencia]]),NOT(ISNUMBER(SEARCH(pPrueba,tblMatriculas[[#This Row],[Nombre]]))))</f>
        <v>1</v>
      </c>
      <c r="R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" s="23" t="str" cm="1">
        <f t="array" ref="S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" s="23" t="str" cm="1">
        <f t="array" ref="T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" s="14" t="str" cm="1">
        <f t="array" ref="U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" t="str" cm="1">
        <f t="array" ref="V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" t="str" cm="1">
        <f t="array" ref="W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" t="str">
        <f>IF(COUNTIFS('Base Estudiantes'!$C:$C,tblMatriculas[[#This Row],[Cédula]],'Base Estudiantes'!$I:$I,tblMatriculas[[#This Row],[Código]])&gt;0,"Sí","No")</f>
        <v>Sí</v>
      </c>
      <c r="Z12" s="23" cm="1">
        <f t="array" ref="Z12">_xlfn.XLOOKUP(tblMatriculas[[#This Row],[Cédula]]&amp;"|"&amp;tblMatriculas[[#This Row],[Código]],tblBase[Documento]&amp;"|"&amp;tblBase[Código grupo],tblBase[Fecha matrícula],"")</f>
        <v>46264</v>
      </c>
    </row>
    <row r="13" spans="1:26" x14ac:dyDescent="0.2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 t="s">
        <v>16</v>
      </c>
      <c r="G13" s="1">
        <v>6.7000000000000004E-2</v>
      </c>
      <c r="H13" t="s">
        <v>50</v>
      </c>
      <c r="I13" t="s">
        <v>18</v>
      </c>
      <c r="J13" t="s">
        <v>19</v>
      </c>
      <c r="K13" t="s">
        <v>24</v>
      </c>
      <c r="L13" s="14">
        <f>IFERROR(VALUE(LEFT(tblMatriculas[[#This Row],[Clases]],FIND("/",tblMatriculas[[#This Row],[Clases]])-1)),"")</f>
        <v>3</v>
      </c>
      <c r="M13" s="14">
        <f>IFERROR(VALUE(MID(tblMatriculas[[#This Row],[Clases]],FIND("/",tblMatriculas[[#This Row],[Clases]])+1,5)),"")</f>
        <v>45</v>
      </c>
      <c r="N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3" s="14" t="str">
        <f>IF(OR(tblMatriculas[[#This Row],[Estado]]&lt;&gt;"activa",tblMatriculas[[#This Row],[Clases dictadas]]=""),"",MAX(0,tblMatriculas[[#This Row],[Clases dictadas]]-tblMatriculas[[#This Row],[Asistidas]]))</f>
        <v/>
      </c>
      <c r="P13" s="1" t="str">
        <f>IF(OR(tblMatriculas[[#This Row],[Estado]]&lt;&gt;"activa",tblMatriculas[[#This Row],[Asistidas]]=""),"",tblMatriculas[[#This Row],[Asistencia]])</f>
        <v/>
      </c>
      <c r="Q13" t="b">
        <f>AND(tblMatriculas[[#This Row],[Estado]]="activa",ISNUMBER(tblMatriculas[[#This Row],[% asistencia]]),NOT(ISNUMBER(SEARCH(pPrueba,tblMatriculas[[#This Row],[Nombre]]))))</f>
        <v>0</v>
      </c>
      <c r="R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" s="23" t="str" cm="1">
        <f t="array" ref="S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" s="23" t="str" cm="1">
        <f t="array" ref="T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" s="14" t="str" cm="1">
        <f t="array" ref="U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" t="str" cm="1">
        <f t="array" ref="V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" t="str" cm="1">
        <f t="array" ref="W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" t="str">
        <f>IF(COUNTIFS('Base Estudiantes'!$C:$C,tblMatriculas[[#This Row],[Cédula]],'Base Estudiantes'!$I:$I,tblMatriculas[[#This Row],[Código]])&gt;0,"Sí","No")</f>
        <v>No</v>
      </c>
      <c r="Z13" s="23" t="str" cm="1">
        <f t="array" ref="Z13">_xlfn.XLOOKUP(tblMatriculas[[#This Row],[Cédula]]&amp;"|"&amp;tblMatriculas[[#This Row],[Código]],tblBase[Documento]&amp;"|"&amp;tblBase[Código grupo],tblBase[Fecha matrícula],"")</f>
        <v/>
      </c>
    </row>
    <row r="14" spans="1:26" x14ac:dyDescent="0.2">
      <c r="A14" t="s">
        <v>51</v>
      </c>
      <c r="B14" t="s">
        <v>52</v>
      </c>
      <c r="C14" t="s">
        <v>13</v>
      </c>
      <c r="D14" t="s">
        <v>14</v>
      </c>
      <c r="E14" t="s">
        <v>15</v>
      </c>
      <c r="F14" t="s">
        <v>16</v>
      </c>
      <c r="G14" s="1">
        <v>8.900000000000001E-2</v>
      </c>
      <c r="H14" t="s">
        <v>17</v>
      </c>
      <c r="I14" t="s">
        <v>18</v>
      </c>
      <c r="J14" t="s">
        <v>19</v>
      </c>
      <c r="K14" t="s">
        <v>24</v>
      </c>
      <c r="L14" s="14">
        <f>IFERROR(VALUE(LEFT(tblMatriculas[[#This Row],[Clases]],FIND("/",tblMatriculas[[#This Row],[Clases]])-1)),"")</f>
        <v>4</v>
      </c>
      <c r="M14" s="14">
        <f>IFERROR(VALUE(MID(tblMatriculas[[#This Row],[Clases]],FIND("/",tblMatriculas[[#This Row],[Clases]])+1,5)),"")</f>
        <v>45</v>
      </c>
      <c r="N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4" s="14">
        <f>IF(OR(tblMatriculas[[#This Row],[Estado]]&lt;&gt;"activa",tblMatriculas[[#This Row],[Clases dictadas]]=""),"",MAX(0,tblMatriculas[[#This Row],[Clases dictadas]]-tblMatriculas[[#This Row],[Asistidas]]))</f>
        <v>5</v>
      </c>
      <c r="P14" s="1">
        <f>IF(OR(tblMatriculas[[#This Row],[Estado]]&lt;&gt;"activa",tblMatriculas[[#This Row],[Asistidas]]=""),"",tblMatriculas[[#This Row],[Asistencia]])</f>
        <v>8.900000000000001E-2</v>
      </c>
      <c r="Q14" t="b">
        <f>AND(tblMatriculas[[#This Row],[Estado]]="activa",ISNUMBER(tblMatriculas[[#This Row],[% asistencia]]),NOT(ISNUMBER(SEARCH(pPrueba,tblMatriculas[[#This Row],[Nombre]]))))</f>
        <v>1</v>
      </c>
      <c r="R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" s="23" t="str" cm="1">
        <f t="array" ref="S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" s="23" t="str" cm="1">
        <f t="array" ref="T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" s="14" t="str" cm="1">
        <f t="array" ref="U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" t="str" cm="1">
        <f t="array" ref="V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" t="str" cm="1">
        <f t="array" ref="W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" t="str">
        <f>IF(COUNTIFS('Base Estudiantes'!$C:$C,tblMatriculas[[#This Row],[Cédula]],'Base Estudiantes'!$I:$I,tblMatriculas[[#This Row],[Código]])&gt;0,"Sí","No")</f>
        <v>Sí</v>
      </c>
      <c r="Z14" s="23" cm="1">
        <f t="array" ref="Z14">_xlfn.XLOOKUP(tblMatriculas[[#This Row],[Cédula]]&amp;"|"&amp;tblMatriculas[[#This Row],[Código]],tblBase[Documento]&amp;"|"&amp;tblBase[Código grupo],tblBase[Fecha matrícula],"")</f>
        <v>46264</v>
      </c>
    </row>
    <row r="15" spans="1:26" x14ac:dyDescent="0.2">
      <c r="A15" t="s">
        <v>53</v>
      </c>
      <c r="B15" t="s">
        <v>54</v>
      </c>
      <c r="C15" t="s">
        <v>13</v>
      </c>
      <c r="D15" t="s">
        <v>14</v>
      </c>
      <c r="E15" t="s">
        <v>15</v>
      </c>
      <c r="F15" t="s">
        <v>16</v>
      </c>
      <c r="G15" s="1">
        <v>0.111</v>
      </c>
      <c r="H15" t="s">
        <v>55</v>
      </c>
      <c r="I15" t="s">
        <v>18</v>
      </c>
      <c r="J15" t="s">
        <v>19</v>
      </c>
      <c r="K15" t="s">
        <v>24</v>
      </c>
      <c r="L15" s="14">
        <f>IFERROR(VALUE(LEFT(tblMatriculas[[#This Row],[Clases]],FIND("/",tblMatriculas[[#This Row],[Clases]])-1)),"")</f>
        <v>5</v>
      </c>
      <c r="M15" s="14">
        <f>IFERROR(VALUE(MID(tblMatriculas[[#This Row],[Clases]],FIND("/",tblMatriculas[[#This Row],[Clases]])+1,5)),"")</f>
        <v>45</v>
      </c>
      <c r="N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5" s="14">
        <f>IF(OR(tblMatriculas[[#This Row],[Estado]]&lt;&gt;"activa",tblMatriculas[[#This Row],[Clases dictadas]]=""),"",MAX(0,tblMatriculas[[#This Row],[Clases dictadas]]-tblMatriculas[[#This Row],[Asistidas]]))</f>
        <v>4</v>
      </c>
      <c r="P15" s="1">
        <f>IF(OR(tblMatriculas[[#This Row],[Estado]]&lt;&gt;"activa",tblMatriculas[[#This Row],[Asistidas]]=""),"",tblMatriculas[[#This Row],[Asistencia]])</f>
        <v>0.111</v>
      </c>
      <c r="Q15" t="b">
        <f>AND(tblMatriculas[[#This Row],[Estado]]="activa",ISNUMBER(tblMatriculas[[#This Row],[% asistencia]]),NOT(ISNUMBER(SEARCH(pPrueba,tblMatriculas[[#This Row],[Nombre]]))))</f>
        <v>1</v>
      </c>
      <c r="R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" s="23" t="str" cm="1">
        <f t="array" ref="S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" s="23" t="str" cm="1">
        <f t="array" ref="T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" s="14" t="str" cm="1">
        <f t="array" ref="U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" t="str" cm="1">
        <f t="array" ref="V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" t="str" cm="1">
        <f t="array" ref="W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" t="str">
        <f>IF(COUNTIFS('Base Estudiantes'!$C:$C,tblMatriculas[[#This Row],[Cédula]],'Base Estudiantes'!$I:$I,tblMatriculas[[#This Row],[Código]])&gt;0,"Sí","No")</f>
        <v>Sí</v>
      </c>
      <c r="Z15" s="23" cm="1">
        <f t="array" ref="Z15">_xlfn.XLOOKUP(tblMatriculas[[#This Row],[Cédula]]&amp;"|"&amp;tblMatriculas[[#This Row],[Código]],tblBase[Documento]&amp;"|"&amp;tblBase[Código grupo],tblBase[Fecha matrícula],"")</f>
        <v>46264</v>
      </c>
    </row>
    <row r="16" spans="1:26" x14ac:dyDescent="0.2">
      <c r="A16" t="s">
        <v>56</v>
      </c>
      <c r="B16" t="s">
        <v>57</v>
      </c>
      <c r="C16" t="s">
        <v>13</v>
      </c>
      <c r="D16" t="s">
        <v>14</v>
      </c>
      <c r="E16" t="s">
        <v>15</v>
      </c>
      <c r="F16" t="s">
        <v>16</v>
      </c>
      <c r="G16" s="1">
        <v>0.2</v>
      </c>
      <c r="H16" t="s">
        <v>27</v>
      </c>
      <c r="I16" t="s">
        <v>18</v>
      </c>
      <c r="J16" t="s">
        <v>19</v>
      </c>
      <c r="K16" t="s">
        <v>24</v>
      </c>
      <c r="L16" s="14">
        <f>IFERROR(VALUE(LEFT(tblMatriculas[[#This Row],[Clases]],FIND("/",tblMatriculas[[#This Row],[Clases]])-1)),"")</f>
        <v>9</v>
      </c>
      <c r="M16" s="14">
        <f>IFERROR(VALUE(MID(tblMatriculas[[#This Row],[Clases]],FIND("/",tblMatriculas[[#This Row],[Clases]])+1,5)),"")</f>
        <v>45</v>
      </c>
      <c r="N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" s="14">
        <f>IF(OR(tblMatriculas[[#This Row],[Estado]]&lt;&gt;"activa",tblMatriculas[[#This Row],[Clases dictadas]]=""),"",MAX(0,tblMatriculas[[#This Row],[Clases dictadas]]-tblMatriculas[[#This Row],[Asistidas]]))</f>
        <v>0</v>
      </c>
      <c r="P16" s="1">
        <f>IF(OR(tblMatriculas[[#This Row],[Estado]]&lt;&gt;"activa",tblMatriculas[[#This Row],[Asistidas]]=""),"",tblMatriculas[[#This Row],[Asistencia]])</f>
        <v>0.2</v>
      </c>
      <c r="Q16" t="b">
        <f>AND(tblMatriculas[[#This Row],[Estado]]="activa",ISNUMBER(tblMatriculas[[#This Row],[% asistencia]]),NOT(ISNUMBER(SEARCH(pPrueba,tblMatriculas[[#This Row],[Nombre]]))))</f>
        <v>1</v>
      </c>
      <c r="R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" s="23" t="str" cm="1">
        <f t="array" ref="S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" s="23" t="str" cm="1">
        <f t="array" ref="T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" s="14" t="str" cm="1">
        <f t="array" ref="U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" t="str" cm="1">
        <f t="array" ref="V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" t="str" cm="1">
        <f t="array" ref="W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" t="str">
        <f>IF(COUNTIFS('Base Estudiantes'!$C:$C,tblMatriculas[[#This Row],[Cédula]],'Base Estudiantes'!$I:$I,tblMatriculas[[#This Row],[Código]])&gt;0,"Sí","No")</f>
        <v>Sí</v>
      </c>
      <c r="Z16" s="23" cm="1">
        <f t="array" ref="Z16">_xlfn.XLOOKUP(tblMatriculas[[#This Row],[Cédula]]&amp;"|"&amp;tblMatriculas[[#This Row],[Código]],tblBase[Documento]&amp;"|"&amp;tblBase[Código grupo],tblBase[Fecha matrícula],"")</f>
        <v>46264</v>
      </c>
    </row>
    <row r="17" spans="1:26" x14ac:dyDescent="0.2">
      <c r="A17" t="s">
        <v>58</v>
      </c>
      <c r="B17" t="s">
        <v>59</v>
      </c>
      <c r="C17" t="s">
        <v>13</v>
      </c>
      <c r="D17" t="s">
        <v>14</v>
      </c>
      <c r="E17" t="s">
        <v>15</v>
      </c>
      <c r="F17" t="s">
        <v>16</v>
      </c>
      <c r="G17" s="1">
        <v>0.13300000000000001</v>
      </c>
      <c r="H17" t="s">
        <v>36</v>
      </c>
      <c r="I17" t="s">
        <v>18</v>
      </c>
      <c r="J17" t="s">
        <v>19</v>
      </c>
      <c r="K17" t="s">
        <v>24</v>
      </c>
      <c r="L17" s="14">
        <f>IFERROR(VALUE(LEFT(tblMatriculas[[#This Row],[Clases]],FIND("/",tblMatriculas[[#This Row],[Clases]])-1)),"")</f>
        <v>6</v>
      </c>
      <c r="M17" s="14">
        <f>IFERROR(VALUE(MID(tblMatriculas[[#This Row],[Clases]],FIND("/",tblMatriculas[[#This Row],[Clases]])+1,5)),"")</f>
        <v>45</v>
      </c>
      <c r="N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7" s="14">
        <f>IF(OR(tblMatriculas[[#This Row],[Estado]]&lt;&gt;"activa",tblMatriculas[[#This Row],[Clases dictadas]]=""),"",MAX(0,tblMatriculas[[#This Row],[Clases dictadas]]-tblMatriculas[[#This Row],[Asistidas]]))</f>
        <v>3</v>
      </c>
      <c r="P17" s="1">
        <f>IF(OR(tblMatriculas[[#This Row],[Estado]]&lt;&gt;"activa",tblMatriculas[[#This Row],[Asistidas]]=""),"",tblMatriculas[[#This Row],[Asistencia]])</f>
        <v>0.13300000000000001</v>
      </c>
      <c r="Q17" t="b">
        <f>AND(tblMatriculas[[#This Row],[Estado]]="activa",ISNUMBER(tblMatriculas[[#This Row],[% asistencia]]),NOT(ISNUMBER(SEARCH(pPrueba,tblMatriculas[[#This Row],[Nombre]]))))</f>
        <v>1</v>
      </c>
      <c r="R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" s="23" t="str" cm="1">
        <f t="array" ref="S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" s="23" t="str" cm="1">
        <f t="array" ref="T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" s="14" t="str" cm="1">
        <f t="array" ref="U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" t="str" cm="1">
        <f t="array" ref="V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" t="str" cm="1">
        <f t="array" ref="W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" t="str">
        <f>IF(COUNTIFS('Base Estudiantes'!$C:$C,tblMatriculas[[#This Row],[Cédula]],'Base Estudiantes'!$I:$I,tblMatriculas[[#This Row],[Código]])&gt;0,"Sí","No")</f>
        <v>Sí</v>
      </c>
      <c r="Z17" s="23" cm="1">
        <f t="array" ref="Z17">_xlfn.XLOOKUP(tblMatriculas[[#This Row],[Cédula]]&amp;"|"&amp;tblMatriculas[[#This Row],[Código]],tblBase[Documento]&amp;"|"&amp;tblBase[Código grupo],tblBase[Fecha matrícula],"")</f>
        <v>46264</v>
      </c>
    </row>
    <row r="18" spans="1:26" x14ac:dyDescent="0.2">
      <c r="A18" t="s">
        <v>60</v>
      </c>
      <c r="B18" t="s">
        <v>61</v>
      </c>
      <c r="C18" t="s">
        <v>13</v>
      </c>
      <c r="D18" t="s">
        <v>14</v>
      </c>
      <c r="E18" t="s">
        <v>15</v>
      </c>
      <c r="F18" t="s">
        <v>16</v>
      </c>
      <c r="G18" s="1">
        <v>0.2</v>
      </c>
      <c r="H18" t="s">
        <v>27</v>
      </c>
      <c r="I18" t="s">
        <v>18</v>
      </c>
      <c r="J18" t="s">
        <v>19</v>
      </c>
      <c r="K18" t="s">
        <v>24</v>
      </c>
      <c r="L18" s="14">
        <f>IFERROR(VALUE(LEFT(tblMatriculas[[#This Row],[Clases]],FIND("/",tblMatriculas[[#This Row],[Clases]])-1)),"")</f>
        <v>9</v>
      </c>
      <c r="M18" s="14">
        <f>IFERROR(VALUE(MID(tblMatriculas[[#This Row],[Clases]],FIND("/",tblMatriculas[[#This Row],[Clases]])+1,5)),"")</f>
        <v>45</v>
      </c>
      <c r="N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8" s="14">
        <f>IF(OR(tblMatriculas[[#This Row],[Estado]]&lt;&gt;"activa",tblMatriculas[[#This Row],[Clases dictadas]]=""),"",MAX(0,tblMatriculas[[#This Row],[Clases dictadas]]-tblMatriculas[[#This Row],[Asistidas]]))</f>
        <v>0</v>
      </c>
      <c r="P18" s="1">
        <f>IF(OR(tblMatriculas[[#This Row],[Estado]]&lt;&gt;"activa",tblMatriculas[[#This Row],[Asistidas]]=""),"",tblMatriculas[[#This Row],[Asistencia]])</f>
        <v>0.2</v>
      </c>
      <c r="Q18" t="b">
        <f>AND(tblMatriculas[[#This Row],[Estado]]="activa",ISNUMBER(tblMatriculas[[#This Row],[% asistencia]]),NOT(ISNUMBER(SEARCH(pPrueba,tblMatriculas[[#This Row],[Nombre]]))))</f>
        <v>1</v>
      </c>
      <c r="R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" s="23" t="str" cm="1">
        <f t="array" ref="S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" s="23" t="str" cm="1">
        <f t="array" ref="T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" s="14" t="str" cm="1">
        <f t="array" ref="U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" t="str" cm="1">
        <f t="array" ref="V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" t="str" cm="1">
        <f t="array" ref="W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" t="str">
        <f>IF(COUNTIFS('Base Estudiantes'!$C:$C,tblMatriculas[[#This Row],[Cédula]],'Base Estudiantes'!$I:$I,tblMatriculas[[#This Row],[Código]])&gt;0,"Sí","No")</f>
        <v>Sí</v>
      </c>
      <c r="Z18" s="23" cm="1">
        <f t="array" ref="Z18">_xlfn.XLOOKUP(tblMatriculas[[#This Row],[Cédula]]&amp;"|"&amp;tblMatriculas[[#This Row],[Código]],tblBase[Documento]&amp;"|"&amp;tblBase[Código grupo],tblBase[Fecha matrícula],"")</f>
        <v>46264</v>
      </c>
    </row>
    <row r="19" spans="1:26" x14ac:dyDescent="0.2">
      <c r="A19" t="s">
        <v>62</v>
      </c>
      <c r="B19" t="s">
        <v>63</v>
      </c>
      <c r="C19" t="s">
        <v>13</v>
      </c>
      <c r="D19" t="s">
        <v>14</v>
      </c>
      <c r="E19" t="s">
        <v>15</v>
      </c>
      <c r="F19" t="s">
        <v>16</v>
      </c>
      <c r="G19" s="1">
        <v>0.2</v>
      </c>
      <c r="H19" t="s">
        <v>27</v>
      </c>
      <c r="I19" t="s">
        <v>18</v>
      </c>
      <c r="J19" t="s">
        <v>19</v>
      </c>
      <c r="K19" t="s">
        <v>24</v>
      </c>
      <c r="L19" s="14">
        <f>IFERROR(VALUE(LEFT(tblMatriculas[[#This Row],[Clases]],FIND("/",tblMatriculas[[#This Row],[Clases]])-1)),"")</f>
        <v>9</v>
      </c>
      <c r="M19" s="14">
        <f>IFERROR(VALUE(MID(tblMatriculas[[#This Row],[Clases]],FIND("/",tblMatriculas[[#This Row],[Clases]])+1,5)),"")</f>
        <v>45</v>
      </c>
      <c r="N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9" s="14">
        <f>IF(OR(tblMatriculas[[#This Row],[Estado]]&lt;&gt;"activa",tblMatriculas[[#This Row],[Clases dictadas]]=""),"",MAX(0,tblMatriculas[[#This Row],[Clases dictadas]]-tblMatriculas[[#This Row],[Asistidas]]))</f>
        <v>0</v>
      </c>
      <c r="P19" s="1">
        <f>IF(OR(tblMatriculas[[#This Row],[Estado]]&lt;&gt;"activa",tblMatriculas[[#This Row],[Asistidas]]=""),"",tblMatriculas[[#This Row],[Asistencia]])</f>
        <v>0.2</v>
      </c>
      <c r="Q19" t="b">
        <f>AND(tblMatriculas[[#This Row],[Estado]]="activa",ISNUMBER(tblMatriculas[[#This Row],[% asistencia]]),NOT(ISNUMBER(SEARCH(pPrueba,tblMatriculas[[#This Row],[Nombre]]))))</f>
        <v>1</v>
      </c>
      <c r="R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" s="23" t="str" cm="1">
        <f t="array" ref="S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" s="23" t="str" cm="1">
        <f t="array" ref="T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" s="14" t="str" cm="1">
        <f t="array" ref="U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" t="str" cm="1">
        <f t="array" ref="V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" t="str" cm="1">
        <f t="array" ref="W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" t="str">
        <f>IF(COUNTIFS('Base Estudiantes'!$C:$C,tblMatriculas[[#This Row],[Cédula]],'Base Estudiantes'!$I:$I,tblMatriculas[[#This Row],[Código]])&gt;0,"Sí","No")</f>
        <v>Sí</v>
      </c>
      <c r="Z19" s="23" cm="1">
        <f t="array" ref="Z19">_xlfn.XLOOKUP(tblMatriculas[[#This Row],[Cédula]]&amp;"|"&amp;tblMatriculas[[#This Row],[Código]],tblBase[Documento]&amp;"|"&amp;tblBase[Código grupo],tblBase[Fecha matrícula],"")</f>
        <v>46264</v>
      </c>
    </row>
    <row r="20" spans="1:26" x14ac:dyDescent="0.2">
      <c r="A20" t="s">
        <v>64</v>
      </c>
      <c r="B20" t="s">
        <v>65</v>
      </c>
      <c r="C20" t="s">
        <v>13</v>
      </c>
      <c r="D20" t="s">
        <v>14</v>
      </c>
      <c r="E20" t="s">
        <v>15</v>
      </c>
      <c r="F20" t="s">
        <v>16</v>
      </c>
      <c r="G20" s="1">
        <v>0.2</v>
      </c>
      <c r="H20" t="s">
        <v>27</v>
      </c>
      <c r="I20" t="s">
        <v>18</v>
      </c>
      <c r="J20" t="s">
        <v>19</v>
      </c>
      <c r="K20" t="s">
        <v>24</v>
      </c>
      <c r="L20" s="14">
        <f>IFERROR(VALUE(LEFT(tblMatriculas[[#This Row],[Clases]],FIND("/",tblMatriculas[[#This Row],[Clases]])-1)),"")</f>
        <v>9</v>
      </c>
      <c r="M20" s="14">
        <f>IFERROR(VALUE(MID(tblMatriculas[[#This Row],[Clases]],FIND("/",tblMatriculas[[#This Row],[Clases]])+1,5)),"")</f>
        <v>45</v>
      </c>
      <c r="N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0" s="14">
        <f>IF(OR(tblMatriculas[[#This Row],[Estado]]&lt;&gt;"activa",tblMatriculas[[#This Row],[Clases dictadas]]=""),"",MAX(0,tblMatriculas[[#This Row],[Clases dictadas]]-tblMatriculas[[#This Row],[Asistidas]]))</f>
        <v>0</v>
      </c>
      <c r="P20" s="1">
        <f>IF(OR(tblMatriculas[[#This Row],[Estado]]&lt;&gt;"activa",tblMatriculas[[#This Row],[Asistidas]]=""),"",tblMatriculas[[#This Row],[Asistencia]])</f>
        <v>0.2</v>
      </c>
      <c r="Q20" t="b">
        <f>AND(tblMatriculas[[#This Row],[Estado]]="activa",ISNUMBER(tblMatriculas[[#This Row],[% asistencia]]),NOT(ISNUMBER(SEARCH(pPrueba,tblMatriculas[[#This Row],[Nombre]]))))</f>
        <v>1</v>
      </c>
      <c r="R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" s="23" t="str" cm="1">
        <f t="array" ref="S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" s="23" t="str" cm="1">
        <f t="array" ref="T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" s="14" t="str" cm="1">
        <f t="array" ref="U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" t="str" cm="1">
        <f t="array" ref="V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" t="str" cm="1">
        <f t="array" ref="W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" t="str">
        <f>IF(COUNTIFS('Base Estudiantes'!$C:$C,tblMatriculas[[#This Row],[Cédula]],'Base Estudiantes'!$I:$I,tblMatriculas[[#This Row],[Código]])&gt;0,"Sí","No")</f>
        <v>Sí</v>
      </c>
      <c r="Z20" s="23" cm="1">
        <f t="array" ref="Z20">_xlfn.XLOOKUP(tblMatriculas[[#This Row],[Cédula]]&amp;"|"&amp;tblMatriculas[[#This Row],[Código]],tblBase[Documento]&amp;"|"&amp;tblBase[Código grupo],tblBase[Fecha matrícula],"")</f>
        <v>46264</v>
      </c>
    </row>
    <row r="21" spans="1:26" x14ac:dyDescent="0.2">
      <c r="A21" t="s">
        <v>66</v>
      </c>
      <c r="B21" t="s">
        <v>67</v>
      </c>
      <c r="C21" t="s">
        <v>13</v>
      </c>
      <c r="D21" t="s">
        <v>14</v>
      </c>
      <c r="E21" t="s">
        <v>15</v>
      </c>
      <c r="F21" t="s">
        <v>16</v>
      </c>
      <c r="G21" s="1">
        <v>0.111</v>
      </c>
      <c r="H21" t="s">
        <v>55</v>
      </c>
      <c r="I21" t="s">
        <v>18</v>
      </c>
      <c r="J21" t="s">
        <v>19</v>
      </c>
      <c r="K21" t="s">
        <v>24</v>
      </c>
      <c r="L21" s="14">
        <f>IFERROR(VALUE(LEFT(tblMatriculas[[#This Row],[Clases]],FIND("/",tblMatriculas[[#This Row],[Clases]])-1)),"")</f>
        <v>5</v>
      </c>
      <c r="M21" s="14">
        <f>IFERROR(VALUE(MID(tblMatriculas[[#This Row],[Clases]],FIND("/",tblMatriculas[[#This Row],[Clases]])+1,5)),"")</f>
        <v>45</v>
      </c>
      <c r="N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1" s="14">
        <f>IF(OR(tblMatriculas[[#This Row],[Estado]]&lt;&gt;"activa",tblMatriculas[[#This Row],[Clases dictadas]]=""),"",MAX(0,tblMatriculas[[#This Row],[Clases dictadas]]-tblMatriculas[[#This Row],[Asistidas]]))</f>
        <v>4</v>
      </c>
      <c r="P21" s="1">
        <f>IF(OR(tblMatriculas[[#This Row],[Estado]]&lt;&gt;"activa",tblMatriculas[[#This Row],[Asistidas]]=""),"",tblMatriculas[[#This Row],[Asistencia]])</f>
        <v>0.111</v>
      </c>
      <c r="Q21" t="b">
        <f>AND(tblMatriculas[[#This Row],[Estado]]="activa",ISNUMBER(tblMatriculas[[#This Row],[% asistencia]]),NOT(ISNUMBER(SEARCH(pPrueba,tblMatriculas[[#This Row],[Nombre]]))))</f>
        <v>1</v>
      </c>
      <c r="R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" s="23" t="str" cm="1">
        <f t="array" ref="S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" s="23" t="str" cm="1">
        <f t="array" ref="T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" s="14" t="str" cm="1">
        <f t="array" ref="U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" t="str" cm="1">
        <f t="array" ref="V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" t="str" cm="1">
        <f t="array" ref="W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" t="str">
        <f>IF(COUNTIFS('Base Estudiantes'!$C:$C,tblMatriculas[[#This Row],[Cédula]],'Base Estudiantes'!$I:$I,tblMatriculas[[#This Row],[Código]])&gt;0,"Sí","No")</f>
        <v>Sí</v>
      </c>
      <c r="Z21" s="23" cm="1">
        <f t="array" ref="Z21">_xlfn.XLOOKUP(tblMatriculas[[#This Row],[Cédula]]&amp;"|"&amp;tblMatriculas[[#This Row],[Código]],tblBase[Documento]&amp;"|"&amp;tblBase[Código grupo],tblBase[Fecha matrícula],"")</f>
        <v>46264</v>
      </c>
    </row>
    <row r="22" spans="1:26" x14ac:dyDescent="0.2">
      <c r="A22" t="s">
        <v>68</v>
      </c>
      <c r="B22" t="s">
        <v>69</v>
      </c>
      <c r="C22" t="s">
        <v>13</v>
      </c>
      <c r="D22" t="s">
        <v>14</v>
      </c>
      <c r="E22" t="s">
        <v>15</v>
      </c>
      <c r="F22" t="s">
        <v>16</v>
      </c>
      <c r="G22" s="1">
        <v>0.2</v>
      </c>
      <c r="H22" t="s">
        <v>27</v>
      </c>
      <c r="I22" t="s">
        <v>18</v>
      </c>
      <c r="J22" t="s">
        <v>19</v>
      </c>
      <c r="K22" t="s">
        <v>24</v>
      </c>
      <c r="L22" s="14">
        <f>IFERROR(VALUE(LEFT(tblMatriculas[[#This Row],[Clases]],FIND("/",tblMatriculas[[#This Row],[Clases]])-1)),"")</f>
        <v>9</v>
      </c>
      <c r="M22" s="14">
        <f>IFERROR(VALUE(MID(tblMatriculas[[#This Row],[Clases]],FIND("/",tblMatriculas[[#This Row],[Clases]])+1,5)),"")</f>
        <v>45</v>
      </c>
      <c r="N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2" s="14">
        <f>IF(OR(tblMatriculas[[#This Row],[Estado]]&lt;&gt;"activa",tblMatriculas[[#This Row],[Clases dictadas]]=""),"",MAX(0,tblMatriculas[[#This Row],[Clases dictadas]]-tblMatriculas[[#This Row],[Asistidas]]))</f>
        <v>0</v>
      </c>
      <c r="P22" s="1">
        <f>IF(OR(tblMatriculas[[#This Row],[Estado]]&lt;&gt;"activa",tblMatriculas[[#This Row],[Asistidas]]=""),"",tblMatriculas[[#This Row],[Asistencia]])</f>
        <v>0.2</v>
      </c>
      <c r="Q22" t="b">
        <f>AND(tblMatriculas[[#This Row],[Estado]]="activa",ISNUMBER(tblMatriculas[[#This Row],[% asistencia]]),NOT(ISNUMBER(SEARCH(pPrueba,tblMatriculas[[#This Row],[Nombre]]))))</f>
        <v>1</v>
      </c>
      <c r="R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" s="23" t="str" cm="1">
        <f t="array" ref="S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" s="23" t="str" cm="1">
        <f t="array" ref="T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" s="14" t="str" cm="1">
        <f t="array" ref="U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" t="str" cm="1">
        <f t="array" ref="V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" t="str" cm="1">
        <f t="array" ref="W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" t="str">
        <f>IF(COUNTIFS('Base Estudiantes'!$C:$C,tblMatriculas[[#This Row],[Cédula]],'Base Estudiantes'!$I:$I,tblMatriculas[[#This Row],[Código]])&gt;0,"Sí","No")</f>
        <v>Sí</v>
      </c>
      <c r="Z22" s="23" cm="1">
        <f t="array" ref="Z22">_xlfn.XLOOKUP(tblMatriculas[[#This Row],[Cédula]]&amp;"|"&amp;tblMatriculas[[#This Row],[Código]],tblBase[Documento]&amp;"|"&amp;tblBase[Código grupo],tblBase[Fecha matrícula],"")</f>
        <v>46264</v>
      </c>
    </row>
    <row r="23" spans="1:26" x14ac:dyDescent="0.2">
      <c r="A23" t="s">
        <v>70</v>
      </c>
      <c r="B23" t="s">
        <v>71</v>
      </c>
      <c r="C23" t="s">
        <v>13</v>
      </c>
      <c r="D23" t="s">
        <v>14</v>
      </c>
      <c r="E23" t="s">
        <v>15</v>
      </c>
      <c r="F23" t="s">
        <v>16</v>
      </c>
      <c r="G23" s="1">
        <v>0.17800000000000002</v>
      </c>
      <c r="H23" t="s">
        <v>39</v>
      </c>
      <c r="I23" t="s">
        <v>18</v>
      </c>
      <c r="J23" t="s">
        <v>19</v>
      </c>
      <c r="K23" t="s">
        <v>24</v>
      </c>
      <c r="L23" s="14">
        <f>IFERROR(VALUE(LEFT(tblMatriculas[[#This Row],[Clases]],FIND("/",tblMatriculas[[#This Row],[Clases]])-1)),"")</f>
        <v>8</v>
      </c>
      <c r="M23" s="14">
        <f>IFERROR(VALUE(MID(tblMatriculas[[#This Row],[Clases]],FIND("/",tblMatriculas[[#This Row],[Clases]])+1,5)),"")</f>
        <v>45</v>
      </c>
      <c r="N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3" s="14">
        <f>IF(OR(tblMatriculas[[#This Row],[Estado]]&lt;&gt;"activa",tblMatriculas[[#This Row],[Clases dictadas]]=""),"",MAX(0,tblMatriculas[[#This Row],[Clases dictadas]]-tblMatriculas[[#This Row],[Asistidas]]))</f>
        <v>1</v>
      </c>
      <c r="P23" s="1">
        <f>IF(OR(tblMatriculas[[#This Row],[Estado]]&lt;&gt;"activa",tblMatriculas[[#This Row],[Asistidas]]=""),"",tblMatriculas[[#This Row],[Asistencia]])</f>
        <v>0.17800000000000002</v>
      </c>
      <c r="Q23" t="b">
        <f>AND(tblMatriculas[[#This Row],[Estado]]="activa",ISNUMBER(tblMatriculas[[#This Row],[% asistencia]]),NOT(ISNUMBER(SEARCH(pPrueba,tblMatriculas[[#This Row],[Nombre]]))))</f>
        <v>1</v>
      </c>
      <c r="R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3" s="23" t="str" cm="1">
        <f t="array" ref="S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" s="23" t="str" cm="1">
        <f t="array" ref="T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" s="14" t="str" cm="1">
        <f t="array" ref="U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" t="str" cm="1">
        <f t="array" ref="V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" t="str" cm="1">
        <f t="array" ref="W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3" t="str">
        <f>IF(COUNTIFS('Base Estudiantes'!$C:$C,tblMatriculas[[#This Row],[Cédula]],'Base Estudiantes'!$I:$I,tblMatriculas[[#This Row],[Código]])&gt;0,"Sí","No")</f>
        <v>Sí</v>
      </c>
      <c r="Z23" s="23" cm="1">
        <f t="array" ref="Z23">_xlfn.XLOOKUP(tblMatriculas[[#This Row],[Cédula]]&amp;"|"&amp;tblMatriculas[[#This Row],[Código]],tblBase[Documento]&amp;"|"&amp;tblBase[Código grupo],tblBase[Fecha matrícula],"")</f>
        <v>46264</v>
      </c>
    </row>
    <row r="24" spans="1:26" x14ac:dyDescent="0.2">
      <c r="A24" t="s">
        <v>72</v>
      </c>
      <c r="B24" t="s">
        <v>73</v>
      </c>
      <c r="C24" t="s">
        <v>13</v>
      </c>
      <c r="D24" t="s">
        <v>14</v>
      </c>
      <c r="E24" t="s">
        <v>15</v>
      </c>
      <c r="F24" t="s">
        <v>16</v>
      </c>
      <c r="G24" s="1">
        <v>0.13300000000000001</v>
      </c>
      <c r="H24" t="s">
        <v>36</v>
      </c>
      <c r="I24" t="s">
        <v>18</v>
      </c>
      <c r="J24" t="s">
        <v>19</v>
      </c>
      <c r="K24" t="s">
        <v>24</v>
      </c>
      <c r="L24" s="14">
        <f>IFERROR(VALUE(LEFT(tblMatriculas[[#This Row],[Clases]],FIND("/",tblMatriculas[[#This Row],[Clases]])-1)),"")</f>
        <v>6</v>
      </c>
      <c r="M24" s="14">
        <f>IFERROR(VALUE(MID(tblMatriculas[[#This Row],[Clases]],FIND("/",tblMatriculas[[#This Row],[Clases]])+1,5)),"")</f>
        <v>45</v>
      </c>
      <c r="N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4" s="14">
        <f>IF(OR(tblMatriculas[[#This Row],[Estado]]&lt;&gt;"activa",tblMatriculas[[#This Row],[Clases dictadas]]=""),"",MAX(0,tblMatriculas[[#This Row],[Clases dictadas]]-tblMatriculas[[#This Row],[Asistidas]]))</f>
        <v>3</v>
      </c>
      <c r="P24" s="1">
        <f>IF(OR(tblMatriculas[[#This Row],[Estado]]&lt;&gt;"activa",tblMatriculas[[#This Row],[Asistidas]]=""),"",tblMatriculas[[#This Row],[Asistencia]])</f>
        <v>0.13300000000000001</v>
      </c>
      <c r="Q24" t="b">
        <f>AND(tblMatriculas[[#This Row],[Estado]]="activa",ISNUMBER(tblMatriculas[[#This Row],[% asistencia]]),NOT(ISNUMBER(SEARCH(pPrueba,tblMatriculas[[#This Row],[Nombre]]))))</f>
        <v>1</v>
      </c>
      <c r="R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4" s="23" t="str" cm="1">
        <f t="array" ref="S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" s="23" t="str" cm="1">
        <f t="array" ref="T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" s="14" t="str" cm="1">
        <f t="array" ref="U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" t="str" cm="1">
        <f t="array" ref="V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" t="str" cm="1">
        <f t="array" ref="W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4" t="str">
        <f>IF(COUNTIFS('Base Estudiantes'!$C:$C,tblMatriculas[[#This Row],[Cédula]],'Base Estudiantes'!$I:$I,tblMatriculas[[#This Row],[Código]])&gt;0,"Sí","No")</f>
        <v>Sí</v>
      </c>
      <c r="Z24" s="23" cm="1">
        <f t="array" ref="Z24">_xlfn.XLOOKUP(tblMatriculas[[#This Row],[Cédula]]&amp;"|"&amp;tblMatriculas[[#This Row],[Código]],tblBase[Documento]&amp;"|"&amp;tblBase[Código grupo],tblBase[Fecha matrícula],"")</f>
        <v>46264</v>
      </c>
    </row>
    <row r="25" spans="1:26" x14ac:dyDescent="0.2">
      <c r="A25" t="s">
        <v>74</v>
      </c>
      <c r="B25" t="s">
        <v>75</v>
      </c>
      <c r="C25" t="s">
        <v>13</v>
      </c>
      <c r="D25" t="s">
        <v>14</v>
      </c>
      <c r="E25" t="s">
        <v>15</v>
      </c>
      <c r="F25" t="s">
        <v>16</v>
      </c>
      <c r="G25" s="1">
        <v>4.4000000000000004E-2</v>
      </c>
      <c r="H25" t="s">
        <v>76</v>
      </c>
      <c r="I25" t="s">
        <v>18</v>
      </c>
      <c r="J25" t="s">
        <v>19</v>
      </c>
      <c r="K25" t="s">
        <v>24</v>
      </c>
      <c r="L25" s="14">
        <f>IFERROR(VALUE(LEFT(tblMatriculas[[#This Row],[Clases]],FIND("/",tblMatriculas[[#This Row],[Clases]])-1)),"")</f>
        <v>2</v>
      </c>
      <c r="M25" s="14">
        <f>IFERROR(VALUE(MID(tblMatriculas[[#This Row],[Clases]],FIND("/",tblMatriculas[[#This Row],[Clases]])+1,5)),"")</f>
        <v>45</v>
      </c>
      <c r="N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5" s="14">
        <f>IF(OR(tblMatriculas[[#This Row],[Estado]]&lt;&gt;"activa",tblMatriculas[[#This Row],[Clases dictadas]]=""),"",MAX(0,tblMatriculas[[#This Row],[Clases dictadas]]-tblMatriculas[[#This Row],[Asistidas]]))</f>
        <v>7</v>
      </c>
      <c r="P25" s="1">
        <f>IF(OR(tblMatriculas[[#This Row],[Estado]]&lt;&gt;"activa",tblMatriculas[[#This Row],[Asistidas]]=""),"",tblMatriculas[[#This Row],[Asistencia]])</f>
        <v>4.4000000000000004E-2</v>
      </c>
      <c r="Q25" t="b">
        <f>AND(tblMatriculas[[#This Row],[Estado]]="activa",ISNUMBER(tblMatriculas[[#This Row],[% asistencia]]),NOT(ISNUMBER(SEARCH(pPrueba,tblMatriculas[[#This Row],[Nombre]]))))</f>
        <v>1</v>
      </c>
      <c r="R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" s="23" t="str" cm="1">
        <f t="array" ref="S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" s="23" t="str" cm="1">
        <f t="array" ref="T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" s="14" t="str" cm="1">
        <f t="array" ref="U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" t="str" cm="1">
        <f t="array" ref="V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" t="str" cm="1">
        <f t="array" ref="W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" t="str">
        <f>IF(COUNTIFS('Base Estudiantes'!$C:$C,tblMatriculas[[#This Row],[Cédula]],'Base Estudiantes'!$I:$I,tblMatriculas[[#This Row],[Código]])&gt;0,"Sí","No")</f>
        <v>Sí</v>
      </c>
      <c r="Z25" s="23" cm="1">
        <f t="array" ref="Z25">_xlfn.XLOOKUP(tblMatriculas[[#This Row],[Cédula]]&amp;"|"&amp;tblMatriculas[[#This Row],[Código]],tblBase[Documento]&amp;"|"&amp;tblBase[Código grupo],tblBase[Fecha matrícula],"")</f>
        <v>46264</v>
      </c>
    </row>
    <row r="26" spans="1:26" x14ac:dyDescent="0.2">
      <c r="A26" t="s">
        <v>77</v>
      </c>
      <c r="B26" t="s">
        <v>78</v>
      </c>
      <c r="C26" t="s">
        <v>13</v>
      </c>
      <c r="D26" t="s">
        <v>14</v>
      </c>
      <c r="E26" t="s">
        <v>15</v>
      </c>
      <c r="F26" t="s">
        <v>16</v>
      </c>
      <c r="G26" s="1">
        <v>6.7000000000000004E-2</v>
      </c>
      <c r="H26" t="s">
        <v>50</v>
      </c>
      <c r="I26" t="s">
        <v>18</v>
      </c>
      <c r="J26" t="s">
        <v>19</v>
      </c>
      <c r="K26" t="s">
        <v>24</v>
      </c>
      <c r="L26" s="14">
        <f>IFERROR(VALUE(LEFT(tblMatriculas[[#This Row],[Clases]],FIND("/",tblMatriculas[[#This Row],[Clases]])-1)),"")</f>
        <v>3</v>
      </c>
      <c r="M26" s="14">
        <f>IFERROR(VALUE(MID(tblMatriculas[[#This Row],[Clases]],FIND("/",tblMatriculas[[#This Row],[Clases]])+1,5)),"")</f>
        <v>45</v>
      </c>
      <c r="N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6" s="14">
        <f>IF(OR(tblMatriculas[[#This Row],[Estado]]&lt;&gt;"activa",tblMatriculas[[#This Row],[Clases dictadas]]=""),"",MAX(0,tblMatriculas[[#This Row],[Clases dictadas]]-tblMatriculas[[#This Row],[Asistidas]]))</f>
        <v>6</v>
      </c>
      <c r="P26" s="1">
        <f>IF(OR(tblMatriculas[[#This Row],[Estado]]&lt;&gt;"activa",tblMatriculas[[#This Row],[Asistidas]]=""),"",tblMatriculas[[#This Row],[Asistencia]])</f>
        <v>6.7000000000000004E-2</v>
      </c>
      <c r="Q26" t="b">
        <f>AND(tblMatriculas[[#This Row],[Estado]]="activa",ISNUMBER(tblMatriculas[[#This Row],[% asistencia]]),NOT(ISNUMBER(SEARCH(pPrueba,tblMatriculas[[#This Row],[Nombre]]))))</f>
        <v>1</v>
      </c>
      <c r="R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" s="23" t="str" cm="1">
        <f t="array" ref="S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" s="23" t="str" cm="1">
        <f t="array" ref="T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" s="14" t="str" cm="1">
        <f t="array" ref="U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" t="str" cm="1">
        <f t="array" ref="V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" t="str" cm="1">
        <f t="array" ref="W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" t="str">
        <f>IF(COUNTIFS('Base Estudiantes'!$C:$C,tblMatriculas[[#This Row],[Cédula]],'Base Estudiantes'!$I:$I,tblMatriculas[[#This Row],[Código]])&gt;0,"Sí","No")</f>
        <v>Sí</v>
      </c>
      <c r="Z26" s="23" cm="1">
        <f t="array" ref="Z26">_xlfn.XLOOKUP(tblMatriculas[[#This Row],[Cédula]]&amp;"|"&amp;tblMatriculas[[#This Row],[Código]],tblBase[Documento]&amp;"|"&amp;tblBase[Código grupo],tblBase[Fecha matrícula],"")</f>
        <v>46264</v>
      </c>
    </row>
    <row r="27" spans="1:26" x14ac:dyDescent="0.2">
      <c r="A27" t="s">
        <v>79</v>
      </c>
      <c r="B27" t="s">
        <v>80</v>
      </c>
      <c r="C27" t="s">
        <v>13</v>
      </c>
      <c r="D27" t="s">
        <v>14</v>
      </c>
      <c r="E27" t="s">
        <v>15</v>
      </c>
      <c r="F27" t="s">
        <v>16</v>
      </c>
      <c r="G27" s="1">
        <v>2.2000000000000002E-2</v>
      </c>
      <c r="H27" t="s">
        <v>23</v>
      </c>
      <c r="I27" t="s">
        <v>18</v>
      </c>
      <c r="J27" t="s">
        <v>19</v>
      </c>
      <c r="K27" t="s">
        <v>24</v>
      </c>
      <c r="L27" s="14">
        <f>IFERROR(VALUE(LEFT(tblMatriculas[[#This Row],[Clases]],FIND("/",tblMatriculas[[#This Row],[Clases]])-1)),"")</f>
        <v>1</v>
      </c>
      <c r="M27" s="14">
        <f>IFERROR(VALUE(MID(tblMatriculas[[#This Row],[Clases]],FIND("/",tblMatriculas[[#This Row],[Clases]])+1,5)),"")</f>
        <v>45</v>
      </c>
      <c r="N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7" s="14">
        <f>IF(OR(tblMatriculas[[#This Row],[Estado]]&lt;&gt;"activa",tblMatriculas[[#This Row],[Clases dictadas]]=""),"",MAX(0,tblMatriculas[[#This Row],[Clases dictadas]]-tblMatriculas[[#This Row],[Asistidas]]))</f>
        <v>8</v>
      </c>
      <c r="P27" s="1">
        <f>IF(OR(tblMatriculas[[#This Row],[Estado]]&lt;&gt;"activa",tblMatriculas[[#This Row],[Asistidas]]=""),"",tblMatriculas[[#This Row],[Asistencia]])</f>
        <v>2.2000000000000002E-2</v>
      </c>
      <c r="Q27" t="b">
        <f>AND(tblMatriculas[[#This Row],[Estado]]="activa",ISNUMBER(tblMatriculas[[#This Row],[% asistencia]]),NOT(ISNUMBER(SEARCH(pPrueba,tblMatriculas[[#This Row],[Nombre]]))))</f>
        <v>1</v>
      </c>
      <c r="R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7" s="23" t="str" cm="1">
        <f t="array" ref="S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" s="23" t="str" cm="1">
        <f t="array" ref="T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" s="14" t="str" cm="1">
        <f t="array" ref="U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" t="str" cm="1">
        <f t="array" ref="V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" t="str" cm="1">
        <f t="array" ref="W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7" t="str">
        <f>IF(COUNTIFS('Base Estudiantes'!$C:$C,tblMatriculas[[#This Row],[Cédula]],'Base Estudiantes'!$I:$I,tblMatriculas[[#This Row],[Código]])&gt;0,"Sí","No")</f>
        <v>Sí</v>
      </c>
      <c r="Z27" s="23" cm="1">
        <f t="array" ref="Z27">_xlfn.XLOOKUP(tblMatriculas[[#This Row],[Cédula]]&amp;"|"&amp;tblMatriculas[[#This Row],[Código]],tblBase[Documento]&amp;"|"&amp;tblBase[Código grupo],tblBase[Fecha matrícula],"")</f>
        <v>46264</v>
      </c>
    </row>
    <row r="28" spans="1:26" x14ac:dyDescent="0.2">
      <c r="A28" t="s">
        <v>81</v>
      </c>
      <c r="B28" t="s">
        <v>82</v>
      </c>
      <c r="C28" t="s">
        <v>13</v>
      </c>
      <c r="D28" t="s">
        <v>14</v>
      </c>
      <c r="E28" t="s">
        <v>15</v>
      </c>
      <c r="F28" t="s">
        <v>16</v>
      </c>
      <c r="G28" s="1">
        <v>2.2000000000000002E-2</v>
      </c>
      <c r="H28" t="s">
        <v>23</v>
      </c>
      <c r="I28" t="s">
        <v>18</v>
      </c>
      <c r="J28" t="s">
        <v>19</v>
      </c>
      <c r="K28" t="s">
        <v>24</v>
      </c>
      <c r="L28" s="14">
        <f>IFERROR(VALUE(LEFT(tblMatriculas[[#This Row],[Clases]],FIND("/",tblMatriculas[[#This Row],[Clases]])-1)),"")</f>
        <v>1</v>
      </c>
      <c r="M28" s="14">
        <f>IFERROR(VALUE(MID(tblMatriculas[[#This Row],[Clases]],FIND("/",tblMatriculas[[#This Row],[Clases]])+1,5)),"")</f>
        <v>45</v>
      </c>
      <c r="N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8" s="14">
        <f>IF(OR(tblMatriculas[[#This Row],[Estado]]&lt;&gt;"activa",tblMatriculas[[#This Row],[Clases dictadas]]=""),"",MAX(0,tblMatriculas[[#This Row],[Clases dictadas]]-tblMatriculas[[#This Row],[Asistidas]]))</f>
        <v>8</v>
      </c>
      <c r="P28" s="1">
        <f>IF(OR(tblMatriculas[[#This Row],[Estado]]&lt;&gt;"activa",tblMatriculas[[#This Row],[Asistidas]]=""),"",tblMatriculas[[#This Row],[Asistencia]])</f>
        <v>2.2000000000000002E-2</v>
      </c>
      <c r="Q28" t="b">
        <f>AND(tblMatriculas[[#This Row],[Estado]]="activa",ISNUMBER(tblMatriculas[[#This Row],[% asistencia]]),NOT(ISNUMBER(SEARCH(pPrueba,tblMatriculas[[#This Row],[Nombre]]))))</f>
        <v>1</v>
      </c>
      <c r="R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8" s="23" t="str" cm="1">
        <f t="array" ref="S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" s="23" t="str" cm="1">
        <f t="array" ref="T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" s="14" t="str" cm="1">
        <f t="array" ref="U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" t="str" cm="1">
        <f t="array" ref="V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" t="str" cm="1">
        <f t="array" ref="W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8" t="str">
        <f>IF(COUNTIFS('Base Estudiantes'!$C:$C,tblMatriculas[[#This Row],[Cédula]],'Base Estudiantes'!$I:$I,tblMatriculas[[#This Row],[Código]])&gt;0,"Sí","No")</f>
        <v>Sí</v>
      </c>
      <c r="Z28" s="23" cm="1">
        <f t="array" ref="Z28">_xlfn.XLOOKUP(tblMatriculas[[#This Row],[Cédula]]&amp;"|"&amp;tblMatriculas[[#This Row],[Código]],tblBase[Documento]&amp;"|"&amp;tblBase[Código grupo],tblBase[Fecha matrícula],"")</f>
        <v>46264</v>
      </c>
    </row>
    <row r="29" spans="1:26" x14ac:dyDescent="0.2">
      <c r="A29" t="s">
        <v>83</v>
      </c>
      <c r="B29" t="s">
        <v>84</v>
      </c>
      <c r="C29" t="s">
        <v>13</v>
      </c>
      <c r="D29" t="s">
        <v>14</v>
      </c>
      <c r="E29" t="s">
        <v>15</v>
      </c>
      <c r="F29" t="s">
        <v>16</v>
      </c>
      <c r="G29" s="1">
        <v>0.17800000000000002</v>
      </c>
      <c r="H29" t="s">
        <v>39</v>
      </c>
      <c r="I29" t="s">
        <v>18</v>
      </c>
      <c r="J29" t="s">
        <v>19</v>
      </c>
      <c r="K29" t="s">
        <v>24</v>
      </c>
      <c r="L29" s="14">
        <f>IFERROR(VALUE(LEFT(tblMatriculas[[#This Row],[Clases]],FIND("/",tblMatriculas[[#This Row],[Clases]])-1)),"")</f>
        <v>8</v>
      </c>
      <c r="M29" s="14">
        <f>IFERROR(VALUE(MID(tblMatriculas[[#This Row],[Clases]],FIND("/",tblMatriculas[[#This Row],[Clases]])+1,5)),"")</f>
        <v>45</v>
      </c>
      <c r="N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29" s="14">
        <f>IF(OR(tblMatriculas[[#This Row],[Estado]]&lt;&gt;"activa",tblMatriculas[[#This Row],[Clases dictadas]]=""),"",MAX(0,tblMatriculas[[#This Row],[Clases dictadas]]-tblMatriculas[[#This Row],[Asistidas]]))</f>
        <v>1</v>
      </c>
      <c r="P29" s="1">
        <f>IF(OR(tblMatriculas[[#This Row],[Estado]]&lt;&gt;"activa",tblMatriculas[[#This Row],[Asistidas]]=""),"",tblMatriculas[[#This Row],[Asistencia]])</f>
        <v>0.17800000000000002</v>
      </c>
      <c r="Q29" t="b">
        <f>AND(tblMatriculas[[#This Row],[Estado]]="activa",ISNUMBER(tblMatriculas[[#This Row],[% asistencia]]),NOT(ISNUMBER(SEARCH(pPrueba,tblMatriculas[[#This Row],[Nombre]]))))</f>
        <v>1</v>
      </c>
      <c r="R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" s="23" t="str" cm="1">
        <f t="array" ref="S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" s="23" t="str" cm="1">
        <f t="array" ref="T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" s="14" t="str" cm="1">
        <f t="array" ref="U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" t="str" cm="1">
        <f t="array" ref="V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" t="str" cm="1">
        <f t="array" ref="W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" t="str">
        <f>IF(COUNTIFS('Base Estudiantes'!$C:$C,tblMatriculas[[#This Row],[Cédula]],'Base Estudiantes'!$I:$I,tblMatriculas[[#This Row],[Código]])&gt;0,"Sí","No")</f>
        <v>Sí</v>
      </c>
      <c r="Z29" s="23" cm="1">
        <f t="array" ref="Z29">_xlfn.XLOOKUP(tblMatriculas[[#This Row],[Cédula]]&amp;"|"&amp;tblMatriculas[[#This Row],[Código]],tblBase[Documento]&amp;"|"&amp;tblBase[Código grupo],tblBase[Fecha matrícula],"")</f>
        <v>46264</v>
      </c>
    </row>
    <row r="30" spans="1:26" x14ac:dyDescent="0.2">
      <c r="A30" t="s">
        <v>85</v>
      </c>
      <c r="B30" t="s">
        <v>86</v>
      </c>
      <c r="C30" t="s">
        <v>13</v>
      </c>
      <c r="D30" t="s">
        <v>14</v>
      </c>
      <c r="E30" t="s">
        <v>15</v>
      </c>
      <c r="F30" t="s">
        <v>16</v>
      </c>
      <c r="G30" s="1">
        <v>0.2</v>
      </c>
      <c r="H30" t="s">
        <v>27</v>
      </c>
      <c r="I30" t="s">
        <v>18</v>
      </c>
      <c r="J30" t="s">
        <v>19</v>
      </c>
      <c r="K30" t="s">
        <v>24</v>
      </c>
      <c r="L30" s="14">
        <f>IFERROR(VALUE(LEFT(tblMatriculas[[#This Row],[Clases]],FIND("/",tblMatriculas[[#This Row],[Clases]])-1)),"")</f>
        <v>9</v>
      </c>
      <c r="M30" s="14">
        <f>IFERROR(VALUE(MID(tblMatriculas[[#This Row],[Clases]],FIND("/",tblMatriculas[[#This Row],[Clases]])+1,5)),"")</f>
        <v>45</v>
      </c>
      <c r="N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0" s="14">
        <f>IF(OR(tblMatriculas[[#This Row],[Estado]]&lt;&gt;"activa",tblMatriculas[[#This Row],[Clases dictadas]]=""),"",MAX(0,tblMatriculas[[#This Row],[Clases dictadas]]-tblMatriculas[[#This Row],[Asistidas]]))</f>
        <v>0</v>
      </c>
      <c r="P30" s="1">
        <f>IF(OR(tblMatriculas[[#This Row],[Estado]]&lt;&gt;"activa",tblMatriculas[[#This Row],[Asistidas]]=""),"",tblMatriculas[[#This Row],[Asistencia]])</f>
        <v>0.2</v>
      </c>
      <c r="Q30" t="b">
        <f>AND(tblMatriculas[[#This Row],[Estado]]="activa",ISNUMBER(tblMatriculas[[#This Row],[% asistencia]]),NOT(ISNUMBER(SEARCH(pPrueba,tblMatriculas[[#This Row],[Nombre]]))))</f>
        <v>1</v>
      </c>
      <c r="R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" s="23" t="str" cm="1">
        <f t="array" ref="S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" s="23" t="str" cm="1">
        <f t="array" ref="T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" s="14" t="str" cm="1">
        <f t="array" ref="U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" t="str" cm="1">
        <f t="array" ref="V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" t="str" cm="1">
        <f t="array" ref="W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" t="str">
        <f>IF(COUNTIFS('Base Estudiantes'!$C:$C,tblMatriculas[[#This Row],[Cédula]],'Base Estudiantes'!$I:$I,tblMatriculas[[#This Row],[Código]])&gt;0,"Sí","No")</f>
        <v>Sí</v>
      </c>
      <c r="Z30" s="23" cm="1">
        <f t="array" ref="Z30">_xlfn.XLOOKUP(tblMatriculas[[#This Row],[Cédula]]&amp;"|"&amp;tblMatriculas[[#This Row],[Código]],tblBase[Documento]&amp;"|"&amp;tblBase[Código grupo],tblBase[Fecha matrícula],"")</f>
        <v>46264</v>
      </c>
    </row>
    <row r="31" spans="1:26" x14ac:dyDescent="0.2">
      <c r="A31" t="s">
        <v>87</v>
      </c>
      <c r="B31" t="s">
        <v>88</v>
      </c>
      <c r="C31" t="s">
        <v>13</v>
      </c>
      <c r="D31" t="s">
        <v>14</v>
      </c>
      <c r="E31" t="s">
        <v>15</v>
      </c>
      <c r="F31" t="s">
        <v>16</v>
      </c>
      <c r="G31" s="1">
        <v>0.17800000000000002</v>
      </c>
      <c r="H31" t="s">
        <v>39</v>
      </c>
      <c r="I31" t="s">
        <v>18</v>
      </c>
      <c r="J31" t="s">
        <v>19</v>
      </c>
      <c r="K31" t="s">
        <v>24</v>
      </c>
      <c r="L31" s="14">
        <f>IFERROR(VALUE(LEFT(tblMatriculas[[#This Row],[Clases]],FIND("/",tblMatriculas[[#This Row],[Clases]])-1)),"")</f>
        <v>8</v>
      </c>
      <c r="M31" s="14">
        <f>IFERROR(VALUE(MID(tblMatriculas[[#This Row],[Clases]],FIND("/",tblMatriculas[[#This Row],[Clases]])+1,5)),"")</f>
        <v>45</v>
      </c>
      <c r="N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1" s="14">
        <f>IF(OR(tblMatriculas[[#This Row],[Estado]]&lt;&gt;"activa",tblMatriculas[[#This Row],[Clases dictadas]]=""),"",MAX(0,tblMatriculas[[#This Row],[Clases dictadas]]-tblMatriculas[[#This Row],[Asistidas]]))</f>
        <v>1</v>
      </c>
      <c r="P31" s="1">
        <f>IF(OR(tblMatriculas[[#This Row],[Estado]]&lt;&gt;"activa",tblMatriculas[[#This Row],[Asistidas]]=""),"",tblMatriculas[[#This Row],[Asistencia]])</f>
        <v>0.17800000000000002</v>
      </c>
      <c r="Q31" t="b">
        <f>AND(tblMatriculas[[#This Row],[Estado]]="activa",ISNUMBER(tblMatriculas[[#This Row],[% asistencia]]),NOT(ISNUMBER(SEARCH(pPrueba,tblMatriculas[[#This Row],[Nombre]]))))</f>
        <v>1</v>
      </c>
      <c r="R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" s="23" t="str" cm="1">
        <f t="array" ref="S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" s="23" t="str" cm="1">
        <f t="array" ref="T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" s="14" t="str" cm="1">
        <f t="array" ref="U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" t="str" cm="1">
        <f t="array" ref="V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" t="str" cm="1">
        <f t="array" ref="W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" t="str">
        <f>IF(COUNTIFS('Base Estudiantes'!$C:$C,tblMatriculas[[#This Row],[Cédula]],'Base Estudiantes'!$I:$I,tblMatriculas[[#This Row],[Código]])&gt;0,"Sí","No")</f>
        <v>Sí</v>
      </c>
      <c r="Z31" s="23" cm="1">
        <f t="array" ref="Z31">_xlfn.XLOOKUP(tblMatriculas[[#This Row],[Cédula]]&amp;"|"&amp;tblMatriculas[[#This Row],[Código]],tblBase[Documento]&amp;"|"&amp;tblBase[Código grupo],tblBase[Fecha matrícula],"")</f>
        <v>46264</v>
      </c>
    </row>
    <row r="32" spans="1:26" x14ac:dyDescent="0.2">
      <c r="A32" t="s">
        <v>89</v>
      </c>
      <c r="B32" t="s">
        <v>90</v>
      </c>
      <c r="C32" t="s">
        <v>13</v>
      </c>
      <c r="D32" t="s">
        <v>14</v>
      </c>
      <c r="E32" t="s">
        <v>15</v>
      </c>
      <c r="F32" t="s">
        <v>16</v>
      </c>
      <c r="G32" s="1">
        <v>0.2</v>
      </c>
      <c r="H32" t="s">
        <v>27</v>
      </c>
      <c r="I32" t="s">
        <v>18</v>
      </c>
      <c r="J32" t="s">
        <v>19</v>
      </c>
      <c r="K32" t="s">
        <v>24</v>
      </c>
      <c r="L32" s="14">
        <f>IFERROR(VALUE(LEFT(tblMatriculas[[#This Row],[Clases]],FIND("/",tblMatriculas[[#This Row],[Clases]])-1)),"")</f>
        <v>9</v>
      </c>
      <c r="M32" s="14">
        <f>IFERROR(VALUE(MID(tblMatriculas[[#This Row],[Clases]],FIND("/",tblMatriculas[[#This Row],[Clases]])+1,5)),"")</f>
        <v>45</v>
      </c>
      <c r="N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2" s="14">
        <f>IF(OR(tblMatriculas[[#This Row],[Estado]]&lt;&gt;"activa",tblMatriculas[[#This Row],[Clases dictadas]]=""),"",MAX(0,tblMatriculas[[#This Row],[Clases dictadas]]-tblMatriculas[[#This Row],[Asistidas]]))</f>
        <v>0</v>
      </c>
      <c r="P32" s="1">
        <f>IF(OR(tblMatriculas[[#This Row],[Estado]]&lt;&gt;"activa",tblMatriculas[[#This Row],[Asistidas]]=""),"",tblMatriculas[[#This Row],[Asistencia]])</f>
        <v>0.2</v>
      </c>
      <c r="Q32" t="b">
        <f>AND(tblMatriculas[[#This Row],[Estado]]="activa",ISNUMBER(tblMatriculas[[#This Row],[% asistencia]]),NOT(ISNUMBER(SEARCH(pPrueba,tblMatriculas[[#This Row],[Nombre]]))))</f>
        <v>1</v>
      </c>
      <c r="R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" s="23" t="str" cm="1">
        <f t="array" ref="S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" s="23" t="str" cm="1">
        <f t="array" ref="T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" s="14" t="str" cm="1">
        <f t="array" ref="U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" t="str" cm="1">
        <f t="array" ref="V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" t="str" cm="1">
        <f t="array" ref="W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" t="str">
        <f>IF(COUNTIFS('Base Estudiantes'!$C:$C,tblMatriculas[[#This Row],[Cédula]],'Base Estudiantes'!$I:$I,tblMatriculas[[#This Row],[Código]])&gt;0,"Sí","No")</f>
        <v>Sí</v>
      </c>
      <c r="Z32" s="23" cm="1">
        <f t="array" ref="Z32">_xlfn.XLOOKUP(tblMatriculas[[#This Row],[Cédula]]&amp;"|"&amp;tblMatriculas[[#This Row],[Código]],tblBase[Documento]&amp;"|"&amp;tblBase[Código grupo],tblBase[Fecha matrícula],"")</f>
        <v>46264</v>
      </c>
    </row>
    <row r="33" spans="1:26" x14ac:dyDescent="0.2">
      <c r="A33" t="s">
        <v>91</v>
      </c>
      <c r="B33" t="s">
        <v>92</v>
      </c>
      <c r="C33" t="s">
        <v>13</v>
      </c>
      <c r="D33" t="s">
        <v>14</v>
      </c>
      <c r="E33" t="s">
        <v>15</v>
      </c>
      <c r="F33" t="s">
        <v>16</v>
      </c>
      <c r="G33" s="1">
        <v>0.2</v>
      </c>
      <c r="H33" t="s">
        <v>27</v>
      </c>
      <c r="I33" t="s">
        <v>18</v>
      </c>
      <c r="J33" t="s">
        <v>19</v>
      </c>
      <c r="K33" t="s">
        <v>24</v>
      </c>
      <c r="L33" s="14">
        <f>IFERROR(VALUE(LEFT(tblMatriculas[[#This Row],[Clases]],FIND("/",tblMatriculas[[#This Row],[Clases]])-1)),"")</f>
        <v>9</v>
      </c>
      <c r="M33" s="14">
        <f>IFERROR(VALUE(MID(tblMatriculas[[#This Row],[Clases]],FIND("/",tblMatriculas[[#This Row],[Clases]])+1,5)),"")</f>
        <v>45</v>
      </c>
      <c r="N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3" s="14">
        <f>IF(OR(tblMatriculas[[#This Row],[Estado]]&lt;&gt;"activa",tblMatriculas[[#This Row],[Clases dictadas]]=""),"",MAX(0,tblMatriculas[[#This Row],[Clases dictadas]]-tblMatriculas[[#This Row],[Asistidas]]))</f>
        <v>0</v>
      </c>
      <c r="P33" s="1">
        <f>IF(OR(tblMatriculas[[#This Row],[Estado]]&lt;&gt;"activa",tblMatriculas[[#This Row],[Asistidas]]=""),"",tblMatriculas[[#This Row],[Asistencia]])</f>
        <v>0.2</v>
      </c>
      <c r="Q33" t="b">
        <f>AND(tblMatriculas[[#This Row],[Estado]]="activa",ISNUMBER(tblMatriculas[[#This Row],[% asistencia]]),NOT(ISNUMBER(SEARCH(pPrueba,tblMatriculas[[#This Row],[Nombre]]))))</f>
        <v>1</v>
      </c>
      <c r="R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" s="23" t="str" cm="1">
        <f t="array" ref="S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" s="23" t="str" cm="1">
        <f t="array" ref="T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" s="14" t="str" cm="1">
        <f t="array" ref="U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" t="str" cm="1">
        <f t="array" ref="V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" t="str" cm="1">
        <f t="array" ref="W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" t="str">
        <f>IF(COUNTIFS('Base Estudiantes'!$C:$C,tblMatriculas[[#This Row],[Cédula]],'Base Estudiantes'!$I:$I,tblMatriculas[[#This Row],[Código]])&gt;0,"Sí","No")</f>
        <v>Sí</v>
      </c>
      <c r="Z33" s="23" cm="1">
        <f t="array" ref="Z33">_xlfn.XLOOKUP(tblMatriculas[[#This Row],[Cédula]]&amp;"|"&amp;tblMatriculas[[#This Row],[Código]],tblBase[Documento]&amp;"|"&amp;tblBase[Código grupo],tblBase[Fecha matrícula],"")</f>
        <v>46264</v>
      </c>
    </row>
    <row r="34" spans="1:26" x14ac:dyDescent="0.2">
      <c r="A34" t="s">
        <v>93</v>
      </c>
      <c r="B34" t="s">
        <v>94</v>
      </c>
      <c r="C34" t="s">
        <v>13</v>
      </c>
      <c r="D34" t="s">
        <v>14</v>
      </c>
      <c r="E34" t="s">
        <v>15</v>
      </c>
      <c r="F34" t="s">
        <v>16</v>
      </c>
      <c r="G34" s="1">
        <v>0.17800000000000002</v>
      </c>
      <c r="H34" t="s">
        <v>39</v>
      </c>
      <c r="I34" t="s">
        <v>18</v>
      </c>
      <c r="J34" t="s">
        <v>19</v>
      </c>
      <c r="K34" t="s">
        <v>24</v>
      </c>
      <c r="L34" s="14">
        <f>IFERROR(VALUE(LEFT(tblMatriculas[[#This Row],[Clases]],FIND("/",tblMatriculas[[#This Row],[Clases]])-1)),"")</f>
        <v>8</v>
      </c>
      <c r="M34" s="14">
        <f>IFERROR(VALUE(MID(tblMatriculas[[#This Row],[Clases]],FIND("/",tblMatriculas[[#This Row],[Clases]])+1,5)),"")</f>
        <v>45</v>
      </c>
      <c r="N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4" s="14">
        <f>IF(OR(tblMatriculas[[#This Row],[Estado]]&lt;&gt;"activa",tblMatriculas[[#This Row],[Clases dictadas]]=""),"",MAX(0,tblMatriculas[[#This Row],[Clases dictadas]]-tblMatriculas[[#This Row],[Asistidas]]))</f>
        <v>1</v>
      </c>
      <c r="P34" s="1">
        <f>IF(OR(tblMatriculas[[#This Row],[Estado]]&lt;&gt;"activa",tblMatriculas[[#This Row],[Asistidas]]=""),"",tblMatriculas[[#This Row],[Asistencia]])</f>
        <v>0.17800000000000002</v>
      </c>
      <c r="Q34" t="b">
        <f>AND(tblMatriculas[[#This Row],[Estado]]="activa",ISNUMBER(tblMatriculas[[#This Row],[% asistencia]]),NOT(ISNUMBER(SEARCH(pPrueba,tblMatriculas[[#This Row],[Nombre]]))))</f>
        <v>1</v>
      </c>
      <c r="R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4" s="23" t="str" cm="1">
        <f t="array" ref="S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" s="23" t="str" cm="1">
        <f t="array" ref="T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" s="14" t="str" cm="1">
        <f t="array" ref="U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" t="str" cm="1">
        <f t="array" ref="V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" t="str" cm="1">
        <f t="array" ref="W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4" t="str">
        <f>IF(COUNTIFS('Base Estudiantes'!$C:$C,tblMatriculas[[#This Row],[Cédula]],'Base Estudiantes'!$I:$I,tblMatriculas[[#This Row],[Código]])&gt;0,"Sí","No")</f>
        <v>Sí</v>
      </c>
      <c r="Z34" s="23" cm="1">
        <f t="array" ref="Z34">_xlfn.XLOOKUP(tblMatriculas[[#This Row],[Cédula]]&amp;"|"&amp;tblMatriculas[[#This Row],[Código]],tblBase[Documento]&amp;"|"&amp;tblBase[Código grupo],tblBase[Fecha matrícula],"")</f>
        <v>46264</v>
      </c>
    </row>
    <row r="35" spans="1:26" x14ac:dyDescent="0.2">
      <c r="A35" t="s">
        <v>95</v>
      </c>
      <c r="B35" t="s">
        <v>96</v>
      </c>
      <c r="C35" t="s">
        <v>13</v>
      </c>
      <c r="D35" t="s">
        <v>14</v>
      </c>
      <c r="E35" t="s">
        <v>15</v>
      </c>
      <c r="F35" t="s">
        <v>16</v>
      </c>
      <c r="G35" s="1">
        <v>0.156</v>
      </c>
      <c r="H35" t="s">
        <v>42</v>
      </c>
      <c r="I35" t="s">
        <v>18</v>
      </c>
      <c r="J35" t="s">
        <v>19</v>
      </c>
      <c r="K35" t="s">
        <v>24</v>
      </c>
      <c r="L35" s="14">
        <f>IFERROR(VALUE(LEFT(tblMatriculas[[#This Row],[Clases]],FIND("/",tblMatriculas[[#This Row],[Clases]])-1)),"")</f>
        <v>7</v>
      </c>
      <c r="M35" s="14">
        <f>IFERROR(VALUE(MID(tblMatriculas[[#This Row],[Clases]],FIND("/",tblMatriculas[[#This Row],[Clases]])+1,5)),"")</f>
        <v>45</v>
      </c>
      <c r="N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5" s="14">
        <f>IF(OR(tblMatriculas[[#This Row],[Estado]]&lt;&gt;"activa",tblMatriculas[[#This Row],[Clases dictadas]]=""),"",MAX(0,tblMatriculas[[#This Row],[Clases dictadas]]-tblMatriculas[[#This Row],[Asistidas]]))</f>
        <v>2</v>
      </c>
      <c r="P35" s="1">
        <f>IF(OR(tblMatriculas[[#This Row],[Estado]]&lt;&gt;"activa",tblMatriculas[[#This Row],[Asistidas]]=""),"",tblMatriculas[[#This Row],[Asistencia]])</f>
        <v>0.156</v>
      </c>
      <c r="Q35" t="b">
        <f>AND(tblMatriculas[[#This Row],[Estado]]="activa",ISNUMBER(tblMatriculas[[#This Row],[% asistencia]]),NOT(ISNUMBER(SEARCH(pPrueba,tblMatriculas[[#This Row],[Nombre]]))))</f>
        <v>1</v>
      </c>
      <c r="R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5" s="23" t="str" cm="1">
        <f t="array" ref="S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" s="23" t="str" cm="1">
        <f t="array" ref="T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" s="14" t="str" cm="1">
        <f t="array" ref="U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" t="str" cm="1">
        <f t="array" ref="V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" t="str" cm="1">
        <f t="array" ref="W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5" t="str">
        <f>IF(COUNTIFS('Base Estudiantes'!$C:$C,tblMatriculas[[#This Row],[Cédula]],'Base Estudiantes'!$I:$I,tblMatriculas[[#This Row],[Código]])&gt;0,"Sí","No")</f>
        <v>Sí</v>
      </c>
      <c r="Z35" s="23" cm="1">
        <f t="array" ref="Z35">_xlfn.XLOOKUP(tblMatriculas[[#This Row],[Cédula]]&amp;"|"&amp;tblMatriculas[[#This Row],[Código]],tblBase[Documento]&amp;"|"&amp;tblBase[Código grupo],tblBase[Fecha matrícula],"")</f>
        <v>46264</v>
      </c>
    </row>
    <row r="36" spans="1:26" x14ac:dyDescent="0.2">
      <c r="A36" t="s">
        <v>97</v>
      </c>
      <c r="B36" t="s">
        <v>98</v>
      </c>
      <c r="C36" t="s">
        <v>13</v>
      </c>
      <c r="D36" t="s">
        <v>14</v>
      </c>
      <c r="E36" t="s">
        <v>15</v>
      </c>
      <c r="F36" t="s">
        <v>16</v>
      </c>
      <c r="G36" s="1">
        <v>0.13300000000000001</v>
      </c>
      <c r="H36" t="s">
        <v>36</v>
      </c>
      <c r="I36" t="s">
        <v>18</v>
      </c>
      <c r="J36" t="s">
        <v>19</v>
      </c>
      <c r="K36" t="s">
        <v>24</v>
      </c>
      <c r="L36" s="14">
        <f>IFERROR(VALUE(LEFT(tblMatriculas[[#This Row],[Clases]],FIND("/",tblMatriculas[[#This Row],[Clases]])-1)),"")</f>
        <v>6</v>
      </c>
      <c r="M36" s="14">
        <f>IFERROR(VALUE(MID(tblMatriculas[[#This Row],[Clases]],FIND("/",tblMatriculas[[#This Row],[Clases]])+1,5)),"")</f>
        <v>45</v>
      </c>
      <c r="N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6" s="14">
        <f>IF(OR(tblMatriculas[[#This Row],[Estado]]&lt;&gt;"activa",tblMatriculas[[#This Row],[Clases dictadas]]=""),"",MAX(0,tblMatriculas[[#This Row],[Clases dictadas]]-tblMatriculas[[#This Row],[Asistidas]]))</f>
        <v>3</v>
      </c>
      <c r="P36" s="1">
        <f>IF(OR(tblMatriculas[[#This Row],[Estado]]&lt;&gt;"activa",tblMatriculas[[#This Row],[Asistidas]]=""),"",tblMatriculas[[#This Row],[Asistencia]])</f>
        <v>0.13300000000000001</v>
      </c>
      <c r="Q36" t="b">
        <f>AND(tblMatriculas[[#This Row],[Estado]]="activa",ISNUMBER(tblMatriculas[[#This Row],[% asistencia]]),NOT(ISNUMBER(SEARCH(pPrueba,tblMatriculas[[#This Row],[Nombre]]))))</f>
        <v>1</v>
      </c>
      <c r="R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6" s="23" t="str" cm="1">
        <f t="array" ref="S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" s="23" t="str" cm="1">
        <f t="array" ref="T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" s="14" t="str" cm="1">
        <f t="array" ref="U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" t="str" cm="1">
        <f t="array" ref="V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" t="str" cm="1">
        <f t="array" ref="W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6" t="str">
        <f>IF(COUNTIFS('Base Estudiantes'!$C:$C,tblMatriculas[[#This Row],[Cédula]],'Base Estudiantes'!$I:$I,tblMatriculas[[#This Row],[Código]])&gt;0,"Sí","No")</f>
        <v>Sí</v>
      </c>
      <c r="Z36" s="23" cm="1">
        <f t="array" ref="Z36">_xlfn.XLOOKUP(tblMatriculas[[#This Row],[Cédula]]&amp;"|"&amp;tblMatriculas[[#This Row],[Código]],tblBase[Documento]&amp;"|"&amp;tblBase[Código grupo],tblBase[Fecha matrícula],"")</f>
        <v>46264</v>
      </c>
    </row>
    <row r="37" spans="1:26" x14ac:dyDescent="0.2">
      <c r="A37" t="s">
        <v>99</v>
      </c>
      <c r="B37" t="s">
        <v>100</v>
      </c>
      <c r="C37" t="s">
        <v>13</v>
      </c>
      <c r="D37" t="s">
        <v>14</v>
      </c>
      <c r="E37" t="s">
        <v>15</v>
      </c>
      <c r="F37" t="s">
        <v>16</v>
      </c>
      <c r="G37" s="1">
        <v>2.2000000000000002E-2</v>
      </c>
      <c r="H37" t="s">
        <v>23</v>
      </c>
      <c r="I37" t="s">
        <v>18</v>
      </c>
      <c r="J37" t="s">
        <v>19</v>
      </c>
      <c r="K37" t="s">
        <v>24</v>
      </c>
      <c r="L37" s="14">
        <f>IFERROR(VALUE(LEFT(tblMatriculas[[#This Row],[Clases]],FIND("/",tblMatriculas[[#This Row],[Clases]])-1)),"")</f>
        <v>1</v>
      </c>
      <c r="M37" s="14">
        <f>IFERROR(VALUE(MID(tblMatriculas[[#This Row],[Clases]],FIND("/",tblMatriculas[[#This Row],[Clases]])+1,5)),"")</f>
        <v>45</v>
      </c>
      <c r="N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7" s="14">
        <f>IF(OR(tblMatriculas[[#This Row],[Estado]]&lt;&gt;"activa",tblMatriculas[[#This Row],[Clases dictadas]]=""),"",MAX(0,tblMatriculas[[#This Row],[Clases dictadas]]-tblMatriculas[[#This Row],[Asistidas]]))</f>
        <v>8</v>
      </c>
      <c r="P37" s="1">
        <f>IF(OR(tblMatriculas[[#This Row],[Estado]]&lt;&gt;"activa",tblMatriculas[[#This Row],[Asistidas]]=""),"",tblMatriculas[[#This Row],[Asistencia]])</f>
        <v>2.2000000000000002E-2</v>
      </c>
      <c r="Q37" t="b">
        <f>AND(tblMatriculas[[#This Row],[Estado]]="activa",ISNUMBER(tblMatriculas[[#This Row],[% asistencia]]),NOT(ISNUMBER(SEARCH(pPrueba,tblMatriculas[[#This Row],[Nombre]]))))</f>
        <v>1</v>
      </c>
      <c r="R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7" s="23" t="str" cm="1">
        <f t="array" ref="S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" s="23" t="str" cm="1">
        <f t="array" ref="T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" s="14" t="str" cm="1">
        <f t="array" ref="U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" t="str" cm="1">
        <f t="array" ref="V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" t="str" cm="1">
        <f t="array" ref="W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7" t="str">
        <f>IF(COUNTIFS('Base Estudiantes'!$C:$C,tblMatriculas[[#This Row],[Cédula]],'Base Estudiantes'!$I:$I,tblMatriculas[[#This Row],[Código]])&gt;0,"Sí","No")</f>
        <v>Sí</v>
      </c>
      <c r="Z37" s="23" cm="1">
        <f t="array" ref="Z37">_xlfn.XLOOKUP(tblMatriculas[[#This Row],[Cédula]]&amp;"|"&amp;tblMatriculas[[#This Row],[Código]],tblBase[Documento]&amp;"|"&amp;tblBase[Código grupo],tblBase[Fecha matrícula],"")</f>
        <v>46264</v>
      </c>
    </row>
    <row r="38" spans="1:26" x14ac:dyDescent="0.2">
      <c r="A38" t="s">
        <v>101</v>
      </c>
      <c r="B38" t="s">
        <v>102</v>
      </c>
      <c r="C38" t="s">
        <v>13</v>
      </c>
      <c r="D38" t="s">
        <v>14</v>
      </c>
      <c r="E38" t="s">
        <v>15</v>
      </c>
      <c r="F38" t="s">
        <v>16</v>
      </c>
      <c r="G38" s="1">
        <v>0.2</v>
      </c>
      <c r="H38" t="s">
        <v>27</v>
      </c>
      <c r="I38" t="s">
        <v>18</v>
      </c>
      <c r="J38" t="s">
        <v>19</v>
      </c>
      <c r="K38" t="s">
        <v>24</v>
      </c>
      <c r="L38" s="14">
        <f>IFERROR(VALUE(LEFT(tblMatriculas[[#This Row],[Clases]],FIND("/",tblMatriculas[[#This Row],[Clases]])-1)),"")</f>
        <v>9</v>
      </c>
      <c r="M38" s="14">
        <f>IFERROR(VALUE(MID(tblMatriculas[[#This Row],[Clases]],FIND("/",tblMatriculas[[#This Row],[Clases]])+1,5)),"")</f>
        <v>45</v>
      </c>
      <c r="N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8" s="14">
        <f>IF(OR(tblMatriculas[[#This Row],[Estado]]&lt;&gt;"activa",tblMatriculas[[#This Row],[Clases dictadas]]=""),"",MAX(0,tblMatriculas[[#This Row],[Clases dictadas]]-tblMatriculas[[#This Row],[Asistidas]]))</f>
        <v>0</v>
      </c>
      <c r="P38" s="1">
        <f>IF(OR(tblMatriculas[[#This Row],[Estado]]&lt;&gt;"activa",tblMatriculas[[#This Row],[Asistidas]]=""),"",tblMatriculas[[#This Row],[Asistencia]])</f>
        <v>0.2</v>
      </c>
      <c r="Q38" t="b">
        <f>AND(tblMatriculas[[#This Row],[Estado]]="activa",ISNUMBER(tblMatriculas[[#This Row],[% asistencia]]),NOT(ISNUMBER(SEARCH(pPrueba,tblMatriculas[[#This Row],[Nombre]]))))</f>
        <v>1</v>
      </c>
      <c r="R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" s="23" t="str" cm="1">
        <f t="array" ref="S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" s="23" t="str" cm="1">
        <f t="array" ref="T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" s="14" t="str" cm="1">
        <f t="array" ref="U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" t="str" cm="1">
        <f t="array" ref="V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" t="str" cm="1">
        <f t="array" ref="W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" t="str">
        <f>IF(COUNTIFS('Base Estudiantes'!$C:$C,tblMatriculas[[#This Row],[Cédula]],'Base Estudiantes'!$I:$I,tblMatriculas[[#This Row],[Código]])&gt;0,"Sí","No")</f>
        <v>Sí</v>
      </c>
      <c r="Z38" s="23" cm="1">
        <f t="array" ref="Z38">_xlfn.XLOOKUP(tblMatriculas[[#This Row],[Cédula]]&amp;"|"&amp;tblMatriculas[[#This Row],[Código]],tblBase[Documento]&amp;"|"&amp;tblBase[Código grupo],tblBase[Fecha matrícula],"")</f>
        <v>46264</v>
      </c>
    </row>
    <row r="39" spans="1:26" x14ac:dyDescent="0.2">
      <c r="A39" t="s">
        <v>103</v>
      </c>
      <c r="B39" t="s">
        <v>104</v>
      </c>
      <c r="C39" t="s">
        <v>13</v>
      </c>
      <c r="D39" t="s">
        <v>14</v>
      </c>
      <c r="E39" t="s">
        <v>15</v>
      </c>
      <c r="F39" t="s">
        <v>16</v>
      </c>
      <c r="G39" s="1">
        <v>0.2</v>
      </c>
      <c r="H39" t="s">
        <v>27</v>
      </c>
      <c r="I39" t="s">
        <v>18</v>
      </c>
      <c r="J39" t="s">
        <v>19</v>
      </c>
      <c r="K39" t="s">
        <v>24</v>
      </c>
      <c r="L39" s="14">
        <f>IFERROR(VALUE(LEFT(tblMatriculas[[#This Row],[Clases]],FIND("/",tblMatriculas[[#This Row],[Clases]])-1)),"")</f>
        <v>9</v>
      </c>
      <c r="M39" s="14">
        <f>IFERROR(VALUE(MID(tblMatriculas[[#This Row],[Clases]],FIND("/",tblMatriculas[[#This Row],[Clases]])+1,5)),"")</f>
        <v>45</v>
      </c>
      <c r="N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39" s="14">
        <f>IF(OR(tblMatriculas[[#This Row],[Estado]]&lt;&gt;"activa",tblMatriculas[[#This Row],[Clases dictadas]]=""),"",MAX(0,tblMatriculas[[#This Row],[Clases dictadas]]-tblMatriculas[[#This Row],[Asistidas]]))</f>
        <v>0</v>
      </c>
      <c r="P39" s="1">
        <f>IF(OR(tblMatriculas[[#This Row],[Estado]]&lt;&gt;"activa",tblMatriculas[[#This Row],[Asistidas]]=""),"",tblMatriculas[[#This Row],[Asistencia]])</f>
        <v>0.2</v>
      </c>
      <c r="Q39" t="b">
        <f>AND(tblMatriculas[[#This Row],[Estado]]="activa",ISNUMBER(tblMatriculas[[#This Row],[% asistencia]]),NOT(ISNUMBER(SEARCH(pPrueba,tblMatriculas[[#This Row],[Nombre]]))))</f>
        <v>1</v>
      </c>
      <c r="R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" s="23" t="str" cm="1">
        <f t="array" ref="S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" s="23" t="str" cm="1">
        <f t="array" ref="T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" s="14" t="str" cm="1">
        <f t="array" ref="U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" t="str" cm="1">
        <f t="array" ref="V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" t="str" cm="1">
        <f t="array" ref="W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" t="str">
        <f>IF(COUNTIFS('Base Estudiantes'!$C:$C,tblMatriculas[[#This Row],[Cédula]],'Base Estudiantes'!$I:$I,tblMatriculas[[#This Row],[Código]])&gt;0,"Sí","No")</f>
        <v>Sí</v>
      </c>
      <c r="Z39" s="23" cm="1">
        <f t="array" ref="Z39">_xlfn.XLOOKUP(tblMatriculas[[#This Row],[Cédula]]&amp;"|"&amp;tblMatriculas[[#This Row],[Código]],tblBase[Documento]&amp;"|"&amp;tblBase[Código grupo],tblBase[Fecha matrícula],"")</f>
        <v>46268</v>
      </c>
    </row>
    <row r="40" spans="1:26" x14ac:dyDescent="0.2">
      <c r="A40" t="s">
        <v>105</v>
      </c>
      <c r="B40" t="s">
        <v>106</v>
      </c>
      <c r="C40" t="s">
        <v>13</v>
      </c>
      <c r="D40" t="s">
        <v>14</v>
      </c>
      <c r="E40" t="s">
        <v>15</v>
      </c>
      <c r="F40" t="s">
        <v>16</v>
      </c>
      <c r="G40" s="1">
        <v>0.2</v>
      </c>
      <c r="H40" t="s">
        <v>27</v>
      </c>
      <c r="I40" t="s">
        <v>18</v>
      </c>
      <c r="J40" t="s">
        <v>19</v>
      </c>
      <c r="K40" t="s">
        <v>24</v>
      </c>
      <c r="L40" s="14">
        <f>IFERROR(VALUE(LEFT(tblMatriculas[[#This Row],[Clases]],FIND("/",tblMatriculas[[#This Row],[Clases]])-1)),"")</f>
        <v>9</v>
      </c>
      <c r="M40" s="14">
        <f>IFERROR(VALUE(MID(tblMatriculas[[#This Row],[Clases]],FIND("/",tblMatriculas[[#This Row],[Clases]])+1,5)),"")</f>
        <v>45</v>
      </c>
      <c r="N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40" s="14">
        <f>IF(OR(tblMatriculas[[#This Row],[Estado]]&lt;&gt;"activa",tblMatriculas[[#This Row],[Clases dictadas]]=""),"",MAX(0,tblMatriculas[[#This Row],[Clases dictadas]]-tblMatriculas[[#This Row],[Asistidas]]))</f>
        <v>0</v>
      </c>
      <c r="P40" s="1">
        <f>IF(OR(tblMatriculas[[#This Row],[Estado]]&lt;&gt;"activa",tblMatriculas[[#This Row],[Asistidas]]=""),"",tblMatriculas[[#This Row],[Asistencia]])</f>
        <v>0.2</v>
      </c>
      <c r="Q40" t="b">
        <f>AND(tblMatriculas[[#This Row],[Estado]]="activa",ISNUMBER(tblMatriculas[[#This Row],[% asistencia]]),NOT(ISNUMBER(SEARCH(pPrueba,tblMatriculas[[#This Row],[Nombre]]))))</f>
        <v>1</v>
      </c>
      <c r="R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" s="23" t="str" cm="1">
        <f t="array" ref="S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" s="23" t="str" cm="1">
        <f t="array" ref="T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" s="14" t="str" cm="1">
        <f t="array" ref="U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" t="str" cm="1">
        <f t="array" ref="V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" t="str" cm="1">
        <f t="array" ref="W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" t="str">
        <f>IF(COUNTIFS('Base Estudiantes'!$C:$C,tblMatriculas[[#This Row],[Cédula]],'Base Estudiantes'!$I:$I,tblMatriculas[[#This Row],[Código]])&gt;0,"Sí","No")</f>
        <v>Sí</v>
      </c>
      <c r="Z40" s="23" cm="1">
        <f t="array" ref="Z40">_xlfn.XLOOKUP(tblMatriculas[[#This Row],[Cédula]]&amp;"|"&amp;tblMatriculas[[#This Row],[Código]],tblBase[Documento]&amp;"|"&amp;tblBase[Código grupo],tblBase[Fecha matrícula],"")</f>
        <v>46272</v>
      </c>
    </row>
    <row r="41" spans="1:26" x14ac:dyDescent="0.2">
      <c r="A41" t="s">
        <v>107</v>
      </c>
      <c r="B41" t="s">
        <v>108</v>
      </c>
      <c r="C41" t="s">
        <v>13</v>
      </c>
      <c r="D41" t="s">
        <v>109</v>
      </c>
      <c r="E41" t="s">
        <v>110</v>
      </c>
      <c r="F41" t="s">
        <v>111</v>
      </c>
      <c r="G41" s="1">
        <v>0.13300000000000001</v>
      </c>
      <c r="H41" t="s">
        <v>112</v>
      </c>
      <c r="I41" t="s">
        <v>18</v>
      </c>
      <c r="J41" t="s">
        <v>113</v>
      </c>
      <c r="K41" t="s">
        <v>114</v>
      </c>
      <c r="L41" s="14">
        <f>IFERROR(VALUE(LEFT(tblMatriculas[[#This Row],[Clases]],FIND("/",tblMatriculas[[#This Row],[Clases]])-1)),"")</f>
        <v>4</v>
      </c>
      <c r="M41" s="14">
        <f>IFERROR(VALUE(MID(tblMatriculas[[#This Row],[Clases]],FIND("/",tblMatriculas[[#This Row],[Clases]])+1,5)),"")</f>
        <v>30</v>
      </c>
      <c r="N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1" s="14">
        <f>IF(OR(tblMatriculas[[#This Row],[Estado]]&lt;&gt;"activa",tblMatriculas[[#This Row],[Clases dictadas]]=""),"",MAX(0,tblMatriculas[[#This Row],[Clases dictadas]]-tblMatriculas[[#This Row],[Asistidas]]))</f>
        <v>0</v>
      </c>
      <c r="P41" s="1">
        <f>IF(OR(tblMatriculas[[#This Row],[Estado]]&lt;&gt;"activa",tblMatriculas[[#This Row],[Asistidas]]=""),"",tblMatriculas[[#This Row],[Asistencia]])</f>
        <v>0.13300000000000001</v>
      </c>
      <c r="Q41" t="b">
        <f>AND(tblMatriculas[[#This Row],[Estado]]="activa",ISNUMBER(tblMatriculas[[#This Row],[% asistencia]]),NOT(ISNUMBER(SEARCH(pPrueba,tblMatriculas[[#This Row],[Nombre]]))))</f>
        <v>1</v>
      </c>
      <c r="R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" s="23" t="str" cm="1">
        <f t="array" ref="S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" s="23" t="str" cm="1">
        <f t="array" ref="T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" s="14" t="str" cm="1">
        <f t="array" ref="U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" t="str" cm="1">
        <f t="array" ref="V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" t="str" cm="1">
        <f t="array" ref="W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" t="str">
        <f>IF(COUNTIFS('Base Estudiantes'!$C:$C,tblMatriculas[[#This Row],[Cédula]],'Base Estudiantes'!$I:$I,tblMatriculas[[#This Row],[Código]])&gt;0,"Sí","No")</f>
        <v>Sí</v>
      </c>
      <c r="Z41" s="23" cm="1">
        <f t="array" ref="Z41">_xlfn.XLOOKUP(tblMatriculas[[#This Row],[Cédula]]&amp;"|"&amp;tblMatriculas[[#This Row],[Código]],tblBase[Documento]&amp;"|"&amp;tblBase[Código grupo],tblBase[Fecha matrícula],"")</f>
        <v>46263</v>
      </c>
    </row>
    <row r="42" spans="1:26" x14ac:dyDescent="0.2">
      <c r="A42" t="s">
        <v>115</v>
      </c>
      <c r="B42" t="s">
        <v>116</v>
      </c>
      <c r="C42" t="s">
        <v>13</v>
      </c>
      <c r="D42" t="s">
        <v>109</v>
      </c>
      <c r="E42" t="s">
        <v>110</v>
      </c>
      <c r="F42" t="s">
        <v>111</v>
      </c>
      <c r="G42" s="1">
        <v>0.1</v>
      </c>
      <c r="H42" t="s">
        <v>117</v>
      </c>
      <c r="I42" t="s">
        <v>18</v>
      </c>
      <c r="J42" t="s">
        <v>113</v>
      </c>
      <c r="K42" t="s">
        <v>20</v>
      </c>
      <c r="L42" s="14">
        <f>IFERROR(VALUE(LEFT(tblMatriculas[[#This Row],[Clases]],FIND("/",tblMatriculas[[#This Row],[Clases]])-1)),"")</f>
        <v>3</v>
      </c>
      <c r="M42" s="14">
        <f>IFERROR(VALUE(MID(tblMatriculas[[#This Row],[Clases]],FIND("/",tblMatriculas[[#This Row],[Clases]])+1,5)),"")</f>
        <v>30</v>
      </c>
      <c r="N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2" s="14">
        <f>IF(OR(tblMatriculas[[#This Row],[Estado]]&lt;&gt;"activa",tblMatriculas[[#This Row],[Clases dictadas]]=""),"",MAX(0,tblMatriculas[[#This Row],[Clases dictadas]]-tblMatriculas[[#This Row],[Asistidas]]))</f>
        <v>1</v>
      </c>
      <c r="P42" s="1">
        <f>IF(OR(tblMatriculas[[#This Row],[Estado]]&lt;&gt;"activa",tblMatriculas[[#This Row],[Asistidas]]=""),"",tblMatriculas[[#This Row],[Asistencia]])</f>
        <v>0.1</v>
      </c>
      <c r="Q42" t="b">
        <f>AND(tblMatriculas[[#This Row],[Estado]]="activa",ISNUMBER(tblMatriculas[[#This Row],[% asistencia]]),NOT(ISNUMBER(SEARCH(pPrueba,tblMatriculas[[#This Row],[Nombre]]))))</f>
        <v>1</v>
      </c>
      <c r="R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" s="23" t="str" cm="1">
        <f t="array" ref="S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" s="23" t="str" cm="1">
        <f t="array" ref="T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" s="14" t="str" cm="1">
        <f t="array" ref="U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" t="str" cm="1">
        <f t="array" ref="V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" t="str" cm="1">
        <f t="array" ref="W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" t="str">
        <f>IF(COUNTIFS('Base Estudiantes'!$C:$C,tblMatriculas[[#This Row],[Cédula]],'Base Estudiantes'!$I:$I,tblMatriculas[[#This Row],[Código]])&gt;0,"Sí","No")</f>
        <v>Sí</v>
      </c>
      <c r="Z42" s="23" cm="1">
        <f t="array" ref="Z42">_xlfn.XLOOKUP(tblMatriculas[[#This Row],[Cédula]]&amp;"|"&amp;tblMatriculas[[#This Row],[Código]],tblBase[Documento]&amp;"|"&amp;tblBase[Código grupo],tblBase[Fecha matrícula],"")</f>
        <v>46263</v>
      </c>
    </row>
    <row r="43" spans="1:26" x14ac:dyDescent="0.2">
      <c r="A43" t="s">
        <v>118</v>
      </c>
      <c r="B43" t="s">
        <v>119</v>
      </c>
      <c r="C43" t="s">
        <v>13</v>
      </c>
      <c r="D43" t="s">
        <v>109</v>
      </c>
      <c r="E43" t="s">
        <v>110</v>
      </c>
      <c r="F43" t="s">
        <v>111</v>
      </c>
      <c r="G43" s="1">
        <v>0.1</v>
      </c>
      <c r="H43" t="s">
        <v>117</v>
      </c>
      <c r="I43" t="s">
        <v>18</v>
      </c>
      <c r="J43" t="s">
        <v>113</v>
      </c>
      <c r="K43" t="s">
        <v>120</v>
      </c>
      <c r="L43" s="14">
        <f>IFERROR(VALUE(LEFT(tblMatriculas[[#This Row],[Clases]],FIND("/",tblMatriculas[[#This Row],[Clases]])-1)),"")</f>
        <v>3</v>
      </c>
      <c r="M43" s="14">
        <f>IFERROR(VALUE(MID(tblMatriculas[[#This Row],[Clases]],FIND("/",tblMatriculas[[#This Row],[Clases]])+1,5)),"")</f>
        <v>30</v>
      </c>
      <c r="N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" s="14">
        <f>IF(OR(tblMatriculas[[#This Row],[Estado]]&lt;&gt;"activa",tblMatriculas[[#This Row],[Clases dictadas]]=""),"",MAX(0,tblMatriculas[[#This Row],[Clases dictadas]]-tblMatriculas[[#This Row],[Asistidas]]))</f>
        <v>1</v>
      </c>
      <c r="P43" s="1">
        <f>IF(OR(tblMatriculas[[#This Row],[Estado]]&lt;&gt;"activa",tblMatriculas[[#This Row],[Asistidas]]=""),"",tblMatriculas[[#This Row],[Asistencia]])</f>
        <v>0.1</v>
      </c>
      <c r="Q43" t="b">
        <f>AND(tblMatriculas[[#This Row],[Estado]]="activa",ISNUMBER(tblMatriculas[[#This Row],[% asistencia]]),NOT(ISNUMBER(SEARCH(pPrueba,tblMatriculas[[#This Row],[Nombre]]))))</f>
        <v>1</v>
      </c>
      <c r="R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" s="23" t="str" cm="1">
        <f t="array" ref="S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" s="23" t="str" cm="1">
        <f t="array" ref="T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" s="14" t="str" cm="1">
        <f t="array" ref="U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" t="str" cm="1">
        <f t="array" ref="V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" t="str" cm="1">
        <f t="array" ref="W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" t="str">
        <f>IF(COUNTIFS('Base Estudiantes'!$C:$C,tblMatriculas[[#This Row],[Cédula]],'Base Estudiantes'!$I:$I,tblMatriculas[[#This Row],[Código]])&gt;0,"Sí","No")</f>
        <v>Sí</v>
      </c>
      <c r="Z43" s="23" cm="1">
        <f t="array" ref="Z43">_xlfn.XLOOKUP(tblMatriculas[[#This Row],[Cédula]]&amp;"|"&amp;tblMatriculas[[#This Row],[Código]],tblBase[Documento]&amp;"|"&amp;tblBase[Código grupo],tblBase[Fecha matrícula],"")</f>
        <v>46264</v>
      </c>
    </row>
    <row r="44" spans="1:26" x14ac:dyDescent="0.2">
      <c r="A44" t="s">
        <v>121</v>
      </c>
      <c r="B44" t="s">
        <v>122</v>
      </c>
      <c r="C44" t="s">
        <v>13</v>
      </c>
      <c r="D44" t="s">
        <v>109</v>
      </c>
      <c r="E44" t="s">
        <v>110</v>
      </c>
      <c r="F44" t="s">
        <v>111</v>
      </c>
      <c r="G44" s="1">
        <v>0.1</v>
      </c>
      <c r="H44" t="s">
        <v>117</v>
      </c>
      <c r="I44" t="s">
        <v>18</v>
      </c>
      <c r="J44" t="s">
        <v>113</v>
      </c>
      <c r="K44" t="s">
        <v>120</v>
      </c>
      <c r="L44" s="14">
        <f>IFERROR(VALUE(LEFT(tblMatriculas[[#This Row],[Clases]],FIND("/",tblMatriculas[[#This Row],[Clases]])-1)),"")</f>
        <v>3</v>
      </c>
      <c r="M44" s="14">
        <f>IFERROR(VALUE(MID(tblMatriculas[[#This Row],[Clases]],FIND("/",tblMatriculas[[#This Row],[Clases]])+1,5)),"")</f>
        <v>30</v>
      </c>
      <c r="N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" s="14">
        <f>IF(OR(tblMatriculas[[#This Row],[Estado]]&lt;&gt;"activa",tblMatriculas[[#This Row],[Clases dictadas]]=""),"",MAX(0,tblMatriculas[[#This Row],[Clases dictadas]]-tblMatriculas[[#This Row],[Asistidas]]))</f>
        <v>1</v>
      </c>
      <c r="P44" s="1">
        <f>IF(OR(tblMatriculas[[#This Row],[Estado]]&lt;&gt;"activa",tblMatriculas[[#This Row],[Asistidas]]=""),"",tblMatriculas[[#This Row],[Asistencia]])</f>
        <v>0.1</v>
      </c>
      <c r="Q44" t="b">
        <f>AND(tblMatriculas[[#This Row],[Estado]]="activa",ISNUMBER(tblMatriculas[[#This Row],[% asistencia]]),NOT(ISNUMBER(SEARCH(pPrueba,tblMatriculas[[#This Row],[Nombre]]))))</f>
        <v>1</v>
      </c>
      <c r="R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" s="23" t="str" cm="1">
        <f t="array" ref="S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" s="23" t="str" cm="1">
        <f t="array" ref="T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" s="14" t="str" cm="1">
        <f t="array" ref="U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" t="str" cm="1">
        <f t="array" ref="V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" t="str" cm="1">
        <f t="array" ref="W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" t="str">
        <f>IF(COUNTIFS('Base Estudiantes'!$C:$C,tblMatriculas[[#This Row],[Cédula]],'Base Estudiantes'!$I:$I,tblMatriculas[[#This Row],[Código]])&gt;0,"Sí","No")</f>
        <v>Sí</v>
      </c>
      <c r="Z44" s="23" cm="1">
        <f t="array" ref="Z44">_xlfn.XLOOKUP(tblMatriculas[[#This Row],[Cédula]]&amp;"|"&amp;tblMatriculas[[#This Row],[Código]],tblBase[Documento]&amp;"|"&amp;tblBase[Código grupo],tblBase[Fecha matrícula],"")</f>
        <v>46264</v>
      </c>
    </row>
    <row r="45" spans="1:26" x14ac:dyDescent="0.2">
      <c r="A45" t="s">
        <v>123</v>
      </c>
      <c r="B45" t="s">
        <v>124</v>
      </c>
      <c r="C45" t="s">
        <v>13</v>
      </c>
      <c r="D45" t="s">
        <v>109</v>
      </c>
      <c r="E45" t="s">
        <v>110</v>
      </c>
      <c r="F45" t="s">
        <v>111</v>
      </c>
      <c r="G45" s="1">
        <v>0.1</v>
      </c>
      <c r="H45" t="s">
        <v>117</v>
      </c>
      <c r="I45" t="s">
        <v>18</v>
      </c>
      <c r="J45" t="s">
        <v>113</v>
      </c>
      <c r="K45" t="s">
        <v>125</v>
      </c>
      <c r="L45" s="14">
        <f>IFERROR(VALUE(LEFT(tblMatriculas[[#This Row],[Clases]],FIND("/",tblMatriculas[[#This Row],[Clases]])-1)),"")</f>
        <v>3</v>
      </c>
      <c r="M45" s="14">
        <f>IFERROR(VALUE(MID(tblMatriculas[[#This Row],[Clases]],FIND("/",tblMatriculas[[#This Row],[Clases]])+1,5)),"")</f>
        <v>30</v>
      </c>
      <c r="N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" s="14">
        <f>IF(OR(tblMatriculas[[#This Row],[Estado]]&lt;&gt;"activa",tblMatriculas[[#This Row],[Clases dictadas]]=""),"",MAX(0,tblMatriculas[[#This Row],[Clases dictadas]]-tblMatriculas[[#This Row],[Asistidas]]))</f>
        <v>1</v>
      </c>
      <c r="P45" s="1">
        <f>IF(OR(tblMatriculas[[#This Row],[Estado]]&lt;&gt;"activa",tblMatriculas[[#This Row],[Asistidas]]=""),"",tblMatriculas[[#This Row],[Asistencia]])</f>
        <v>0.1</v>
      </c>
      <c r="Q45" t="b">
        <f>AND(tblMatriculas[[#This Row],[Estado]]="activa",ISNUMBER(tblMatriculas[[#This Row],[% asistencia]]),NOT(ISNUMBER(SEARCH(pPrueba,tblMatriculas[[#This Row],[Nombre]]))))</f>
        <v>1</v>
      </c>
      <c r="R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" s="23" t="str" cm="1">
        <f t="array" ref="S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" s="23" t="str" cm="1">
        <f t="array" ref="T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" s="14" t="str" cm="1">
        <f t="array" ref="U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" t="str" cm="1">
        <f t="array" ref="V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" t="str" cm="1">
        <f t="array" ref="W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" t="str">
        <f>IF(COUNTIFS('Base Estudiantes'!$C:$C,tblMatriculas[[#This Row],[Cédula]],'Base Estudiantes'!$I:$I,tblMatriculas[[#This Row],[Código]])&gt;0,"Sí","No")</f>
        <v>Sí</v>
      </c>
      <c r="Z45" s="23" cm="1">
        <f t="array" ref="Z45">_xlfn.XLOOKUP(tblMatriculas[[#This Row],[Cédula]]&amp;"|"&amp;tblMatriculas[[#This Row],[Código]],tblBase[Documento]&amp;"|"&amp;tblBase[Código grupo],tblBase[Fecha matrícula],"")</f>
        <v>46264</v>
      </c>
    </row>
    <row r="46" spans="1:26" x14ac:dyDescent="0.2">
      <c r="A46" t="s">
        <v>126</v>
      </c>
      <c r="B46" t="s">
        <v>127</v>
      </c>
      <c r="C46" t="s">
        <v>13</v>
      </c>
      <c r="D46" t="s">
        <v>109</v>
      </c>
      <c r="E46" t="s">
        <v>110</v>
      </c>
      <c r="F46" t="s">
        <v>111</v>
      </c>
      <c r="G46" s="1">
        <v>0.1</v>
      </c>
      <c r="H46" t="s">
        <v>117</v>
      </c>
      <c r="I46" t="s">
        <v>18</v>
      </c>
      <c r="J46" t="s">
        <v>113</v>
      </c>
      <c r="K46" t="s">
        <v>125</v>
      </c>
      <c r="L46" s="14">
        <f>IFERROR(VALUE(LEFT(tblMatriculas[[#This Row],[Clases]],FIND("/",tblMatriculas[[#This Row],[Clases]])-1)),"")</f>
        <v>3</v>
      </c>
      <c r="M46" s="14">
        <f>IFERROR(VALUE(MID(tblMatriculas[[#This Row],[Clases]],FIND("/",tblMatriculas[[#This Row],[Clases]])+1,5)),"")</f>
        <v>30</v>
      </c>
      <c r="N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6" s="14">
        <f>IF(OR(tblMatriculas[[#This Row],[Estado]]&lt;&gt;"activa",tblMatriculas[[#This Row],[Clases dictadas]]=""),"",MAX(0,tblMatriculas[[#This Row],[Clases dictadas]]-tblMatriculas[[#This Row],[Asistidas]]))</f>
        <v>1</v>
      </c>
      <c r="P46" s="1">
        <f>IF(OR(tblMatriculas[[#This Row],[Estado]]&lt;&gt;"activa",tblMatriculas[[#This Row],[Asistidas]]=""),"",tblMatriculas[[#This Row],[Asistencia]])</f>
        <v>0.1</v>
      </c>
      <c r="Q46" t="b">
        <f>AND(tblMatriculas[[#This Row],[Estado]]="activa",ISNUMBER(tblMatriculas[[#This Row],[% asistencia]]),NOT(ISNUMBER(SEARCH(pPrueba,tblMatriculas[[#This Row],[Nombre]]))))</f>
        <v>1</v>
      </c>
      <c r="R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6" s="23" t="str" cm="1">
        <f t="array" ref="S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" s="23" t="str" cm="1">
        <f t="array" ref="T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" s="14" t="str" cm="1">
        <f t="array" ref="U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" t="str" cm="1">
        <f t="array" ref="V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" t="str" cm="1">
        <f t="array" ref="W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6" t="str">
        <f>IF(COUNTIFS('Base Estudiantes'!$C:$C,tblMatriculas[[#This Row],[Cédula]],'Base Estudiantes'!$I:$I,tblMatriculas[[#This Row],[Código]])&gt;0,"Sí","No")</f>
        <v>Sí</v>
      </c>
      <c r="Z46" s="23" cm="1">
        <f t="array" ref="Z46">_xlfn.XLOOKUP(tblMatriculas[[#This Row],[Cédula]]&amp;"|"&amp;tblMatriculas[[#This Row],[Código]],tblBase[Documento]&amp;"|"&amp;tblBase[Código grupo],tblBase[Fecha matrícula],"")</f>
        <v>46264</v>
      </c>
    </row>
    <row r="47" spans="1:26" x14ac:dyDescent="0.2">
      <c r="A47" t="s">
        <v>128</v>
      </c>
      <c r="B47" t="s">
        <v>129</v>
      </c>
      <c r="C47" t="s">
        <v>13</v>
      </c>
      <c r="D47" t="s">
        <v>109</v>
      </c>
      <c r="E47" t="s">
        <v>110</v>
      </c>
      <c r="F47" t="s">
        <v>111</v>
      </c>
      <c r="G47" s="1">
        <v>0.1</v>
      </c>
      <c r="H47" t="s">
        <v>117</v>
      </c>
      <c r="I47" t="s">
        <v>18</v>
      </c>
      <c r="J47" t="s">
        <v>113</v>
      </c>
      <c r="K47" t="s">
        <v>125</v>
      </c>
      <c r="L47" s="14">
        <f>IFERROR(VALUE(LEFT(tblMatriculas[[#This Row],[Clases]],FIND("/",tblMatriculas[[#This Row],[Clases]])-1)),"")</f>
        <v>3</v>
      </c>
      <c r="M47" s="14">
        <f>IFERROR(VALUE(MID(tblMatriculas[[#This Row],[Clases]],FIND("/",tblMatriculas[[#This Row],[Clases]])+1,5)),"")</f>
        <v>30</v>
      </c>
      <c r="N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7" s="14">
        <f>IF(OR(tblMatriculas[[#This Row],[Estado]]&lt;&gt;"activa",tblMatriculas[[#This Row],[Clases dictadas]]=""),"",MAX(0,tblMatriculas[[#This Row],[Clases dictadas]]-tblMatriculas[[#This Row],[Asistidas]]))</f>
        <v>1</v>
      </c>
      <c r="P47" s="1">
        <f>IF(OR(tblMatriculas[[#This Row],[Estado]]&lt;&gt;"activa",tblMatriculas[[#This Row],[Asistidas]]=""),"",tblMatriculas[[#This Row],[Asistencia]])</f>
        <v>0.1</v>
      </c>
      <c r="Q47" t="b">
        <f>AND(tblMatriculas[[#This Row],[Estado]]="activa",ISNUMBER(tblMatriculas[[#This Row],[% asistencia]]),NOT(ISNUMBER(SEARCH(pPrueba,tblMatriculas[[#This Row],[Nombre]]))))</f>
        <v>1</v>
      </c>
      <c r="R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7" s="23" t="str" cm="1">
        <f t="array" ref="S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" s="23" t="str" cm="1">
        <f t="array" ref="T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" s="14" t="str" cm="1">
        <f t="array" ref="U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" t="str" cm="1">
        <f t="array" ref="V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" t="str" cm="1">
        <f t="array" ref="W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7" t="str">
        <f>IF(COUNTIFS('Base Estudiantes'!$C:$C,tblMatriculas[[#This Row],[Cédula]],'Base Estudiantes'!$I:$I,tblMatriculas[[#This Row],[Código]])&gt;0,"Sí","No")</f>
        <v>Sí</v>
      </c>
      <c r="Z47" s="23" cm="1">
        <f t="array" ref="Z47">_xlfn.XLOOKUP(tblMatriculas[[#This Row],[Cédula]]&amp;"|"&amp;tblMatriculas[[#This Row],[Código]],tblBase[Documento]&amp;"|"&amp;tblBase[Código grupo],tblBase[Fecha matrícula],"")</f>
        <v>46264</v>
      </c>
    </row>
    <row r="48" spans="1:26" x14ac:dyDescent="0.2">
      <c r="A48" t="s">
        <v>130</v>
      </c>
      <c r="B48" t="s">
        <v>131</v>
      </c>
      <c r="C48" t="s">
        <v>13</v>
      </c>
      <c r="D48" t="s">
        <v>109</v>
      </c>
      <c r="E48" t="s">
        <v>110</v>
      </c>
      <c r="F48" t="s">
        <v>111</v>
      </c>
      <c r="G48" s="1">
        <v>0.13300000000000001</v>
      </c>
      <c r="H48" t="s">
        <v>112</v>
      </c>
      <c r="I48" t="s">
        <v>18</v>
      </c>
      <c r="J48" t="s">
        <v>113</v>
      </c>
      <c r="K48" t="s">
        <v>24</v>
      </c>
      <c r="L48" s="14">
        <f>IFERROR(VALUE(LEFT(tblMatriculas[[#This Row],[Clases]],FIND("/",tblMatriculas[[#This Row],[Clases]])-1)),"")</f>
        <v>4</v>
      </c>
      <c r="M48" s="14">
        <f>IFERROR(VALUE(MID(tblMatriculas[[#This Row],[Clases]],FIND("/",tblMatriculas[[#This Row],[Clases]])+1,5)),"")</f>
        <v>30</v>
      </c>
      <c r="N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8" s="14">
        <f>IF(OR(tblMatriculas[[#This Row],[Estado]]&lt;&gt;"activa",tblMatriculas[[#This Row],[Clases dictadas]]=""),"",MAX(0,tblMatriculas[[#This Row],[Clases dictadas]]-tblMatriculas[[#This Row],[Asistidas]]))</f>
        <v>0</v>
      </c>
      <c r="P48" s="1">
        <f>IF(OR(tblMatriculas[[#This Row],[Estado]]&lt;&gt;"activa",tblMatriculas[[#This Row],[Asistidas]]=""),"",tblMatriculas[[#This Row],[Asistencia]])</f>
        <v>0.13300000000000001</v>
      </c>
      <c r="Q48" t="b">
        <f>AND(tblMatriculas[[#This Row],[Estado]]="activa",ISNUMBER(tblMatriculas[[#This Row],[% asistencia]]),NOT(ISNUMBER(SEARCH(pPrueba,tblMatriculas[[#This Row],[Nombre]]))))</f>
        <v>1</v>
      </c>
      <c r="R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8" s="23" t="str" cm="1">
        <f t="array" ref="S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" s="23" t="str" cm="1">
        <f t="array" ref="T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" s="14" t="str" cm="1">
        <f t="array" ref="U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" t="str" cm="1">
        <f t="array" ref="V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" t="str" cm="1">
        <f t="array" ref="W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8" t="str">
        <f>IF(COUNTIFS('Base Estudiantes'!$C:$C,tblMatriculas[[#This Row],[Cédula]],'Base Estudiantes'!$I:$I,tblMatriculas[[#This Row],[Código]])&gt;0,"Sí","No")</f>
        <v>Sí</v>
      </c>
      <c r="Z48" s="23" cm="1">
        <f t="array" ref="Z48">_xlfn.XLOOKUP(tblMatriculas[[#This Row],[Cédula]]&amp;"|"&amp;tblMatriculas[[#This Row],[Código]],tblBase[Documento]&amp;"|"&amp;tblBase[Código grupo],tblBase[Fecha matrícula],"")</f>
        <v>46264</v>
      </c>
    </row>
    <row r="49" spans="1:26" x14ac:dyDescent="0.2">
      <c r="A49" t="s">
        <v>132</v>
      </c>
      <c r="B49" t="s">
        <v>133</v>
      </c>
      <c r="C49" t="s">
        <v>13</v>
      </c>
      <c r="D49" t="s">
        <v>109</v>
      </c>
      <c r="E49" t="s">
        <v>110</v>
      </c>
      <c r="F49" t="s">
        <v>111</v>
      </c>
      <c r="G49" s="1">
        <v>0.1</v>
      </c>
      <c r="H49" t="s">
        <v>117</v>
      </c>
      <c r="I49" t="s">
        <v>18</v>
      </c>
      <c r="J49" t="s">
        <v>113</v>
      </c>
      <c r="K49" t="s">
        <v>24</v>
      </c>
      <c r="L49" s="14">
        <f>IFERROR(VALUE(LEFT(tblMatriculas[[#This Row],[Clases]],FIND("/",tblMatriculas[[#This Row],[Clases]])-1)),"")</f>
        <v>3</v>
      </c>
      <c r="M49" s="14">
        <f>IFERROR(VALUE(MID(tblMatriculas[[#This Row],[Clases]],FIND("/",tblMatriculas[[#This Row],[Clases]])+1,5)),"")</f>
        <v>30</v>
      </c>
      <c r="N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" s="14">
        <f>IF(OR(tblMatriculas[[#This Row],[Estado]]&lt;&gt;"activa",tblMatriculas[[#This Row],[Clases dictadas]]=""),"",MAX(0,tblMatriculas[[#This Row],[Clases dictadas]]-tblMatriculas[[#This Row],[Asistidas]]))</f>
        <v>1</v>
      </c>
      <c r="P49" s="1">
        <f>IF(OR(tblMatriculas[[#This Row],[Estado]]&lt;&gt;"activa",tblMatriculas[[#This Row],[Asistidas]]=""),"",tblMatriculas[[#This Row],[Asistencia]])</f>
        <v>0.1</v>
      </c>
      <c r="Q49" t="b">
        <f>AND(tblMatriculas[[#This Row],[Estado]]="activa",ISNUMBER(tblMatriculas[[#This Row],[% asistencia]]),NOT(ISNUMBER(SEARCH(pPrueba,tblMatriculas[[#This Row],[Nombre]]))))</f>
        <v>1</v>
      </c>
      <c r="R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" s="23" t="str" cm="1">
        <f t="array" ref="S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" s="23" t="str" cm="1">
        <f t="array" ref="T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" s="14" t="str" cm="1">
        <f t="array" ref="U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" t="str" cm="1">
        <f t="array" ref="V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" t="str" cm="1">
        <f t="array" ref="W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" t="str">
        <f>IF(COUNTIFS('Base Estudiantes'!$C:$C,tblMatriculas[[#This Row],[Cédula]],'Base Estudiantes'!$I:$I,tblMatriculas[[#This Row],[Código]])&gt;0,"Sí","No")</f>
        <v>Sí</v>
      </c>
      <c r="Z49" s="23" cm="1">
        <f t="array" ref="Z49">_xlfn.XLOOKUP(tblMatriculas[[#This Row],[Cédula]]&amp;"|"&amp;tblMatriculas[[#This Row],[Código]],tblBase[Documento]&amp;"|"&amp;tblBase[Código grupo],tblBase[Fecha matrícula],"")</f>
        <v>46264</v>
      </c>
    </row>
    <row r="50" spans="1:26" x14ac:dyDescent="0.2">
      <c r="A50" t="s">
        <v>134</v>
      </c>
      <c r="B50" t="s">
        <v>135</v>
      </c>
      <c r="C50" t="s">
        <v>13</v>
      </c>
      <c r="D50" t="s">
        <v>109</v>
      </c>
      <c r="E50" t="s">
        <v>110</v>
      </c>
      <c r="F50" t="s">
        <v>111</v>
      </c>
      <c r="G50" s="1">
        <v>0.13300000000000001</v>
      </c>
      <c r="H50" t="s">
        <v>112</v>
      </c>
      <c r="I50" t="s">
        <v>18</v>
      </c>
      <c r="J50" t="s">
        <v>113</v>
      </c>
      <c r="K50" t="s">
        <v>24</v>
      </c>
      <c r="L50" s="14">
        <f>IFERROR(VALUE(LEFT(tblMatriculas[[#This Row],[Clases]],FIND("/",tblMatriculas[[#This Row],[Clases]])-1)),"")</f>
        <v>4</v>
      </c>
      <c r="M50" s="14">
        <f>IFERROR(VALUE(MID(tblMatriculas[[#This Row],[Clases]],FIND("/",tblMatriculas[[#This Row],[Clases]])+1,5)),"")</f>
        <v>30</v>
      </c>
      <c r="N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" s="14">
        <f>IF(OR(tblMatriculas[[#This Row],[Estado]]&lt;&gt;"activa",tblMatriculas[[#This Row],[Clases dictadas]]=""),"",MAX(0,tblMatriculas[[#This Row],[Clases dictadas]]-tblMatriculas[[#This Row],[Asistidas]]))</f>
        <v>0</v>
      </c>
      <c r="P50" s="1">
        <f>IF(OR(tblMatriculas[[#This Row],[Estado]]&lt;&gt;"activa",tblMatriculas[[#This Row],[Asistidas]]=""),"",tblMatriculas[[#This Row],[Asistencia]])</f>
        <v>0.13300000000000001</v>
      </c>
      <c r="Q50" t="b">
        <f>AND(tblMatriculas[[#This Row],[Estado]]="activa",ISNUMBER(tblMatriculas[[#This Row],[% asistencia]]),NOT(ISNUMBER(SEARCH(pPrueba,tblMatriculas[[#This Row],[Nombre]]))))</f>
        <v>1</v>
      </c>
      <c r="R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" s="23" t="str" cm="1">
        <f t="array" ref="S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" s="23" t="str" cm="1">
        <f t="array" ref="T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" s="14" t="str" cm="1">
        <f t="array" ref="U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" t="str" cm="1">
        <f t="array" ref="V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" t="str" cm="1">
        <f t="array" ref="W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" t="str">
        <f>IF(COUNTIFS('Base Estudiantes'!$C:$C,tblMatriculas[[#This Row],[Cédula]],'Base Estudiantes'!$I:$I,tblMatriculas[[#This Row],[Código]])&gt;0,"Sí","No")</f>
        <v>Sí</v>
      </c>
      <c r="Z50" s="23" cm="1">
        <f t="array" ref="Z50">_xlfn.XLOOKUP(tblMatriculas[[#This Row],[Cédula]]&amp;"|"&amp;tblMatriculas[[#This Row],[Código]],tblBase[Documento]&amp;"|"&amp;tblBase[Código grupo],tblBase[Fecha matrícula],"")</f>
        <v>46264</v>
      </c>
    </row>
    <row r="51" spans="1:26" x14ac:dyDescent="0.2">
      <c r="A51" t="s">
        <v>136</v>
      </c>
      <c r="B51" t="s">
        <v>137</v>
      </c>
      <c r="C51" t="s">
        <v>13</v>
      </c>
      <c r="D51" t="s">
        <v>109</v>
      </c>
      <c r="E51" t="s">
        <v>110</v>
      </c>
      <c r="F51" t="s">
        <v>111</v>
      </c>
      <c r="G51" s="1">
        <v>0.13300000000000001</v>
      </c>
      <c r="H51" t="s">
        <v>112</v>
      </c>
      <c r="I51" t="s">
        <v>18</v>
      </c>
      <c r="J51" t="s">
        <v>113</v>
      </c>
      <c r="K51" t="s">
        <v>24</v>
      </c>
      <c r="L51" s="14">
        <f>IFERROR(VALUE(LEFT(tblMatriculas[[#This Row],[Clases]],FIND("/",tblMatriculas[[#This Row],[Clases]])-1)),"")</f>
        <v>4</v>
      </c>
      <c r="M51" s="14">
        <f>IFERROR(VALUE(MID(tblMatriculas[[#This Row],[Clases]],FIND("/",tblMatriculas[[#This Row],[Clases]])+1,5)),"")</f>
        <v>30</v>
      </c>
      <c r="N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" s="14">
        <f>IF(OR(tblMatriculas[[#This Row],[Estado]]&lt;&gt;"activa",tblMatriculas[[#This Row],[Clases dictadas]]=""),"",MAX(0,tblMatriculas[[#This Row],[Clases dictadas]]-tblMatriculas[[#This Row],[Asistidas]]))</f>
        <v>0</v>
      </c>
      <c r="P51" s="1">
        <f>IF(OR(tblMatriculas[[#This Row],[Estado]]&lt;&gt;"activa",tblMatriculas[[#This Row],[Asistidas]]=""),"",tblMatriculas[[#This Row],[Asistencia]])</f>
        <v>0.13300000000000001</v>
      </c>
      <c r="Q51" t="b">
        <f>AND(tblMatriculas[[#This Row],[Estado]]="activa",ISNUMBER(tblMatriculas[[#This Row],[% asistencia]]),NOT(ISNUMBER(SEARCH(pPrueba,tblMatriculas[[#This Row],[Nombre]]))))</f>
        <v>1</v>
      </c>
      <c r="R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1" s="23" t="str" cm="1">
        <f t="array" ref="S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" s="23" t="str" cm="1">
        <f t="array" ref="T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" s="14" t="str" cm="1">
        <f t="array" ref="U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" t="str" cm="1">
        <f t="array" ref="V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" t="str" cm="1">
        <f t="array" ref="W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" t="str">
        <f>IF(COUNTIFS('Base Estudiantes'!$C:$C,tblMatriculas[[#This Row],[Cédula]],'Base Estudiantes'!$I:$I,tblMatriculas[[#This Row],[Código]])&gt;0,"Sí","No")</f>
        <v>Sí</v>
      </c>
      <c r="Z51" s="23" cm="1">
        <f t="array" ref="Z51">_xlfn.XLOOKUP(tblMatriculas[[#This Row],[Cédula]]&amp;"|"&amp;tblMatriculas[[#This Row],[Código]],tblBase[Documento]&amp;"|"&amp;tblBase[Código grupo],tblBase[Fecha matrícula],"")</f>
        <v>46264</v>
      </c>
    </row>
    <row r="52" spans="1:26" x14ac:dyDescent="0.2">
      <c r="A52" t="s">
        <v>138</v>
      </c>
      <c r="B52" t="s">
        <v>139</v>
      </c>
      <c r="C52" t="s">
        <v>13</v>
      </c>
      <c r="D52" t="s">
        <v>109</v>
      </c>
      <c r="E52" t="s">
        <v>110</v>
      </c>
      <c r="F52" t="s">
        <v>111</v>
      </c>
      <c r="G52" s="1">
        <v>0.13300000000000001</v>
      </c>
      <c r="H52" t="s">
        <v>112</v>
      </c>
      <c r="I52" t="s">
        <v>18</v>
      </c>
      <c r="J52" t="s">
        <v>113</v>
      </c>
      <c r="K52" t="s">
        <v>24</v>
      </c>
      <c r="L52" s="14">
        <f>IFERROR(VALUE(LEFT(tblMatriculas[[#This Row],[Clases]],FIND("/",tblMatriculas[[#This Row],[Clases]])-1)),"")</f>
        <v>4</v>
      </c>
      <c r="M52" s="14">
        <f>IFERROR(VALUE(MID(tblMatriculas[[#This Row],[Clases]],FIND("/",tblMatriculas[[#This Row],[Clases]])+1,5)),"")</f>
        <v>30</v>
      </c>
      <c r="N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2" s="14">
        <f>IF(OR(tblMatriculas[[#This Row],[Estado]]&lt;&gt;"activa",tblMatriculas[[#This Row],[Clases dictadas]]=""),"",MAX(0,tblMatriculas[[#This Row],[Clases dictadas]]-tblMatriculas[[#This Row],[Asistidas]]))</f>
        <v>0</v>
      </c>
      <c r="P52" s="1">
        <f>IF(OR(tblMatriculas[[#This Row],[Estado]]&lt;&gt;"activa",tblMatriculas[[#This Row],[Asistidas]]=""),"",tblMatriculas[[#This Row],[Asistencia]])</f>
        <v>0.13300000000000001</v>
      </c>
      <c r="Q52" t="b">
        <f>AND(tblMatriculas[[#This Row],[Estado]]="activa",ISNUMBER(tblMatriculas[[#This Row],[% asistencia]]),NOT(ISNUMBER(SEARCH(pPrueba,tblMatriculas[[#This Row],[Nombre]]))))</f>
        <v>1</v>
      </c>
      <c r="R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" s="23" t="str" cm="1">
        <f t="array" ref="S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" s="23" t="str" cm="1">
        <f t="array" ref="T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" s="14" t="str" cm="1">
        <f t="array" ref="U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" t="str" cm="1">
        <f t="array" ref="V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" t="str" cm="1">
        <f t="array" ref="W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" t="str">
        <f>IF(COUNTIFS('Base Estudiantes'!$C:$C,tblMatriculas[[#This Row],[Cédula]],'Base Estudiantes'!$I:$I,tblMatriculas[[#This Row],[Código]])&gt;0,"Sí","No")</f>
        <v>Sí</v>
      </c>
      <c r="Z52" s="23" cm="1">
        <f t="array" ref="Z52">_xlfn.XLOOKUP(tblMatriculas[[#This Row],[Cédula]]&amp;"|"&amp;tblMatriculas[[#This Row],[Código]],tblBase[Documento]&amp;"|"&amp;tblBase[Código grupo],tblBase[Fecha matrícula],"")</f>
        <v>46264</v>
      </c>
    </row>
    <row r="53" spans="1:26" x14ac:dyDescent="0.2">
      <c r="A53" t="s">
        <v>140</v>
      </c>
      <c r="B53" t="s">
        <v>141</v>
      </c>
      <c r="C53" t="s">
        <v>13</v>
      </c>
      <c r="D53" t="s">
        <v>109</v>
      </c>
      <c r="E53" t="s">
        <v>110</v>
      </c>
      <c r="F53" t="s">
        <v>111</v>
      </c>
      <c r="G53" s="1">
        <v>0.1</v>
      </c>
      <c r="H53" t="s">
        <v>117</v>
      </c>
      <c r="I53" t="s">
        <v>18</v>
      </c>
      <c r="J53" t="s">
        <v>113</v>
      </c>
      <c r="K53" t="s">
        <v>24</v>
      </c>
      <c r="L53" s="14">
        <f>IFERROR(VALUE(LEFT(tblMatriculas[[#This Row],[Clases]],FIND("/",tblMatriculas[[#This Row],[Clases]])-1)),"")</f>
        <v>3</v>
      </c>
      <c r="M53" s="14">
        <f>IFERROR(VALUE(MID(tblMatriculas[[#This Row],[Clases]],FIND("/",tblMatriculas[[#This Row],[Clases]])+1,5)),"")</f>
        <v>30</v>
      </c>
      <c r="N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3" s="14">
        <f>IF(OR(tblMatriculas[[#This Row],[Estado]]&lt;&gt;"activa",tblMatriculas[[#This Row],[Clases dictadas]]=""),"",MAX(0,tblMatriculas[[#This Row],[Clases dictadas]]-tblMatriculas[[#This Row],[Asistidas]]))</f>
        <v>1</v>
      </c>
      <c r="P53" s="1">
        <f>IF(OR(tblMatriculas[[#This Row],[Estado]]&lt;&gt;"activa",tblMatriculas[[#This Row],[Asistidas]]=""),"",tblMatriculas[[#This Row],[Asistencia]])</f>
        <v>0.1</v>
      </c>
      <c r="Q53" t="b">
        <f>AND(tblMatriculas[[#This Row],[Estado]]="activa",ISNUMBER(tblMatriculas[[#This Row],[% asistencia]]),NOT(ISNUMBER(SEARCH(pPrueba,tblMatriculas[[#This Row],[Nombre]]))))</f>
        <v>1</v>
      </c>
      <c r="R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" s="23" t="str" cm="1">
        <f t="array" ref="S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" s="23" t="str" cm="1">
        <f t="array" ref="T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" s="14" t="str" cm="1">
        <f t="array" ref="U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" t="str" cm="1">
        <f t="array" ref="V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" t="str" cm="1">
        <f t="array" ref="W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" t="str">
        <f>IF(COUNTIFS('Base Estudiantes'!$C:$C,tblMatriculas[[#This Row],[Cédula]],'Base Estudiantes'!$I:$I,tblMatriculas[[#This Row],[Código]])&gt;0,"Sí","No")</f>
        <v>Sí</v>
      </c>
      <c r="Z53" s="23" cm="1">
        <f t="array" ref="Z53">_xlfn.XLOOKUP(tblMatriculas[[#This Row],[Cédula]]&amp;"|"&amp;tblMatriculas[[#This Row],[Código]],tblBase[Documento]&amp;"|"&amp;tblBase[Código grupo],tblBase[Fecha matrícula],"")</f>
        <v>46264</v>
      </c>
    </row>
    <row r="54" spans="1:26" x14ac:dyDescent="0.2">
      <c r="A54" t="s">
        <v>142</v>
      </c>
      <c r="B54" t="s">
        <v>143</v>
      </c>
      <c r="C54" t="s">
        <v>13</v>
      </c>
      <c r="D54" t="s">
        <v>109</v>
      </c>
      <c r="E54" t="s">
        <v>110</v>
      </c>
      <c r="F54" t="s">
        <v>111</v>
      </c>
      <c r="G54" s="1">
        <v>0.13300000000000001</v>
      </c>
      <c r="H54" t="s">
        <v>112</v>
      </c>
      <c r="I54" t="s">
        <v>18</v>
      </c>
      <c r="J54" t="s">
        <v>113</v>
      </c>
      <c r="K54" t="s">
        <v>24</v>
      </c>
      <c r="L54" s="14">
        <f>IFERROR(VALUE(LEFT(tblMatriculas[[#This Row],[Clases]],FIND("/",tblMatriculas[[#This Row],[Clases]])-1)),"")</f>
        <v>4</v>
      </c>
      <c r="M54" s="14">
        <f>IFERROR(VALUE(MID(tblMatriculas[[#This Row],[Clases]],FIND("/",tblMatriculas[[#This Row],[Clases]])+1,5)),"")</f>
        <v>30</v>
      </c>
      <c r="N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4" s="14">
        <f>IF(OR(tblMatriculas[[#This Row],[Estado]]&lt;&gt;"activa",tblMatriculas[[#This Row],[Clases dictadas]]=""),"",MAX(0,tblMatriculas[[#This Row],[Clases dictadas]]-tblMatriculas[[#This Row],[Asistidas]]))</f>
        <v>0</v>
      </c>
      <c r="P54" s="1">
        <f>IF(OR(tblMatriculas[[#This Row],[Estado]]&lt;&gt;"activa",tblMatriculas[[#This Row],[Asistidas]]=""),"",tblMatriculas[[#This Row],[Asistencia]])</f>
        <v>0.13300000000000001</v>
      </c>
      <c r="Q54" t="b">
        <f>AND(tblMatriculas[[#This Row],[Estado]]="activa",ISNUMBER(tblMatriculas[[#This Row],[% asistencia]]),NOT(ISNUMBER(SEARCH(pPrueba,tblMatriculas[[#This Row],[Nombre]]))))</f>
        <v>1</v>
      </c>
      <c r="R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" s="23" t="str" cm="1">
        <f t="array" ref="S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" s="23" t="str" cm="1">
        <f t="array" ref="T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" s="14" t="str" cm="1">
        <f t="array" ref="U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" t="str" cm="1">
        <f t="array" ref="V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" t="str" cm="1">
        <f t="array" ref="W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" t="str">
        <f>IF(COUNTIFS('Base Estudiantes'!$C:$C,tblMatriculas[[#This Row],[Cédula]],'Base Estudiantes'!$I:$I,tblMatriculas[[#This Row],[Código]])&gt;0,"Sí","No")</f>
        <v>Sí</v>
      </c>
      <c r="Z54" s="23" cm="1">
        <f t="array" ref="Z54">_xlfn.XLOOKUP(tblMatriculas[[#This Row],[Cédula]]&amp;"|"&amp;tblMatriculas[[#This Row],[Código]],tblBase[Documento]&amp;"|"&amp;tblBase[Código grupo],tblBase[Fecha matrícula],"")</f>
        <v>46264</v>
      </c>
    </row>
    <row r="55" spans="1:26" x14ac:dyDescent="0.2">
      <c r="A55" t="s">
        <v>144</v>
      </c>
      <c r="B55" t="s">
        <v>145</v>
      </c>
      <c r="C55" t="s">
        <v>49</v>
      </c>
      <c r="D55" t="s">
        <v>109</v>
      </c>
      <c r="E55" t="s">
        <v>110</v>
      </c>
      <c r="F55" t="s">
        <v>111</v>
      </c>
      <c r="G55" s="1">
        <v>0.1</v>
      </c>
      <c r="H55" t="s">
        <v>117</v>
      </c>
      <c r="I55" t="s">
        <v>18</v>
      </c>
      <c r="J55" t="s">
        <v>113</v>
      </c>
      <c r="K55" t="s">
        <v>24</v>
      </c>
      <c r="L55" s="14">
        <f>IFERROR(VALUE(LEFT(tblMatriculas[[#This Row],[Clases]],FIND("/",tblMatriculas[[#This Row],[Clases]])-1)),"")</f>
        <v>3</v>
      </c>
      <c r="M55" s="14">
        <f>IFERROR(VALUE(MID(tblMatriculas[[#This Row],[Clases]],FIND("/",tblMatriculas[[#This Row],[Clases]])+1,5)),"")</f>
        <v>30</v>
      </c>
      <c r="N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5" s="14" t="str">
        <f>IF(OR(tblMatriculas[[#This Row],[Estado]]&lt;&gt;"activa",tblMatriculas[[#This Row],[Clases dictadas]]=""),"",MAX(0,tblMatriculas[[#This Row],[Clases dictadas]]-tblMatriculas[[#This Row],[Asistidas]]))</f>
        <v/>
      </c>
      <c r="P55" s="1" t="str">
        <f>IF(OR(tblMatriculas[[#This Row],[Estado]]&lt;&gt;"activa",tblMatriculas[[#This Row],[Asistidas]]=""),"",tblMatriculas[[#This Row],[Asistencia]])</f>
        <v/>
      </c>
      <c r="Q55" t="b">
        <f>AND(tblMatriculas[[#This Row],[Estado]]="activa",ISNUMBER(tblMatriculas[[#This Row],[% asistencia]]),NOT(ISNUMBER(SEARCH(pPrueba,tblMatriculas[[#This Row],[Nombre]]))))</f>
        <v>0</v>
      </c>
      <c r="R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5" s="23" t="str" cm="1">
        <f t="array" ref="S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" s="23" t="str" cm="1">
        <f t="array" ref="T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" s="14" t="str" cm="1">
        <f t="array" ref="U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" t="str" cm="1">
        <f t="array" ref="V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" t="str" cm="1">
        <f t="array" ref="W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" t="str">
        <f>IF(COUNTIFS('Base Estudiantes'!$C:$C,tblMatriculas[[#This Row],[Cédula]],'Base Estudiantes'!$I:$I,tblMatriculas[[#This Row],[Código]])&gt;0,"Sí","No")</f>
        <v>No</v>
      </c>
      <c r="Z55" s="23" t="str" cm="1">
        <f t="array" ref="Z55">_xlfn.XLOOKUP(tblMatriculas[[#This Row],[Cédula]]&amp;"|"&amp;tblMatriculas[[#This Row],[Código]],tblBase[Documento]&amp;"|"&amp;tblBase[Código grupo],tblBase[Fecha matrícula],"")</f>
        <v/>
      </c>
    </row>
    <row r="56" spans="1:26" x14ac:dyDescent="0.2">
      <c r="A56" t="s">
        <v>146</v>
      </c>
      <c r="B56" t="s">
        <v>147</v>
      </c>
      <c r="C56" t="s">
        <v>13</v>
      </c>
      <c r="D56" t="s">
        <v>109</v>
      </c>
      <c r="E56" t="s">
        <v>110</v>
      </c>
      <c r="F56" t="s">
        <v>111</v>
      </c>
      <c r="G56" s="1">
        <v>0.1</v>
      </c>
      <c r="H56" t="s">
        <v>117</v>
      </c>
      <c r="I56" t="s">
        <v>18</v>
      </c>
      <c r="J56" t="s">
        <v>113</v>
      </c>
      <c r="K56" t="s">
        <v>24</v>
      </c>
      <c r="L56" s="14">
        <f>IFERROR(VALUE(LEFT(tblMatriculas[[#This Row],[Clases]],FIND("/",tblMatriculas[[#This Row],[Clases]])-1)),"")</f>
        <v>3</v>
      </c>
      <c r="M56" s="14">
        <f>IFERROR(VALUE(MID(tblMatriculas[[#This Row],[Clases]],FIND("/",tblMatriculas[[#This Row],[Clases]])+1,5)),"")</f>
        <v>30</v>
      </c>
      <c r="N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6" s="14">
        <f>IF(OR(tblMatriculas[[#This Row],[Estado]]&lt;&gt;"activa",tblMatriculas[[#This Row],[Clases dictadas]]=""),"",MAX(0,tblMatriculas[[#This Row],[Clases dictadas]]-tblMatriculas[[#This Row],[Asistidas]]))</f>
        <v>1</v>
      </c>
      <c r="P56" s="1">
        <f>IF(OR(tblMatriculas[[#This Row],[Estado]]&lt;&gt;"activa",tblMatriculas[[#This Row],[Asistidas]]=""),"",tblMatriculas[[#This Row],[Asistencia]])</f>
        <v>0.1</v>
      </c>
      <c r="Q56" t="b">
        <f>AND(tblMatriculas[[#This Row],[Estado]]="activa",ISNUMBER(tblMatriculas[[#This Row],[% asistencia]]),NOT(ISNUMBER(SEARCH(pPrueba,tblMatriculas[[#This Row],[Nombre]]))))</f>
        <v>1</v>
      </c>
      <c r="R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" s="23" t="str" cm="1">
        <f t="array" ref="S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" s="23" t="str" cm="1">
        <f t="array" ref="T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" s="14" t="str" cm="1">
        <f t="array" ref="U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" t="str" cm="1">
        <f t="array" ref="V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" t="str" cm="1">
        <f t="array" ref="W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" t="str">
        <f>IF(COUNTIFS('Base Estudiantes'!$C:$C,tblMatriculas[[#This Row],[Cédula]],'Base Estudiantes'!$I:$I,tblMatriculas[[#This Row],[Código]])&gt;0,"Sí","No")</f>
        <v>Sí</v>
      </c>
      <c r="Z56" s="23" cm="1">
        <f t="array" ref="Z56">_xlfn.XLOOKUP(tblMatriculas[[#This Row],[Cédula]]&amp;"|"&amp;tblMatriculas[[#This Row],[Código]],tblBase[Documento]&amp;"|"&amp;tblBase[Código grupo],tblBase[Fecha matrícula],"")</f>
        <v>46264</v>
      </c>
    </row>
    <row r="57" spans="1:26" x14ac:dyDescent="0.2">
      <c r="A57" t="s">
        <v>148</v>
      </c>
      <c r="B57" t="s">
        <v>149</v>
      </c>
      <c r="C57" t="s">
        <v>13</v>
      </c>
      <c r="D57" t="s">
        <v>109</v>
      </c>
      <c r="E57" t="s">
        <v>110</v>
      </c>
      <c r="F57" t="s">
        <v>111</v>
      </c>
      <c r="G57" s="1">
        <v>0.13300000000000001</v>
      </c>
      <c r="H57" t="s">
        <v>112</v>
      </c>
      <c r="I57" t="s">
        <v>18</v>
      </c>
      <c r="J57" t="s">
        <v>113</v>
      </c>
      <c r="K57" t="s">
        <v>24</v>
      </c>
      <c r="L57" s="14">
        <f>IFERROR(VALUE(LEFT(tblMatriculas[[#This Row],[Clases]],FIND("/",tblMatriculas[[#This Row],[Clases]])-1)),"")</f>
        <v>4</v>
      </c>
      <c r="M57" s="14">
        <f>IFERROR(VALUE(MID(tblMatriculas[[#This Row],[Clases]],FIND("/",tblMatriculas[[#This Row],[Clases]])+1,5)),"")</f>
        <v>30</v>
      </c>
      <c r="N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7" s="14">
        <f>IF(OR(tblMatriculas[[#This Row],[Estado]]&lt;&gt;"activa",tblMatriculas[[#This Row],[Clases dictadas]]=""),"",MAX(0,tblMatriculas[[#This Row],[Clases dictadas]]-tblMatriculas[[#This Row],[Asistidas]]))</f>
        <v>0</v>
      </c>
      <c r="P57" s="1">
        <f>IF(OR(tblMatriculas[[#This Row],[Estado]]&lt;&gt;"activa",tblMatriculas[[#This Row],[Asistidas]]=""),"",tblMatriculas[[#This Row],[Asistencia]])</f>
        <v>0.13300000000000001</v>
      </c>
      <c r="Q57" t="b">
        <f>AND(tblMatriculas[[#This Row],[Estado]]="activa",ISNUMBER(tblMatriculas[[#This Row],[% asistencia]]),NOT(ISNUMBER(SEARCH(pPrueba,tblMatriculas[[#This Row],[Nombre]]))))</f>
        <v>1</v>
      </c>
      <c r="R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" s="23" t="str" cm="1">
        <f t="array" ref="S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" s="23" t="str" cm="1">
        <f t="array" ref="T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" s="14" t="str" cm="1">
        <f t="array" ref="U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" t="str" cm="1">
        <f t="array" ref="V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" t="str" cm="1">
        <f t="array" ref="W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" t="str">
        <f>IF(COUNTIFS('Base Estudiantes'!$C:$C,tblMatriculas[[#This Row],[Cédula]],'Base Estudiantes'!$I:$I,tblMatriculas[[#This Row],[Código]])&gt;0,"Sí","No")</f>
        <v>Sí</v>
      </c>
      <c r="Z57" s="23" cm="1">
        <f t="array" ref="Z57">_xlfn.XLOOKUP(tblMatriculas[[#This Row],[Cédula]]&amp;"|"&amp;tblMatriculas[[#This Row],[Código]],tblBase[Documento]&amp;"|"&amp;tblBase[Código grupo],tblBase[Fecha matrícula],"")</f>
        <v>46264</v>
      </c>
    </row>
    <row r="58" spans="1:26" x14ac:dyDescent="0.2">
      <c r="A58" t="s">
        <v>150</v>
      </c>
      <c r="B58" t="s">
        <v>151</v>
      </c>
      <c r="C58" t="s">
        <v>13</v>
      </c>
      <c r="D58" t="s">
        <v>109</v>
      </c>
      <c r="E58" t="s">
        <v>110</v>
      </c>
      <c r="F58" t="s">
        <v>111</v>
      </c>
      <c r="G58" s="1">
        <v>0.13300000000000001</v>
      </c>
      <c r="H58" t="s">
        <v>112</v>
      </c>
      <c r="I58" t="s">
        <v>18</v>
      </c>
      <c r="J58" t="s">
        <v>113</v>
      </c>
      <c r="K58" t="s">
        <v>24</v>
      </c>
      <c r="L58" s="14">
        <f>IFERROR(VALUE(LEFT(tblMatriculas[[#This Row],[Clases]],FIND("/",tblMatriculas[[#This Row],[Clases]])-1)),"")</f>
        <v>4</v>
      </c>
      <c r="M58" s="14">
        <f>IFERROR(VALUE(MID(tblMatriculas[[#This Row],[Clases]],FIND("/",tblMatriculas[[#This Row],[Clases]])+1,5)),"")</f>
        <v>30</v>
      </c>
      <c r="N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8" s="14">
        <f>IF(OR(tblMatriculas[[#This Row],[Estado]]&lt;&gt;"activa",tblMatriculas[[#This Row],[Clases dictadas]]=""),"",MAX(0,tblMatriculas[[#This Row],[Clases dictadas]]-tblMatriculas[[#This Row],[Asistidas]]))</f>
        <v>0</v>
      </c>
      <c r="P58" s="1">
        <f>IF(OR(tblMatriculas[[#This Row],[Estado]]&lt;&gt;"activa",tblMatriculas[[#This Row],[Asistidas]]=""),"",tblMatriculas[[#This Row],[Asistencia]])</f>
        <v>0.13300000000000001</v>
      </c>
      <c r="Q58" t="b">
        <f>AND(tblMatriculas[[#This Row],[Estado]]="activa",ISNUMBER(tblMatriculas[[#This Row],[% asistencia]]),NOT(ISNUMBER(SEARCH(pPrueba,tblMatriculas[[#This Row],[Nombre]]))))</f>
        <v>1</v>
      </c>
      <c r="R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" s="23" t="str" cm="1">
        <f t="array" ref="S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" s="23" t="str" cm="1">
        <f t="array" ref="T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" s="14" t="str" cm="1">
        <f t="array" ref="U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" t="str" cm="1">
        <f t="array" ref="V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" t="str" cm="1">
        <f t="array" ref="W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" t="str">
        <f>IF(COUNTIFS('Base Estudiantes'!$C:$C,tblMatriculas[[#This Row],[Cédula]],'Base Estudiantes'!$I:$I,tblMatriculas[[#This Row],[Código]])&gt;0,"Sí","No")</f>
        <v>Sí</v>
      </c>
      <c r="Z58" s="23" cm="1">
        <f t="array" ref="Z58">_xlfn.XLOOKUP(tblMatriculas[[#This Row],[Cédula]]&amp;"|"&amp;tblMatriculas[[#This Row],[Código]],tblBase[Documento]&amp;"|"&amp;tblBase[Código grupo],tblBase[Fecha matrícula],"")</f>
        <v>46264</v>
      </c>
    </row>
    <row r="59" spans="1:26" x14ac:dyDescent="0.2">
      <c r="A59" t="s">
        <v>152</v>
      </c>
      <c r="B59" t="s">
        <v>153</v>
      </c>
      <c r="C59" t="s">
        <v>13</v>
      </c>
      <c r="D59" t="s">
        <v>109</v>
      </c>
      <c r="E59" t="s">
        <v>110</v>
      </c>
      <c r="F59" t="s">
        <v>111</v>
      </c>
      <c r="G59" s="1">
        <v>0.1</v>
      </c>
      <c r="H59" t="s">
        <v>117</v>
      </c>
      <c r="I59" t="s">
        <v>18</v>
      </c>
      <c r="J59" t="s">
        <v>113</v>
      </c>
      <c r="K59" t="s">
        <v>24</v>
      </c>
      <c r="L59" s="14">
        <f>IFERROR(VALUE(LEFT(tblMatriculas[[#This Row],[Clases]],FIND("/",tblMatriculas[[#This Row],[Clases]])-1)),"")</f>
        <v>3</v>
      </c>
      <c r="M59" s="14">
        <f>IFERROR(VALUE(MID(tblMatriculas[[#This Row],[Clases]],FIND("/",tblMatriculas[[#This Row],[Clases]])+1,5)),"")</f>
        <v>30</v>
      </c>
      <c r="N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9" s="14">
        <f>IF(OR(tblMatriculas[[#This Row],[Estado]]&lt;&gt;"activa",tblMatriculas[[#This Row],[Clases dictadas]]=""),"",MAX(0,tblMatriculas[[#This Row],[Clases dictadas]]-tblMatriculas[[#This Row],[Asistidas]]))</f>
        <v>1</v>
      </c>
      <c r="P59" s="1">
        <f>IF(OR(tblMatriculas[[#This Row],[Estado]]&lt;&gt;"activa",tblMatriculas[[#This Row],[Asistidas]]=""),"",tblMatriculas[[#This Row],[Asistencia]])</f>
        <v>0.1</v>
      </c>
      <c r="Q59" t="b">
        <f>AND(tblMatriculas[[#This Row],[Estado]]="activa",ISNUMBER(tblMatriculas[[#This Row],[% asistencia]]),NOT(ISNUMBER(SEARCH(pPrueba,tblMatriculas[[#This Row],[Nombre]]))))</f>
        <v>1</v>
      </c>
      <c r="R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" s="23" t="str" cm="1">
        <f t="array" ref="S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" s="23" t="str" cm="1">
        <f t="array" ref="T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" s="14" t="str" cm="1">
        <f t="array" ref="U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" t="str" cm="1">
        <f t="array" ref="V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" t="str" cm="1">
        <f t="array" ref="W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" t="str">
        <f>IF(COUNTIFS('Base Estudiantes'!$C:$C,tblMatriculas[[#This Row],[Cédula]],'Base Estudiantes'!$I:$I,tblMatriculas[[#This Row],[Código]])&gt;0,"Sí","No")</f>
        <v>Sí</v>
      </c>
      <c r="Z59" s="23" cm="1">
        <f t="array" ref="Z59">_xlfn.XLOOKUP(tblMatriculas[[#This Row],[Cédula]]&amp;"|"&amp;tblMatriculas[[#This Row],[Código]],tblBase[Documento]&amp;"|"&amp;tblBase[Código grupo],tblBase[Fecha matrícula],"")</f>
        <v>46264</v>
      </c>
    </row>
    <row r="60" spans="1:26" x14ac:dyDescent="0.2">
      <c r="A60" t="s">
        <v>154</v>
      </c>
      <c r="B60" t="s">
        <v>155</v>
      </c>
      <c r="C60" t="s">
        <v>13</v>
      </c>
      <c r="D60" t="s">
        <v>109</v>
      </c>
      <c r="E60" t="s">
        <v>110</v>
      </c>
      <c r="F60" t="s">
        <v>111</v>
      </c>
      <c r="G60" s="1">
        <v>0.1</v>
      </c>
      <c r="H60" t="s">
        <v>117</v>
      </c>
      <c r="I60" t="s">
        <v>18</v>
      </c>
      <c r="J60" t="s">
        <v>113</v>
      </c>
      <c r="K60" t="s">
        <v>24</v>
      </c>
      <c r="L60" s="14">
        <f>IFERROR(VALUE(LEFT(tblMatriculas[[#This Row],[Clases]],FIND("/",tblMatriculas[[#This Row],[Clases]])-1)),"")</f>
        <v>3</v>
      </c>
      <c r="M60" s="14">
        <f>IFERROR(VALUE(MID(tblMatriculas[[#This Row],[Clases]],FIND("/",tblMatriculas[[#This Row],[Clases]])+1,5)),"")</f>
        <v>30</v>
      </c>
      <c r="N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0" s="14">
        <f>IF(OR(tblMatriculas[[#This Row],[Estado]]&lt;&gt;"activa",tblMatriculas[[#This Row],[Clases dictadas]]=""),"",MAX(0,tblMatriculas[[#This Row],[Clases dictadas]]-tblMatriculas[[#This Row],[Asistidas]]))</f>
        <v>1</v>
      </c>
      <c r="P60" s="1">
        <f>IF(OR(tblMatriculas[[#This Row],[Estado]]&lt;&gt;"activa",tblMatriculas[[#This Row],[Asistidas]]=""),"",tblMatriculas[[#This Row],[Asistencia]])</f>
        <v>0.1</v>
      </c>
      <c r="Q60" t="b">
        <f>AND(tblMatriculas[[#This Row],[Estado]]="activa",ISNUMBER(tblMatriculas[[#This Row],[% asistencia]]),NOT(ISNUMBER(SEARCH(pPrueba,tblMatriculas[[#This Row],[Nombre]]))))</f>
        <v>1</v>
      </c>
      <c r="R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" s="23" t="str" cm="1">
        <f t="array" ref="S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" s="23" t="str" cm="1">
        <f t="array" ref="T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" s="14" t="str" cm="1">
        <f t="array" ref="U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" t="str" cm="1">
        <f t="array" ref="V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" t="str" cm="1">
        <f t="array" ref="W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" t="str">
        <f>IF(COUNTIFS('Base Estudiantes'!$C:$C,tblMatriculas[[#This Row],[Cédula]],'Base Estudiantes'!$I:$I,tblMatriculas[[#This Row],[Código]])&gt;0,"Sí","No")</f>
        <v>Sí</v>
      </c>
      <c r="Z60" s="23" cm="1">
        <f t="array" ref="Z60">_xlfn.XLOOKUP(tblMatriculas[[#This Row],[Cédula]]&amp;"|"&amp;tblMatriculas[[#This Row],[Código]],tblBase[Documento]&amp;"|"&amp;tblBase[Código grupo],tblBase[Fecha matrícula],"")</f>
        <v>46264</v>
      </c>
    </row>
    <row r="61" spans="1:26" x14ac:dyDescent="0.2">
      <c r="A61" t="s">
        <v>156</v>
      </c>
      <c r="B61" t="s">
        <v>157</v>
      </c>
      <c r="C61" t="s">
        <v>13</v>
      </c>
      <c r="D61" t="s">
        <v>109</v>
      </c>
      <c r="E61" t="s">
        <v>110</v>
      </c>
      <c r="F61" t="s">
        <v>111</v>
      </c>
      <c r="G61" s="1">
        <v>0.1</v>
      </c>
      <c r="H61" t="s">
        <v>117</v>
      </c>
      <c r="I61" t="s">
        <v>18</v>
      </c>
      <c r="J61" t="s">
        <v>113</v>
      </c>
      <c r="K61" t="s">
        <v>24</v>
      </c>
      <c r="L61" s="14">
        <f>IFERROR(VALUE(LEFT(tblMatriculas[[#This Row],[Clases]],FIND("/",tblMatriculas[[#This Row],[Clases]])-1)),"")</f>
        <v>3</v>
      </c>
      <c r="M61" s="14">
        <f>IFERROR(VALUE(MID(tblMatriculas[[#This Row],[Clases]],FIND("/",tblMatriculas[[#This Row],[Clases]])+1,5)),"")</f>
        <v>30</v>
      </c>
      <c r="N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1" s="14">
        <f>IF(OR(tblMatriculas[[#This Row],[Estado]]&lt;&gt;"activa",tblMatriculas[[#This Row],[Clases dictadas]]=""),"",MAX(0,tblMatriculas[[#This Row],[Clases dictadas]]-tblMatriculas[[#This Row],[Asistidas]]))</f>
        <v>1</v>
      </c>
      <c r="P61" s="1">
        <f>IF(OR(tblMatriculas[[#This Row],[Estado]]&lt;&gt;"activa",tblMatriculas[[#This Row],[Asistidas]]=""),"",tblMatriculas[[#This Row],[Asistencia]])</f>
        <v>0.1</v>
      </c>
      <c r="Q61" t="b">
        <f>AND(tblMatriculas[[#This Row],[Estado]]="activa",ISNUMBER(tblMatriculas[[#This Row],[% asistencia]]),NOT(ISNUMBER(SEARCH(pPrueba,tblMatriculas[[#This Row],[Nombre]]))))</f>
        <v>1</v>
      </c>
      <c r="R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" s="23" t="str" cm="1">
        <f t="array" ref="S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" s="23" t="str" cm="1">
        <f t="array" ref="T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" s="14" t="str" cm="1">
        <f t="array" ref="U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" t="str" cm="1">
        <f t="array" ref="V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" t="str" cm="1">
        <f t="array" ref="W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" t="str">
        <f>IF(COUNTIFS('Base Estudiantes'!$C:$C,tblMatriculas[[#This Row],[Cédula]],'Base Estudiantes'!$I:$I,tblMatriculas[[#This Row],[Código]])&gt;0,"Sí","No")</f>
        <v>Sí</v>
      </c>
      <c r="Z61" s="23" cm="1">
        <f t="array" ref="Z61">_xlfn.XLOOKUP(tblMatriculas[[#This Row],[Cédula]]&amp;"|"&amp;tblMatriculas[[#This Row],[Código]],tblBase[Documento]&amp;"|"&amp;tblBase[Código grupo],tblBase[Fecha matrícula],"")</f>
        <v>46264</v>
      </c>
    </row>
    <row r="62" spans="1:26" x14ac:dyDescent="0.2">
      <c r="A62" t="s">
        <v>158</v>
      </c>
      <c r="B62" t="s">
        <v>159</v>
      </c>
      <c r="C62" t="s">
        <v>13</v>
      </c>
      <c r="D62" t="s">
        <v>109</v>
      </c>
      <c r="E62" t="s">
        <v>110</v>
      </c>
      <c r="F62" t="s">
        <v>111</v>
      </c>
      <c r="G62" s="1">
        <v>0.1</v>
      </c>
      <c r="H62" t="s">
        <v>117</v>
      </c>
      <c r="I62" t="s">
        <v>18</v>
      </c>
      <c r="J62" t="s">
        <v>113</v>
      </c>
      <c r="K62" t="s">
        <v>24</v>
      </c>
      <c r="L62" s="14">
        <f>IFERROR(VALUE(LEFT(tblMatriculas[[#This Row],[Clases]],FIND("/",tblMatriculas[[#This Row],[Clases]])-1)),"")</f>
        <v>3</v>
      </c>
      <c r="M62" s="14">
        <f>IFERROR(VALUE(MID(tblMatriculas[[#This Row],[Clases]],FIND("/",tblMatriculas[[#This Row],[Clases]])+1,5)),"")</f>
        <v>30</v>
      </c>
      <c r="N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2" s="14">
        <f>IF(OR(tblMatriculas[[#This Row],[Estado]]&lt;&gt;"activa",tblMatriculas[[#This Row],[Clases dictadas]]=""),"",MAX(0,tblMatriculas[[#This Row],[Clases dictadas]]-tblMatriculas[[#This Row],[Asistidas]]))</f>
        <v>1</v>
      </c>
      <c r="P62" s="1">
        <f>IF(OR(tblMatriculas[[#This Row],[Estado]]&lt;&gt;"activa",tblMatriculas[[#This Row],[Asistidas]]=""),"",tblMatriculas[[#This Row],[Asistencia]])</f>
        <v>0.1</v>
      </c>
      <c r="Q62" t="b">
        <f>AND(tblMatriculas[[#This Row],[Estado]]="activa",ISNUMBER(tblMatriculas[[#This Row],[% asistencia]]),NOT(ISNUMBER(SEARCH(pPrueba,tblMatriculas[[#This Row],[Nombre]]))))</f>
        <v>1</v>
      </c>
      <c r="R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" s="23" t="str" cm="1">
        <f t="array" ref="S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" s="23" t="str" cm="1">
        <f t="array" ref="T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" s="14" t="str" cm="1">
        <f t="array" ref="U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" t="str" cm="1">
        <f t="array" ref="V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" t="str" cm="1">
        <f t="array" ref="W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" t="str">
        <f>IF(COUNTIFS('Base Estudiantes'!$C:$C,tblMatriculas[[#This Row],[Cédula]],'Base Estudiantes'!$I:$I,tblMatriculas[[#This Row],[Código]])&gt;0,"Sí","No")</f>
        <v>Sí</v>
      </c>
      <c r="Z62" s="23" cm="1">
        <f t="array" ref="Z62">_xlfn.XLOOKUP(tblMatriculas[[#This Row],[Cédula]]&amp;"|"&amp;tblMatriculas[[#This Row],[Código]],tblBase[Documento]&amp;"|"&amp;tblBase[Código grupo],tblBase[Fecha matrícula],"")</f>
        <v>46264</v>
      </c>
    </row>
    <row r="63" spans="1:26" x14ac:dyDescent="0.2">
      <c r="A63" t="s">
        <v>160</v>
      </c>
      <c r="B63" t="s">
        <v>161</v>
      </c>
      <c r="C63" t="s">
        <v>13</v>
      </c>
      <c r="D63" t="s">
        <v>109</v>
      </c>
      <c r="E63" t="s">
        <v>110</v>
      </c>
      <c r="F63" t="s">
        <v>111</v>
      </c>
      <c r="G63" s="1">
        <v>0.13300000000000001</v>
      </c>
      <c r="H63" t="s">
        <v>112</v>
      </c>
      <c r="I63" t="s">
        <v>18</v>
      </c>
      <c r="J63" t="s">
        <v>113</v>
      </c>
      <c r="K63" t="s">
        <v>24</v>
      </c>
      <c r="L63" s="14">
        <f>IFERROR(VALUE(LEFT(tblMatriculas[[#This Row],[Clases]],FIND("/",tblMatriculas[[#This Row],[Clases]])-1)),"")</f>
        <v>4</v>
      </c>
      <c r="M63" s="14">
        <f>IFERROR(VALUE(MID(tblMatriculas[[#This Row],[Clases]],FIND("/",tblMatriculas[[#This Row],[Clases]])+1,5)),"")</f>
        <v>30</v>
      </c>
      <c r="N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3" s="14">
        <f>IF(OR(tblMatriculas[[#This Row],[Estado]]&lt;&gt;"activa",tblMatriculas[[#This Row],[Clases dictadas]]=""),"",MAX(0,tblMatriculas[[#This Row],[Clases dictadas]]-tblMatriculas[[#This Row],[Asistidas]]))</f>
        <v>0</v>
      </c>
      <c r="P63" s="1">
        <f>IF(OR(tblMatriculas[[#This Row],[Estado]]&lt;&gt;"activa",tblMatriculas[[#This Row],[Asistidas]]=""),"",tblMatriculas[[#This Row],[Asistencia]])</f>
        <v>0.13300000000000001</v>
      </c>
      <c r="Q63" t="b">
        <f>AND(tblMatriculas[[#This Row],[Estado]]="activa",ISNUMBER(tblMatriculas[[#This Row],[% asistencia]]),NOT(ISNUMBER(SEARCH(pPrueba,tblMatriculas[[#This Row],[Nombre]]))))</f>
        <v>1</v>
      </c>
      <c r="R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" s="23" t="str" cm="1">
        <f t="array" ref="S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" s="23" t="str" cm="1">
        <f t="array" ref="T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" s="14" t="str" cm="1">
        <f t="array" ref="U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" t="str" cm="1">
        <f t="array" ref="V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" t="str" cm="1">
        <f t="array" ref="W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" t="str">
        <f>IF(COUNTIFS('Base Estudiantes'!$C:$C,tblMatriculas[[#This Row],[Cédula]],'Base Estudiantes'!$I:$I,tblMatriculas[[#This Row],[Código]])&gt;0,"Sí","No")</f>
        <v>Sí</v>
      </c>
      <c r="Z63" s="23" cm="1">
        <f t="array" ref="Z63">_xlfn.XLOOKUP(tblMatriculas[[#This Row],[Cédula]]&amp;"|"&amp;tblMatriculas[[#This Row],[Código]],tblBase[Documento]&amp;"|"&amp;tblBase[Código grupo],tblBase[Fecha matrícula],"")</f>
        <v>46264</v>
      </c>
    </row>
    <row r="64" spans="1:26" x14ac:dyDescent="0.2">
      <c r="A64" t="s">
        <v>162</v>
      </c>
      <c r="B64" t="s">
        <v>163</v>
      </c>
      <c r="C64" t="s">
        <v>13</v>
      </c>
      <c r="D64" t="s">
        <v>109</v>
      </c>
      <c r="E64" t="s">
        <v>110</v>
      </c>
      <c r="F64" t="s">
        <v>111</v>
      </c>
      <c r="G64" s="1">
        <v>0.13300000000000001</v>
      </c>
      <c r="H64" t="s">
        <v>112</v>
      </c>
      <c r="I64" t="s">
        <v>18</v>
      </c>
      <c r="J64" t="s">
        <v>113</v>
      </c>
      <c r="K64" t="s">
        <v>24</v>
      </c>
      <c r="L64" s="14">
        <f>IFERROR(VALUE(LEFT(tblMatriculas[[#This Row],[Clases]],FIND("/",tblMatriculas[[#This Row],[Clases]])-1)),"")</f>
        <v>4</v>
      </c>
      <c r="M64" s="14">
        <f>IFERROR(VALUE(MID(tblMatriculas[[#This Row],[Clases]],FIND("/",tblMatriculas[[#This Row],[Clases]])+1,5)),"")</f>
        <v>30</v>
      </c>
      <c r="N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" s="14">
        <f>IF(OR(tblMatriculas[[#This Row],[Estado]]&lt;&gt;"activa",tblMatriculas[[#This Row],[Clases dictadas]]=""),"",MAX(0,tblMatriculas[[#This Row],[Clases dictadas]]-tblMatriculas[[#This Row],[Asistidas]]))</f>
        <v>0</v>
      </c>
      <c r="P64" s="1">
        <f>IF(OR(tblMatriculas[[#This Row],[Estado]]&lt;&gt;"activa",tblMatriculas[[#This Row],[Asistidas]]=""),"",tblMatriculas[[#This Row],[Asistencia]])</f>
        <v>0.13300000000000001</v>
      </c>
      <c r="Q64" t="b">
        <f>AND(tblMatriculas[[#This Row],[Estado]]="activa",ISNUMBER(tblMatriculas[[#This Row],[% asistencia]]),NOT(ISNUMBER(SEARCH(pPrueba,tblMatriculas[[#This Row],[Nombre]]))))</f>
        <v>1</v>
      </c>
      <c r="R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" s="23" t="str" cm="1">
        <f t="array" ref="S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" s="23" t="str" cm="1">
        <f t="array" ref="T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" s="14" t="str" cm="1">
        <f t="array" ref="U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" t="str" cm="1">
        <f t="array" ref="V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" t="str" cm="1">
        <f t="array" ref="W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" t="str">
        <f>IF(COUNTIFS('Base Estudiantes'!$C:$C,tblMatriculas[[#This Row],[Cédula]],'Base Estudiantes'!$I:$I,tblMatriculas[[#This Row],[Código]])&gt;0,"Sí","No")</f>
        <v>Sí</v>
      </c>
      <c r="Z64" s="23" cm="1">
        <f t="array" ref="Z64">_xlfn.XLOOKUP(tblMatriculas[[#This Row],[Cédula]]&amp;"|"&amp;tblMatriculas[[#This Row],[Código]],tblBase[Documento]&amp;"|"&amp;tblBase[Código grupo],tblBase[Fecha matrícula],"")</f>
        <v>46264</v>
      </c>
    </row>
    <row r="65" spans="1:26" x14ac:dyDescent="0.2">
      <c r="A65" t="s">
        <v>164</v>
      </c>
      <c r="B65" t="s">
        <v>165</v>
      </c>
      <c r="C65" t="s">
        <v>13</v>
      </c>
      <c r="D65" t="s">
        <v>109</v>
      </c>
      <c r="E65" t="s">
        <v>110</v>
      </c>
      <c r="F65" t="s">
        <v>111</v>
      </c>
      <c r="G65" s="1">
        <v>6.7000000000000004E-2</v>
      </c>
      <c r="H65" t="s">
        <v>166</v>
      </c>
      <c r="I65" t="s">
        <v>18</v>
      </c>
      <c r="J65" t="s">
        <v>113</v>
      </c>
      <c r="K65" t="s">
        <v>24</v>
      </c>
      <c r="L65" s="14">
        <f>IFERROR(VALUE(LEFT(tblMatriculas[[#This Row],[Clases]],FIND("/",tblMatriculas[[#This Row],[Clases]])-1)),"")</f>
        <v>2</v>
      </c>
      <c r="M65" s="14">
        <f>IFERROR(VALUE(MID(tblMatriculas[[#This Row],[Clases]],FIND("/",tblMatriculas[[#This Row],[Clases]])+1,5)),"")</f>
        <v>30</v>
      </c>
      <c r="N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" s="14">
        <f>IF(OR(tblMatriculas[[#This Row],[Estado]]&lt;&gt;"activa",tblMatriculas[[#This Row],[Clases dictadas]]=""),"",MAX(0,tblMatriculas[[#This Row],[Clases dictadas]]-tblMatriculas[[#This Row],[Asistidas]]))</f>
        <v>2</v>
      </c>
      <c r="P65" s="1">
        <f>IF(OR(tblMatriculas[[#This Row],[Estado]]&lt;&gt;"activa",tblMatriculas[[#This Row],[Asistidas]]=""),"",tblMatriculas[[#This Row],[Asistencia]])</f>
        <v>6.7000000000000004E-2</v>
      </c>
      <c r="Q65" t="b">
        <f>AND(tblMatriculas[[#This Row],[Estado]]="activa",ISNUMBER(tblMatriculas[[#This Row],[% asistencia]]),NOT(ISNUMBER(SEARCH(pPrueba,tblMatriculas[[#This Row],[Nombre]]))))</f>
        <v>1</v>
      </c>
      <c r="R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5" s="23" t="str" cm="1">
        <f t="array" ref="S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" s="23" t="str" cm="1">
        <f t="array" ref="T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" s="14" t="str" cm="1">
        <f t="array" ref="U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" t="str" cm="1">
        <f t="array" ref="V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" t="str" cm="1">
        <f t="array" ref="W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5" t="str">
        <f>IF(COUNTIFS('Base Estudiantes'!$C:$C,tblMatriculas[[#This Row],[Cédula]],'Base Estudiantes'!$I:$I,tblMatriculas[[#This Row],[Código]])&gt;0,"Sí","No")</f>
        <v>Sí</v>
      </c>
      <c r="Z65" s="23" cm="1">
        <f t="array" ref="Z65">_xlfn.XLOOKUP(tblMatriculas[[#This Row],[Cédula]]&amp;"|"&amp;tblMatriculas[[#This Row],[Código]],tblBase[Documento]&amp;"|"&amp;tblBase[Código grupo],tblBase[Fecha matrícula],"")</f>
        <v>46264</v>
      </c>
    </row>
    <row r="66" spans="1:26" x14ac:dyDescent="0.2">
      <c r="A66" t="s">
        <v>167</v>
      </c>
      <c r="B66" t="s">
        <v>168</v>
      </c>
      <c r="C66" t="s">
        <v>13</v>
      </c>
      <c r="D66" t="s">
        <v>109</v>
      </c>
      <c r="E66" t="s">
        <v>110</v>
      </c>
      <c r="F66" t="s">
        <v>111</v>
      </c>
      <c r="G66" s="1">
        <v>0.1</v>
      </c>
      <c r="H66" t="s">
        <v>117</v>
      </c>
      <c r="I66" t="s">
        <v>18</v>
      </c>
      <c r="J66" t="s">
        <v>113</v>
      </c>
      <c r="K66" t="s">
        <v>24</v>
      </c>
      <c r="L66" s="14">
        <f>IFERROR(VALUE(LEFT(tblMatriculas[[#This Row],[Clases]],FIND("/",tblMatriculas[[#This Row],[Clases]])-1)),"")</f>
        <v>3</v>
      </c>
      <c r="M66" s="14">
        <f>IFERROR(VALUE(MID(tblMatriculas[[#This Row],[Clases]],FIND("/",tblMatriculas[[#This Row],[Clases]])+1,5)),"")</f>
        <v>30</v>
      </c>
      <c r="N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" s="14">
        <f>IF(OR(tblMatriculas[[#This Row],[Estado]]&lt;&gt;"activa",tblMatriculas[[#This Row],[Clases dictadas]]=""),"",MAX(0,tblMatriculas[[#This Row],[Clases dictadas]]-tblMatriculas[[#This Row],[Asistidas]]))</f>
        <v>1</v>
      </c>
      <c r="P66" s="1">
        <f>IF(OR(tblMatriculas[[#This Row],[Estado]]&lt;&gt;"activa",tblMatriculas[[#This Row],[Asistidas]]=""),"",tblMatriculas[[#This Row],[Asistencia]])</f>
        <v>0.1</v>
      </c>
      <c r="Q66" t="b">
        <f>AND(tblMatriculas[[#This Row],[Estado]]="activa",ISNUMBER(tblMatriculas[[#This Row],[% asistencia]]),NOT(ISNUMBER(SEARCH(pPrueba,tblMatriculas[[#This Row],[Nombre]]))))</f>
        <v>1</v>
      </c>
      <c r="R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" s="23" t="str" cm="1">
        <f t="array" ref="S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" s="23" t="str" cm="1">
        <f t="array" ref="T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" s="14" t="str" cm="1">
        <f t="array" ref="U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" t="str" cm="1">
        <f t="array" ref="V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" t="str" cm="1">
        <f t="array" ref="W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" t="str">
        <f>IF(COUNTIFS('Base Estudiantes'!$C:$C,tblMatriculas[[#This Row],[Cédula]],'Base Estudiantes'!$I:$I,tblMatriculas[[#This Row],[Código]])&gt;0,"Sí","No")</f>
        <v>Sí</v>
      </c>
      <c r="Z66" s="23" cm="1">
        <f t="array" ref="Z66">_xlfn.XLOOKUP(tblMatriculas[[#This Row],[Cédula]]&amp;"|"&amp;tblMatriculas[[#This Row],[Código]],tblBase[Documento]&amp;"|"&amp;tblBase[Código grupo],tblBase[Fecha matrícula],"")</f>
        <v>46264</v>
      </c>
    </row>
    <row r="67" spans="1:26" x14ac:dyDescent="0.2">
      <c r="A67" t="s">
        <v>169</v>
      </c>
      <c r="B67" t="s">
        <v>170</v>
      </c>
      <c r="C67" t="s">
        <v>13</v>
      </c>
      <c r="D67" t="s">
        <v>109</v>
      </c>
      <c r="E67" t="s">
        <v>110</v>
      </c>
      <c r="F67" t="s">
        <v>111</v>
      </c>
      <c r="G67" s="1">
        <v>0.13300000000000001</v>
      </c>
      <c r="H67" t="s">
        <v>112</v>
      </c>
      <c r="I67" t="s">
        <v>18</v>
      </c>
      <c r="J67" t="s">
        <v>113</v>
      </c>
      <c r="K67" t="s">
        <v>24</v>
      </c>
      <c r="L67" s="14">
        <f>IFERROR(VALUE(LEFT(tblMatriculas[[#This Row],[Clases]],FIND("/",tblMatriculas[[#This Row],[Clases]])-1)),"")</f>
        <v>4</v>
      </c>
      <c r="M67" s="14">
        <f>IFERROR(VALUE(MID(tblMatriculas[[#This Row],[Clases]],FIND("/",tblMatriculas[[#This Row],[Clases]])+1,5)),"")</f>
        <v>30</v>
      </c>
      <c r="N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7" s="14">
        <f>IF(OR(tblMatriculas[[#This Row],[Estado]]&lt;&gt;"activa",tblMatriculas[[#This Row],[Clases dictadas]]=""),"",MAX(0,tblMatriculas[[#This Row],[Clases dictadas]]-tblMatriculas[[#This Row],[Asistidas]]))</f>
        <v>0</v>
      </c>
      <c r="P67" s="1">
        <f>IF(OR(tblMatriculas[[#This Row],[Estado]]&lt;&gt;"activa",tblMatriculas[[#This Row],[Asistidas]]=""),"",tblMatriculas[[#This Row],[Asistencia]])</f>
        <v>0.13300000000000001</v>
      </c>
      <c r="Q67" t="b">
        <f>AND(tblMatriculas[[#This Row],[Estado]]="activa",ISNUMBER(tblMatriculas[[#This Row],[% asistencia]]),NOT(ISNUMBER(SEARCH(pPrueba,tblMatriculas[[#This Row],[Nombre]]))))</f>
        <v>1</v>
      </c>
      <c r="R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" s="23" t="str" cm="1">
        <f t="array" ref="S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" s="23" t="str" cm="1">
        <f t="array" ref="T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" s="14" t="str" cm="1">
        <f t="array" ref="U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" t="str" cm="1">
        <f t="array" ref="V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" t="str" cm="1">
        <f t="array" ref="W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" t="str">
        <f>IF(COUNTIFS('Base Estudiantes'!$C:$C,tblMatriculas[[#This Row],[Cédula]],'Base Estudiantes'!$I:$I,tblMatriculas[[#This Row],[Código]])&gt;0,"Sí","No")</f>
        <v>Sí</v>
      </c>
      <c r="Z67" s="23" cm="1">
        <f t="array" ref="Z67">_xlfn.XLOOKUP(tblMatriculas[[#This Row],[Cédula]]&amp;"|"&amp;tblMatriculas[[#This Row],[Código]],tblBase[Documento]&amp;"|"&amp;tblBase[Código grupo],tblBase[Fecha matrícula],"")</f>
        <v>46264</v>
      </c>
    </row>
    <row r="68" spans="1:26" x14ac:dyDescent="0.2">
      <c r="A68" t="s">
        <v>171</v>
      </c>
      <c r="B68" t="s">
        <v>172</v>
      </c>
      <c r="C68" t="s">
        <v>13</v>
      </c>
      <c r="D68" t="s">
        <v>109</v>
      </c>
      <c r="E68" t="s">
        <v>110</v>
      </c>
      <c r="F68" t="s">
        <v>111</v>
      </c>
      <c r="G68" s="1">
        <v>0.1</v>
      </c>
      <c r="H68" t="s">
        <v>117</v>
      </c>
      <c r="I68" t="s">
        <v>18</v>
      </c>
      <c r="J68" t="s">
        <v>113</v>
      </c>
      <c r="K68" t="s">
        <v>24</v>
      </c>
      <c r="L68" s="14">
        <f>IFERROR(VALUE(LEFT(tblMatriculas[[#This Row],[Clases]],FIND("/",tblMatriculas[[#This Row],[Clases]])-1)),"")</f>
        <v>3</v>
      </c>
      <c r="M68" s="14">
        <f>IFERROR(VALUE(MID(tblMatriculas[[#This Row],[Clases]],FIND("/",tblMatriculas[[#This Row],[Clases]])+1,5)),"")</f>
        <v>30</v>
      </c>
      <c r="N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8" s="14">
        <f>IF(OR(tblMatriculas[[#This Row],[Estado]]&lt;&gt;"activa",tblMatriculas[[#This Row],[Clases dictadas]]=""),"",MAX(0,tblMatriculas[[#This Row],[Clases dictadas]]-tblMatriculas[[#This Row],[Asistidas]]))</f>
        <v>1</v>
      </c>
      <c r="P68" s="1">
        <f>IF(OR(tblMatriculas[[#This Row],[Estado]]&lt;&gt;"activa",tblMatriculas[[#This Row],[Asistidas]]=""),"",tblMatriculas[[#This Row],[Asistencia]])</f>
        <v>0.1</v>
      </c>
      <c r="Q68" t="b">
        <f>AND(tblMatriculas[[#This Row],[Estado]]="activa",ISNUMBER(tblMatriculas[[#This Row],[% asistencia]]),NOT(ISNUMBER(SEARCH(pPrueba,tblMatriculas[[#This Row],[Nombre]]))))</f>
        <v>1</v>
      </c>
      <c r="R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" s="23" t="str" cm="1">
        <f t="array" ref="S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" s="23" t="str" cm="1">
        <f t="array" ref="T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" s="14" t="str" cm="1">
        <f t="array" ref="U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" t="str" cm="1">
        <f t="array" ref="V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" t="str" cm="1">
        <f t="array" ref="W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" t="str">
        <f>IF(COUNTIFS('Base Estudiantes'!$C:$C,tblMatriculas[[#This Row],[Cédula]],'Base Estudiantes'!$I:$I,tblMatriculas[[#This Row],[Código]])&gt;0,"Sí","No")</f>
        <v>Sí</v>
      </c>
      <c r="Z68" s="23" cm="1">
        <f t="array" ref="Z68">_xlfn.XLOOKUP(tblMatriculas[[#This Row],[Cédula]]&amp;"|"&amp;tblMatriculas[[#This Row],[Código]],tblBase[Documento]&amp;"|"&amp;tblBase[Código grupo],tblBase[Fecha matrícula],"")</f>
        <v>46264</v>
      </c>
    </row>
    <row r="69" spans="1:26" x14ac:dyDescent="0.2">
      <c r="A69" t="s">
        <v>173</v>
      </c>
      <c r="B69" t="s">
        <v>174</v>
      </c>
      <c r="C69" t="s">
        <v>13</v>
      </c>
      <c r="D69" t="s">
        <v>109</v>
      </c>
      <c r="E69" t="s">
        <v>110</v>
      </c>
      <c r="F69" t="s">
        <v>111</v>
      </c>
      <c r="G69" s="1">
        <v>0.13300000000000001</v>
      </c>
      <c r="H69" t="s">
        <v>112</v>
      </c>
      <c r="I69" t="s">
        <v>18</v>
      </c>
      <c r="J69" t="s">
        <v>113</v>
      </c>
      <c r="K69" t="s">
        <v>24</v>
      </c>
      <c r="L69" s="14">
        <f>IFERROR(VALUE(LEFT(tblMatriculas[[#This Row],[Clases]],FIND("/",tblMatriculas[[#This Row],[Clases]])-1)),"")</f>
        <v>4</v>
      </c>
      <c r="M69" s="14">
        <f>IFERROR(VALUE(MID(tblMatriculas[[#This Row],[Clases]],FIND("/",tblMatriculas[[#This Row],[Clases]])+1,5)),"")</f>
        <v>30</v>
      </c>
      <c r="N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9" s="14">
        <f>IF(OR(tblMatriculas[[#This Row],[Estado]]&lt;&gt;"activa",tblMatriculas[[#This Row],[Clases dictadas]]=""),"",MAX(0,tblMatriculas[[#This Row],[Clases dictadas]]-tblMatriculas[[#This Row],[Asistidas]]))</f>
        <v>0</v>
      </c>
      <c r="P69" s="1">
        <f>IF(OR(tblMatriculas[[#This Row],[Estado]]&lt;&gt;"activa",tblMatriculas[[#This Row],[Asistidas]]=""),"",tblMatriculas[[#This Row],[Asistencia]])</f>
        <v>0.13300000000000001</v>
      </c>
      <c r="Q69" t="b">
        <f>AND(tblMatriculas[[#This Row],[Estado]]="activa",ISNUMBER(tblMatriculas[[#This Row],[% asistencia]]),NOT(ISNUMBER(SEARCH(pPrueba,tblMatriculas[[#This Row],[Nombre]]))))</f>
        <v>1</v>
      </c>
      <c r="R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" s="23" t="str" cm="1">
        <f t="array" ref="S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" s="23" t="str" cm="1">
        <f t="array" ref="T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" s="14" t="str" cm="1">
        <f t="array" ref="U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" t="str" cm="1">
        <f t="array" ref="V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" t="str" cm="1">
        <f t="array" ref="W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" t="str">
        <f>IF(COUNTIFS('Base Estudiantes'!$C:$C,tblMatriculas[[#This Row],[Cédula]],'Base Estudiantes'!$I:$I,tblMatriculas[[#This Row],[Código]])&gt;0,"Sí","No")</f>
        <v>Sí</v>
      </c>
      <c r="Z69" s="23" cm="1">
        <f t="array" ref="Z69">_xlfn.XLOOKUP(tblMatriculas[[#This Row],[Cédula]]&amp;"|"&amp;tblMatriculas[[#This Row],[Código]],tblBase[Documento]&amp;"|"&amp;tblBase[Código grupo],tblBase[Fecha matrícula],"")</f>
        <v>46264</v>
      </c>
    </row>
    <row r="70" spans="1:26" x14ac:dyDescent="0.2">
      <c r="A70" t="s">
        <v>175</v>
      </c>
      <c r="B70" t="s">
        <v>176</v>
      </c>
      <c r="C70" t="s">
        <v>13</v>
      </c>
      <c r="D70" t="s">
        <v>109</v>
      </c>
      <c r="E70" t="s">
        <v>110</v>
      </c>
      <c r="F70" t="s">
        <v>111</v>
      </c>
      <c r="G70" s="1">
        <v>0.1</v>
      </c>
      <c r="H70" t="s">
        <v>117</v>
      </c>
      <c r="I70" t="s">
        <v>18</v>
      </c>
      <c r="J70" t="s">
        <v>113</v>
      </c>
      <c r="K70" t="s">
        <v>24</v>
      </c>
      <c r="L70" s="14">
        <f>IFERROR(VALUE(LEFT(tblMatriculas[[#This Row],[Clases]],FIND("/",tblMatriculas[[#This Row],[Clases]])-1)),"")</f>
        <v>3</v>
      </c>
      <c r="M70" s="14">
        <f>IFERROR(VALUE(MID(tblMatriculas[[#This Row],[Clases]],FIND("/",tblMatriculas[[#This Row],[Clases]])+1,5)),"")</f>
        <v>30</v>
      </c>
      <c r="N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0" s="14">
        <f>IF(OR(tblMatriculas[[#This Row],[Estado]]&lt;&gt;"activa",tblMatriculas[[#This Row],[Clases dictadas]]=""),"",MAX(0,tblMatriculas[[#This Row],[Clases dictadas]]-tblMatriculas[[#This Row],[Asistidas]]))</f>
        <v>1</v>
      </c>
      <c r="P70" s="1">
        <f>IF(OR(tblMatriculas[[#This Row],[Estado]]&lt;&gt;"activa",tblMatriculas[[#This Row],[Asistidas]]=""),"",tblMatriculas[[#This Row],[Asistencia]])</f>
        <v>0.1</v>
      </c>
      <c r="Q70" t="b">
        <f>AND(tblMatriculas[[#This Row],[Estado]]="activa",ISNUMBER(tblMatriculas[[#This Row],[% asistencia]]),NOT(ISNUMBER(SEARCH(pPrueba,tblMatriculas[[#This Row],[Nombre]]))))</f>
        <v>1</v>
      </c>
      <c r="R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0" s="23" t="str" cm="1">
        <f t="array" ref="S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" s="23" t="str" cm="1">
        <f t="array" ref="T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" s="14" t="str" cm="1">
        <f t="array" ref="U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" t="str" cm="1">
        <f t="array" ref="V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" t="str" cm="1">
        <f t="array" ref="W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0" t="str">
        <f>IF(COUNTIFS('Base Estudiantes'!$C:$C,tblMatriculas[[#This Row],[Cédula]],'Base Estudiantes'!$I:$I,tblMatriculas[[#This Row],[Código]])&gt;0,"Sí","No")</f>
        <v>Sí</v>
      </c>
      <c r="Z70" s="23" cm="1">
        <f t="array" ref="Z70">_xlfn.XLOOKUP(tblMatriculas[[#This Row],[Cédula]]&amp;"|"&amp;tblMatriculas[[#This Row],[Código]],tblBase[Documento]&amp;"|"&amp;tblBase[Código grupo],tblBase[Fecha matrícula],"")</f>
        <v>46264</v>
      </c>
    </row>
    <row r="71" spans="1:26" x14ac:dyDescent="0.2">
      <c r="A71" t="s">
        <v>177</v>
      </c>
      <c r="B71" t="s">
        <v>178</v>
      </c>
      <c r="C71" t="s">
        <v>13</v>
      </c>
      <c r="D71" t="s">
        <v>109</v>
      </c>
      <c r="E71" t="s">
        <v>110</v>
      </c>
      <c r="F71" t="s">
        <v>111</v>
      </c>
      <c r="G71" s="1">
        <v>0.13300000000000001</v>
      </c>
      <c r="H71" t="s">
        <v>112</v>
      </c>
      <c r="I71" t="s">
        <v>18</v>
      </c>
      <c r="J71" t="s">
        <v>113</v>
      </c>
      <c r="K71" t="s">
        <v>24</v>
      </c>
      <c r="L71" s="14">
        <f>IFERROR(VALUE(LEFT(tblMatriculas[[#This Row],[Clases]],FIND("/",tblMatriculas[[#This Row],[Clases]])-1)),"")</f>
        <v>4</v>
      </c>
      <c r="M71" s="14">
        <f>IFERROR(VALUE(MID(tblMatriculas[[#This Row],[Clases]],FIND("/",tblMatriculas[[#This Row],[Clases]])+1,5)),"")</f>
        <v>30</v>
      </c>
      <c r="N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1" s="14">
        <f>IF(OR(tblMatriculas[[#This Row],[Estado]]&lt;&gt;"activa",tblMatriculas[[#This Row],[Clases dictadas]]=""),"",MAX(0,tblMatriculas[[#This Row],[Clases dictadas]]-tblMatriculas[[#This Row],[Asistidas]]))</f>
        <v>0</v>
      </c>
      <c r="P71" s="1">
        <f>IF(OR(tblMatriculas[[#This Row],[Estado]]&lt;&gt;"activa",tblMatriculas[[#This Row],[Asistidas]]=""),"",tblMatriculas[[#This Row],[Asistencia]])</f>
        <v>0.13300000000000001</v>
      </c>
      <c r="Q71" t="b">
        <f>AND(tblMatriculas[[#This Row],[Estado]]="activa",ISNUMBER(tblMatriculas[[#This Row],[% asistencia]]),NOT(ISNUMBER(SEARCH(pPrueba,tblMatriculas[[#This Row],[Nombre]]))))</f>
        <v>1</v>
      </c>
      <c r="R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1" s="23" t="str" cm="1">
        <f t="array" ref="S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" s="23" t="str" cm="1">
        <f t="array" ref="T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" s="14" t="str" cm="1">
        <f t="array" ref="U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" t="str" cm="1">
        <f t="array" ref="V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" t="str" cm="1">
        <f t="array" ref="W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1" t="str">
        <f>IF(COUNTIFS('Base Estudiantes'!$C:$C,tblMatriculas[[#This Row],[Cédula]],'Base Estudiantes'!$I:$I,tblMatriculas[[#This Row],[Código]])&gt;0,"Sí","No")</f>
        <v>Sí</v>
      </c>
      <c r="Z71" s="23" cm="1">
        <f t="array" ref="Z71">_xlfn.XLOOKUP(tblMatriculas[[#This Row],[Cédula]]&amp;"|"&amp;tblMatriculas[[#This Row],[Código]],tblBase[Documento]&amp;"|"&amp;tblBase[Código grupo],tblBase[Fecha matrícula],"")</f>
        <v>46264</v>
      </c>
    </row>
    <row r="72" spans="1:26" x14ac:dyDescent="0.2">
      <c r="A72" t="s">
        <v>179</v>
      </c>
      <c r="B72" t="s">
        <v>180</v>
      </c>
      <c r="C72" t="s">
        <v>13</v>
      </c>
      <c r="D72" t="s">
        <v>109</v>
      </c>
      <c r="E72" t="s">
        <v>110</v>
      </c>
      <c r="F72" t="s">
        <v>111</v>
      </c>
      <c r="G72" s="1">
        <v>0.13300000000000001</v>
      </c>
      <c r="H72" t="s">
        <v>112</v>
      </c>
      <c r="I72" t="s">
        <v>18</v>
      </c>
      <c r="J72" t="s">
        <v>113</v>
      </c>
      <c r="K72" t="s">
        <v>24</v>
      </c>
      <c r="L72" s="14">
        <f>IFERROR(VALUE(LEFT(tblMatriculas[[#This Row],[Clases]],FIND("/",tblMatriculas[[#This Row],[Clases]])-1)),"")</f>
        <v>4</v>
      </c>
      <c r="M72" s="14">
        <f>IFERROR(VALUE(MID(tblMatriculas[[#This Row],[Clases]],FIND("/",tblMatriculas[[#This Row],[Clases]])+1,5)),"")</f>
        <v>30</v>
      </c>
      <c r="N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2" s="14">
        <f>IF(OR(tblMatriculas[[#This Row],[Estado]]&lt;&gt;"activa",tblMatriculas[[#This Row],[Clases dictadas]]=""),"",MAX(0,tblMatriculas[[#This Row],[Clases dictadas]]-tblMatriculas[[#This Row],[Asistidas]]))</f>
        <v>0</v>
      </c>
      <c r="P72" s="1">
        <f>IF(OR(tblMatriculas[[#This Row],[Estado]]&lt;&gt;"activa",tblMatriculas[[#This Row],[Asistidas]]=""),"",tblMatriculas[[#This Row],[Asistencia]])</f>
        <v>0.13300000000000001</v>
      </c>
      <c r="Q72" t="b">
        <f>AND(tblMatriculas[[#This Row],[Estado]]="activa",ISNUMBER(tblMatriculas[[#This Row],[% asistencia]]),NOT(ISNUMBER(SEARCH(pPrueba,tblMatriculas[[#This Row],[Nombre]]))))</f>
        <v>1</v>
      </c>
      <c r="R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2" s="23" t="str" cm="1">
        <f t="array" ref="S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" s="23" t="str" cm="1">
        <f t="array" ref="T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" s="14" t="str" cm="1">
        <f t="array" ref="U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" t="str" cm="1">
        <f t="array" ref="V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" t="str" cm="1">
        <f t="array" ref="W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2" t="str">
        <f>IF(COUNTIFS('Base Estudiantes'!$C:$C,tblMatriculas[[#This Row],[Cédula]],'Base Estudiantes'!$I:$I,tblMatriculas[[#This Row],[Código]])&gt;0,"Sí","No")</f>
        <v>Sí</v>
      </c>
      <c r="Z72" s="23" cm="1">
        <f t="array" ref="Z72">_xlfn.XLOOKUP(tblMatriculas[[#This Row],[Cédula]]&amp;"|"&amp;tblMatriculas[[#This Row],[Código]],tblBase[Documento]&amp;"|"&amp;tblBase[Código grupo],tblBase[Fecha matrícula],"")</f>
        <v>46264</v>
      </c>
    </row>
    <row r="73" spans="1:26" x14ac:dyDescent="0.2">
      <c r="A73" t="s">
        <v>181</v>
      </c>
      <c r="B73" t="s">
        <v>182</v>
      </c>
      <c r="C73" t="s">
        <v>13</v>
      </c>
      <c r="D73" t="s">
        <v>109</v>
      </c>
      <c r="E73" t="s">
        <v>110</v>
      </c>
      <c r="F73" t="s">
        <v>111</v>
      </c>
      <c r="G73" s="1">
        <v>0.1</v>
      </c>
      <c r="H73" t="s">
        <v>117</v>
      </c>
      <c r="I73" t="s">
        <v>18</v>
      </c>
      <c r="J73" t="s">
        <v>113</v>
      </c>
      <c r="K73" t="s">
        <v>24</v>
      </c>
      <c r="L73" s="14">
        <f>IFERROR(VALUE(LEFT(tblMatriculas[[#This Row],[Clases]],FIND("/",tblMatriculas[[#This Row],[Clases]])-1)),"")</f>
        <v>3</v>
      </c>
      <c r="M73" s="14">
        <f>IFERROR(VALUE(MID(tblMatriculas[[#This Row],[Clases]],FIND("/",tblMatriculas[[#This Row],[Clases]])+1,5)),"")</f>
        <v>30</v>
      </c>
      <c r="N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3" s="14">
        <f>IF(OR(tblMatriculas[[#This Row],[Estado]]&lt;&gt;"activa",tblMatriculas[[#This Row],[Clases dictadas]]=""),"",MAX(0,tblMatriculas[[#This Row],[Clases dictadas]]-tblMatriculas[[#This Row],[Asistidas]]))</f>
        <v>1</v>
      </c>
      <c r="P73" s="1">
        <f>IF(OR(tblMatriculas[[#This Row],[Estado]]&lt;&gt;"activa",tblMatriculas[[#This Row],[Asistidas]]=""),"",tblMatriculas[[#This Row],[Asistencia]])</f>
        <v>0.1</v>
      </c>
      <c r="Q73" t="b">
        <f>AND(tblMatriculas[[#This Row],[Estado]]="activa",ISNUMBER(tblMatriculas[[#This Row],[% asistencia]]),NOT(ISNUMBER(SEARCH(pPrueba,tblMatriculas[[#This Row],[Nombre]]))))</f>
        <v>1</v>
      </c>
      <c r="R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" s="23" t="str" cm="1">
        <f t="array" ref="S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" s="23" t="str" cm="1">
        <f t="array" ref="T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" s="14" t="str" cm="1">
        <f t="array" ref="U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" t="str" cm="1">
        <f t="array" ref="V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" t="str" cm="1">
        <f t="array" ref="W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" t="str">
        <f>IF(COUNTIFS('Base Estudiantes'!$C:$C,tblMatriculas[[#This Row],[Cédula]],'Base Estudiantes'!$I:$I,tblMatriculas[[#This Row],[Código]])&gt;0,"Sí","No")</f>
        <v>Sí</v>
      </c>
      <c r="Z73" s="23" cm="1">
        <f t="array" ref="Z73">_xlfn.XLOOKUP(tblMatriculas[[#This Row],[Cédula]]&amp;"|"&amp;tblMatriculas[[#This Row],[Código]],tblBase[Documento]&amp;"|"&amp;tblBase[Código grupo],tblBase[Fecha matrícula],"")</f>
        <v>46264</v>
      </c>
    </row>
    <row r="74" spans="1:26" x14ac:dyDescent="0.2">
      <c r="A74" t="s">
        <v>183</v>
      </c>
      <c r="B74" t="s">
        <v>184</v>
      </c>
      <c r="C74" t="s">
        <v>13</v>
      </c>
      <c r="D74" t="s">
        <v>109</v>
      </c>
      <c r="E74" t="s">
        <v>110</v>
      </c>
      <c r="F74" t="s">
        <v>111</v>
      </c>
      <c r="G74" s="1">
        <v>0.13300000000000001</v>
      </c>
      <c r="H74" t="s">
        <v>112</v>
      </c>
      <c r="I74" t="s">
        <v>18</v>
      </c>
      <c r="J74" t="s">
        <v>113</v>
      </c>
      <c r="K74" t="s">
        <v>24</v>
      </c>
      <c r="L74" s="14">
        <f>IFERROR(VALUE(LEFT(tblMatriculas[[#This Row],[Clases]],FIND("/",tblMatriculas[[#This Row],[Clases]])-1)),"")</f>
        <v>4</v>
      </c>
      <c r="M74" s="14">
        <f>IFERROR(VALUE(MID(tblMatriculas[[#This Row],[Clases]],FIND("/",tblMatriculas[[#This Row],[Clases]])+1,5)),"")</f>
        <v>30</v>
      </c>
      <c r="N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4" s="14">
        <f>IF(OR(tblMatriculas[[#This Row],[Estado]]&lt;&gt;"activa",tblMatriculas[[#This Row],[Clases dictadas]]=""),"",MAX(0,tblMatriculas[[#This Row],[Clases dictadas]]-tblMatriculas[[#This Row],[Asistidas]]))</f>
        <v>0</v>
      </c>
      <c r="P74" s="1">
        <f>IF(OR(tblMatriculas[[#This Row],[Estado]]&lt;&gt;"activa",tblMatriculas[[#This Row],[Asistidas]]=""),"",tblMatriculas[[#This Row],[Asistencia]])</f>
        <v>0.13300000000000001</v>
      </c>
      <c r="Q74" t="b">
        <f>AND(tblMatriculas[[#This Row],[Estado]]="activa",ISNUMBER(tblMatriculas[[#This Row],[% asistencia]]),NOT(ISNUMBER(SEARCH(pPrueba,tblMatriculas[[#This Row],[Nombre]]))))</f>
        <v>1</v>
      </c>
      <c r="R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" s="23" t="str" cm="1">
        <f t="array" ref="S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" s="23" t="str" cm="1">
        <f t="array" ref="T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" s="14" t="str" cm="1">
        <f t="array" ref="U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" t="str" cm="1">
        <f t="array" ref="V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" t="str" cm="1">
        <f t="array" ref="W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" t="str">
        <f>IF(COUNTIFS('Base Estudiantes'!$C:$C,tblMatriculas[[#This Row],[Cédula]],'Base Estudiantes'!$I:$I,tblMatriculas[[#This Row],[Código]])&gt;0,"Sí","No")</f>
        <v>Sí</v>
      </c>
      <c r="Z74" s="23" cm="1">
        <f t="array" ref="Z74">_xlfn.XLOOKUP(tblMatriculas[[#This Row],[Cédula]]&amp;"|"&amp;tblMatriculas[[#This Row],[Código]],tblBase[Documento]&amp;"|"&amp;tblBase[Código grupo],tblBase[Fecha matrícula],"")</f>
        <v>46264</v>
      </c>
    </row>
    <row r="75" spans="1:26" x14ac:dyDescent="0.2">
      <c r="A75" t="s">
        <v>185</v>
      </c>
      <c r="B75" t="s">
        <v>186</v>
      </c>
      <c r="C75" t="s">
        <v>13</v>
      </c>
      <c r="D75" t="s">
        <v>109</v>
      </c>
      <c r="E75" t="s">
        <v>110</v>
      </c>
      <c r="F75" t="s">
        <v>111</v>
      </c>
      <c r="G75" s="1">
        <v>0.1</v>
      </c>
      <c r="H75" t="s">
        <v>117</v>
      </c>
      <c r="I75" t="s">
        <v>18</v>
      </c>
      <c r="J75" t="s">
        <v>113</v>
      </c>
      <c r="K75" t="s">
        <v>24</v>
      </c>
      <c r="L75" s="14">
        <f>IFERROR(VALUE(LEFT(tblMatriculas[[#This Row],[Clases]],FIND("/",tblMatriculas[[#This Row],[Clases]])-1)),"")</f>
        <v>3</v>
      </c>
      <c r="M75" s="14">
        <f>IFERROR(VALUE(MID(tblMatriculas[[#This Row],[Clases]],FIND("/",tblMatriculas[[#This Row],[Clases]])+1,5)),"")</f>
        <v>30</v>
      </c>
      <c r="N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5" s="14">
        <f>IF(OR(tblMatriculas[[#This Row],[Estado]]&lt;&gt;"activa",tblMatriculas[[#This Row],[Clases dictadas]]=""),"",MAX(0,tblMatriculas[[#This Row],[Clases dictadas]]-tblMatriculas[[#This Row],[Asistidas]]))</f>
        <v>1</v>
      </c>
      <c r="P75" s="1">
        <f>IF(OR(tblMatriculas[[#This Row],[Estado]]&lt;&gt;"activa",tblMatriculas[[#This Row],[Asistidas]]=""),"",tblMatriculas[[#This Row],[Asistencia]])</f>
        <v>0.1</v>
      </c>
      <c r="Q75" t="b">
        <f>AND(tblMatriculas[[#This Row],[Estado]]="activa",ISNUMBER(tblMatriculas[[#This Row],[% asistencia]]),NOT(ISNUMBER(SEARCH(pPrueba,tblMatriculas[[#This Row],[Nombre]]))))</f>
        <v>1</v>
      </c>
      <c r="R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" s="23" t="str" cm="1">
        <f t="array" ref="S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" s="23" t="str" cm="1">
        <f t="array" ref="T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" s="14" t="str" cm="1">
        <f t="array" ref="U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" t="str" cm="1">
        <f t="array" ref="V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" t="str" cm="1">
        <f t="array" ref="W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" t="str">
        <f>IF(COUNTIFS('Base Estudiantes'!$C:$C,tblMatriculas[[#This Row],[Cédula]],'Base Estudiantes'!$I:$I,tblMatriculas[[#This Row],[Código]])&gt;0,"Sí","No")</f>
        <v>Sí</v>
      </c>
      <c r="Z75" s="23" cm="1">
        <f t="array" ref="Z75">_xlfn.XLOOKUP(tblMatriculas[[#This Row],[Cédula]]&amp;"|"&amp;tblMatriculas[[#This Row],[Código]],tblBase[Documento]&amp;"|"&amp;tblBase[Código grupo],tblBase[Fecha matrícula],"")</f>
        <v>46264</v>
      </c>
    </row>
    <row r="76" spans="1:26" x14ac:dyDescent="0.2">
      <c r="A76" t="s">
        <v>187</v>
      </c>
      <c r="B76" t="s">
        <v>188</v>
      </c>
      <c r="C76" t="s">
        <v>13</v>
      </c>
      <c r="D76" t="s">
        <v>109</v>
      </c>
      <c r="E76" t="s">
        <v>110</v>
      </c>
      <c r="F76" t="s">
        <v>111</v>
      </c>
      <c r="G76" s="1">
        <v>0.1</v>
      </c>
      <c r="H76" t="s">
        <v>117</v>
      </c>
      <c r="I76" t="s">
        <v>18</v>
      </c>
      <c r="J76" t="s">
        <v>113</v>
      </c>
      <c r="K76" t="s">
        <v>24</v>
      </c>
      <c r="L76" s="14">
        <f>IFERROR(VALUE(LEFT(tblMatriculas[[#This Row],[Clases]],FIND("/",tblMatriculas[[#This Row],[Clases]])-1)),"")</f>
        <v>3</v>
      </c>
      <c r="M76" s="14">
        <f>IFERROR(VALUE(MID(tblMatriculas[[#This Row],[Clases]],FIND("/",tblMatriculas[[#This Row],[Clases]])+1,5)),"")</f>
        <v>30</v>
      </c>
      <c r="N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6" s="14">
        <f>IF(OR(tblMatriculas[[#This Row],[Estado]]&lt;&gt;"activa",tblMatriculas[[#This Row],[Clases dictadas]]=""),"",MAX(0,tblMatriculas[[#This Row],[Clases dictadas]]-tblMatriculas[[#This Row],[Asistidas]]))</f>
        <v>1</v>
      </c>
      <c r="P76" s="1">
        <f>IF(OR(tblMatriculas[[#This Row],[Estado]]&lt;&gt;"activa",tblMatriculas[[#This Row],[Asistidas]]=""),"",tblMatriculas[[#This Row],[Asistencia]])</f>
        <v>0.1</v>
      </c>
      <c r="Q76" t="b">
        <f>AND(tblMatriculas[[#This Row],[Estado]]="activa",ISNUMBER(tblMatriculas[[#This Row],[% asistencia]]),NOT(ISNUMBER(SEARCH(pPrueba,tblMatriculas[[#This Row],[Nombre]]))))</f>
        <v>1</v>
      </c>
      <c r="R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6" s="23" t="str" cm="1">
        <f t="array" ref="S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" s="23" t="str" cm="1">
        <f t="array" ref="T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" s="14" t="str" cm="1">
        <f t="array" ref="U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" t="str" cm="1">
        <f t="array" ref="V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" t="str" cm="1">
        <f t="array" ref="W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6" t="str">
        <f>IF(COUNTIFS('Base Estudiantes'!$C:$C,tblMatriculas[[#This Row],[Cédula]],'Base Estudiantes'!$I:$I,tblMatriculas[[#This Row],[Código]])&gt;0,"Sí","No")</f>
        <v>Sí</v>
      </c>
      <c r="Z76" s="23" cm="1">
        <f t="array" ref="Z76">_xlfn.XLOOKUP(tblMatriculas[[#This Row],[Cédula]]&amp;"|"&amp;tblMatriculas[[#This Row],[Código]],tblBase[Documento]&amp;"|"&amp;tblBase[Código grupo],tblBase[Fecha matrícula],"")</f>
        <v>46264</v>
      </c>
    </row>
    <row r="77" spans="1:26" x14ac:dyDescent="0.2">
      <c r="A77" t="s">
        <v>189</v>
      </c>
      <c r="B77" t="s">
        <v>190</v>
      </c>
      <c r="C77" t="s">
        <v>13</v>
      </c>
      <c r="D77" t="s">
        <v>109</v>
      </c>
      <c r="E77" t="s">
        <v>110</v>
      </c>
      <c r="F77" t="s">
        <v>111</v>
      </c>
      <c r="G77" s="1">
        <v>0.1</v>
      </c>
      <c r="H77" t="s">
        <v>117</v>
      </c>
      <c r="I77" t="s">
        <v>18</v>
      </c>
      <c r="J77" t="s">
        <v>113</v>
      </c>
      <c r="K77" t="s">
        <v>24</v>
      </c>
      <c r="L77" s="14">
        <f>IFERROR(VALUE(LEFT(tblMatriculas[[#This Row],[Clases]],FIND("/",tblMatriculas[[#This Row],[Clases]])-1)),"")</f>
        <v>3</v>
      </c>
      <c r="M77" s="14">
        <f>IFERROR(VALUE(MID(tblMatriculas[[#This Row],[Clases]],FIND("/",tblMatriculas[[#This Row],[Clases]])+1,5)),"")</f>
        <v>30</v>
      </c>
      <c r="N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7" s="14">
        <f>IF(OR(tblMatriculas[[#This Row],[Estado]]&lt;&gt;"activa",tblMatriculas[[#This Row],[Clases dictadas]]=""),"",MAX(0,tblMatriculas[[#This Row],[Clases dictadas]]-tblMatriculas[[#This Row],[Asistidas]]))</f>
        <v>1</v>
      </c>
      <c r="P77" s="1">
        <f>IF(OR(tblMatriculas[[#This Row],[Estado]]&lt;&gt;"activa",tblMatriculas[[#This Row],[Asistidas]]=""),"",tblMatriculas[[#This Row],[Asistencia]])</f>
        <v>0.1</v>
      </c>
      <c r="Q77" t="b">
        <f>AND(tblMatriculas[[#This Row],[Estado]]="activa",ISNUMBER(tblMatriculas[[#This Row],[% asistencia]]),NOT(ISNUMBER(SEARCH(pPrueba,tblMatriculas[[#This Row],[Nombre]]))))</f>
        <v>1</v>
      </c>
      <c r="R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7" s="23" t="str" cm="1">
        <f t="array" ref="S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" s="23" t="str" cm="1">
        <f t="array" ref="T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" s="14" t="str" cm="1">
        <f t="array" ref="U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" t="str" cm="1">
        <f t="array" ref="V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" t="str" cm="1">
        <f t="array" ref="W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7" t="str">
        <f>IF(COUNTIFS('Base Estudiantes'!$C:$C,tblMatriculas[[#This Row],[Cédula]],'Base Estudiantes'!$I:$I,tblMatriculas[[#This Row],[Código]])&gt;0,"Sí","No")</f>
        <v>Sí</v>
      </c>
      <c r="Z77" s="23" cm="1">
        <f t="array" ref="Z77">_xlfn.XLOOKUP(tblMatriculas[[#This Row],[Cédula]]&amp;"|"&amp;tblMatriculas[[#This Row],[Código]],tblBase[Documento]&amp;"|"&amp;tblBase[Código grupo],tblBase[Fecha matrícula],"")</f>
        <v>46264</v>
      </c>
    </row>
    <row r="78" spans="1:26" x14ac:dyDescent="0.2">
      <c r="A78" t="s">
        <v>191</v>
      </c>
      <c r="B78" t="s">
        <v>192</v>
      </c>
      <c r="C78" t="s">
        <v>13</v>
      </c>
      <c r="D78" t="s">
        <v>109</v>
      </c>
      <c r="E78" t="s">
        <v>110</v>
      </c>
      <c r="F78" t="s">
        <v>111</v>
      </c>
      <c r="G78" s="1">
        <v>0.1</v>
      </c>
      <c r="H78" t="s">
        <v>117</v>
      </c>
      <c r="I78" t="s">
        <v>18</v>
      </c>
      <c r="J78" t="s">
        <v>113</v>
      </c>
      <c r="K78" t="s">
        <v>24</v>
      </c>
      <c r="L78" s="14">
        <f>IFERROR(VALUE(LEFT(tblMatriculas[[#This Row],[Clases]],FIND("/",tblMatriculas[[#This Row],[Clases]])-1)),"")</f>
        <v>3</v>
      </c>
      <c r="M78" s="14">
        <f>IFERROR(VALUE(MID(tblMatriculas[[#This Row],[Clases]],FIND("/",tblMatriculas[[#This Row],[Clases]])+1,5)),"")</f>
        <v>30</v>
      </c>
      <c r="N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8" s="14">
        <f>IF(OR(tblMatriculas[[#This Row],[Estado]]&lt;&gt;"activa",tblMatriculas[[#This Row],[Clases dictadas]]=""),"",MAX(0,tblMatriculas[[#This Row],[Clases dictadas]]-tblMatriculas[[#This Row],[Asistidas]]))</f>
        <v>1</v>
      </c>
      <c r="P78" s="1">
        <f>IF(OR(tblMatriculas[[#This Row],[Estado]]&lt;&gt;"activa",tblMatriculas[[#This Row],[Asistidas]]=""),"",tblMatriculas[[#This Row],[Asistencia]])</f>
        <v>0.1</v>
      </c>
      <c r="Q78" t="b">
        <f>AND(tblMatriculas[[#This Row],[Estado]]="activa",ISNUMBER(tblMatriculas[[#This Row],[% asistencia]]),NOT(ISNUMBER(SEARCH(pPrueba,tblMatriculas[[#This Row],[Nombre]]))))</f>
        <v>1</v>
      </c>
      <c r="R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8" s="23" t="str" cm="1">
        <f t="array" ref="S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" s="23" t="str" cm="1">
        <f t="array" ref="T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" s="14" t="str" cm="1">
        <f t="array" ref="U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" t="str" cm="1">
        <f t="array" ref="V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" t="str" cm="1">
        <f t="array" ref="W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8" t="str">
        <f>IF(COUNTIFS('Base Estudiantes'!$C:$C,tblMatriculas[[#This Row],[Cédula]],'Base Estudiantes'!$I:$I,tblMatriculas[[#This Row],[Código]])&gt;0,"Sí","No")</f>
        <v>Sí</v>
      </c>
      <c r="Z78" s="23" cm="1">
        <f t="array" ref="Z78">_xlfn.XLOOKUP(tblMatriculas[[#This Row],[Cédula]]&amp;"|"&amp;tblMatriculas[[#This Row],[Código]],tblBase[Documento]&amp;"|"&amp;tblBase[Código grupo],tblBase[Fecha matrícula],"")</f>
        <v>46264</v>
      </c>
    </row>
    <row r="79" spans="1:26" x14ac:dyDescent="0.2">
      <c r="A79" t="s">
        <v>193</v>
      </c>
      <c r="B79" t="s">
        <v>194</v>
      </c>
      <c r="C79" t="s">
        <v>13</v>
      </c>
      <c r="D79" t="s">
        <v>109</v>
      </c>
      <c r="E79" t="s">
        <v>110</v>
      </c>
      <c r="F79" t="s">
        <v>111</v>
      </c>
      <c r="G79" s="1">
        <v>0.13300000000000001</v>
      </c>
      <c r="H79" t="s">
        <v>112</v>
      </c>
      <c r="I79" t="s">
        <v>18</v>
      </c>
      <c r="J79" t="s">
        <v>113</v>
      </c>
      <c r="K79" t="s">
        <v>24</v>
      </c>
      <c r="L79" s="14">
        <f>IFERROR(VALUE(LEFT(tblMatriculas[[#This Row],[Clases]],FIND("/",tblMatriculas[[#This Row],[Clases]])-1)),"")</f>
        <v>4</v>
      </c>
      <c r="M79" s="14">
        <f>IFERROR(VALUE(MID(tblMatriculas[[#This Row],[Clases]],FIND("/",tblMatriculas[[#This Row],[Clases]])+1,5)),"")</f>
        <v>30</v>
      </c>
      <c r="N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79" s="14">
        <f>IF(OR(tblMatriculas[[#This Row],[Estado]]&lt;&gt;"activa",tblMatriculas[[#This Row],[Clases dictadas]]=""),"",MAX(0,tblMatriculas[[#This Row],[Clases dictadas]]-tblMatriculas[[#This Row],[Asistidas]]))</f>
        <v>0</v>
      </c>
      <c r="P79" s="1">
        <f>IF(OR(tblMatriculas[[#This Row],[Estado]]&lt;&gt;"activa",tblMatriculas[[#This Row],[Asistidas]]=""),"",tblMatriculas[[#This Row],[Asistencia]])</f>
        <v>0.13300000000000001</v>
      </c>
      <c r="Q79" t="b">
        <f>AND(tblMatriculas[[#This Row],[Estado]]="activa",ISNUMBER(tblMatriculas[[#This Row],[% asistencia]]),NOT(ISNUMBER(SEARCH(pPrueba,tblMatriculas[[#This Row],[Nombre]]))))</f>
        <v>1</v>
      </c>
      <c r="R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9" s="23" t="str" cm="1">
        <f t="array" ref="S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" s="23" t="str" cm="1">
        <f t="array" ref="T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" s="14" t="str" cm="1">
        <f t="array" ref="U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" t="str" cm="1">
        <f t="array" ref="V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" t="str" cm="1">
        <f t="array" ref="W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9" t="str">
        <f>IF(COUNTIFS('Base Estudiantes'!$C:$C,tblMatriculas[[#This Row],[Cédula]],'Base Estudiantes'!$I:$I,tblMatriculas[[#This Row],[Código]])&gt;0,"Sí","No")</f>
        <v>Sí</v>
      </c>
      <c r="Z79" s="23" cm="1">
        <f t="array" ref="Z79">_xlfn.XLOOKUP(tblMatriculas[[#This Row],[Cédula]]&amp;"|"&amp;tblMatriculas[[#This Row],[Código]],tblBase[Documento]&amp;"|"&amp;tblBase[Código grupo],tblBase[Fecha matrícula],"")</f>
        <v>46264</v>
      </c>
    </row>
    <row r="80" spans="1:26" x14ac:dyDescent="0.2">
      <c r="A80" t="s">
        <v>195</v>
      </c>
      <c r="B80" t="s">
        <v>196</v>
      </c>
      <c r="C80" t="s">
        <v>13</v>
      </c>
      <c r="D80" t="s">
        <v>109</v>
      </c>
      <c r="E80" t="s">
        <v>110</v>
      </c>
      <c r="F80" t="s">
        <v>111</v>
      </c>
      <c r="G80" s="1">
        <v>0.13300000000000001</v>
      </c>
      <c r="H80" t="s">
        <v>112</v>
      </c>
      <c r="I80" t="s">
        <v>18</v>
      </c>
      <c r="J80" t="s">
        <v>113</v>
      </c>
      <c r="K80" t="s">
        <v>24</v>
      </c>
      <c r="L80" s="14">
        <f>IFERROR(VALUE(LEFT(tblMatriculas[[#This Row],[Clases]],FIND("/",tblMatriculas[[#This Row],[Clases]])-1)),"")</f>
        <v>4</v>
      </c>
      <c r="M80" s="14">
        <f>IFERROR(VALUE(MID(tblMatriculas[[#This Row],[Clases]],FIND("/",tblMatriculas[[#This Row],[Clases]])+1,5)),"")</f>
        <v>30</v>
      </c>
      <c r="N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0" s="14">
        <f>IF(OR(tblMatriculas[[#This Row],[Estado]]&lt;&gt;"activa",tblMatriculas[[#This Row],[Clases dictadas]]=""),"",MAX(0,tblMatriculas[[#This Row],[Clases dictadas]]-tblMatriculas[[#This Row],[Asistidas]]))</f>
        <v>0</v>
      </c>
      <c r="P80" s="1">
        <f>IF(OR(tblMatriculas[[#This Row],[Estado]]&lt;&gt;"activa",tblMatriculas[[#This Row],[Asistidas]]=""),"",tblMatriculas[[#This Row],[Asistencia]])</f>
        <v>0.13300000000000001</v>
      </c>
      <c r="Q80" t="b">
        <f>AND(tblMatriculas[[#This Row],[Estado]]="activa",ISNUMBER(tblMatriculas[[#This Row],[% asistencia]]),NOT(ISNUMBER(SEARCH(pPrueba,tblMatriculas[[#This Row],[Nombre]]))))</f>
        <v>1</v>
      </c>
      <c r="R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0" s="23" t="str" cm="1">
        <f t="array" ref="S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" s="23" t="str" cm="1">
        <f t="array" ref="T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" s="14" t="str" cm="1">
        <f t="array" ref="U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" t="str" cm="1">
        <f t="array" ref="V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" t="str" cm="1">
        <f t="array" ref="W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0" t="str">
        <f>IF(COUNTIFS('Base Estudiantes'!$C:$C,tblMatriculas[[#This Row],[Cédula]],'Base Estudiantes'!$I:$I,tblMatriculas[[#This Row],[Código]])&gt;0,"Sí","No")</f>
        <v>Sí</v>
      </c>
      <c r="Z80" s="23" cm="1">
        <f t="array" ref="Z80">_xlfn.XLOOKUP(tblMatriculas[[#This Row],[Cédula]]&amp;"|"&amp;tblMatriculas[[#This Row],[Código]],tblBase[Documento]&amp;"|"&amp;tblBase[Código grupo],tblBase[Fecha matrícula],"")</f>
        <v>46264</v>
      </c>
    </row>
    <row r="81" spans="1:26" x14ac:dyDescent="0.2">
      <c r="A81" t="s">
        <v>197</v>
      </c>
      <c r="B81" t="s">
        <v>198</v>
      </c>
      <c r="C81" t="s">
        <v>13</v>
      </c>
      <c r="D81" t="s">
        <v>109</v>
      </c>
      <c r="E81" t="s">
        <v>110</v>
      </c>
      <c r="F81" t="s">
        <v>111</v>
      </c>
      <c r="G81" s="1">
        <v>0.1</v>
      </c>
      <c r="H81" t="s">
        <v>117</v>
      </c>
      <c r="I81" t="s">
        <v>18</v>
      </c>
      <c r="J81" t="s">
        <v>113</v>
      </c>
      <c r="K81" t="s">
        <v>24</v>
      </c>
      <c r="L81" s="14">
        <f>IFERROR(VALUE(LEFT(tblMatriculas[[#This Row],[Clases]],FIND("/",tblMatriculas[[#This Row],[Clases]])-1)),"")</f>
        <v>3</v>
      </c>
      <c r="M81" s="14">
        <f>IFERROR(VALUE(MID(tblMatriculas[[#This Row],[Clases]],FIND("/",tblMatriculas[[#This Row],[Clases]])+1,5)),"")</f>
        <v>30</v>
      </c>
      <c r="N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1" s="14">
        <f>IF(OR(tblMatriculas[[#This Row],[Estado]]&lt;&gt;"activa",tblMatriculas[[#This Row],[Clases dictadas]]=""),"",MAX(0,tblMatriculas[[#This Row],[Clases dictadas]]-tblMatriculas[[#This Row],[Asistidas]]))</f>
        <v>1</v>
      </c>
      <c r="P81" s="1">
        <f>IF(OR(tblMatriculas[[#This Row],[Estado]]&lt;&gt;"activa",tblMatriculas[[#This Row],[Asistidas]]=""),"",tblMatriculas[[#This Row],[Asistencia]])</f>
        <v>0.1</v>
      </c>
      <c r="Q81" t="b">
        <f>AND(tblMatriculas[[#This Row],[Estado]]="activa",ISNUMBER(tblMatriculas[[#This Row],[% asistencia]]),NOT(ISNUMBER(SEARCH(pPrueba,tblMatriculas[[#This Row],[Nombre]]))))</f>
        <v>1</v>
      </c>
      <c r="R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1" s="23" t="str" cm="1">
        <f t="array" ref="S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" s="23" t="str" cm="1">
        <f t="array" ref="T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" s="14" t="str" cm="1">
        <f t="array" ref="U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" t="str" cm="1">
        <f t="array" ref="V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" t="str" cm="1">
        <f t="array" ref="W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1" t="str">
        <f>IF(COUNTIFS('Base Estudiantes'!$C:$C,tblMatriculas[[#This Row],[Cédula]],'Base Estudiantes'!$I:$I,tblMatriculas[[#This Row],[Código]])&gt;0,"Sí","No")</f>
        <v>Sí</v>
      </c>
      <c r="Z81" s="23" cm="1">
        <f t="array" ref="Z81">_xlfn.XLOOKUP(tblMatriculas[[#This Row],[Cédula]]&amp;"|"&amp;tblMatriculas[[#This Row],[Código]],tblBase[Documento]&amp;"|"&amp;tblBase[Código grupo],tblBase[Fecha matrícula],"")</f>
        <v>46264</v>
      </c>
    </row>
    <row r="82" spans="1:26" x14ac:dyDescent="0.2">
      <c r="A82" t="s">
        <v>199</v>
      </c>
      <c r="B82" t="s">
        <v>200</v>
      </c>
      <c r="C82" t="s">
        <v>13</v>
      </c>
      <c r="D82" t="s">
        <v>109</v>
      </c>
      <c r="E82" t="s">
        <v>110</v>
      </c>
      <c r="F82" t="s">
        <v>111</v>
      </c>
      <c r="G82" s="1">
        <v>0.1</v>
      </c>
      <c r="H82" t="s">
        <v>117</v>
      </c>
      <c r="I82" t="s">
        <v>18</v>
      </c>
      <c r="J82" t="s">
        <v>113</v>
      </c>
      <c r="K82" t="s">
        <v>24</v>
      </c>
      <c r="L82" s="14">
        <f>IFERROR(VALUE(LEFT(tblMatriculas[[#This Row],[Clases]],FIND("/",tblMatriculas[[#This Row],[Clases]])-1)),"")</f>
        <v>3</v>
      </c>
      <c r="M82" s="14">
        <f>IFERROR(VALUE(MID(tblMatriculas[[#This Row],[Clases]],FIND("/",tblMatriculas[[#This Row],[Clases]])+1,5)),"")</f>
        <v>30</v>
      </c>
      <c r="N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2" s="14">
        <f>IF(OR(tblMatriculas[[#This Row],[Estado]]&lt;&gt;"activa",tblMatriculas[[#This Row],[Clases dictadas]]=""),"",MAX(0,tblMatriculas[[#This Row],[Clases dictadas]]-tblMatriculas[[#This Row],[Asistidas]]))</f>
        <v>1</v>
      </c>
      <c r="P82" s="1">
        <f>IF(OR(tblMatriculas[[#This Row],[Estado]]&lt;&gt;"activa",tblMatriculas[[#This Row],[Asistidas]]=""),"",tblMatriculas[[#This Row],[Asistencia]])</f>
        <v>0.1</v>
      </c>
      <c r="Q82" t="b">
        <f>AND(tblMatriculas[[#This Row],[Estado]]="activa",ISNUMBER(tblMatriculas[[#This Row],[% asistencia]]),NOT(ISNUMBER(SEARCH(pPrueba,tblMatriculas[[#This Row],[Nombre]]))))</f>
        <v>1</v>
      </c>
      <c r="R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2" s="23" t="str" cm="1">
        <f t="array" ref="S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" s="23" t="str" cm="1">
        <f t="array" ref="T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" s="14" t="str" cm="1">
        <f t="array" ref="U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" t="str" cm="1">
        <f t="array" ref="V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" t="str" cm="1">
        <f t="array" ref="W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" t="str">
        <f>IF(COUNTIFS('Base Estudiantes'!$C:$C,tblMatriculas[[#This Row],[Cédula]],'Base Estudiantes'!$I:$I,tblMatriculas[[#This Row],[Código]])&gt;0,"Sí","No")</f>
        <v>Sí</v>
      </c>
      <c r="Z82" s="23" cm="1">
        <f t="array" ref="Z82">_xlfn.XLOOKUP(tblMatriculas[[#This Row],[Cédula]]&amp;"|"&amp;tblMatriculas[[#This Row],[Código]],tblBase[Documento]&amp;"|"&amp;tblBase[Código grupo],tblBase[Fecha matrícula],"")</f>
        <v>46264</v>
      </c>
    </row>
    <row r="83" spans="1:26" x14ac:dyDescent="0.2">
      <c r="A83" t="s">
        <v>201</v>
      </c>
      <c r="B83" t="s">
        <v>202</v>
      </c>
      <c r="C83" t="s">
        <v>13</v>
      </c>
      <c r="D83" t="s">
        <v>109</v>
      </c>
      <c r="E83" t="s">
        <v>110</v>
      </c>
      <c r="F83" t="s">
        <v>111</v>
      </c>
      <c r="G83" s="1">
        <v>0.1</v>
      </c>
      <c r="H83" t="s">
        <v>117</v>
      </c>
      <c r="I83" t="s">
        <v>18</v>
      </c>
      <c r="J83" t="s">
        <v>113</v>
      </c>
      <c r="K83" t="s">
        <v>24</v>
      </c>
      <c r="L83" s="14">
        <f>IFERROR(VALUE(LEFT(tblMatriculas[[#This Row],[Clases]],FIND("/",tblMatriculas[[#This Row],[Clases]])-1)),"")</f>
        <v>3</v>
      </c>
      <c r="M83" s="14">
        <f>IFERROR(VALUE(MID(tblMatriculas[[#This Row],[Clases]],FIND("/",tblMatriculas[[#This Row],[Clases]])+1,5)),"")</f>
        <v>30</v>
      </c>
      <c r="N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3" s="14">
        <f>IF(OR(tblMatriculas[[#This Row],[Estado]]&lt;&gt;"activa",tblMatriculas[[#This Row],[Clases dictadas]]=""),"",MAX(0,tblMatriculas[[#This Row],[Clases dictadas]]-tblMatriculas[[#This Row],[Asistidas]]))</f>
        <v>1</v>
      </c>
      <c r="P83" s="1">
        <f>IF(OR(tblMatriculas[[#This Row],[Estado]]&lt;&gt;"activa",tblMatriculas[[#This Row],[Asistidas]]=""),"",tblMatriculas[[#This Row],[Asistencia]])</f>
        <v>0.1</v>
      </c>
      <c r="Q83" t="b">
        <f>AND(tblMatriculas[[#This Row],[Estado]]="activa",ISNUMBER(tblMatriculas[[#This Row],[% asistencia]]),NOT(ISNUMBER(SEARCH(pPrueba,tblMatriculas[[#This Row],[Nombre]]))))</f>
        <v>1</v>
      </c>
      <c r="R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" s="23" t="str" cm="1">
        <f t="array" ref="S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" s="23" t="str" cm="1">
        <f t="array" ref="T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" s="14" t="str" cm="1">
        <f t="array" ref="U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" t="str" cm="1">
        <f t="array" ref="V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" t="str" cm="1">
        <f t="array" ref="W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" t="str">
        <f>IF(COUNTIFS('Base Estudiantes'!$C:$C,tblMatriculas[[#This Row],[Cédula]],'Base Estudiantes'!$I:$I,tblMatriculas[[#This Row],[Código]])&gt;0,"Sí","No")</f>
        <v>Sí</v>
      </c>
      <c r="Z83" s="23" cm="1">
        <f t="array" ref="Z83">_xlfn.XLOOKUP(tblMatriculas[[#This Row],[Cédula]]&amp;"|"&amp;tblMatriculas[[#This Row],[Código]],tblBase[Documento]&amp;"|"&amp;tblBase[Código grupo],tblBase[Fecha matrícula],"")</f>
        <v>46264</v>
      </c>
    </row>
    <row r="84" spans="1:26" x14ac:dyDescent="0.2">
      <c r="A84" t="s">
        <v>203</v>
      </c>
      <c r="B84" t="s">
        <v>204</v>
      </c>
      <c r="C84" t="s">
        <v>13</v>
      </c>
      <c r="D84" t="s">
        <v>109</v>
      </c>
      <c r="E84" t="s">
        <v>110</v>
      </c>
      <c r="F84" t="s">
        <v>111</v>
      </c>
      <c r="G84" s="1">
        <v>0.1</v>
      </c>
      <c r="H84" t="s">
        <v>117</v>
      </c>
      <c r="I84" t="s">
        <v>18</v>
      </c>
      <c r="J84" t="s">
        <v>113</v>
      </c>
      <c r="K84" t="s">
        <v>24</v>
      </c>
      <c r="L84" s="14">
        <f>IFERROR(VALUE(LEFT(tblMatriculas[[#This Row],[Clases]],FIND("/",tblMatriculas[[#This Row],[Clases]])-1)),"")</f>
        <v>3</v>
      </c>
      <c r="M84" s="14">
        <f>IFERROR(VALUE(MID(tblMatriculas[[#This Row],[Clases]],FIND("/",tblMatriculas[[#This Row],[Clases]])+1,5)),"")</f>
        <v>30</v>
      </c>
      <c r="N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4" s="14">
        <f>IF(OR(tblMatriculas[[#This Row],[Estado]]&lt;&gt;"activa",tblMatriculas[[#This Row],[Clases dictadas]]=""),"",MAX(0,tblMatriculas[[#This Row],[Clases dictadas]]-tblMatriculas[[#This Row],[Asistidas]]))</f>
        <v>1</v>
      </c>
      <c r="P84" s="1">
        <f>IF(OR(tblMatriculas[[#This Row],[Estado]]&lt;&gt;"activa",tblMatriculas[[#This Row],[Asistidas]]=""),"",tblMatriculas[[#This Row],[Asistencia]])</f>
        <v>0.1</v>
      </c>
      <c r="Q84" t="b">
        <f>AND(tblMatriculas[[#This Row],[Estado]]="activa",ISNUMBER(tblMatriculas[[#This Row],[% asistencia]]),NOT(ISNUMBER(SEARCH(pPrueba,tblMatriculas[[#This Row],[Nombre]]))))</f>
        <v>1</v>
      </c>
      <c r="R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" s="23" t="str" cm="1">
        <f t="array" ref="S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" s="23" t="str" cm="1">
        <f t="array" ref="T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" s="14" t="str" cm="1">
        <f t="array" ref="U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" t="str" cm="1">
        <f t="array" ref="V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" t="str" cm="1">
        <f t="array" ref="W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" t="str">
        <f>IF(COUNTIFS('Base Estudiantes'!$C:$C,tblMatriculas[[#This Row],[Cédula]],'Base Estudiantes'!$I:$I,tblMatriculas[[#This Row],[Código]])&gt;0,"Sí","No")</f>
        <v>Sí</v>
      </c>
      <c r="Z84" s="23" cm="1">
        <f t="array" ref="Z84">_xlfn.XLOOKUP(tblMatriculas[[#This Row],[Cédula]]&amp;"|"&amp;tblMatriculas[[#This Row],[Código]],tblBase[Documento]&amp;"|"&amp;tblBase[Código grupo],tblBase[Fecha matrícula],"")</f>
        <v>46264</v>
      </c>
    </row>
    <row r="85" spans="1:26" x14ac:dyDescent="0.2">
      <c r="A85" t="s">
        <v>205</v>
      </c>
      <c r="B85" t="s">
        <v>206</v>
      </c>
      <c r="C85" t="s">
        <v>13</v>
      </c>
      <c r="D85" t="s">
        <v>109</v>
      </c>
      <c r="E85" t="s">
        <v>110</v>
      </c>
      <c r="F85" t="s">
        <v>111</v>
      </c>
      <c r="G85" s="1">
        <v>0.13300000000000001</v>
      </c>
      <c r="H85" t="s">
        <v>112</v>
      </c>
      <c r="I85" t="s">
        <v>18</v>
      </c>
      <c r="J85" t="s">
        <v>113</v>
      </c>
      <c r="K85" t="s">
        <v>24</v>
      </c>
      <c r="L85" s="14">
        <f>IFERROR(VALUE(LEFT(tblMatriculas[[#This Row],[Clases]],FIND("/",tblMatriculas[[#This Row],[Clases]])-1)),"")</f>
        <v>4</v>
      </c>
      <c r="M85" s="14">
        <f>IFERROR(VALUE(MID(tblMatriculas[[#This Row],[Clases]],FIND("/",tblMatriculas[[#This Row],[Clases]])+1,5)),"")</f>
        <v>30</v>
      </c>
      <c r="N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5" s="14">
        <f>IF(OR(tblMatriculas[[#This Row],[Estado]]&lt;&gt;"activa",tblMatriculas[[#This Row],[Clases dictadas]]=""),"",MAX(0,tblMatriculas[[#This Row],[Clases dictadas]]-tblMatriculas[[#This Row],[Asistidas]]))</f>
        <v>0</v>
      </c>
      <c r="P85" s="1">
        <f>IF(OR(tblMatriculas[[#This Row],[Estado]]&lt;&gt;"activa",tblMatriculas[[#This Row],[Asistidas]]=""),"",tblMatriculas[[#This Row],[Asistencia]])</f>
        <v>0.13300000000000001</v>
      </c>
      <c r="Q85" t="b">
        <f>AND(tblMatriculas[[#This Row],[Estado]]="activa",ISNUMBER(tblMatriculas[[#This Row],[% asistencia]]),NOT(ISNUMBER(SEARCH(pPrueba,tblMatriculas[[#This Row],[Nombre]]))))</f>
        <v>1</v>
      </c>
      <c r="R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" s="23" t="str" cm="1">
        <f t="array" ref="S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" s="23" t="str" cm="1">
        <f t="array" ref="T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" s="14" t="str" cm="1">
        <f t="array" ref="U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" t="str" cm="1">
        <f t="array" ref="V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" t="str" cm="1">
        <f t="array" ref="W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" t="str">
        <f>IF(COUNTIFS('Base Estudiantes'!$C:$C,tblMatriculas[[#This Row],[Cédula]],'Base Estudiantes'!$I:$I,tblMatriculas[[#This Row],[Código]])&gt;0,"Sí","No")</f>
        <v>Sí</v>
      </c>
      <c r="Z85" s="23" cm="1">
        <f t="array" ref="Z85">_xlfn.XLOOKUP(tblMatriculas[[#This Row],[Cédula]]&amp;"|"&amp;tblMatriculas[[#This Row],[Código]],tblBase[Documento]&amp;"|"&amp;tblBase[Código grupo],tblBase[Fecha matrícula],"")</f>
        <v>46264</v>
      </c>
    </row>
    <row r="86" spans="1:26" x14ac:dyDescent="0.2">
      <c r="A86" t="s">
        <v>207</v>
      </c>
      <c r="B86" t="s">
        <v>208</v>
      </c>
      <c r="C86" t="s">
        <v>13</v>
      </c>
      <c r="D86" t="s">
        <v>109</v>
      </c>
      <c r="E86" t="s">
        <v>110</v>
      </c>
      <c r="F86" t="s">
        <v>111</v>
      </c>
      <c r="G86" s="1">
        <v>0.13300000000000001</v>
      </c>
      <c r="H86" t="s">
        <v>112</v>
      </c>
      <c r="I86" t="s">
        <v>18</v>
      </c>
      <c r="J86" t="s">
        <v>113</v>
      </c>
      <c r="K86" t="s">
        <v>24</v>
      </c>
      <c r="L86" s="14">
        <f>IFERROR(VALUE(LEFT(tblMatriculas[[#This Row],[Clases]],FIND("/",tblMatriculas[[#This Row],[Clases]])-1)),"")</f>
        <v>4</v>
      </c>
      <c r="M86" s="14">
        <f>IFERROR(VALUE(MID(tblMatriculas[[#This Row],[Clases]],FIND("/",tblMatriculas[[#This Row],[Clases]])+1,5)),"")</f>
        <v>30</v>
      </c>
      <c r="N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6" s="14">
        <f>IF(OR(tblMatriculas[[#This Row],[Estado]]&lt;&gt;"activa",tblMatriculas[[#This Row],[Clases dictadas]]=""),"",MAX(0,tblMatriculas[[#This Row],[Clases dictadas]]-tblMatriculas[[#This Row],[Asistidas]]))</f>
        <v>0</v>
      </c>
      <c r="P86" s="1">
        <f>IF(OR(tblMatriculas[[#This Row],[Estado]]&lt;&gt;"activa",tblMatriculas[[#This Row],[Asistidas]]=""),"",tblMatriculas[[#This Row],[Asistencia]])</f>
        <v>0.13300000000000001</v>
      </c>
      <c r="Q86" t="b">
        <f>AND(tblMatriculas[[#This Row],[Estado]]="activa",ISNUMBER(tblMatriculas[[#This Row],[% asistencia]]),NOT(ISNUMBER(SEARCH(pPrueba,tblMatriculas[[#This Row],[Nombre]]))))</f>
        <v>1</v>
      </c>
      <c r="R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" s="23" t="str" cm="1">
        <f t="array" ref="S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" s="23" t="str" cm="1">
        <f t="array" ref="T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" s="14" t="str" cm="1">
        <f t="array" ref="U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" t="str" cm="1">
        <f t="array" ref="V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" t="str" cm="1">
        <f t="array" ref="W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" t="str">
        <f>IF(COUNTIFS('Base Estudiantes'!$C:$C,tblMatriculas[[#This Row],[Cédula]],'Base Estudiantes'!$I:$I,tblMatriculas[[#This Row],[Código]])&gt;0,"Sí","No")</f>
        <v>Sí</v>
      </c>
      <c r="Z86" s="23" cm="1">
        <f t="array" ref="Z86">_xlfn.XLOOKUP(tblMatriculas[[#This Row],[Cédula]]&amp;"|"&amp;tblMatriculas[[#This Row],[Código]],tblBase[Documento]&amp;"|"&amp;tblBase[Código grupo],tblBase[Fecha matrícula],"")</f>
        <v>46264</v>
      </c>
    </row>
    <row r="87" spans="1:26" x14ac:dyDescent="0.2">
      <c r="A87" t="s">
        <v>209</v>
      </c>
      <c r="B87" t="s">
        <v>210</v>
      </c>
      <c r="C87" t="s">
        <v>13</v>
      </c>
      <c r="D87" t="s">
        <v>109</v>
      </c>
      <c r="E87" t="s">
        <v>110</v>
      </c>
      <c r="F87" t="s">
        <v>111</v>
      </c>
      <c r="G87" s="1">
        <v>0.1</v>
      </c>
      <c r="H87" t="s">
        <v>117</v>
      </c>
      <c r="I87" t="s">
        <v>18</v>
      </c>
      <c r="J87" t="s">
        <v>113</v>
      </c>
      <c r="K87" t="s">
        <v>24</v>
      </c>
      <c r="L87" s="14">
        <f>IFERROR(VALUE(LEFT(tblMatriculas[[#This Row],[Clases]],FIND("/",tblMatriculas[[#This Row],[Clases]])-1)),"")</f>
        <v>3</v>
      </c>
      <c r="M87" s="14">
        <f>IFERROR(VALUE(MID(tblMatriculas[[#This Row],[Clases]],FIND("/",tblMatriculas[[#This Row],[Clases]])+1,5)),"")</f>
        <v>30</v>
      </c>
      <c r="N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7" s="14">
        <f>IF(OR(tblMatriculas[[#This Row],[Estado]]&lt;&gt;"activa",tblMatriculas[[#This Row],[Clases dictadas]]=""),"",MAX(0,tblMatriculas[[#This Row],[Clases dictadas]]-tblMatriculas[[#This Row],[Asistidas]]))</f>
        <v>1</v>
      </c>
      <c r="P87" s="1">
        <f>IF(OR(tblMatriculas[[#This Row],[Estado]]&lt;&gt;"activa",tblMatriculas[[#This Row],[Asistidas]]=""),"",tblMatriculas[[#This Row],[Asistencia]])</f>
        <v>0.1</v>
      </c>
      <c r="Q87" t="b">
        <f>AND(tblMatriculas[[#This Row],[Estado]]="activa",ISNUMBER(tblMatriculas[[#This Row],[% asistencia]]),NOT(ISNUMBER(SEARCH(pPrueba,tblMatriculas[[#This Row],[Nombre]]))))</f>
        <v>1</v>
      </c>
      <c r="R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" s="23" t="str" cm="1">
        <f t="array" ref="S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" s="23" t="str" cm="1">
        <f t="array" ref="T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" s="14" t="str" cm="1">
        <f t="array" ref="U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" t="str" cm="1">
        <f t="array" ref="V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" t="str" cm="1">
        <f t="array" ref="W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" t="str">
        <f>IF(COUNTIFS('Base Estudiantes'!$C:$C,tblMatriculas[[#This Row],[Cédula]],'Base Estudiantes'!$I:$I,tblMatriculas[[#This Row],[Código]])&gt;0,"Sí","No")</f>
        <v>Sí</v>
      </c>
      <c r="Z87" s="23" cm="1">
        <f t="array" ref="Z87">_xlfn.XLOOKUP(tblMatriculas[[#This Row],[Cédula]]&amp;"|"&amp;tblMatriculas[[#This Row],[Código]],tblBase[Documento]&amp;"|"&amp;tblBase[Código grupo],tblBase[Fecha matrícula],"")</f>
        <v>46264</v>
      </c>
    </row>
    <row r="88" spans="1:26" x14ac:dyDescent="0.2">
      <c r="A88" t="s">
        <v>211</v>
      </c>
      <c r="B88" t="s">
        <v>212</v>
      </c>
      <c r="C88" t="s">
        <v>13</v>
      </c>
      <c r="D88" t="s">
        <v>109</v>
      </c>
      <c r="E88" t="s">
        <v>110</v>
      </c>
      <c r="F88" t="s">
        <v>111</v>
      </c>
      <c r="G88" s="1">
        <v>0.1</v>
      </c>
      <c r="H88" t="s">
        <v>117</v>
      </c>
      <c r="I88" t="s">
        <v>18</v>
      </c>
      <c r="J88" t="s">
        <v>113</v>
      </c>
      <c r="K88" t="s">
        <v>24</v>
      </c>
      <c r="L88" s="14">
        <f>IFERROR(VALUE(LEFT(tblMatriculas[[#This Row],[Clases]],FIND("/",tblMatriculas[[#This Row],[Clases]])-1)),"")</f>
        <v>3</v>
      </c>
      <c r="M88" s="14">
        <f>IFERROR(VALUE(MID(tblMatriculas[[#This Row],[Clases]],FIND("/",tblMatriculas[[#This Row],[Clases]])+1,5)),"")</f>
        <v>30</v>
      </c>
      <c r="N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8" s="14">
        <f>IF(OR(tblMatriculas[[#This Row],[Estado]]&lt;&gt;"activa",tblMatriculas[[#This Row],[Clases dictadas]]=""),"",MAX(0,tblMatriculas[[#This Row],[Clases dictadas]]-tblMatriculas[[#This Row],[Asistidas]]))</f>
        <v>1</v>
      </c>
      <c r="P88" s="1">
        <f>IF(OR(tblMatriculas[[#This Row],[Estado]]&lt;&gt;"activa",tblMatriculas[[#This Row],[Asistidas]]=""),"",tblMatriculas[[#This Row],[Asistencia]])</f>
        <v>0.1</v>
      </c>
      <c r="Q88" t="b">
        <f>AND(tblMatriculas[[#This Row],[Estado]]="activa",ISNUMBER(tblMatriculas[[#This Row],[% asistencia]]),NOT(ISNUMBER(SEARCH(pPrueba,tblMatriculas[[#This Row],[Nombre]]))))</f>
        <v>1</v>
      </c>
      <c r="R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" s="23" t="str" cm="1">
        <f t="array" ref="S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" s="23" t="str" cm="1">
        <f t="array" ref="T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" s="14" t="str" cm="1">
        <f t="array" ref="U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" t="str" cm="1">
        <f t="array" ref="V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" t="str" cm="1">
        <f t="array" ref="W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" t="str">
        <f>IF(COUNTIFS('Base Estudiantes'!$C:$C,tblMatriculas[[#This Row],[Cédula]],'Base Estudiantes'!$I:$I,tblMatriculas[[#This Row],[Código]])&gt;0,"Sí","No")</f>
        <v>Sí</v>
      </c>
      <c r="Z88" s="23" cm="1">
        <f t="array" ref="Z88">_xlfn.XLOOKUP(tblMatriculas[[#This Row],[Cédula]]&amp;"|"&amp;tblMatriculas[[#This Row],[Código]],tblBase[Documento]&amp;"|"&amp;tblBase[Código grupo],tblBase[Fecha matrícula],"")</f>
        <v>46264</v>
      </c>
    </row>
    <row r="89" spans="1:26" x14ac:dyDescent="0.2">
      <c r="A89" t="s">
        <v>213</v>
      </c>
      <c r="B89" t="s">
        <v>214</v>
      </c>
      <c r="C89" t="s">
        <v>13</v>
      </c>
      <c r="D89" t="s">
        <v>109</v>
      </c>
      <c r="E89" t="s">
        <v>110</v>
      </c>
      <c r="F89" t="s">
        <v>111</v>
      </c>
      <c r="G89" s="1">
        <v>0.13300000000000001</v>
      </c>
      <c r="H89" t="s">
        <v>112</v>
      </c>
      <c r="I89" t="s">
        <v>18</v>
      </c>
      <c r="J89" t="s">
        <v>113</v>
      </c>
      <c r="K89" t="s">
        <v>24</v>
      </c>
      <c r="L89" s="14">
        <f>IFERROR(VALUE(LEFT(tblMatriculas[[#This Row],[Clases]],FIND("/",tblMatriculas[[#This Row],[Clases]])-1)),"")</f>
        <v>4</v>
      </c>
      <c r="M89" s="14">
        <f>IFERROR(VALUE(MID(tblMatriculas[[#This Row],[Clases]],FIND("/",tblMatriculas[[#This Row],[Clases]])+1,5)),"")</f>
        <v>30</v>
      </c>
      <c r="N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89" s="14">
        <f>IF(OR(tblMatriculas[[#This Row],[Estado]]&lt;&gt;"activa",tblMatriculas[[#This Row],[Clases dictadas]]=""),"",MAX(0,tblMatriculas[[#This Row],[Clases dictadas]]-tblMatriculas[[#This Row],[Asistidas]]))</f>
        <v>0</v>
      </c>
      <c r="P89" s="1">
        <f>IF(OR(tblMatriculas[[#This Row],[Estado]]&lt;&gt;"activa",tblMatriculas[[#This Row],[Asistidas]]=""),"",tblMatriculas[[#This Row],[Asistencia]])</f>
        <v>0.13300000000000001</v>
      </c>
      <c r="Q89" t="b">
        <f>AND(tblMatriculas[[#This Row],[Estado]]="activa",ISNUMBER(tblMatriculas[[#This Row],[% asistencia]]),NOT(ISNUMBER(SEARCH(pPrueba,tblMatriculas[[#This Row],[Nombre]]))))</f>
        <v>1</v>
      </c>
      <c r="R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" s="23" t="str" cm="1">
        <f t="array" ref="S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" s="23" t="str" cm="1">
        <f t="array" ref="T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" s="14" t="str" cm="1">
        <f t="array" ref="U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" t="str" cm="1">
        <f t="array" ref="V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" t="str" cm="1">
        <f t="array" ref="W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" t="str">
        <f>IF(COUNTIFS('Base Estudiantes'!$C:$C,tblMatriculas[[#This Row],[Cédula]],'Base Estudiantes'!$I:$I,tblMatriculas[[#This Row],[Código]])&gt;0,"Sí","No")</f>
        <v>Sí</v>
      </c>
      <c r="Z89" s="23" cm="1">
        <f t="array" ref="Z89">_xlfn.XLOOKUP(tblMatriculas[[#This Row],[Cédula]]&amp;"|"&amp;tblMatriculas[[#This Row],[Código]],tblBase[Documento]&amp;"|"&amp;tblBase[Código grupo],tblBase[Fecha matrícula],"")</f>
        <v>46264</v>
      </c>
    </row>
    <row r="90" spans="1:26" x14ac:dyDescent="0.2">
      <c r="A90" t="s">
        <v>215</v>
      </c>
      <c r="B90" t="s">
        <v>216</v>
      </c>
      <c r="C90" t="s">
        <v>13</v>
      </c>
      <c r="D90" t="s">
        <v>109</v>
      </c>
      <c r="E90" t="s">
        <v>110</v>
      </c>
      <c r="F90" t="s">
        <v>111</v>
      </c>
      <c r="G90" s="1">
        <v>0.13300000000000001</v>
      </c>
      <c r="H90" t="s">
        <v>112</v>
      </c>
      <c r="I90" t="s">
        <v>18</v>
      </c>
      <c r="J90" t="s">
        <v>113</v>
      </c>
      <c r="K90" t="s">
        <v>24</v>
      </c>
      <c r="L90" s="14">
        <f>IFERROR(VALUE(LEFT(tblMatriculas[[#This Row],[Clases]],FIND("/",tblMatriculas[[#This Row],[Clases]])-1)),"")</f>
        <v>4</v>
      </c>
      <c r="M90" s="14">
        <f>IFERROR(VALUE(MID(tblMatriculas[[#This Row],[Clases]],FIND("/",tblMatriculas[[#This Row],[Clases]])+1,5)),"")</f>
        <v>30</v>
      </c>
      <c r="N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0" s="14">
        <f>IF(OR(tblMatriculas[[#This Row],[Estado]]&lt;&gt;"activa",tblMatriculas[[#This Row],[Clases dictadas]]=""),"",MAX(0,tblMatriculas[[#This Row],[Clases dictadas]]-tblMatriculas[[#This Row],[Asistidas]]))</f>
        <v>0</v>
      </c>
      <c r="P90" s="1">
        <f>IF(OR(tblMatriculas[[#This Row],[Estado]]&lt;&gt;"activa",tblMatriculas[[#This Row],[Asistidas]]=""),"",tblMatriculas[[#This Row],[Asistencia]])</f>
        <v>0.13300000000000001</v>
      </c>
      <c r="Q90" t="b">
        <f>AND(tblMatriculas[[#This Row],[Estado]]="activa",ISNUMBER(tblMatriculas[[#This Row],[% asistencia]]),NOT(ISNUMBER(SEARCH(pPrueba,tblMatriculas[[#This Row],[Nombre]]))))</f>
        <v>1</v>
      </c>
      <c r="R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0" s="23" t="str" cm="1">
        <f t="array" ref="S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" s="23" t="str" cm="1">
        <f t="array" ref="T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" s="14" t="str" cm="1">
        <f t="array" ref="U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" t="str" cm="1">
        <f t="array" ref="V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" t="str" cm="1">
        <f t="array" ref="W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0" t="str">
        <f>IF(COUNTIFS('Base Estudiantes'!$C:$C,tblMatriculas[[#This Row],[Cédula]],'Base Estudiantes'!$I:$I,tblMatriculas[[#This Row],[Código]])&gt;0,"Sí","No")</f>
        <v>Sí</v>
      </c>
      <c r="Z90" s="23" cm="1">
        <f t="array" ref="Z90">_xlfn.XLOOKUP(tblMatriculas[[#This Row],[Cédula]]&amp;"|"&amp;tblMatriculas[[#This Row],[Código]],tblBase[Documento]&amp;"|"&amp;tblBase[Código grupo],tblBase[Fecha matrícula],"")</f>
        <v>46264</v>
      </c>
    </row>
    <row r="91" spans="1:26" x14ac:dyDescent="0.2">
      <c r="A91" t="s">
        <v>217</v>
      </c>
      <c r="B91" t="s">
        <v>218</v>
      </c>
      <c r="C91" t="s">
        <v>13</v>
      </c>
      <c r="D91" t="s">
        <v>109</v>
      </c>
      <c r="E91" t="s">
        <v>110</v>
      </c>
      <c r="F91" t="s">
        <v>111</v>
      </c>
      <c r="G91" s="1">
        <v>6.7000000000000004E-2</v>
      </c>
      <c r="H91" t="s">
        <v>166</v>
      </c>
      <c r="I91" t="s">
        <v>18</v>
      </c>
      <c r="J91" t="s">
        <v>113</v>
      </c>
      <c r="K91" t="s">
        <v>24</v>
      </c>
      <c r="L91" s="14">
        <f>IFERROR(VALUE(LEFT(tblMatriculas[[#This Row],[Clases]],FIND("/",tblMatriculas[[#This Row],[Clases]])-1)),"")</f>
        <v>2</v>
      </c>
      <c r="M91" s="14">
        <f>IFERROR(VALUE(MID(tblMatriculas[[#This Row],[Clases]],FIND("/",tblMatriculas[[#This Row],[Clases]])+1,5)),"")</f>
        <v>30</v>
      </c>
      <c r="N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1" s="14">
        <f>IF(OR(tblMatriculas[[#This Row],[Estado]]&lt;&gt;"activa",tblMatriculas[[#This Row],[Clases dictadas]]=""),"",MAX(0,tblMatriculas[[#This Row],[Clases dictadas]]-tblMatriculas[[#This Row],[Asistidas]]))</f>
        <v>2</v>
      </c>
      <c r="P91" s="1">
        <f>IF(OR(tblMatriculas[[#This Row],[Estado]]&lt;&gt;"activa",tblMatriculas[[#This Row],[Asistidas]]=""),"",tblMatriculas[[#This Row],[Asistencia]])</f>
        <v>6.7000000000000004E-2</v>
      </c>
      <c r="Q91" t="b">
        <f>AND(tblMatriculas[[#This Row],[Estado]]="activa",ISNUMBER(tblMatriculas[[#This Row],[% asistencia]]),NOT(ISNUMBER(SEARCH(pPrueba,tblMatriculas[[#This Row],[Nombre]]))))</f>
        <v>1</v>
      </c>
      <c r="R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1" s="23" t="str" cm="1">
        <f t="array" ref="S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" s="23" t="str" cm="1">
        <f t="array" ref="T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" s="14" t="str" cm="1">
        <f t="array" ref="U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" t="str" cm="1">
        <f t="array" ref="V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" t="str" cm="1">
        <f t="array" ref="W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1" t="str">
        <f>IF(COUNTIFS('Base Estudiantes'!$C:$C,tblMatriculas[[#This Row],[Cédula]],'Base Estudiantes'!$I:$I,tblMatriculas[[#This Row],[Código]])&gt;0,"Sí","No")</f>
        <v>Sí</v>
      </c>
      <c r="Z91" s="23" cm="1">
        <f t="array" ref="Z91">_xlfn.XLOOKUP(tblMatriculas[[#This Row],[Cédula]]&amp;"|"&amp;tblMatriculas[[#This Row],[Código]],tblBase[Documento]&amp;"|"&amp;tblBase[Código grupo],tblBase[Fecha matrícula],"")</f>
        <v>46264</v>
      </c>
    </row>
    <row r="92" spans="1:26" x14ac:dyDescent="0.2">
      <c r="A92" t="s">
        <v>219</v>
      </c>
      <c r="B92" t="s">
        <v>220</v>
      </c>
      <c r="C92" t="s">
        <v>13</v>
      </c>
      <c r="D92" t="s">
        <v>109</v>
      </c>
      <c r="E92" t="s">
        <v>110</v>
      </c>
      <c r="F92" t="s">
        <v>111</v>
      </c>
      <c r="G92" s="1">
        <v>0.13300000000000001</v>
      </c>
      <c r="H92" t="s">
        <v>112</v>
      </c>
      <c r="I92" t="s">
        <v>18</v>
      </c>
      <c r="J92" t="s">
        <v>113</v>
      </c>
      <c r="K92" t="s">
        <v>24</v>
      </c>
      <c r="L92" s="14">
        <f>IFERROR(VALUE(LEFT(tblMatriculas[[#This Row],[Clases]],FIND("/",tblMatriculas[[#This Row],[Clases]])-1)),"")</f>
        <v>4</v>
      </c>
      <c r="M92" s="14">
        <f>IFERROR(VALUE(MID(tblMatriculas[[#This Row],[Clases]],FIND("/",tblMatriculas[[#This Row],[Clases]])+1,5)),"")</f>
        <v>30</v>
      </c>
      <c r="N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" s="14">
        <f>IF(OR(tblMatriculas[[#This Row],[Estado]]&lt;&gt;"activa",tblMatriculas[[#This Row],[Clases dictadas]]=""),"",MAX(0,tblMatriculas[[#This Row],[Clases dictadas]]-tblMatriculas[[#This Row],[Asistidas]]))</f>
        <v>0</v>
      </c>
      <c r="P92" s="1">
        <f>IF(OR(tblMatriculas[[#This Row],[Estado]]&lt;&gt;"activa",tblMatriculas[[#This Row],[Asistidas]]=""),"",tblMatriculas[[#This Row],[Asistencia]])</f>
        <v>0.13300000000000001</v>
      </c>
      <c r="Q92" t="b">
        <f>AND(tblMatriculas[[#This Row],[Estado]]="activa",ISNUMBER(tblMatriculas[[#This Row],[% asistencia]]),NOT(ISNUMBER(SEARCH(pPrueba,tblMatriculas[[#This Row],[Nombre]]))))</f>
        <v>1</v>
      </c>
      <c r="R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" s="23" t="str" cm="1">
        <f t="array" ref="S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" s="23" t="str" cm="1">
        <f t="array" ref="T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" s="14" t="str" cm="1">
        <f t="array" ref="U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" t="str" cm="1">
        <f t="array" ref="V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" t="str" cm="1">
        <f t="array" ref="W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" t="str">
        <f>IF(COUNTIFS('Base Estudiantes'!$C:$C,tblMatriculas[[#This Row],[Cédula]],'Base Estudiantes'!$I:$I,tblMatriculas[[#This Row],[Código]])&gt;0,"Sí","No")</f>
        <v>Sí</v>
      </c>
      <c r="Z92" s="23" cm="1">
        <f t="array" ref="Z92">_xlfn.XLOOKUP(tblMatriculas[[#This Row],[Cédula]]&amp;"|"&amp;tblMatriculas[[#This Row],[Código]],tblBase[Documento]&amp;"|"&amp;tblBase[Código grupo],tblBase[Fecha matrícula],"")</f>
        <v>46264</v>
      </c>
    </row>
    <row r="93" spans="1:26" x14ac:dyDescent="0.2">
      <c r="A93" t="s">
        <v>221</v>
      </c>
      <c r="B93" t="s">
        <v>222</v>
      </c>
      <c r="C93" t="s">
        <v>13</v>
      </c>
      <c r="D93" t="s">
        <v>223</v>
      </c>
      <c r="E93" t="s">
        <v>224</v>
      </c>
      <c r="F93" t="s">
        <v>111</v>
      </c>
      <c r="G93" s="1">
        <v>3.3000000000000002E-2</v>
      </c>
      <c r="H93" t="s">
        <v>225</v>
      </c>
      <c r="I93" t="s">
        <v>18</v>
      </c>
      <c r="J93" t="s">
        <v>226</v>
      </c>
      <c r="K93" t="s">
        <v>24</v>
      </c>
      <c r="L93" s="14">
        <f>IFERROR(VALUE(LEFT(tblMatriculas[[#This Row],[Clases]],FIND("/",tblMatriculas[[#This Row],[Clases]])-1)),"")</f>
        <v>1</v>
      </c>
      <c r="M93" s="14">
        <f>IFERROR(VALUE(MID(tblMatriculas[[#This Row],[Clases]],FIND("/",tblMatriculas[[#This Row],[Clases]])+1,5)),"")</f>
        <v>30</v>
      </c>
      <c r="N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3" s="14">
        <f>IF(OR(tblMatriculas[[#This Row],[Estado]]&lt;&gt;"activa",tblMatriculas[[#This Row],[Clases dictadas]]=""),"",MAX(0,tblMatriculas[[#This Row],[Clases dictadas]]-tblMatriculas[[#This Row],[Asistidas]]))</f>
        <v>5</v>
      </c>
      <c r="P93" s="1">
        <f>IF(OR(tblMatriculas[[#This Row],[Estado]]&lt;&gt;"activa",tblMatriculas[[#This Row],[Asistidas]]=""),"",tblMatriculas[[#This Row],[Asistencia]])</f>
        <v>3.3000000000000002E-2</v>
      </c>
      <c r="Q93" t="b">
        <f>AND(tblMatriculas[[#This Row],[Estado]]="activa",ISNUMBER(tblMatriculas[[#This Row],[% asistencia]]),NOT(ISNUMBER(SEARCH(pPrueba,tblMatriculas[[#This Row],[Nombre]]))))</f>
        <v>1</v>
      </c>
      <c r="R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3" s="23" t="str" cm="1">
        <f t="array" ref="S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" s="23" t="str" cm="1">
        <f t="array" ref="T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" s="14" t="str" cm="1">
        <f t="array" ref="U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" t="str" cm="1">
        <f t="array" ref="V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" t="str" cm="1">
        <f t="array" ref="W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3" t="str">
        <f>IF(COUNTIFS('Base Estudiantes'!$C:$C,tblMatriculas[[#This Row],[Cédula]],'Base Estudiantes'!$I:$I,tblMatriculas[[#This Row],[Código]])&gt;0,"Sí","No")</f>
        <v>Sí</v>
      </c>
      <c r="Z93" s="23" cm="1">
        <f t="array" ref="Z93">_xlfn.XLOOKUP(tblMatriculas[[#This Row],[Cédula]]&amp;"|"&amp;tblMatriculas[[#This Row],[Código]],tblBase[Documento]&amp;"|"&amp;tblBase[Código grupo],tblBase[Fecha matrícula],"")</f>
        <v>46263</v>
      </c>
    </row>
    <row r="94" spans="1:26" x14ac:dyDescent="0.2">
      <c r="A94" t="s">
        <v>227</v>
      </c>
      <c r="B94" t="s">
        <v>228</v>
      </c>
      <c r="C94" t="s">
        <v>13</v>
      </c>
      <c r="D94" t="s">
        <v>223</v>
      </c>
      <c r="E94" t="s">
        <v>224</v>
      </c>
      <c r="F94" t="s">
        <v>111</v>
      </c>
      <c r="G94" s="1">
        <v>0.16699999999999998</v>
      </c>
      <c r="H94" t="s">
        <v>229</v>
      </c>
      <c r="I94" t="s">
        <v>18</v>
      </c>
      <c r="J94" t="s">
        <v>226</v>
      </c>
      <c r="K94" t="s">
        <v>24</v>
      </c>
      <c r="L94" s="14">
        <f>IFERROR(VALUE(LEFT(tblMatriculas[[#This Row],[Clases]],FIND("/",tblMatriculas[[#This Row],[Clases]])-1)),"")</f>
        <v>5</v>
      </c>
      <c r="M94" s="14">
        <f>IFERROR(VALUE(MID(tblMatriculas[[#This Row],[Clases]],FIND("/",tblMatriculas[[#This Row],[Clases]])+1,5)),"")</f>
        <v>30</v>
      </c>
      <c r="N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4" s="14">
        <f>IF(OR(tblMatriculas[[#This Row],[Estado]]&lt;&gt;"activa",tblMatriculas[[#This Row],[Clases dictadas]]=""),"",MAX(0,tblMatriculas[[#This Row],[Clases dictadas]]-tblMatriculas[[#This Row],[Asistidas]]))</f>
        <v>1</v>
      </c>
      <c r="P94" s="1">
        <f>IF(OR(tblMatriculas[[#This Row],[Estado]]&lt;&gt;"activa",tblMatriculas[[#This Row],[Asistidas]]=""),"",tblMatriculas[[#This Row],[Asistencia]])</f>
        <v>0.16699999999999998</v>
      </c>
      <c r="Q94" t="b">
        <f>AND(tblMatriculas[[#This Row],[Estado]]="activa",ISNUMBER(tblMatriculas[[#This Row],[% asistencia]]),NOT(ISNUMBER(SEARCH(pPrueba,tblMatriculas[[#This Row],[Nombre]]))))</f>
        <v>1</v>
      </c>
      <c r="R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" s="23" t="str" cm="1">
        <f t="array" ref="S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" s="23" t="str" cm="1">
        <f t="array" ref="T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" s="14" t="str" cm="1">
        <f t="array" ref="U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" t="str" cm="1">
        <f t="array" ref="V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" t="str" cm="1">
        <f t="array" ref="W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" t="str">
        <f>IF(COUNTIFS('Base Estudiantes'!$C:$C,tblMatriculas[[#This Row],[Cédula]],'Base Estudiantes'!$I:$I,tblMatriculas[[#This Row],[Código]])&gt;0,"Sí","No")</f>
        <v>Sí</v>
      </c>
      <c r="Z94" s="23" cm="1">
        <f t="array" ref="Z94">_xlfn.XLOOKUP(tblMatriculas[[#This Row],[Cédula]]&amp;"|"&amp;tblMatriculas[[#This Row],[Código]],tblBase[Documento]&amp;"|"&amp;tblBase[Código grupo],tblBase[Fecha matrícula],"")</f>
        <v>46263</v>
      </c>
    </row>
    <row r="95" spans="1:26" x14ac:dyDescent="0.2">
      <c r="A95" t="s">
        <v>230</v>
      </c>
      <c r="B95" t="s">
        <v>231</v>
      </c>
      <c r="C95" t="s">
        <v>13</v>
      </c>
      <c r="D95" t="s">
        <v>223</v>
      </c>
      <c r="E95" t="s">
        <v>224</v>
      </c>
      <c r="F95" t="s">
        <v>111</v>
      </c>
      <c r="G95" s="1">
        <v>0.2</v>
      </c>
      <c r="H95" t="s">
        <v>232</v>
      </c>
      <c r="I95" t="s">
        <v>18</v>
      </c>
      <c r="J95" t="s">
        <v>226</v>
      </c>
      <c r="K95" t="s">
        <v>233</v>
      </c>
      <c r="L95" s="14">
        <f>IFERROR(VALUE(LEFT(tblMatriculas[[#This Row],[Clases]],FIND("/",tblMatriculas[[#This Row],[Clases]])-1)),"")</f>
        <v>6</v>
      </c>
      <c r="M95" s="14">
        <f>IFERROR(VALUE(MID(tblMatriculas[[#This Row],[Clases]],FIND("/",tblMatriculas[[#This Row],[Clases]])+1,5)),"")</f>
        <v>30</v>
      </c>
      <c r="N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5" s="14">
        <f>IF(OR(tblMatriculas[[#This Row],[Estado]]&lt;&gt;"activa",tblMatriculas[[#This Row],[Clases dictadas]]=""),"",MAX(0,tblMatriculas[[#This Row],[Clases dictadas]]-tblMatriculas[[#This Row],[Asistidas]]))</f>
        <v>0</v>
      </c>
      <c r="P95" s="1">
        <f>IF(OR(tblMatriculas[[#This Row],[Estado]]&lt;&gt;"activa",tblMatriculas[[#This Row],[Asistidas]]=""),"",tblMatriculas[[#This Row],[Asistencia]])</f>
        <v>0.2</v>
      </c>
      <c r="Q95" t="b">
        <f>AND(tblMatriculas[[#This Row],[Estado]]="activa",ISNUMBER(tblMatriculas[[#This Row],[% asistencia]]),NOT(ISNUMBER(SEARCH(pPrueba,tblMatriculas[[#This Row],[Nombre]]))))</f>
        <v>1</v>
      </c>
      <c r="R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" s="23" t="str" cm="1">
        <f t="array" ref="S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" s="23" t="str" cm="1">
        <f t="array" ref="T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" s="14" t="str" cm="1">
        <f t="array" ref="U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" t="str" cm="1">
        <f t="array" ref="V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" t="str" cm="1">
        <f t="array" ref="W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" t="str">
        <f>IF(COUNTIFS('Base Estudiantes'!$C:$C,tblMatriculas[[#This Row],[Cédula]],'Base Estudiantes'!$I:$I,tblMatriculas[[#This Row],[Código]])&gt;0,"Sí","No")</f>
        <v>Sí</v>
      </c>
      <c r="Z95" s="23" cm="1">
        <f t="array" ref="Z95">_xlfn.XLOOKUP(tblMatriculas[[#This Row],[Cédula]]&amp;"|"&amp;tblMatriculas[[#This Row],[Código]],tblBase[Documento]&amp;"|"&amp;tblBase[Código grupo],tblBase[Fecha matrícula],"")</f>
        <v>46264</v>
      </c>
    </row>
    <row r="96" spans="1:26" x14ac:dyDescent="0.2">
      <c r="A96" t="s">
        <v>234</v>
      </c>
      <c r="B96" t="s">
        <v>235</v>
      </c>
      <c r="C96" t="s">
        <v>13</v>
      </c>
      <c r="D96" t="s">
        <v>223</v>
      </c>
      <c r="E96" t="s">
        <v>224</v>
      </c>
      <c r="F96" t="s">
        <v>111</v>
      </c>
      <c r="G96" s="1">
        <v>0.1</v>
      </c>
      <c r="H96" t="s">
        <v>117</v>
      </c>
      <c r="I96" t="s">
        <v>18</v>
      </c>
      <c r="J96" t="s">
        <v>226</v>
      </c>
      <c r="K96" t="s">
        <v>120</v>
      </c>
      <c r="L96" s="14">
        <f>IFERROR(VALUE(LEFT(tblMatriculas[[#This Row],[Clases]],FIND("/",tblMatriculas[[#This Row],[Clases]])-1)),"")</f>
        <v>3</v>
      </c>
      <c r="M96" s="14">
        <f>IFERROR(VALUE(MID(tblMatriculas[[#This Row],[Clases]],FIND("/",tblMatriculas[[#This Row],[Clases]])+1,5)),"")</f>
        <v>30</v>
      </c>
      <c r="N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6" s="14">
        <f>IF(OR(tblMatriculas[[#This Row],[Estado]]&lt;&gt;"activa",tblMatriculas[[#This Row],[Clases dictadas]]=""),"",MAX(0,tblMatriculas[[#This Row],[Clases dictadas]]-tblMatriculas[[#This Row],[Asistidas]]))</f>
        <v>3</v>
      </c>
      <c r="P96" s="1">
        <f>IF(OR(tblMatriculas[[#This Row],[Estado]]&lt;&gt;"activa",tblMatriculas[[#This Row],[Asistidas]]=""),"",tblMatriculas[[#This Row],[Asistencia]])</f>
        <v>0.1</v>
      </c>
      <c r="Q96" t="b">
        <f>AND(tblMatriculas[[#This Row],[Estado]]="activa",ISNUMBER(tblMatriculas[[#This Row],[% asistencia]]),NOT(ISNUMBER(SEARCH(pPrueba,tblMatriculas[[#This Row],[Nombre]]))))</f>
        <v>1</v>
      </c>
      <c r="R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" s="23" t="str" cm="1">
        <f t="array" ref="S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" s="23" t="str" cm="1">
        <f t="array" ref="T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" s="14" t="str" cm="1">
        <f t="array" ref="U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" t="str" cm="1">
        <f t="array" ref="V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" t="str" cm="1">
        <f t="array" ref="W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" t="str">
        <f>IF(COUNTIFS('Base Estudiantes'!$C:$C,tblMatriculas[[#This Row],[Cédula]],'Base Estudiantes'!$I:$I,tblMatriculas[[#This Row],[Código]])&gt;0,"Sí","No")</f>
        <v>Sí</v>
      </c>
      <c r="Z96" s="23" cm="1">
        <f t="array" ref="Z96">_xlfn.XLOOKUP(tblMatriculas[[#This Row],[Cédula]]&amp;"|"&amp;tblMatriculas[[#This Row],[Código]],tblBase[Documento]&amp;"|"&amp;tblBase[Código grupo],tblBase[Fecha matrícula],"")</f>
        <v>46264</v>
      </c>
    </row>
    <row r="97" spans="1:26" x14ac:dyDescent="0.2">
      <c r="A97" t="s">
        <v>236</v>
      </c>
      <c r="B97" t="s">
        <v>237</v>
      </c>
      <c r="C97" t="s">
        <v>13</v>
      </c>
      <c r="D97" t="s">
        <v>223</v>
      </c>
      <c r="E97" t="s">
        <v>224</v>
      </c>
      <c r="F97" t="s">
        <v>111</v>
      </c>
      <c r="G97" s="1">
        <v>0.16699999999999998</v>
      </c>
      <c r="H97" t="s">
        <v>229</v>
      </c>
      <c r="I97" t="s">
        <v>18</v>
      </c>
      <c r="J97" t="s">
        <v>226</v>
      </c>
      <c r="K97" t="s">
        <v>120</v>
      </c>
      <c r="L97" s="14">
        <f>IFERROR(VALUE(LEFT(tblMatriculas[[#This Row],[Clases]],FIND("/",tblMatriculas[[#This Row],[Clases]])-1)),"")</f>
        <v>5</v>
      </c>
      <c r="M97" s="14">
        <f>IFERROR(VALUE(MID(tblMatriculas[[#This Row],[Clases]],FIND("/",tblMatriculas[[#This Row],[Clases]])+1,5)),"")</f>
        <v>30</v>
      </c>
      <c r="N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" s="14">
        <f>IF(OR(tblMatriculas[[#This Row],[Estado]]&lt;&gt;"activa",tblMatriculas[[#This Row],[Clases dictadas]]=""),"",MAX(0,tblMatriculas[[#This Row],[Clases dictadas]]-tblMatriculas[[#This Row],[Asistidas]]))</f>
        <v>1</v>
      </c>
      <c r="P97" s="1">
        <f>IF(OR(tblMatriculas[[#This Row],[Estado]]&lt;&gt;"activa",tblMatriculas[[#This Row],[Asistidas]]=""),"",tblMatriculas[[#This Row],[Asistencia]])</f>
        <v>0.16699999999999998</v>
      </c>
      <c r="Q97" t="b">
        <f>AND(tblMatriculas[[#This Row],[Estado]]="activa",ISNUMBER(tblMatriculas[[#This Row],[% asistencia]]),NOT(ISNUMBER(SEARCH(pPrueba,tblMatriculas[[#This Row],[Nombre]]))))</f>
        <v>1</v>
      </c>
      <c r="R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" s="23" t="str" cm="1">
        <f t="array" ref="S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" s="23" t="str" cm="1">
        <f t="array" ref="T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" s="14" t="str" cm="1">
        <f t="array" ref="U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" t="str" cm="1">
        <f t="array" ref="V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" t="str" cm="1">
        <f t="array" ref="W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" t="str">
        <f>IF(COUNTIFS('Base Estudiantes'!$C:$C,tblMatriculas[[#This Row],[Cédula]],'Base Estudiantes'!$I:$I,tblMatriculas[[#This Row],[Código]])&gt;0,"Sí","No")</f>
        <v>Sí</v>
      </c>
      <c r="Z97" s="23" cm="1">
        <f t="array" ref="Z97">_xlfn.XLOOKUP(tblMatriculas[[#This Row],[Cédula]]&amp;"|"&amp;tblMatriculas[[#This Row],[Código]],tblBase[Documento]&amp;"|"&amp;tblBase[Código grupo],tblBase[Fecha matrícula],"")</f>
        <v>46264</v>
      </c>
    </row>
    <row r="98" spans="1:26" x14ac:dyDescent="0.2">
      <c r="A98" t="s">
        <v>238</v>
      </c>
      <c r="B98" t="s">
        <v>239</v>
      </c>
      <c r="C98" t="s">
        <v>13</v>
      </c>
      <c r="D98" t="s">
        <v>223</v>
      </c>
      <c r="E98" t="s">
        <v>224</v>
      </c>
      <c r="F98" t="s">
        <v>111</v>
      </c>
      <c r="G98" s="1">
        <v>0.2</v>
      </c>
      <c r="H98" t="s">
        <v>232</v>
      </c>
      <c r="I98" t="s">
        <v>18</v>
      </c>
      <c r="J98" t="s">
        <v>226</v>
      </c>
      <c r="K98" t="s">
        <v>120</v>
      </c>
      <c r="L98" s="14">
        <f>IFERROR(VALUE(LEFT(tblMatriculas[[#This Row],[Clases]],FIND("/",tblMatriculas[[#This Row],[Clases]])-1)),"")</f>
        <v>6</v>
      </c>
      <c r="M98" s="14">
        <f>IFERROR(VALUE(MID(tblMatriculas[[#This Row],[Clases]],FIND("/",tblMatriculas[[#This Row],[Clases]])+1,5)),"")</f>
        <v>30</v>
      </c>
      <c r="N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" s="14">
        <f>IF(OR(tblMatriculas[[#This Row],[Estado]]&lt;&gt;"activa",tblMatriculas[[#This Row],[Clases dictadas]]=""),"",MAX(0,tblMatriculas[[#This Row],[Clases dictadas]]-tblMatriculas[[#This Row],[Asistidas]]))</f>
        <v>0</v>
      </c>
      <c r="P98" s="1">
        <f>IF(OR(tblMatriculas[[#This Row],[Estado]]&lt;&gt;"activa",tblMatriculas[[#This Row],[Asistidas]]=""),"",tblMatriculas[[#This Row],[Asistencia]])</f>
        <v>0.2</v>
      </c>
      <c r="Q98" t="b">
        <f>AND(tblMatriculas[[#This Row],[Estado]]="activa",ISNUMBER(tblMatriculas[[#This Row],[% asistencia]]),NOT(ISNUMBER(SEARCH(pPrueba,tblMatriculas[[#This Row],[Nombre]]))))</f>
        <v>1</v>
      </c>
      <c r="R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" s="23" t="str" cm="1">
        <f t="array" ref="S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" s="23" t="str" cm="1">
        <f t="array" ref="T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" s="14" t="str" cm="1">
        <f t="array" ref="U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" t="str" cm="1">
        <f t="array" ref="V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" t="str" cm="1">
        <f t="array" ref="W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" t="str">
        <f>IF(COUNTIFS('Base Estudiantes'!$C:$C,tblMatriculas[[#This Row],[Cédula]],'Base Estudiantes'!$I:$I,tblMatriculas[[#This Row],[Código]])&gt;0,"Sí","No")</f>
        <v>Sí</v>
      </c>
      <c r="Z98" s="23" cm="1">
        <f t="array" ref="Z98">_xlfn.XLOOKUP(tblMatriculas[[#This Row],[Cédula]]&amp;"|"&amp;tblMatriculas[[#This Row],[Código]],tblBase[Documento]&amp;"|"&amp;tblBase[Código grupo],tblBase[Fecha matrícula],"")</f>
        <v>46264</v>
      </c>
    </row>
    <row r="99" spans="1:26" x14ac:dyDescent="0.2">
      <c r="A99" t="s">
        <v>240</v>
      </c>
      <c r="B99" t="s">
        <v>241</v>
      </c>
      <c r="C99" t="s">
        <v>13</v>
      </c>
      <c r="D99" t="s">
        <v>223</v>
      </c>
      <c r="E99" t="s">
        <v>224</v>
      </c>
      <c r="F99" t="s">
        <v>111</v>
      </c>
      <c r="G99" s="1">
        <v>0.13300000000000001</v>
      </c>
      <c r="H99" t="s">
        <v>112</v>
      </c>
      <c r="I99" t="s">
        <v>18</v>
      </c>
      <c r="J99" t="s">
        <v>226</v>
      </c>
      <c r="K99" t="s">
        <v>120</v>
      </c>
      <c r="L99" s="14">
        <f>IFERROR(VALUE(LEFT(tblMatriculas[[#This Row],[Clases]],FIND("/",tblMatriculas[[#This Row],[Clases]])-1)),"")</f>
        <v>4</v>
      </c>
      <c r="M99" s="14">
        <f>IFERROR(VALUE(MID(tblMatriculas[[#This Row],[Clases]],FIND("/",tblMatriculas[[#This Row],[Clases]])+1,5)),"")</f>
        <v>30</v>
      </c>
      <c r="N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" s="14">
        <f>IF(OR(tblMatriculas[[#This Row],[Estado]]&lt;&gt;"activa",tblMatriculas[[#This Row],[Clases dictadas]]=""),"",MAX(0,tblMatriculas[[#This Row],[Clases dictadas]]-tblMatriculas[[#This Row],[Asistidas]]))</f>
        <v>2</v>
      </c>
      <c r="P99" s="1">
        <f>IF(OR(tblMatriculas[[#This Row],[Estado]]&lt;&gt;"activa",tblMatriculas[[#This Row],[Asistidas]]=""),"",tblMatriculas[[#This Row],[Asistencia]])</f>
        <v>0.13300000000000001</v>
      </c>
      <c r="Q99" t="b">
        <f>AND(tblMatriculas[[#This Row],[Estado]]="activa",ISNUMBER(tblMatriculas[[#This Row],[% asistencia]]),NOT(ISNUMBER(SEARCH(pPrueba,tblMatriculas[[#This Row],[Nombre]]))))</f>
        <v>1</v>
      </c>
      <c r="R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" s="23" t="str" cm="1">
        <f t="array" ref="S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" s="23" t="str" cm="1">
        <f t="array" ref="T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" s="14" t="str" cm="1">
        <f t="array" ref="U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" t="str" cm="1">
        <f t="array" ref="V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" t="str" cm="1">
        <f t="array" ref="W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" t="str">
        <f>IF(COUNTIFS('Base Estudiantes'!$C:$C,tblMatriculas[[#This Row],[Cédula]],'Base Estudiantes'!$I:$I,tblMatriculas[[#This Row],[Código]])&gt;0,"Sí","No")</f>
        <v>Sí</v>
      </c>
      <c r="Z99" s="23" cm="1">
        <f t="array" ref="Z99">_xlfn.XLOOKUP(tblMatriculas[[#This Row],[Cédula]]&amp;"|"&amp;tblMatriculas[[#This Row],[Código]],tblBase[Documento]&amp;"|"&amp;tblBase[Código grupo],tblBase[Fecha matrícula],"")</f>
        <v>46264</v>
      </c>
    </row>
    <row r="100" spans="1:26" x14ac:dyDescent="0.2">
      <c r="A100" t="s">
        <v>242</v>
      </c>
      <c r="B100" t="s">
        <v>243</v>
      </c>
      <c r="C100" t="s">
        <v>13</v>
      </c>
      <c r="D100" t="s">
        <v>223</v>
      </c>
      <c r="E100" t="s">
        <v>224</v>
      </c>
      <c r="F100" t="s">
        <v>111</v>
      </c>
      <c r="G100" s="1">
        <v>0.16699999999999998</v>
      </c>
      <c r="H100" t="s">
        <v>229</v>
      </c>
      <c r="I100" t="s">
        <v>18</v>
      </c>
      <c r="J100" t="s">
        <v>226</v>
      </c>
      <c r="K100" t="s">
        <v>120</v>
      </c>
      <c r="L100" s="14">
        <f>IFERROR(VALUE(LEFT(tblMatriculas[[#This Row],[Clases]],FIND("/",tblMatriculas[[#This Row],[Clases]])-1)),"")</f>
        <v>5</v>
      </c>
      <c r="M100" s="14">
        <f>IFERROR(VALUE(MID(tblMatriculas[[#This Row],[Clases]],FIND("/",tblMatriculas[[#This Row],[Clases]])+1,5)),"")</f>
        <v>30</v>
      </c>
      <c r="N1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" s="14">
        <f>IF(OR(tblMatriculas[[#This Row],[Estado]]&lt;&gt;"activa",tblMatriculas[[#This Row],[Clases dictadas]]=""),"",MAX(0,tblMatriculas[[#This Row],[Clases dictadas]]-tblMatriculas[[#This Row],[Asistidas]]))</f>
        <v>1</v>
      </c>
      <c r="P100" s="1">
        <f>IF(OR(tblMatriculas[[#This Row],[Estado]]&lt;&gt;"activa",tblMatriculas[[#This Row],[Asistidas]]=""),"",tblMatriculas[[#This Row],[Asistencia]])</f>
        <v>0.16699999999999998</v>
      </c>
      <c r="Q100" t="b">
        <f>AND(tblMatriculas[[#This Row],[Estado]]="activa",ISNUMBER(tblMatriculas[[#This Row],[% asistencia]]),NOT(ISNUMBER(SEARCH(pPrueba,tblMatriculas[[#This Row],[Nombre]]))))</f>
        <v>1</v>
      </c>
      <c r="R1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" s="23" t="str" cm="1">
        <f t="array" ref="S1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" s="23" t="str" cm="1">
        <f t="array" ref="T1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" s="14" t="str" cm="1">
        <f t="array" ref="U1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" t="str" cm="1">
        <f t="array" ref="V1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" t="str" cm="1">
        <f t="array" ref="W1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" t="str">
        <f>IF(COUNTIFS('Base Estudiantes'!$C:$C,tblMatriculas[[#This Row],[Cédula]],'Base Estudiantes'!$I:$I,tblMatriculas[[#This Row],[Código]])&gt;0,"Sí","No")</f>
        <v>Sí</v>
      </c>
      <c r="Z100" s="23" cm="1">
        <f t="array" ref="Z100">_xlfn.XLOOKUP(tblMatriculas[[#This Row],[Cédula]]&amp;"|"&amp;tblMatriculas[[#This Row],[Código]],tblBase[Documento]&amp;"|"&amp;tblBase[Código grupo],tblBase[Fecha matrícula],"")</f>
        <v>46264</v>
      </c>
    </row>
    <row r="101" spans="1:26" x14ac:dyDescent="0.2">
      <c r="A101" t="s">
        <v>244</v>
      </c>
      <c r="B101" t="s">
        <v>245</v>
      </c>
      <c r="C101" t="s">
        <v>13</v>
      </c>
      <c r="D101" t="s">
        <v>223</v>
      </c>
      <c r="E101" t="s">
        <v>224</v>
      </c>
      <c r="F101" t="s">
        <v>111</v>
      </c>
      <c r="G101" s="1">
        <v>0.2</v>
      </c>
      <c r="H101" t="s">
        <v>232</v>
      </c>
      <c r="I101" t="s">
        <v>18</v>
      </c>
      <c r="J101" t="s">
        <v>226</v>
      </c>
      <c r="K101" t="s">
        <v>125</v>
      </c>
      <c r="L101" s="14">
        <f>IFERROR(VALUE(LEFT(tblMatriculas[[#This Row],[Clases]],FIND("/",tblMatriculas[[#This Row],[Clases]])-1)),"")</f>
        <v>6</v>
      </c>
      <c r="M101" s="14">
        <f>IFERROR(VALUE(MID(tblMatriculas[[#This Row],[Clases]],FIND("/",tblMatriculas[[#This Row],[Clases]])+1,5)),"")</f>
        <v>30</v>
      </c>
      <c r="N1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" s="14">
        <f>IF(OR(tblMatriculas[[#This Row],[Estado]]&lt;&gt;"activa",tblMatriculas[[#This Row],[Clases dictadas]]=""),"",MAX(0,tblMatriculas[[#This Row],[Clases dictadas]]-tblMatriculas[[#This Row],[Asistidas]]))</f>
        <v>0</v>
      </c>
      <c r="P101" s="1">
        <f>IF(OR(tblMatriculas[[#This Row],[Estado]]&lt;&gt;"activa",tblMatriculas[[#This Row],[Asistidas]]=""),"",tblMatriculas[[#This Row],[Asistencia]])</f>
        <v>0.2</v>
      </c>
      <c r="Q101" t="b">
        <f>AND(tblMatriculas[[#This Row],[Estado]]="activa",ISNUMBER(tblMatriculas[[#This Row],[% asistencia]]),NOT(ISNUMBER(SEARCH(pPrueba,tblMatriculas[[#This Row],[Nombre]]))))</f>
        <v>1</v>
      </c>
      <c r="R1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" s="23" t="str" cm="1">
        <f t="array" ref="S1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" s="23" t="str" cm="1">
        <f t="array" ref="T1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" s="14" t="str" cm="1">
        <f t="array" ref="U1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" t="str" cm="1">
        <f t="array" ref="V1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" t="str" cm="1">
        <f t="array" ref="W1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" t="str">
        <f>IF(COUNTIFS('Base Estudiantes'!$C:$C,tblMatriculas[[#This Row],[Cédula]],'Base Estudiantes'!$I:$I,tblMatriculas[[#This Row],[Código]])&gt;0,"Sí","No")</f>
        <v>Sí</v>
      </c>
      <c r="Z101" s="23" cm="1">
        <f t="array" ref="Z101">_xlfn.XLOOKUP(tblMatriculas[[#This Row],[Cédula]]&amp;"|"&amp;tblMatriculas[[#This Row],[Código]],tblBase[Documento]&amp;"|"&amp;tblBase[Código grupo],tblBase[Fecha matrícula],"")</f>
        <v>46264</v>
      </c>
    </row>
    <row r="102" spans="1:26" x14ac:dyDescent="0.2">
      <c r="A102" t="s">
        <v>246</v>
      </c>
      <c r="B102" t="s">
        <v>247</v>
      </c>
      <c r="C102" t="s">
        <v>13</v>
      </c>
      <c r="D102" t="s">
        <v>223</v>
      </c>
      <c r="E102" t="s">
        <v>224</v>
      </c>
      <c r="F102" t="s">
        <v>111</v>
      </c>
      <c r="G102" s="1">
        <v>0.16699999999999998</v>
      </c>
      <c r="H102" t="s">
        <v>229</v>
      </c>
      <c r="I102" t="s">
        <v>18</v>
      </c>
      <c r="J102" t="s">
        <v>226</v>
      </c>
      <c r="K102" t="s">
        <v>125</v>
      </c>
      <c r="L102" s="14">
        <f>IFERROR(VALUE(LEFT(tblMatriculas[[#This Row],[Clases]],FIND("/",tblMatriculas[[#This Row],[Clases]])-1)),"")</f>
        <v>5</v>
      </c>
      <c r="M102" s="14">
        <f>IFERROR(VALUE(MID(tblMatriculas[[#This Row],[Clases]],FIND("/",tblMatriculas[[#This Row],[Clases]])+1,5)),"")</f>
        <v>30</v>
      </c>
      <c r="N1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" s="14">
        <f>IF(OR(tblMatriculas[[#This Row],[Estado]]&lt;&gt;"activa",tblMatriculas[[#This Row],[Clases dictadas]]=""),"",MAX(0,tblMatriculas[[#This Row],[Clases dictadas]]-tblMatriculas[[#This Row],[Asistidas]]))</f>
        <v>1</v>
      </c>
      <c r="P102" s="1">
        <f>IF(OR(tblMatriculas[[#This Row],[Estado]]&lt;&gt;"activa",tblMatriculas[[#This Row],[Asistidas]]=""),"",tblMatriculas[[#This Row],[Asistencia]])</f>
        <v>0.16699999999999998</v>
      </c>
      <c r="Q102" t="b">
        <f>AND(tblMatriculas[[#This Row],[Estado]]="activa",ISNUMBER(tblMatriculas[[#This Row],[% asistencia]]),NOT(ISNUMBER(SEARCH(pPrueba,tblMatriculas[[#This Row],[Nombre]]))))</f>
        <v>1</v>
      </c>
      <c r="R1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" s="23" t="str" cm="1">
        <f t="array" ref="S1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" s="23" t="str" cm="1">
        <f t="array" ref="T1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" s="14" t="str" cm="1">
        <f t="array" ref="U1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" t="str" cm="1">
        <f t="array" ref="V1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" t="str" cm="1">
        <f t="array" ref="W1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" t="str">
        <f>IF(COUNTIFS('Base Estudiantes'!$C:$C,tblMatriculas[[#This Row],[Cédula]],'Base Estudiantes'!$I:$I,tblMatriculas[[#This Row],[Código]])&gt;0,"Sí","No")</f>
        <v>Sí</v>
      </c>
      <c r="Z102" s="23" cm="1">
        <f t="array" ref="Z102">_xlfn.XLOOKUP(tblMatriculas[[#This Row],[Cédula]]&amp;"|"&amp;tblMatriculas[[#This Row],[Código]],tblBase[Documento]&amp;"|"&amp;tblBase[Código grupo],tblBase[Fecha matrícula],"")</f>
        <v>46264</v>
      </c>
    </row>
    <row r="103" spans="1:26" x14ac:dyDescent="0.2">
      <c r="A103" t="s">
        <v>248</v>
      </c>
      <c r="B103" t="s">
        <v>249</v>
      </c>
      <c r="C103" t="s">
        <v>13</v>
      </c>
      <c r="D103" t="s">
        <v>223</v>
      </c>
      <c r="E103" t="s">
        <v>224</v>
      </c>
      <c r="F103" t="s">
        <v>111</v>
      </c>
      <c r="G103" s="1">
        <v>0.16699999999999998</v>
      </c>
      <c r="H103" t="s">
        <v>229</v>
      </c>
      <c r="I103" t="s">
        <v>18</v>
      </c>
      <c r="J103" t="s">
        <v>226</v>
      </c>
      <c r="K103" t="s">
        <v>125</v>
      </c>
      <c r="L103" s="14">
        <f>IFERROR(VALUE(LEFT(tblMatriculas[[#This Row],[Clases]],FIND("/",tblMatriculas[[#This Row],[Clases]])-1)),"")</f>
        <v>5</v>
      </c>
      <c r="M103" s="14">
        <f>IFERROR(VALUE(MID(tblMatriculas[[#This Row],[Clases]],FIND("/",tblMatriculas[[#This Row],[Clases]])+1,5)),"")</f>
        <v>30</v>
      </c>
      <c r="N1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" s="14">
        <f>IF(OR(tblMatriculas[[#This Row],[Estado]]&lt;&gt;"activa",tblMatriculas[[#This Row],[Clases dictadas]]=""),"",MAX(0,tblMatriculas[[#This Row],[Clases dictadas]]-tblMatriculas[[#This Row],[Asistidas]]))</f>
        <v>1</v>
      </c>
      <c r="P103" s="1">
        <f>IF(OR(tblMatriculas[[#This Row],[Estado]]&lt;&gt;"activa",tblMatriculas[[#This Row],[Asistidas]]=""),"",tblMatriculas[[#This Row],[Asistencia]])</f>
        <v>0.16699999999999998</v>
      </c>
      <c r="Q103" t="b">
        <f>AND(tblMatriculas[[#This Row],[Estado]]="activa",ISNUMBER(tblMatriculas[[#This Row],[% asistencia]]),NOT(ISNUMBER(SEARCH(pPrueba,tblMatriculas[[#This Row],[Nombre]]))))</f>
        <v>1</v>
      </c>
      <c r="R1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" s="23" t="str" cm="1">
        <f t="array" ref="S1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" s="23" t="str" cm="1">
        <f t="array" ref="T1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" s="14" t="str" cm="1">
        <f t="array" ref="U1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" t="str" cm="1">
        <f t="array" ref="V1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" t="str" cm="1">
        <f t="array" ref="W1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" t="str">
        <f>IF(COUNTIFS('Base Estudiantes'!$C:$C,tblMatriculas[[#This Row],[Cédula]],'Base Estudiantes'!$I:$I,tblMatriculas[[#This Row],[Código]])&gt;0,"Sí","No")</f>
        <v>Sí</v>
      </c>
      <c r="Z103" s="23" cm="1">
        <f t="array" ref="Z103">_xlfn.XLOOKUP(tblMatriculas[[#This Row],[Cédula]]&amp;"|"&amp;tblMatriculas[[#This Row],[Código]],tblBase[Documento]&amp;"|"&amp;tblBase[Código grupo],tblBase[Fecha matrícula],"")</f>
        <v>46264</v>
      </c>
    </row>
    <row r="104" spans="1:26" x14ac:dyDescent="0.2">
      <c r="A104" t="s">
        <v>250</v>
      </c>
      <c r="B104" t="s">
        <v>251</v>
      </c>
      <c r="C104" t="s">
        <v>13</v>
      </c>
      <c r="D104" t="s">
        <v>223</v>
      </c>
      <c r="E104" t="s">
        <v>224</v>
      </c>
      <c r="F104" t="s">
        <v>111</v>
      </c>
      <c r="G104" s="1">
        <v>6.7000000000000004E-2</v>
      </c>
      <c r="H104" t="s">
        <v>166</v>
      </c>
      <c r="I104" t="s">
        <v>18</v>
      </c>
      <c r="J104" t="s">
        <v>226</v>
      </c>
      <c r="K104" t="s">
        <v>24</v>
      </c>
      <c r="L104" s="14">
        <f>IFERROR(VALUE(LEFT(tblMatriculas[[#This Row],[Clases]],FIND("/",tblMatriculas[[#This Row],[Clases]])-1)),"")</f>
        <v>2</v>
      </c>
      <c r="M104" s="14">
        <f>IFERROR(VALUE(MID(tblMatriculas[[#This Row],[Clases]],FIND("/",tblMatriculas[[#This Row],[Clases]])+1,5)),"")</f>
        <v>30</v>
      </c>
      <c r="N1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" s="14">
        <f>IF(OR(tblMatriculas[[#This Row],[Estado]]&lt;&gt;"activa",tblMatriculas[[#This Row],[Clases dictadas]]=""),"",MAX(0,tblMatriculas[[#This Row],[Clases dictadas]]-tblMatriculas[[#This Row],[Asistidas]]))</f>
        <v>4</v>
      </c>
      <c r="P104" s="1">
        <f>IF(OR(tblMatriculas[[#This Row],[Estado]]&lt;&gt;"activa",tblMatriculas[[#This Row],[Asistidas]]=""),"",tblMatriculas[[#This Row],[Asistencia]])</f>
        <v>6.7000000000000004E-2</v>
      </c>
      <c r="Q104" t="b">
        <f>AND(tblMatriculas[[#This Row],[Estado]]="activa",ISNUMBER(tblMatriculas[[#This Row],[% asistencia]]),NOT(ISNUMBER(SEARCH(pPrueba,tblMatriculas[[#This Row],[Nombre]]))))</f>
        <v>1</v>
      </c>
      <c r="R1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4" s="23" t="str" cm="1">
        <f t="array" ref="S1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" s="23" t="str" cm="1">
        <f t="array" ref="T1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" s="14" t="str" cm="1">
        <f t="array" ref="U1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" t="str" cm="1">
        <f t="array" ref="V1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" t="str" cm="1">
        <f t="array" ref="W1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4" t="str">
        <f>IF(COUNTIFS('Base Estudiantes'!$C:$C,tblMatriculas[[#This Row],[Cédula]],'Base Estudiantes'!$I:$I,tblMatriculas[[#This Row],[Código]])&gt;0,"Sí","No")</f>
        <v>Sí</v>
      </c>
      <c r="Z104" s="23" cm="1">
        <f t="array" ref="Z104">_xlfn.XLOOKUP(tblMatriculas[[#This Row],[Cédula]]&amp;"|"&amp;tblMatriculas[[#This Row],[Código]],tblBase[Documento]&amp;"|"&amp;tblBase[Código grupo],tblBase[Fecha matrícula],"")</f>
        <v>46264</v>
      </c>
    </row>
    <row r="105" spans="1:26" x14ac:dyDescent="0.2">
      <c r="A105" t="s">
        <v>252</v>
      </c>
      <c r="B105" t="s">
        <v>253</v>
      </c>
      <c r="C105" t="s">
        <v>13</v>
      </c>
      <c r="D105" t="s">
        <v>223</v>
      </c>
      <c r="E105" t="s">
        <v>224</v>
      </c>
      <c r="F105" t="s">
        <v>111</v>
      </c>
      <c r="G105" s="1">
        <v>0</v>
      </c>
      <c r="H105" t="s">
        <v>254</v>
      </c>
      <c r="I105" t="s">
        <v>18</v>
      </c>
      <c r="J105" t="s">
        <v>226</v>
      </c>
      <c r="K105" t="s">
        <v>24</v>
      </c>
      <c r="L105" s="14">
        <f>IFERROR(VALUE(LEFT(tblMatriculas[[#This Row],[Clases]],FIND("/",tblMatriculas[[#This Row],[Clases]])-1)),"")</f>
        <v>0</v>
      </c>
      <c r="M105" s="14">
        <f>IFERROR(VALUE(MID(tblMatriculas[[#This Row],[Clases]],FIND("/",tblMatriculas[[#This Row],[Clases]])+1,5)),"")</f>
        <v>30</v>
      </c>
      <c r="N1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" s="14">
        <f>IF(OR(tblMatriculas[[#This Row],[Estado]]&lt;&gt;"activa",tblMatriculas[[#This Row],[Clases dictadas]]=""),"",MAX(0,tblMatriculas[[#This Row],[Clases dictadas]]-tblMatriculas[[#This Row],[Asistidas]]))</f>
        <v>6</v>
      </c>
      <c r="P105" s="1">
        <f>IF(OR(tblMatriculas[[#This Row],[Estado]]&lt;&gt;"activa",tblMatriculas[[#This Row],[Asistidas]]=""),"",tblMatriculas[[#This Row],[Asistencia]])</f>
        <v>0</v>
      </c>
      <c r="Q105" t="b">
        <f>AND(tblMatriculas[[#This Row],[Estado]]="activa",ISNUMBER(tblMatriculas[[#This Row],[% asistencia]]),NOT(ISNUMBER(SEARCH(pPrueba,tblMatriculas[[#This Row],[Nombre]]))))</f>
        <v>1</v>
      </c>
      <c r="R1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5" s="23" t="str" cm="1">
        <f t="array" ref="S1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" s="23" t="str" cm="1">
        <f t="array" ref="T1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" s="14" t="str" cm="1">
        <f t="array" ref="U1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" t="str" cm="1">
        <f t="array" ref="V1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" t="str" cm="1">
        <f t="array" ref="W1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5" t="str">
        <f>IF(COUNTIFS('Base Estudiantes'!$C:$C,tblMatriculas[[#This Row],[Cédula]],'Base Estudiantes'!$I:$I,tblMatriculas[[#This Row],[Código]])&gt;0,"Sí","No")</f>
        <v>Sí</v>
      </c>
      <c r="Z105" s="23" cm="1">
        <f t="array" ref="Z105">_xlfn.XLOOKUP(tblMatriculas[[#This Row],[Cédula]]&amp;"|"&amp;tblMatriculas[[#This Row],[Código]],tblBase[Documento]&amp;"|"&amp;tblBase[Código grupo],tblBase[Fecha matrícula],"")</f>
        <v>46264</v>
      </c>
    </row>
    <row r="106" spans="1:26" x14ac:dyDescent="0.2">
      <c r="A106" t="s">
        <v>255</v>
      </c>
      <c r="B106" t="s">
        <v>256</v>
      </c>
      <c r="C106" t="s">
        <v>13</v>
      </c>
      <c r="D106" t="s">
        <v>223</v>
      </c>
      <c r="E106" t="s">
        <v>224</v>
      </c>
      <c r="F106" t="s">
        <v>111</v>
      </c>
      <c r="G106" s="1">
        <v>0.2</v>
      </c>
      <c r="H106" t="s">
        <v>232</v>
      </c>
      <c r="I106" t="s">
        <v>18</v>
      </c>
      <c r="J106" t="s">
        <v>226</v>
      </c>
      <c r="K106" t="s">
        <v>24</v>
      </c>
      <c r="L106" s="14">
        <f>IFERROR(VALUE(LEFT(tblMatriculas[[#This Row],[Clases]],FIND("/",tblMatriculas[[#This Row],[Clases]])-1)),"")</f>
        <v>6</v>
      </c>
      <c r="M106" s="14">
        <f>IFERROR(VALUE(MID(tblMatriculas[[#This Row],[Clases]],FIND("/",tblMatriculas[[#This Row],[Clases]])+1,5)),"")</f>
        <v>30</v>
      </c>
      <c r="N1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6" s="14">
        <f>IF(OR(tblMatriculas[[#This Row],[Estado]]&lt;&gt;"activa",tblMatriculas[[#This Row],[Clases dictadas]]=""),"",MAX(0,tblMatriculas[[#This Row],[Clases dictadas]]-tblMatriculas[[#This Row],[Asistidas]]))</f>
        <v>0</v>
      </c>
      <c r="P106" s="1">
        <f>IF(OR(tblMatriculas[[#This Row],[Estado]]&lt;&gt;"activa",tblMatriculas[[#This Row],[Asistidas]]=""),"",tblMatriculas[[#This Row],[Asistencia]])</f>
        <v>0.2</v>
      </c>
      <c r="Q106" t="b">
        <f>AND(tblMatriculas[[#This Row],[Estado]]="activa",ISNUMBER(tblMatriculas[[#This Row],[% asistencia]]),NOT(ISNUMBER(SEARCH(pPrueba,tblMatriculas[[#This Row],[Nombre]]))))</f>
        <v>1</v>
      </c>
      <c r="R1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" s="23" t="str" cm="1">
        <f t="array" ref="S1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" s="23" t="str" cm="1">
        <f t="array" ref="T1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" s="14" t="str" cm="1">
        <f t="array" ref="U1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" t="str" cm="1">
        <f t="array" ref="V1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" t="str" cm="1">
        <f t="array" ref="W1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" t="str">
        <f>IF(COUNTIFS('Base Estudiantes'!$C:$C,tblMatriculas[[#This Row],[Cédula]],'Base Estudiantes'!$I:$I,tblMatriculas[[#This Row],[Código]])&gt;0,"Sí","No")</f>
        <v>Sí</v>
      </c>
      <c r="Z106" s="23" cm="1">
        <f t="array" ref="Z106">_xlfn.XLOOKUP(tblMatriculas[[#This Row],[Cédula]]&amp;"|"&amp;tblMatriculas[[#This Row],[Código]],tblBase[Documento]&amp;"|"&amp;tblBase[Código grupo],tblBase[Fecha matrícula],"")</f>
        <v>46264</v>
      </c>
    </row>
    <row r="107" spans="1:26" x14ac:dyDescent="0.2">
      <c r="A107" t="s">
        <v>257</v>
      </c>
      <c r="B107" t="s">
        <v>258</v>
      </c>
      <c r="C107" t="s">
        <v>13</v>
      </c>
      <c r="D107" t="s">
        <v>223</v>
      </c>
      <c r="E107" t="s">
        <v>224</v>
      </c>
      <c r="F107" t="s">
        <v>111</v>
      </c>
      <c r="G107" s="1">
        <v>0.13300000000000001</v>
      </c>
      <c r="H107" t="s">
        <v>112</v>
      </c>
      <c r="I107" t="s">
        <v>18</v>
      </c>
      <c r="J107" t="s">
        <v>226</v>
      </c>
      <c r="K107" t="s">
        <v>24</v>
      </c>
      <c r="L107" s="14">
        <f>IFERROR(VALUE(LEFT(tblMatriculas[[#This Row],[Clases]],FIND("/",tblMatriculas[[#This Row],[Clases]])-1)),"")</f>
        <v>4</v>
      </c>
      <c r="M107" s="14">
        <f>IFERROR(VALUE(MID(tblMatriculas[[#This Row],[Clases]],FIND("/",tblMatriculas[[#This Row],[Clases]])+1,5)),"")</f>
        <v>30</v>
      </c>
      <c r="N1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7" s="14">
        <f>IF(OR(tblMatriculas[[#This Row],[Estado]]&lt;&gt;"activa",tblMatriculas[[#This Row],[Clases dictadas]]=""),"",MAX(0,tblMatriculas[[#This Row],[Clases dictadas]]-tblMatriculas[[#This Row],[Asistidas]]))</f>
        <v>2</v>
      </c>
      <c r="P107" s="1">
        <f>IF(OR(tblMatriculas[[#This Row],[Estado]]&lt;&gt;"activa",tblMatriculas[[#This Row],[Asistidas]]=""),"",tblMatriculas[[#This Row],[Asistencia]])</f>
        <v>0.13300000000000001</v>
      </c>
      <c r="Q107" t="b">
        <f>AND(tblMatriculas[[#This Row],[Estado]]="activa",ISNUMBER(tblMatriculas[[#This Row],[% asistencia]]),NOT(ISNUMBER(SEARCH(pPrueba,tblMatriculas[[#This Row],[Nombre]]))))</f>
        <v>1</v>
      </c>
      <c r="R1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7" s="23" t="str" cm="1">
        <f t="array" ref="S1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" s="23" t="str" cm="1">
        <f t="array" ref="T1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" s="14" t="str" cm="1">
        <f t="array" ref="U1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" t="str" cm="1">
        <f t="array" ref="V1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" t="str" cm="1">
        <f t="array" ref="W1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7" t="str">
        <f>IF(COUNTIFS('Base Estudiantes'!$C:$C,tblMatriculas[[#This Row],[Cédula]],'Base Estudiantes'!$I:$I,tblMatriculas[[#This Row],[Código]])&gt;0,"Sí","No")</f>
        <v>Sí</v>
      </c>
      <c r="Z107" s="23" cm="1">
        <f t="array" ref="Z107">_xlfn.XLOOKUP(tblMatriculas[[#This Row],[Cédula]]&amp;"|"&amp;tblMatriculas[[#This Row],[Código]],tblBase[Documento]&amp;"|"&amp;tblBase[Código grupo],tblBase[Fecha matrícula],"")</f>
        <v>46264</v>
      </c>
    </row>
    <row r="108" spans="1:26" x14ac:dyDescent="0.2">
      <c r="A108" t="s">
        <v>259</v>
      </c>
      <c r="B108" t="s">
        <v>260</v>
      </c>
      <c r="C108" t="s">
        <v>13</v>
      </c>
      <c r="D108" t="s">
        <v>223</v>
      </c>
      <c r="E108" t="s">
        <v>224</v>
      </c>
      <c r="F108" t="s">
        <v>111</v>
      </c>
      <c r="G108" s="1">
        <v>0.2</v>
      </c>
      <c r="H108" t="s">
        <v>232</v>
      </c>
      <c r="I108" t="s">
        <v>18</v>
      </c>
      <c r="J108" t="s">
        <v>226</v>
      </c>
      <c r="K108" t="s">
        <v>24</v>
      </c>
      <c r="L108" s="14">
        <f>IFERROR(VALUE(LEFT(tblMatriculas[[#This Row],[Clases]],FIND("/",tblMatriculas[[#This Row],[Clases]])-1)),"")</f>
        <v>6</v>
      </c>
      <c r="M108" s="14">
        <f>IFERROR(VALUE(MID(tblMatriculas[[#This Row],[Clases]],FIND("/",tblMatriculas[[#This Row],[Clases]])+1,5)),"")</f>
        <v>30</v>
      </c>
      <c r="N1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8" s="14">
        <f>IF(OR(tblMatriculas[[#This Row],[Estado]]&lt;&gt;"activa",tblMatriculas[[#This Row],[Clases dictadas]]=""),"",MAX(0,tblMatriculas[[#This Row],[Clases dictadas]]-tblMatriculas[[#This Row],[Asistidas]]))</f>
        <v>0</v>
      </c>
      <c r="P108" s="1">
        <f>IF(OR(tblMatriculas[[#This Row],[Estado]]&lt;&gt;"activa",tblMatriculas[[#This Row],[Asistidas]]=""),"",tblMatriculas[[#This Row],[Asistencia]])</f>
        <v>0.2</v>
      </c>
      <c r="Q108" t="b">
        <f>AND(tblMatriculas[[#This Row],[Estado]]="activa",ISNUMBER(tblMatriculas[[#This Row],[% asistencia]]),NOT(ISNUMBER(SEARCH(pPrueba,tblMatriculas[[#This Row],[Nombre]]))))</f>
        <v>1</v>
      </c>
      <c r="R1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8" s="23" t="str" cm="1">
        <f t="array" ref="S1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" s="23" t="str" cm="1">
        <f t="array" ref="T1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" s="14" t="str" cm="1">
        <f t="array" ref="U1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" t="str" cm="1">
        <f t="array" ref="V1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" t="str" cm="1">
        <f t="array" ref="W1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8" t="str">
        <f>IF(COUNTIFS('Base Estudiantes'!$C:$C,tblMatriculas[[#This Row],[Cédula]],'Base Estudiantes'!$I:$I,tblMatriculas[[#This Row],[Código]])&gt;0,"Sí","No")</f>
        <v>Sí</v>
      </c>
      <c r="Z108" s="23" cm="1">
        <f t="array" ref="Z108">_xlfn.XLOOKUP(tblMatriculas[[#This Row],[Cédula]]&amp;"|"&amp;tblMatriculas[[#This Row],[Código]],tblBase[Documento]&amp;"|"&amp;tblBase[Código grupo],tblBase[Fecha matrícula],"")</f>
        <v>46264</v>
      </c>
    </row>
    <row r="109" spans="1:26" x14ac:dyDescent="0.2">
      <c r="A109" t="s">
        <v>261</v>
      </c>
      <c r="B109" t="s">
        <v>262</v>
      </c>
      <c r="C109" t="s">
        <v>13</v>
      </c>
      <c r="D109" t="s">
        <v>223</v>
      </c>
      <c r="E109" t="s">
        <v>224</v>
      </c>
      <c r="F109" t="s">
        <v>111</v>
      </c>
      <c r="G109" s="1">
        <v>0</v>
      </c>
      <c r="H109" t="s">
        <v>254</v>
      </c>
      <c r="I109" t="s">
        <v>18</v>
      </c>
      <c r="J109" t="s">
        <v>226</v>
      </c>
      <c r="K109" t="s">
        <v>24</v>
      </c>
      <c r="L109" s="14">
        <f>IFERROR(VALUE(LEFT(tblMatriculas[[#This Row],[Clases]],FIND("/",tblMatriculas[[#This Row],[Clases]])-1)),"")</f>
        <v>0</v>
      </c>
      <c r="M109" s="14">
        <f>IFERROR(VALUE(MID(tblMatriculas[[#This Row],[Clases]],FIND("/",tblMatriculas[[#This Row],[Clases]])+1,5)),"")</f>
        <v>30</v>
      </c>
      <c r="N1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9" s="14">
        <f>IF(OR(tblMatriculas[[#This Row],[Estado]]&lt;&gt;"activa",tblMatriculas[[#This Row],[Clases dictadas]]=""),"",MAX(0,tblMatriculas[[#This Row],[Clases dictadas]]-tblMatriculas[[#This Row],[Asistidas]]))</f>
        <v>6</v>
      </c>
      <c r="P109" s="1">
        <f>IF(OR(tblMatriculas[[#This Row],[Estado]]&lt;&gt;"activa",tblMatriculas[[#This Row],[Asistidas]]=""),"",tblMatriculas[[#This Row],[Asistencia]])</f>
        <v>0</v>
      </c>
      <c r="Q109" t="b">
        <f>AND(tblMatriculas[[#This Row],[Estado]]="activa",ISNUMBER(tblMatriculas[[#This Row],[% asistencia]]),NOT(ISNUMBER(SEARCH(pPrueba,tblMatriculas[[#This Row],[Nombre]]))))</f>
        <v>1</v>
      </c>
      <c r="R1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9" s="23" t="str" cm="1">
        <f t="array" ref="S1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" s="23" t="str" cm="1">
        <f t="array" ref="T1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" s="14" t="str" cm="1">
        <f t="array" ref="U1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" t="str" cm="1">
        <f t="array" ref="V1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" t="str" cm="1">
        <f t="array" ref="W1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9" t="str">
        <f>IF(COUNTIFS('Base Estudiantes'!$C:$C,tblMatriculas[[#This Row],[Cédula]],'Base Estudiantes'!$I:$I,tblMatriculas[[#This Row],[Código]])&gt;0,"Sí","No")</f>
        <v>Sí</v>
      </c>
      <c r="Z109" s="23" cm="1">
        <f t="array" ref="Z109">_xlfn.XLOOKUP(tblMatriculas[[#This Row],[Cédula]]&amp;"|"&amp;tblMatriculas[[#This Row],[Código]],tblBase[Documento]&amp;"|"&amp;tblBase[Código grupo],tblBase[Fecha matrícula],"")</f>
        <v>46264</v>
      </c>
    </row>
    <row r="110" spans="1:26" x14ac:dyDescent="0.2">
      <c r="A110" t="s">
        <v>263</v>
      </c>
      <c r="B110" t="s">
        <v>264</v>
      </c>
      <c r="C110" t="s">
        <v>13</v>
      </c>
      <c r="D110" t="s">
        <v>223</v>
      </c>
      <c r="E110" t="s">
        <v>224</v>
      </c>
      <c r="F110" t="s">
        <v>111</v>
      </c>
      <c r="G110" s="1">
        <v>0.16699999999999998</v>
      </c>
      <c r="H110" t="s">
        <v>229</v>
      </c>
      <c r="I110" t="s">
        <v>18</v>
      </c>
      <c r="J110" t="s">
        <v>226</v>
      </c>
      <c r="K110" t="s">
        <v>24</v>
      </c>
      <c r="L110" s="14">
        <f>IFERROR(VALUE(LEFT(tblMatriculas[[#This Row],[Clases]],FIND("/",tblMatriculas[[#This Row],[Clases]])-1)),"")</f>
        <v>5</v>
      </c>
      <c r="M110" s="14">
        <f>IFERROR(VALUE(MID(tblMatriculas[[#This Row],[Clases]],FIND("/",tblMatriculas[[#This Row],[Clases]])+1,5)),"")</f>
        <v>30</v>
      </c>
      <c r="N1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0" s="14">
        <f>IF(OR(tblMatriculas[[#This Row],[Estado]]&lt;&gt;"activa",tblMatriculas[[#This Row],[Clases dictadas]]=""),"",MAX(0,tblMatriculas[[#This Row],[Clases dictadas]]-tblMatriculas[[#This Row],[Asistidas]]))</f>
        <v>1</v>
      </c>
      <c r="P110" s="1">
        <f>IF(OR(tblMatriculas[[#This Row],[Estado]]&lt;&gt;"activa",tblMatriculas[[#This Row],[Asistidas]]=""),"",tblMatriculas[[#This Row],[Asistencia]])</f>
        <v>0.16699999999999998</v>
      </c>
      <c r="Q110" t="b">
        <f>AND(tblMatriculas[[#This Row],[Estado]]="activa",ISNUMBER(tblMatriculas[[#This Row],[% asistencia]]),NOT(ISNUMBER(SEARCH(pPrueba,tblMatriculas[[#This Row],[Nombre]]))))</f>
        <v>1</v>
      </c>
      <c r="R1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" s="23" t="str" cm="1">
        <f t="array" ref="S1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" s="23" t="str" cm="1">
        <f t="array" ref="T1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" s="14" t="str" cm="1">
        <f t="array" ref="U1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" t="str" cm="1">
        <f t="array" ref="V1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" t="str" cm="1">
        <f t="array" ref="W1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" t="str">
        <f>IF(COUNTIFS('Base Estudiantes'!$C:$C,tblMatriculas[[#This Row],[Cédula]],'Base Estudiantes'!$I:$I,tblMatriculas[[#This Row],[Código]])&gt;0,"Sí","No")</f>
        <v>Sí</v>
      </c>
      <c r="Z110" s="23" cm="1">
        <f t="array" ref="Z110">_xlfn.XLOOKUP(tblMatriculas[[#This Row],[Cédula]]&amp;"|"&amp;tblMatriculas[[#This Row],[Código]],tblBase[Documento]&amp;"|"&amp;tblBase[Código grupo],tblBase[Fecha matrícula],"")</f>
        <v>46264</v>
      </c>
    </row>
    <row r="111" spans="1:26" x14ac:dyDescent="0.2">
      <c r="A111" t="s">
        <v>265</v>
      </c>
      <c r="B111" t="s">
        <v>266</v>
      </c>
      <c r="C111" t="s">
        <v>13</v>
      </c>
      <c r="D111" t="s">
        <v>223</v>
      </c>
      <c r="E111" t="s">
        <v>224</v>
      </c>
      <c r="F111" t="s">
        <v>111</v>
      </c>
      <c r="G111" s="1">
        <v>0.2</v>
      </c>
      <c r="H111" t="s">
        <v>232</v>
      </c>
      <c r="I111" t="s">
        <v>18</v>
      </c>
      <c r="J111" t="s">
        <v>226</v>
      </c>
      <c r="K111" t="s">
        <v>24</v>
      </c>
      <c r="L111" s="14">
        <f>IFERROR(VALUE(LEFT(tblMatriculas[[#This Row],[Clases]],FIND("/",tblMatriculas[[#This Row],[Clases]])-1)),"")</f>
        <v>6</v>
      </c>
      <c r="M111" s="14">
        <f>IFERROR(VALUE(MID(tblMatriculas[[#This Row],[Clases]],FIND("/",tblMatriculas[[#This Row],[Clases]])+1,5)),"")</f>
        <v>30</v>
      </c>
      <c r="N1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1" s="14">
        <f>IF(OR(tblMatriculas[[#This Row],[Estado]]&lt;&gt;"activa",tblMatriculas[[#This Row],[Clases dictadas]]=""),"",MAX(0,tblMatriculas[[#This Row],[Clases dictadas]]-tblMatriculas[[#This Row],[Asistidas]]))</f>
        <v>0</v>
      </c>
      <c r="P111" s="1">
        <f>IF(OR(tblMatriculas[[#This Row],[Estado]]&lt;&gt;"activa",tblMatriculas[[#This Row],[Asistidas]]=""),"",tblMatriculas[[#This Row],[Asistencia]])</f>
        <v>0.2</v>
      </c>
      <c r="Q111" t="b">
        <f>AND(tblMatriculas[[#This Row],[Estado]]="activa",ISNUMBER(tblMatriculas[[#This Row],[% asistencia]]),NOT(ISNUMBER(SEARCH(pPrueba,tblMatriculas[[#This Row],[Nombre]]))))</f>
        <v>1</v>
      </c>
      <c r="R1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" s="23" t="str" cm="1">
        <f t="array" ref="S1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" s="23" t="str" cm="1">
        <f t="array" ref="T1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" s="14" t="str" cm="1">
        <f t="array" ref="U1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" t="str" cm="1">
        <f t="array" ref="V1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" t="str" cm="1">
        <f t="array" ref="W1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" t="str">
        <f>IF(COUNTIFS('Base Estudiantes'!$C:$C,tblMatriculas[[#This Row],[Cédula]],'Base Estudiantes'!$I:$I,tblMatriculas[[#This Row],[Código]])&gt;0,"Sí","No")</f>
        <v>Sí</v>
      </c>
      <c r="Z111" s="23" cm="1">
        <f t="array" ref="Z111">_xlfn.XLOOKUP(tblMatriculas[[#This Row],[Cédula]]&amp;"|"&amp;tblMatriculas[[#This Row],[Código]],tblBase[Documento]&amp;"|"&amp;tblBase[Código grupo],tblBase[Fecha matrícula],"")</f>
        <v>46264</v>
      </c>
    </row>
    <row r="112" spans="1:26" x14ac:dyDescent="0.2">
      <c r="A112" t="s">
        <v>267</v>
      </c>
      <c r="B112" t="s">
        <v>268</v>
      </c>
      <c r="C112" t="s">
        <v>13</v>
      </c>
      <c r="D112" t="s">
        <v>223</v>
      </c>
      <c r="E112" t="s">
        <v>224</v>
      </c>
      <c r="F112" t="s">
        <v>111</v>
      </c>
      <c r="G112" s="1">
        <v>0.16699999999999998</v>
      </c>
      <c r="H112" t="s">
        <v>229</v>
      </c>
      <c r="I112" t="s">
        <v>18</v>
      </c>
      <c r="J112" t="s">
        <v>226</v>
      </c>
      <c r="K112" t="s">
        <v>24</v>
      </c>
      <c r="L112" s="14">
        <f>IFERROR(VALUE(LEFT(tblMatriculas[[#This Row],[Clases]],FIND("/",tblMatriculas[[#This Row],[Clases]])-1)),"")</f>
        <v>5</v>
      </c>
      <c r="M112" s="14">
        <f>IFERROR(VALUE(MID(tblMatriculas[[#This Row],[Clases]],FIND("/",tblMatriculas[[#This Row],[Clases]])+1,5)),"")</f>
        <v>30</v>
      </c>
      <c r="N1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2" s="14">
        <f>IF(OR(tblMatriculas[[#This Row],[Estado]]&lt;&gt;"activa",tblMatriculas[[#This Row],[Clases dictadas]]=""),"",MAX(0,tblMatriculas[[#This Row],[Clases dictadas]]-tblMatriculas[[#This Row],[Asistidas]]))</f>
        <v>1</v>
      </c>
      <c r="P112" s="1">
        <f>IF(OR(tblMatriculas[[#This Row],[Estado]]&lt;&gt;"activa",tblMatriculas[[#This Row],[Asistidas]]=""),"",tblMatriculas[[#This Row],[Asistencia]])</f>
        <v>0.16699999999999998</v>
      </c>
      <c r="Q112" t="b">
        <f>AND(tblMatriculas[[#This Row],[Estado]]="activa",ISNUMBER(tblMatriculas[[#This Row],[% asistencia]]),NOT(ISNUMBER(SEARCH(pPrueba,tblMatriculas[[#This Row],[Nombre]]))))</f>
        <v>1</v>
      </c>
      <c r="R1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" s="23" t="str" cm="1">
        <f t="array" ref="S1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" s="23" t="str" cm="1">
        <f t="array" ref="T1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" s="14" t="str" cm="1">
        <f t="array" ref="U1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" t="str" cm="1">
        <f t="array" ref="V1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" t="str" cm="1">
        <f t="array" ref="W1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" t="str">
        <f>IF(COUNTIFS('Base Estudiantes'!$C:$C,tblMatriculas[[#This Row],[Cédula]],'Base Estudiantes'!$I:$I,tblMatriculas[[#This Row],[Código]])&gt;0,"Sí","No")</f>
        <v>Sí</v>
      </c>
      <c r="Z112" s="23" cm="1">
        <f t="array" ref="Z112">_xlfn.XLOOKUP(tblMatriculas[[#This Row],[Cédula]]&amp;"|"&amp;tblMatriculas[[#This Row],[Código]],tblBase[Documento]&amp;"|"&amp;tblBase[Código grupo],tblBase[Fecha matrícula],"")</f>
        <v>46264</v>
      </c>
    </row>
    <row r="113" spans="1:26" x14ac:dyDescent="0.2">
      <c r="A113" t="s">
        <v>269</v>
      </c>
      <c r="B113" t="s">
        <v>270</v>
      </c>
      <c r="C113" t="s">
        <v>13</v>
      </c>
      <c r="D113" t="s">
        <v>223</v>
      </c>
      <c r="E113" t="s">
        <v>224</v>
      </c>
      <c r="F113" t="s">
        <v>111</v>
      </c>
      <c r="G113" s="1">
        <v>0.2</v>
      </c>
      <c r="H113" t="s">
        <v>232</v>
      </c>
      <c r="I113" t="s">
        <v>18</v>
      </c>
      <c r="J113" t="s">
        <v>226</v>
      </c>
      <c r="K113" t="s">
        <v>24</v>
      </c>
      <c r="L113" s="14">
        <f>IFERROR(VALUE(LEFT(tblMatriculas[[#This Row],[Clases]],FIND("/",tblMatriculas[[#This Row],[Clases]])-1)),"")</f>
        <v>6</v>
      </c>
      <c r="M113" s="14">
        <f>IFERROR(VALUE(MID(tblMatriculas[[#This Row],[Clases]],FIND("/",tblMatriculas[[#This Row],[Clases]])+1,5)),"")</f>
        <v>30</v>
      </c>
      <c r="N1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3" s="14">
        <f>IF(OR(tblMatriculas[[#This Row],[Estado]]&lt;&gt;"activa",tblMatriculas[[#This Row],[Clases dictadas]]=""),"",MAX(0,tblMatriculas[[#This Row],[Clases dictadas]]-tblMatriculas[[#This Row],[Asistidas]]))</f>
        <v>0</v>
      </c>
      <c r="P113" s="1">
        <f>IF(OR(tblMatriculas[[#This Row],[Estado]]&lt;&gt;"activa",tblMatriculas[[#This Row],[Asistidas]]=""),"",tblMatriculas[[#This Row],[Asistencia]])</f>
        <v>0.2</v>
      </c>
      <c r="Q113" t="b">
        <f>AND(tblMatriculas[[#This Row],[Estado]]="activa",ISNUMBER(tblMatriculas[[#This Row],[% asistencia]]),NOT(ISNUMBER(SEARCH(pPrueba,tblMatriculas[[#This Row],[Nombre]]))))</f>
        <v>1</v>
      </c>
      <c r="R1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" s="23" t="str" cm="1">
        <f t="array" ref="S1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" s="23" t="str" cm="1">
        <f t="array" ref="T1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" s="14" t="str" cm="1">
        <f t="array" ref="U1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" t="str" cm="1">
        <f t="array" ref="V1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" t="str" cm="1">
        <f t="array" ref="W1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" t="str">
        <f>IF(COUNTIFS('Base Estudiantes'!$C:$C,tblMatriculas[[#This Row],[Cédula]],'Base Estudiantes'!$I:$I,tblMatriculas[[#This Row],[Código]])&gt;0,"Sí","No")</f>
        <v>Sí</v>
      </c>
      <c r="Z113" s="23" cm="1">
        <f t="array" ref="Z113">_xlfn.XLOOKUP(tblMatriculas[[#This Row],[Cédula]]&amp;"|"&amp;tblMatriculas[[#This Row],[Código]],tblBase[Documento]&amp;"|"&amp;tblBase[Código grupo],tblBase[Fecha matrícula],"")</f>
        <v>46264</v>
      </c>
    </row>
    <row r="114" spans="1:26" x14ac:dyDescent="0.2">
      <c r="A114" t="s">
        <v>271</v>
      </c>
      <c r="B114" t="s">
        <v>272</v>
      </c>
      <c r="C114" t="s">
        <v>13</v>
      </c>
      <c r="D114" t="s">
        <v>223</v>
      </c>
      <c r="E114" t="s">
        <v>224</v>
      </c>
      <c r="F114" t="s">
        <v>111</v>
      </c>
      <c r="G114" s="1">
        <v>0.16699999999999998</v>
      </c>
      <c r="H114" t="s">
        <v>229</v>
      </c>
      <c r="I114" t="s">
        <v>18</v>
      </c>
      <c r="J114" t="s">
        <v>226</v>
      </c>
      <c r="K114" t="s">
        <v>24</v>
      </c>
      <c r="L114" s="14">
        <f>IFERROR(VALUE(LEFT(tblMatriculas[[#This Row],[Clases]],FIND("/",tblMatriculas[[#This Row],[Clases]])-1)),"")</f>
        <v>5</v>
      </c>
      <c r="M114" s="14">
        <f>IFERROR(VALUE(MID(tblMatriculas[[#This Row],[Clases]],FIND("/",tblMatriculas[[#This Row],[Clases]])+1,5)),"")</f>
        <v>30</v>
      </c>
      <c r="N1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4" s="14">
        <f>IF(OR(tblMatriculas[[#This Row],[Estado]]&lt;&gt;"activa",tblMatriculas[[#This Row],[Clases dictadas]]=""),"",MAX(0,tblMatriculas[[#This Row],[Clases dictadas]]-tblMatriculas[[#This Row],[Asistidas]]))</f>
        <v>1</v>
      </c>
      <c r="P114" s="1">
        <f>IF(OR(tblMatriculas[[#This Row],[Estado]]&lt;&gt;"activa",tblMatriculas[[#This Row],[Asistidas]]=""),"",tblMatriculas[[#This Row],[Asistencia]])</f>
        <v>0.16699999999999998</v>
      </c>
      <c r="Q114" t="b">
        <f>AND(tblMatriculas[[#This Row],[Estado]]="activa",ISNUMBER(tblMatriculas[[#This Row],[% asistencia]]),NOT(ISNUMBER(SEARCH(pPrueba,tblMatriculas[[#This Row],[Nombre]]))))</f>
        <v>1</v>
      </c>
      <c r="R1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" s="23" t="str" cm="1">
        <f t="array" ref="S1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" s="23" t="str" cm="1">
        <f t="array" ref="T1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" s="14" t="str" cm="1">
        <f t="array" ref="U1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" t="str" cm="1">
        <f t="array" ref="V1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" t="str" cm="1">
        <f t="array" ref="W1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" t="str">
        <f>IF(COUNTIFS('Base Estudiantes'!$C:$C,tblMatriculas[[#This Row],[Cédula]],'Base Estudiantes'!$I:$I,tblMatriculas[[#This Row],[Código]])&gt;0,"Sí","No")</f>
        <v>Sí</v>
      </c>
      <c r="Z114" s="23" cm="1">
        <f t="array" ref="Z114">_xlfn.XLOOKUP(tblMatriculas[[#This Row],[Cédula]]&amp;"|"&amp;tblMatriculas[[#This Row],[Código]],tblBase[Documento]&amp;"|"&amp;tblBase[Código grupo],tblBase[Fecha matrícula],"")</f>
        <v>46264</v>
      </c>
    </row>
    <row r="115" spans="1:26" x14ac:dyDescent="0.2">
      <c r="A115" t="s">
        <v>273</v>
      </c>
      <c r="B115" t="s">
        <v>274</v>
      </c>
      <c r="C115" t="s">
        <v>13</v>
      </c>
      <c r="D115" t="s">
        <v>223</v>
      </c>
      <c r="E115" t="s">
        <v>224</v>
      </c>
      <c r="F115" t="s">
        <v>111</v>
      </c>
      <c r="G115" s="1">
        <v>0.2</v>
      </c>
      <c r="H115" t="s">
        <v>232</v>
      </c>
      <c r="I115" t="s">
        <v>18</v>
      </c>
      <c r="J115" t="s">
        <v>226</v>
      </c>
      <c r="K115" t="s">
        <v>24</v>
      </c>
      <c r="L115" s="14">
        <f>IFERROR(VALUE(LEFT(tblMatriculas[[#This Row],[Clases]],FIND("/",tblMatriculas[[#This Row],[Clases]])-1)),"")</f>
        <v>6</v>
      </c>
      <c r="M115" s="14">
        <f>IFERROR(VALUE(MID(tblMatriculas[[#This Row],[Clases]],FIND("/",tblMatriculas[[#This Row],[Clases]])+1,5)),"")</f>
        <v>30</v>
      </c>
      <c r="N1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5" s="14">
        <f>IF(OR(tblMatriculas[[#This Row],[Estado]]&lt;&gt;"activa",tblMatriculas[[#This Row],[Clases dictadas]]=""),"",MAX(0,tblMatriculas[[#This Row],[Clases dictadas]]-tblMatriculas[[#This Row],[Asistidas]]))</f>
        <v>0</v>
      </c>
      <c r="P115" s="1">
        <f>IF(OR(tblMatriculas[[#This Row],[Estado]]&lt;&gt;"activa",tblMatriculas[[#This Row],[Asistidas]]=""),"",tblMatriculas[[#This Row],[Asistencia]])</f>
        <v>0.2</v>
      </c>
      <c r="Q115" t="b">
        <f>AND(tblMatriculas[[#This Row],[Estado]]="activa",ISNUMBER(tblMatriculas[[#This Row],[% asistencia]]),NOT(ISNUMBER(SEARCH(pPrueba,tblMatriculas[[#This Row],[Nombre]]))))</f>
        <v>1</v>
      </c>
      <c r="R1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" s="23" t="str" cm="1">
        <f t="array" ref="S1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" s="23" t="str" cm="1">
        <f t="array" ref="T1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" s="14" t="str" cm="1">
        <f t="array" ref="U1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" t="str" cm="1">
        <f t="array" ref="V1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" t="str" cm="1">
        <f t="array" ref="W1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" t="str">
        <f>IF(COUNTIFS('Base Estudiantes'!$C:$C,tblMatriculas[[#This Row],[Cédula]],'Base Estudiantes'!$I:$I,tblMatriculas[[#This Row],[Código]])&gt;0,"Sí","No")</f>
        <v>Sí</v>
      </c>
      <c r="Z115" s="23" cm="1">
        <f t="array" ref="Z115">_xlfn.XLOOKUP(tblMatriculas[[#This Row],[Cédula]]&amp;"|"&amp;tblMatriculas[[#This Row],[Código]],tblBase[Documento]&amp;"|"&amp;tblBase[Código grupo],tblBase[Fecha matrícula],"")</f>
        <v>46264</v>
      </c>
    </row>
    <row r="116" spans="1:26" x14ac:dyDescent="0.2">
      <c r="A116" t="s">
        <v>275</v>
      </c>
      <c r="B116" t="s">
        <v>276</v>
      </c>
      <c r="C116" t="s">
        <v>13</v>
      </c>
      <c r="D116" t="s">
        <v>223</v>
      </c>
      <c r="E116" t="s">
        <v>224</v>
      </c>
      <c r="F116" t="s">
        <v>111</v>
      </c>
      <c r="G116" s="1">
        <v>0.16699999999999998</v>
      </c>
      <c r="H116" t="s">
        <v>229</v>
      </c>
      <c r="I116" t="s">
        <v>18</v>
      </c>
      <c r="J116" t="s">
        <v>226</v>
      </c>
      <c r="K116" t="s">
        <v>24</v>
      </c>
      <c r="L116" s="14">
        <f>IFERROR(VALUE(LEFT(tblMatriculas[[#This Row],[Clases]],FIND("/",tblMatriculas[[#This Row],[Clases]])-1)),"")</f>
        <v>5</v>
      </c>
      <c r="M116" s="14">
        <f>IFERROR(VALUE(MID(tblMatriculas[[#This Row],[Clases]],FIND("/",tblMatriculas[[#This Row],[Clases]])+1,5)),"")</f>
        <v>30</v>
      </c>
      <c r="N1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6" s="14">
        <f>IF(OR(tblMatriculas[[#This Row],[Estado]]&lt;&gt;"activa",tblMatriculas[[#This Row],[Clases dictadas]]=""),"",MAX(0,tblMatriculas[[#This Row],[Clases dictadas]]-tblMatriculas[[#This Row],[Asistidas]]))</f>
        <v>1</v>
      </c>
      <c r="P116" s="1">
        <f>IF(OR(tblMatriculas[[#This Row],[Estado]]&lt;&gt;"activa",tblMatriculas[[#This Row],[Asistidas]]=""),"",tblMatriculas[[#This Row],[Asistencia]])</f>
        <v>0.16699999999999998</v>
      </c>
      <c r="Q116" t="b">
        <f>AND(tblMatriculas[[#This Row],[Estado]]="activa",ISNUMBER(tblMatriculas[[#This Row],[% asistencia]]),NOT(ISNUMBER(SEARCH(pPrueba,tblMatriculas[[#This Row],[Nombre]]))))</f>
        <v>1</v>
      </c>
      <c r="R1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" s="23" t="str" cm="1">
        <f t="array" ref="S1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" s="23" t="str" cm="1">
        <f t="array" ref="T1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" s="14" t="str" cm="1">
        <f t="array" ref="U1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" t="str" cm="1">
        <f t="array" ref="V1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" t="str" cm="1">
        <f t="array" ref="W1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" t="str">
        <f>IF(COUNTIFS('Base Estudiantes'!$C:$C,tblMatriculas[[#This Row],[Cédula]],'Base Estudiantes'!$I:$I,tblMatriculas[[#This Row],[Código]])&gt;0,"Sí","No")</f>
        <v>Sí</v>
      </c>
      <c r="Z116" s="23" cm="1">
        <f t="array" ref="Z116">_xlfn.XLOOKUP(tblMatriculas[[#This Row],[Cédula]]&amp;"|"&amp;tblMatriculas[[#This Row],[Código]],tblBase[Documento]&amp;"|"&amp;tblBase[Código grupo],tblBase[Fecha matrícula],"")</f>
        <v>46264</v>
      </c>
    </row>
    <row r="117" spans="1:26" x14ac:dyDescent="0.2">
      <c r="A117" t="s">
        <v>277</v>
      </c>
      <c r="B117" t="s">
        <v>278</v>
      </c>
      <c r="C117" t="s">
        <v>13</v>
      </c>
      <c r="D117" t="s">
        <v>223</v>
      </c>
      <c r="E117" t="s">
        <v>224</v>
      </c>
      <c r="F117" t="s">
        <v>111</v>
      </c>
      <c r="G117" s="1">
        <v>6.7000000000000004E-2</v>
      </c>
      <c r="H117" t="s">
        <v>166</v>
      </c>
      <c r="I117" t="s">
        <v>18</v>
      </c>
      <c r="J117" t="s">
        <v>226</v>
      </c>
      <c r="K117" t="s">
        <v>24</v>
      </c>
      <c r="L117" s="14">
        <f>IFERROR(VALUE(LEFT(tblMatriculas[[#This Row],[Clases]],FIND("/",tblMatriculas[[#This Row],[Clases]])-1)),"")</f>
        <v>2</v>
      </c>
      <c r="M117" s="14">
        <f>IFERROR(VALUE(MID(tblMatriculas[[#This Row],[Clases]],FIND("/",tblMatriculas[[#This Row],[Clases]])+1,5)),"")</f>
        <v>30</v>
      </c>
      <c r="N1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7" s="14">
        <f>IF(OR(tblMatriculas[[#This Row],[Estado]]&lt;&gt;"activa",tblMatriculas[[#This Row],[Clases dictadas]]=""),"",MAX(0,tblMatriculas[[#This Row],[Clases dictadas]]-tblMatriculas[[#This Row],[Asistidas]]))</f>
        <v>4</v>
      </c>
      <c r="P117" s="1">
        <f>IF(OR(tblMatriculas[[#This Row],[Estado]]&lt;&gt;"activa",tblMatriculas[[#This Row],[Asistidas]]=""),"",tblMatriculas[[#This Row],[Asistencia]])</f>
        <v>6.7000000000000004E-2</v>
      </c>
      <c r="Q117" t="b">
        <f>AND(tblMatriculas[[#This Row],[Estado]]="activa",ISNUMBER(tblMatriculas[[#This Row],[% asistencia]]),NOT(ISNUMBER(SEARCH(pPrueba,tblMatriculas[[#This Row],[Nombre]]))))</f>
        <v>1</v>
      </c>
      <c r="R1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7" s="23" t="str" cm="1">
        <f t="array" ref="S1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" s="23" t="str" cm="1">
        <f t="array" ref="T1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" s="14" t="str" cm="1">
        <f t="array" ref="U1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" t="str" cm="1">
        <f t="array" ref="V1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" t="str" cm="1">
        <f t="array" ref="W1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7" t="str">
        <f>IF(COUNTIFS('Base Estudiantes'!$C:$C,tblMatriculas[[#This Row],[Cédula]],'Base Estudiantes'!$I:$I,tblMatriculas[[#This Row],[Código]])&gt;0,"Sí","No")</f>
        <v>Sí</v>
      </c>
      <c r="Z117" s="23" cm="1">
        <f t="array" ref="Z117">_xlfn.XLOOKUP(tblMatriculas[[#This Row],[Cédula]]&amp;"|"&amp;tblMatriculas[[#This Row],[Código]],tblBase[Documento]&amp;"|"&amp;tblBase[Código grupo],tblBase[Fecha matrícula],"")</f>
        <v>46264</v>
      </c>
    </row>
    <row r="118" spans="1:26" x14ac:dyDescent="0.2">
      <c r="A118" t="s">
        <v>279</v>
      </c>
      <c r="B118" t="s">
        <v>280</v>
      </c>
      <c r="C118" t="s">
        <v>13</v>
      </c>
      <c r="D118" t="s">
        <v>223</v>
      </c>
      <c r="E118" t="s">
        <v>224</v>
      </c>
      <c r="F118" t="s">
        <v>111</v>
      </c>
      <c r="G118" s="1">
        <v>0</v>
      </c>
      <c r="H118" t="s">
        <v>254</v>
      </c>
      <c r="I118" t="s">
        <v>18</v>
      </c>
      <c r="J118" t="s">
        <v>226</v>
      </c>
      <c r="K118" t="s">
        <v>24</v>
      </c>
      <c r="L118" s="14">
        <f>IFERROR(VALUE(LEFT(tblMatriculas[[#This Row],[Clases]],FIND("/",tblMatriculas[[#This Row],[Clases]])-1)),"")</f>
        <v>0</v>
      </c>
      <c r="M118" s="14">
        <f>IFERROR(VALUE(MID(tblMatriculas[[#This Row],[Clases]],FIND("/",tblMatriculas[[#This Row],[Clases]])+1,5)),"")</f>
        <v>30</v>
      </c>
      <c r="N1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8" s="14">
        <f>IF(OR(tblMatriculas[[#This Row],[Estado]]&lt;&gt;"activa",tblMatriculas[[#This Row],[Clases dictadas]]=""),"",MAX(0,tblMatriculas[[#This Row],[Clases dictadas]]-tblMatriculas[[#This Row],[Asistidas]]))</f>
        <v>6</v>
      </c>
      <c r="P118" s="1">
        <f>IF(OR(tblMatriculas[[#This Row],[Estado]]&lt;&gt;"activa",tblMatriculas[[#This Row],[Asistidas]]=""),"",tblMatriculas[[#This Row],[Asistencia]])</f>
        <v>0</v>
      </c>
      <c r="Q118" t="b">
        <f>AND(tblMatriculas[[#This Row],[Estado]]="activa",ISNUMBER(tblMatriculas[[#This Row],[% asistencia]]),NOT(ISNUMBER(SEARCH(pPrueba,tblMatriculas[[#This Row],[Nombre]]))))</f>
        <v>1</v>
      </c>
      <c r="R1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8" s="23" t="str" cm="1">
        <f t="array" ref="S1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" s="23" t="str" cm="1">
        <f t="array" ref="T1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" s="14" t="str" cm="1">
        <f t="array" ref="U1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" t="str" cm="1">
        <f t="array" ref="V1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" t="str" cm="1">
        <f t="array" ref="W1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8" t="str">
        <f>IF(COUNTIFS('Base Estudiantes'!$C:$C,tblMatriculas[[#This Row],[Cédula]],'Base Estudiantes'!$I:$I,tblMatriculas[[#This Row],[Código]])&gt;0,"Sí","No")</f>
        <v>Sí</v>
      </c>
      <c r="Z118" s="23" cm="1">
        <f t="array" ref="Z118">_xlfn.XLOOKUP(tblMatriculas[[#This Row],[Cédula]]&amp;"|"&amp;tblMatriculas[[#This Row],[Código]],tblBase[Documento]&amp;"|"&amp;tblBase[Código grupo],tblBase[Fecha matrícula],"")</f>
        <v>46264</v>
      </c>
    </row>
    <row r="119" spans="1:26" x14ac:dyDescent="0.2">
      <c r="A119" t="s">
        <v>281</v>
      </c>
      <c r="B119" t="s">
        <v>282</v>
      </c>
      <c r="C119" t="s">
        <v>13</v>
      </c>
      <c r="D119" t="s">
        <v>223</v>
      </c>
      <c r="E119" t="s">
        <v>224</v>
      </c>
      <c r="F119" t="s">
        <v>111</v>
      </c>
      <c r="G119" s="1">
        <v>0.16699999999999998</v>
      </c>
      <c r="H119" t="s">
        <v>229</v>
      </c>
      <c r="I119" t="s">
        <v>18</v>
      </c>
      <c r="J119" t="s">
        <v>226</v>
      </c>
      <c r="K119" t="s">
        <v>24</v>
      </c>
      <c r="L119" s="14">
        <f>IFERROR(VALUE(LEFT(tblMatriculas[[#This Row],[Clases]],FIND("/",tblMatriculas[[#This Row],[Clases]])-1)),"")</f>
        <v>5</v>
      </c>
      <c r="M119" s="14">
        <f>IFERROR(VALUE(MID(tblMatriculas[[#This Row],[Clases]],FIND("/",tblMatriculas[[#This Row],[Clases]])+1,5)),"")</f>
        <v>30</v>
      </c>
      <c r="N1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19" s="14">
        <f>IF(OR(tblMatriculas[[#This Row],[Estado]]&lt;&gt;"activa",tblMatriculas[[#This Row],[Clases dictadas]]=""),"",MAX(0,tblMatriculas[[#This Row],[Clases dictadas]]-tblMatriculas[[#This Row],[Asistidas]]))</f>
        <v>1</v>
      </c>
      <c r="P119" s="1">
        <f>IF(OR(tblMatriculas[[#This Row],[Estado]]&lt;&gt;"activa",tblMatriculas[[#This Row],[Asistidas]]=""),"",tblMatriculas[[#This Row],[Asistencia]])</f>
        <v>0.16699999999999998</v>
      </c>
      <c r="Q119" t="b">
        <f>AND(tblMatriculas[[#This Row],[Estado]]="activa",ISNUMBER(tblMatriculas[[#This Row],[% asistencia]]),NOT(ISNUMBER(SEARCH(pPrueba,tblMatriculas[[#This Row],[Nombre]]))))</f>
        <v>1</v>
      </c>
      <c r="R1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" s="23" t="str" cm="1">
        <f t="array" ref="S1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" s="23" t="str" cm="1">
        <f t="array" ref="T1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" s="14" t="str" cm="1">
        <f t="array" ref="U1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" t="str" cm="1">
        <f t="array" ref="V1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" t="str" cm="1">
        <f t="array" ref="W1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" t="str">
        <f>IF(COUNTIFS('Base Estudiantes'!$C:$C,tblMatriculas[[#This Row],[Cédula]],'Base Estudiantes'!$I:$I,tblMatriculas[[#This Row],[Código]])&gt;0,"Sí","No")</f>
        <v>Sí</v>
      </c>
      <c r="Z119" s="23" cm="1">
        <f t="array" ref="Z119">_xlfn.XLOOKUP(tblMatriculas[[#This Row],[Cédula]]&amp;"|"&amp;tblMatriculas[[#This Row],[Código]],tblBase[Documento]&amp;"|"&amp;tblBase[Código grupo],tblBase[Fecha matrícula],"")</f>
        <v>46264</v>
      </c>
    </row>
    <row r="120" spans="1:26" x14ac:dyDescent="0.2">
      <c r="A120" t="s">
        <v>283</v>
      </c>
      <c r="B120" t="s">
        <v>284</v>
      </c>
      <c r="C120" t="s">
        <v>13</v>
      </c>
      <c r="D120" t="s">
        <v>223</v>
      </c>
      <c r="E120" t="s">
        <v>224</v>
      </c>
      <c r="F120" t="s">
        <v>111</v>
      </c>
      <c r="G120" s="1">
        <v>0.2</v>
      </c>
      <c r="H120" t="s">
        <v>232</v>
      </c>
      <c r="I120" t="s">
        <v>18</v>
      </c>
      <c r="J120" t="s">
        <v>226</v>
      </c>
      <c r="K120" t="s">
        <v>24</v>
      </c>
      <c r="L120" s="14">
        <f>IFERROR(VALUE(LEFT(tblMatriculas[[#This Row],[Clases]],FIND("/",tblMatriculas[[#This Row],[Clases]])-1)),"")</f>
        <v>6</v>
      </c>
      <c r="M120" s="14">
        <f>IFERROR(VALUE(MID(tblMatriculas[[#This Row],[Clases]],FIND("/",tblMatriculas[[#This Row],[Clases]])+1,5)),"")</f>
        <v>30</v>
      </c>
      <c r="N1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0" s="14">
        <f>IF(OR(tblMatriculas[[#This Row],[Estado]]&lt;&gt;"activa",tblMatriculas[[#This Row],[Clases dictadas]]=""),"",MAX(0,tblMatriculas[[#This Row],[Clases dictadas]]-tblMatriculas[[#This Row],[Asistidas]]))</f>
        <v>0</v>
      </c>
      <c r="P120" s="1">
        <f>IF(OR(tblMatriculas[[#This Row],[Estado]]&lt;&gt;"activa",tblMatriculas[[#This Row],[Asistidas]]=""),"",tblMatriculas[[#This Row],[Asistencia]])</f>
        <v>0.2</v>
      </c>
      <c r="Q120" t="b">
        <f>AND(tblMatriculas[[#This Row],[Estado]]="activa",ISNUMBER(tblMatriculas[[#This Row],[% asistencia]]),NOT(ISNUMBER(SEARCH(pPrueba,tblMatriculas[[#This Row],[Nombre]]))))</f>
        <v>1</v>
      </c>
      <c r="R1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" s="23" t="str" cm="1">
        <f t="array" ref="S1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" s="23" t="str" cm="1">
        <f t="array" ref="T1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" s="14" t="str" cm="1">
        <f t="array" ref="U1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" t="str" cm="1">
        <f t="array" ref="V1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" t="str" cm="1">
        <f t="array" ref="W1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" t="str">
        <f>IF(COUNTIFS('Base Estudiantes'!$C:$C,tblMatriculas[[#This Row],[Cédula]],'Base Estudiantes'!$I:$I,tblMatriculas[[#This Row],[Código]])&gt;0,"Sí","No")</f>
        <v>Sí</v>
      </c>
      <c r="Z120" s="23" cm="1">
        <f t="array" ref="Z120">_xlfn.XLOOKUP(tblMatriculas[[#This Row],[Cédula]]&amp;"|"&amp;tblMatriculas[[#This Row],[Código]],tblBase[Documento]&amp;"|"&amp;tblBase[Código grupo],tblBase[Fecha matrícula],"")</f>
        <v>46264</v>
      </c>
    </row>
    <row r="121" spans="1:26" x14ac:dyDescent="0.2">
      <c r="A121" t="s">
        <v>285</v>
      </c>
      <c r="B121" t="s">
        <v>286</v>
      </c>
      <c r="C121" t="s">
        <v>13</v>
      </c>
      <c r="D121" t="s">
        <v>223</v>
      </c>
      <c r="E121" t="s">
        <v>224</v>
      </c>
      <c r="F121" t="s">
        <v>111</v>
      </c>
      <c r="G121" s="1">
        <v>0.2</v>
      </c>
      <c r="H121" t="s">
        <v>232</v>
      </c>
      <c r="I121" t="s">
        <v>18</v>
      </c>
      <c r="J121" t="s">
        <v>226</v>
      </c>
      <c r="K121" t="s">
        <v>24</v>
      </c>
      <c r="L121" s="14">
        <f>IFERROR(VALUE(LEFT(tblMatriculas[[#This Row],[Clases]],FIND("/",tblMatriculas[[#This Row],[Clases]])-1)),"")</f>
        <v>6</v>
      </c>
      <c r="M121" s="14">
        <f>IFERROR(VALUE(MID(tblMatriculas[[#This Row],[Clases]],FIND("/",tblMatriculas[[#This Row],[Clases]])+1,5)),"")</f>
        <v>30</v>
      </c>
      <c r="N1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1" s="14">
        <f>IF(OR(tblMatriculas[[#This Row],[Estado]]&lt;&gt;"activa",tblMatriculas[[#This Row],[Clases dictadas]]=""),"",MAX(0,tblMatriculas[[#This Row],[Clases dictadas]]-tblMatriculas[[#This Row],[Asistidas]]))</f>
        <v>0</v>
      </c>
      <c r="P121" s="1">
        <f>IF(OR(tblMatriculas[[#This Row],[Estado]]&lt;&gt;"activa",tblMatriculas[[#This Row],[Asistidas]]=""),"",tblMatriculas[[#This Row],[Asistencia]])</f>
        <v>0.2</v>
      </c>
      <c r="Q121" t="b">
        <f>AND(tblMatriculas[[#This Row],[Estado]]="activa",ISNUMBER(tblMatriculas[[#This Row],[% asistencia]]),NOT(ISNUMBER(SEARCH(pPrueba,tblMatriculas[[#This Row],[Nombre]]))))</f>
        <v>1</v>
      </c>
      <c r="R1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" s="23" t="str" cm="1">
        <f t="array" ref="S1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" s="23" t="str" cm="1">
        <f t="array" ref="T1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" s="14" t="str" cm="1">
        <f t="array" ref="U1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" t="str" cm="1">
        <f t="array" ref="V1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" t="str" cm="1">
        <f t="array" ref="W1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" t="str">
        <f>IF(COUNTIFS('Base Estudiantes'!$C:$C,tblMatriculas[[#This Row],[Cédula]],'Base Estudiantes'!$I:$I,tblMatriculas[[#This Row],[Código]])&gt;0,"Sí","No")</f>
        <v>Sí</v>
      </c>
      <c r="Z121" s="23" cm="1">
        <f t="array" ref="Z121">_xlfn.XLOOKUP(tblMatriculas[[#This Row],[Cédula]]&amp;"|"&amp;tblMatriculas[[#This Row],[Código]],tblBase[Documento]&amp;"|"&amp;tblBase[Código grupo],tblBase[Fecha matrícula],"")</f>
        <v>46264</v>
      </c>
    </row>
    <row r="122" spans="1:26" x14ac:dyDescent="0.2">
      <c r="A122" t="s">
        <v>287</v>
      </c>
      <c r="B122" t="s">
        <v>288</v>
      </c>
      <c r="C122" t="s">
        <v>13</v>
      </c>
      <c r="D122" t="s">
        <v>223</v>
      </c>
      <c r="E122" t="s">
        <v>224</v>
      </c>
      <c r="F122" t="s">
        <v>111</v>
      </c>
      <c r="G122" s="1">
        <v>0.16699999999999998</v>
      </c>
      <c r="H122" t="s">
        <v>229</v>
      </c>
      <c r="I122" t="s">
        <v>18</v>
      </c>
      <c r="J122" t="s">
        <v>226</v>
      </c>
      <c r="K122" t="s">
        <v>24</v>
      </c>
      <c r="L122" s="14">
        <f>IFERROR(VALUE(LEFT(tblMatriculas[[#This Row],[Clases]],FIND("/",tblMatriculas[[#This Row],[Clases]])-1)),"")</f>
        <v>5</v>
      </c>
      <c r="M122" s="14">
        <f>IFERROR(VALUE(MID(tblMatriculas[[#This Row],[Clases]],FIND("/",tblMatriculas[[#This Row],[Clases]])+1,5)),"")</f>
        <v>30</v>
      </c>
      <c r="N1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2" s="14">
        <f>IF(OR(tblMatriculas[[#This Row],[Estado]]&lt;&gt;"activa",tblMatriculas[[#This Row],[Clases dictadas]]=""),"",MAX(0,tblMatriculas[[#This Row],[Clases dictadas]]-tblMatriculas[[#This Row],[Asistidas]]))</f>
        <v>1</v>
      </c>
      <c r="P122" s="1">
        <f>IF(OR(tblMatriculas[[#This Row],[Estado]]&lt;&gt;"activa",tblMatriculas[[#This Row],[Asistidas]]=""),"",tblMatriculas[[#This Row],[Asistencia]])</f>
        <v>0.16699999999999998</v>
      </c>
      <c r="Q122" t="b">
        <f>AND(tblMatriculas[[#This Row],[Estado]]="activa",ISNUMBER(tblMatriculas[[#This Row],[% asistencia]]),NOT(ISNUMBER(SEARCH(pPrueba,tblMatriculas[[#This Row],[Nombre]]))))</f>
        <v>1</v>
      </c>
      <c r="R1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" s="23" t="str" cm="1">
        <f t="array" ref="S1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" s="23" t="str" cm="1">
        <f t="array" ref="T1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" s="14" t="str" cm="1">
        <f t="array" ref="U1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" t="str" cm="1">
        <f t="array" ref="V1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" t="str" cm="1">
        <f t="array" ref="W1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" t="str">
        <f>IF(COUNTIFS('Base Estudiantes'!$C:$C,tblMatriculas[[#This Row],[Cédula]],'Base Estudiantes'!$I:$I,tblMatriculas[[#This Row],[Código]])&gt;0,"Sí","No")</f>
        <v>Sí</v>
      </c>
      <c r="Z122" s="23" cm="1">
        <f t="array" ref="Z122">_xlfn.XLOOKUP(tblMatriculas[[#This Row],[Cédula]]&amp;"|"&amp;tblMatriculas[[#This Row],[Código]],tblBase[Documento]&amp;"|"&amp;tblBase[Código grupo],tblBase[Fecha matrícula],"")</f>
        <v>46264</v>
      </c>
    </row>
    <row r="123" spans="1:26" x14ac:dyDescent="0.2">
      <c r="A123" t="s">
        <v>289</v>
      </c>
      <c r="B123" t="s">
        <v>290</v>
      </c>
      <c r="C123" t="s">
        <v>13</v>
      </c>
      <c r="D123" t="s">
        <v>223</v>
      </c>
      <c r="E123" t="s">
        <v>224</v>
      </c>
      <c r="F123" t="s">
        <v>111</v>
      </c>
      <c r="G123" s="1">
        <v>0.2</v>
      </c>
      <c r="H123" t="s">
        <v>232</v>
      </c>
      <c r="I123" t="s">
        <v>18</v>
      </c>
      <c r="J123" t="s">
        <v>226</v>
      </c>
      <c r="K123" t="s">
        <v>24</v>
      </c>
      <c r="L123" s="14">
        <f>IFERROR(VALUE(LEFT(tblMatriculas[[#This Row],[Clases]],FIND("/",tblMatriculas[[#This Row],[Clases]])-1)),"")</f>
        <v>6</v>
      </c>
      <c r="M123" s="14">
        <f>IFERROR(VALUE(MID(tblMatriculas[[#This Row],[Clases]],FIND("/",tblMatriculas[[#This Row],[Clases]])+1,5)),"")</f>
        <v>30</v>
      </c>
      <c r="N1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" s="14">
        <f>IF(OR(tblMatriculas[[#This Row],[Estado]]&lt;&gt;"activa",tblMatriculas[[#This Row],[Clases dictadas]]=""),"",MAX(0,tblMatriculas[[#This Row],[Clases dictadas]]-tblMatriculas[[#This Row],[Asistidas]]))</f>
        <v>0</v>
      </c>
      <c r="P123" s="1">
        <f>IF(OR(tblMatriculas[[#This Row],[Estado]]&lt;&gt;"activa",tblMatriculas[[#This Row],[Asistidas]]=""),"",tblMatriculas[[#This Row],[Asistencia]])</f>
        <v>0.2</v>
      </c>
      <c r="Q123" t="b">
        <f>AND(tblMatriculas[[#This Row],[Estado]]="activa",ISNUMBER(tblMatriculas[[#This Row],[% asistencia]]),NOT(ISNUMBER(SEARCH(pPrueba,tblMatriculas[[#This Row],[Nombre]]))))</f>
        <v>1</v>
      </c>
      <c r="R1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" s="23" t="str" cm="1">
        <f t="array" ref="S1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" s="23" t="str" cm="1">
        <f t="array" ref="T1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" s="14" t="str" cm="1">
        <f t="array" ref="U1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" t="str" cm="1">
        <f t="array" ref="V1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" t="str" cm="1">
        <f t="array" ref="W1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" t="str">
        <f>IF(COUNTIFS('Base Estudiantes'!$C:$C,tblMatriculas[[#This Row],[Cédula]],'Base Estudiantes'!$I:$I,tblMatriculas[[#This Row],[Código]])&gt;0,"Sí","No")</f>
        <v>Sí</v>
      </c>
      <c r="Z123" s="23" cm="1">
        <f t="array" ref="Z123">_xlfn.XLOOKUP(tblMatriculas[[#This Row],[Cédula]]&amp;"|"&amp;tblMatriculas[[#This Row],[Código]],tblBase[Documento]&amp;"|"&amp;tblBase[Código grupo],tblBase[Fecha matrícula],"")</f>
        <v>46264</v>
      </c>
    </row>
    <row r="124" spans="1:26" x14ac:dyDescent="0.2">
      <c r="A124" t="s">
        <v>291</v>
      </c>
      <c r="B124" t="s">
        <v>292</v>
      </c>
      <c r="C124" t="s">
        <v>13</v>
      </c>
      <c r="D124" t="s">
        <v>223</v>
      </c>
      <c r="E124" t="s">
        <v>224</v>
      </c>
      <c r="F124" t="s">
        <v>111</v>
      </c>
      <c r="G124" s="1">
        <v>0</v>
      </c>
      <c r="H124" t="s">
        <v>254</v>
      </c>
      <c r="I124" t="s">
        <v>18</v>
      </c>
      <c r="J124" t="s">
        <v>226</v>
      </c>
      <c r="K124" t="s">
        <v>24</v>
      </c>
      <c r="L124" s="14">
        <f>IFERROR(VALUE(LEFT(tblMatriculas[[#This Row],[Clases]],FIND("/",tblMatriculas[[#This Row],[Clases]])-1)),"")</f>
        <v>0</v>
      </c>
      <c r="M124" s="14">
        <f>IFERROR(VALUE(MID(tblMatriculas[[#This Row],[Clases]],FIND("/",tblMatriculas[[#This Row],[Clases]])+1,5)),"")</f>
        <v>30</v>
      </c>
      <c r="N1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" s="14">
        <f>IF(OR(tblMatriculas[[#This Row],[Estado]]&lt;&gt;"activa",tblMatriculas[[#This Row],[Clases dictadas]]=""),"",MAX(0,tblMatriculas[[#This Row],[Clases dictadas]]-tblMatriculas[[#This Row],[Asistidas]]))</f>
        <v>6</v>
      </c>
      <c r="P124" s="1">
        <f>IF(OR(tblMatriculas[[#This Row],[Estado]]&lt;&gt;"activa",tblMatriculas[[#This Row],[Asistidas]]=""),"",tblMatriculas[[#This Row],[Asistencia]])</f>
        <v>0</v>
      </c>
      <c r="Q124" t="b">
        <f>AND(tblMatriculas[[#This Row],[Estado]]="activa",ISNUMBER(tblMatriculas[[#This Row],[% asistencia]]),NOT(ISNUMBER(SEARCH(pPrueba,tblMatriculas[[#This Row],[Nombre]]))))</f>
        <v>1</v>
      </c>
      <c r="R1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4" s="23" t="str" cm="1">
        <f t="array" ref="S1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" s="23" t="str" cm="1">
        <f t="array" ref="T1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" s="14" t="str" cm="1">
        <f t="array" ref="U1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" t="str" cm="1">
        <f t="array" ref="V1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" t="str" cm="1">
        <f t="array" ref="W1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4" t="str">
        <f>IF(COUNTIFS('Base Estudiantes'!$C:$C,tblMatriculas[[#This Row],[Cédula]],'Base Estudiantes'!$I:$I,tblMatriculas[[#This Row],[Código]])&gt;0,"Sí","No")</f>
        <v>Sí</v>
      </c>
      <c r="Z124" s="23" cm="1">
        <f t="array" ref="Z124">_xlfn.XLOOKUP(tblMatriculas[[#This Row],[Cédula]]&amp;"|"&amp;tblMatriculas[[#This Row],[Código]],tblBase[Documento]&amp;"|"&amp;tblBase[Código grupo],tblBase[Fecha matrícula],"")</f>
        <v>46264</v>
      </c>
    </row>
    <row r="125" spans="1:26" x14ac:dyDescent="0.2">
      <c r="A125" t="s">
        <v>293</v>
      </c>
      <c r="B125" t="s">
        <v>294</v>
      </c>
      <c r="C125" t="s">
        <v>13</v>
      </c>
      <c r="D125" t="s">
        <v>223</v>
      </c>
      <c r="E125" t="s">
        <v>224</v>
      </c>
      <c r="F125" t="s">
        <v>111</v>
      </c>
      <c r="G125" s="1">
        <v>6.7000000000000004E-2</v>
      </c>
      <c r="H125" t="s">
        <v>166</v>
      </c>
      <c r="I125" t="s">
        <v>18</v>
      </c>
      <c r="J125" t="s">
        <v>226</v>
      </c>
      <c r="K125" t="s">
        <v>24</v>
      </c>
      <c r="L125" s="14">
        <f>IFERROR(VALUE(LEFT(tblMatriculas[[#This Row],[Clases]],FIND("/",tblMatriculas[[#This Row],[Clases]])-1)),"")</f>
        <v>2</v>
      </c>
      <c r="M125" s="14">
        <f>IFERROR(VALUE(MID(tblMatriculas[[#This Row],[Clases]],FIND("/",tblMatriculas[[#This Row],[Clases]])+1,5)),"")</f>
        <v>30</v>
      </c>
      <c r="N1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5" s="14">
        <f>IF(OR(tblMatriculas[[#This Row],[Estado]]&lt;&gt;"activa",tblMatriculas[[#This Row],[Clases dictadas]]=""),"",MAX(0,tblMatriculas[[#This Row],[Clases dictadas]]-tblMatriculas[[#This Row],[Asistidas]]))</f>
        <v>4</v>
      </c>
      <c r="P125" s="1">
        <f>IF(OR(tblMatriculas[[#This Row],[Estado]]&lt;&gt;"activa",tblMatriculas[[#This Row],[Asistidas]]=""),"",tblMatriculas[[#This Row],[Asistencia]])</f>
        <v>6.7000000000000004E-2</v>
      </c>
      <c r="Q125" t="b">
        <f>AND(tblMatriculas[[#This Row],[Estado]]="activa",ISNUMBER(tblMatriculas[[#This Row],[% asistencia]]),NOT(ISNUMBER(SEARCH(pPrueba,tblMatriculas[[#This Row],[Nombre]]))))</f>
        <v>1</v>
      </c>
      <c r="R1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5" s="23" t="str" cm="1">
        <f t="array" ref="S1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" s="23" t="str" cm="1">
        <f t="array" ref="T1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" s="14" t="str" cm="1">
        <f t="array" ref="U1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" t="str" cm="1">
        <f t="array" ref="V1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" t="str" cm="1">
        <f t="array" ref="W1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5" t="str">
        <f>IF(COUNTIFS('Base Estudiantes'!$C:$C,tblMatriculas[[#This Row],[Cédula]],'Base Estudiantes'!$I:$I,tblMatriculas[[#This Row],[Código]])&gt;0,"Sí","No")</f>
        <v>Sí</v>
      </c>
      <c r="Z125" s="23" cm="1">
        <f t="array" ref="Z125">_xlfn.XLOOKUP(tblMatriculas[[#This Row],[Cédula]]&amp;"|"&amp;tblMatriculas[[#This Row],[Código]],tblBase[Documento]&amp;"|"&amp;tblBase[Código grupo],tblBase[Fecha matrícula],"")</f>
        <v>46264</v>
      </c>
    </row>
    <row r="126" spans="1:26" x14ac:dyDescent="0.2">
      <c r="A126" t="s">
        <v>295</v>
      </c>
      <c r="B126" t="s">
        <v>296</v>
      </c>
      <c r="C126" t="s">
        <v>13</v>
      </c>
      <c r="D126" t="s">
        <v>223</v>
      </c>
      <c r="E126" t="s">
        <v>224</v>
      </c>
      <c r="F126" t="s">
        <v>111</v>
      </c>
      <c r="G126" s="1">
        <v>0.16699999999999998</v>
      </c>
      <c r="H126" t="s">
        <v>229</v>
      </c>
      <c r="I126" t="s">
        <v>18</v>
      </c>
      <c r="J126" t="s">
        <v>226</v>
      </c>
      <c r="K126" t="s">
        <v>24</v>
      </c>
      <c r="L126" s="14">
        <f>IFERROR(VALUE(LEFT(tblMatriculas[[#This Row],[Clases]],FIND("/",tblMatriculas[[#This Row],[Clases]])-1)),"")</f>
        <v>5</v>
      </c>
      <c r="M126" s="14">
        <f>IFERROR(VALUE(MID(tblMatriculas[[#This Row],[Clases]],FIND("/",tblMatriculas[[#This Row],[Clases]])+1,5)),"")</f>
        <v>30</v>
      </c>
      <c r="N1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6" s="14">
        <f>IF(OR(tblMatriculas[[#This Row],[Estado]]&lt;&gt;"activa",tblMatriculas[[#This Row],[Clases dictadas]]=""),"",MAX(0,tblMatriculas[[#This Row],[Clases dictadas]]-tblMatriculas[[#This Row],[Asistidas]]))</f>
        <v>1</v>
      </c>
      <c r="P126" s="1">
        <f>IF(OR(tblMatriculas[[#This Row],[Estado]]&lt;&gt;"activa",tblMatriculas[[#This Row],[Asistidas]]=""),"",tblMatriculas[[#This Row],[Asistencia]])</f>
        <v>0.16699999999999998</v>
      </c>
      <c r="Q126" t="b">
        <f>AND(tblMatriculas[[#This Row],[Estado]]="activa",ISNUMBER(tblMatriculas[[#This Row],[% asistencia]]),NOT(ISNUMBER(SEARCH(pPrueba,tblMatriculas[[#This Row],[Nombre]]))))</f>
        <v>1</v>
      </c>
      <c r="R1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" s="23" t="str" cm="1">
        <f t="array" ref="S1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" s="23" t="str" cm="1">
        <f t="array" ref="T1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" s="14" t="str" cm="1">
        <f t="array" ref="U1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" t="str" cm="1">
        <f t="array" ref="V1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" t="str" cm="1">
        <f t="array" ref="W1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" t="str">
        <f>IF(COUNTIFS('Base Estudiantes'!$C:$C,tblMatriculas[[#This Row],[Cédula]],'Base Estudiantes'!$I:$I,tblMatriculas[[#This Row],[Código]])&gt;0,"Sí","No")</f>
        <v>Sí</v>
      </c>
      <c r="Z126" s="23" cm="1">
        <f t="array" ref="Z126">_xlfn.XLOOKUP(tblMatriculas[[#This Row],[Cédula]]&amp;"|"&amp;tblMatriculas[[#This Row],[Código]],tblBase[Documento]&amp;"|"&amp;tblBase[Código grupo],tblBase[Fecha matrícula],"")</f>
        <v>46264</v>
      </c>
    </row>
    <row r="127" spans="1:26" x14ac:dyDescent="0.2">
      <c r="A127" t="s">
        <v>297</v>
      </c>
      <c r="B127" t="s">
        <v>298</v>
      </c>
      <c r="C127" t="s">
        <v>13</v>
      </c>
      <c r="D127" t="s">
        <v>223</v>
      </c>
      <c r="E127" t="s">
        <v>224</v>
      </c>
      <c r="F127" t="s">
        <v>111</v>
      </c>
      <c r="G127" s="1">
        <v>0.2</v>
      </c>
      <c r="H127" t="s">
        <v>232</v>
      </c>
      <c r="I127" t="s">
        <v>18</v>
      </c>
      <c r="J127" t="s">
        <v>226</v>
      </c>
      <c r="K127" t="s">
        <v>24</v>
      </c>
      <c r="L127" s="14">
        <f>IFERROR(VALUE(LEFT(tblMatriculas[[#This Row],[Clases]],FIND("/",tblMatriculas[[#This Row],[Clases]])-1)),"")</f>
        <v>6</v>
      </c>
      <c r="M127" s="14">
        <f>IFERROR(VALUE(MID(tblMatriculas[[#This Row],[Clases]],FIND("/",tblMatriculas[[#This Row],[Clases]])+1,5)),"")</f>
        <v>30</v>
      </c>
      <c r="N1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7" s="14">
        <f>IF(OR(tblMatriculas[[#This Row],[Estado]]&lt;&gt;"activa",tblMatriculas[[#This Row],[Clases dictadas]]=""),"",MAX(0,tblMatriculas[[#This Row],[Clases dictadas]]-tblMatriculas[[#This Row],[Asistidas]]))</f>
        <v>0</v>
      </c>
      <c r="P127" s="1">
        <f>IF(OR(tblMatriculas[[#This Row],[Estado]]&lt;&gt;"activa",tblMatriculas[[#This Row],[Asistidas]]=""),"",tblMatriculas[[#This Row],[Asistencia]])</f>
        <v>0.2</v>
      </c>
      <c r="Q127" t="b">
        <f>AND(tblMatriculas[[#This Row],[Estado]]="activa",ISNUMBER(tblMatriculas[[#This Row],[% asistencia]]),NOT(ISNUMBER(SEARCH(pPrueba,tblMatriculas[[#This Row],[Nombre]]))))</f>
        <v>1</v>
      </c>
      <c r="R1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7" s="23" t="str" cm="1">
        <f t="array" ref="S1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" s="23" t="str" cm="1">
        <f t="array" ref="T1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" s="14" t="str" cm="1">
        <f t="array" ref="U1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" t="str" cm="1">
        <f t="array" ref="V1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" t="str" cm="1">
        <f t="array" ref="W1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7" t="str">
        <f>IF(COUNTIFS('Base Estudiantes'!$C:$C,tblMatriculas[[#This Row],[Cédula]],'Base Estudiantes'!$I:$I,tblMatriculas[[#This Row],[Código]])&gt;0,"Sí","No")</f>
        <v>Sí</v>
      </c>
      <c r="Z127" s="23" cm="1">
        <f t="array" ref="Z127">_xlfn.XLOOKUP(tblMatriculas[[#This Row],[Cédula]]&amp;"|"&amp;tblMatriculas[[#This Row],[Código]],tblBase[Documento]&amp;"|"&amp;tblBase[Código grupo],tblBase[Fecha matrícula],"")</f>
        <v>46264</v>
      </c>
    </row>
    <row r="128" spans="1:26" x14ac:dyDescent="0.2">
      <c r="A128" t="s">
        <v>299</v>
      </c>
      <c r="B128" t="s">
        <v>300</v>
      </c>
      <c r="C128" t="s">
        <v>13</v>
      </c>
      <c r="D128" t="s">
        <v>223</v>
      </c>
      <c r="E128" t="s">
        <v>224</v>
      </c>
      <c r="F128" t="s">
        <v>111</v>
      </c>
      <c r="G128" s="1">
        <v>0.13300000000000001</v>
      </c>
      <c r="H128" t="s">
        <v>112</v>
      </c>
      <c r="I128" t="s">
        <v>18</v>
      </c>
      <c r="J128" t="s">
        <v>226</v>
      </c>
      <c r="K128" t="s">
        <v>24</v>
      </c>
      <c r="L128" s="14">
        <f>IFERROR(VALUE(LEFT(tblMatriculas[[#This Row],[Clases]],FIND("/",tblMatriculas[[#This Row],[Clases]])-1)),"")</f>
        <v>4</v>
      </c>
      <c r="M128" s="14">
        <f>IFERROR(VALUE(MID(tblMatriculas[[#This Row],[Clases]],FIND("/",tblMatriculas[[#This Row],[Clases]])+1,5)),"")</f>
        <v>30</v>
      </c>
      <c r="N1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8" s="14">
        <f>IF(OR(tblMatriculas[[#This Row],[Estado]]&lt;&gt;"activa",tblMatriculas[[#This Row],[Clases dictadas]]=""),"",MAX(0,tblMatriculas[[#This Row],[Clases dictadas]]-tblMatriculas[[#This Row],[Asistidas]]))</f>
        <v>2</v>
      </c>
      <c r="P128" s="1">
        <f>IF(OR(tblMatriculas[[#This Row],[Estado]]&lt;&gt;"activa",tblMatriculas[[#This Row],[Asistidas]]=""),"",tblMatriculas[[#This Row],[Asistencia]])</f>
        <v>0.13300000000000001</v>
      </c>
      <c r="Q128" t="b">
        <f>AND(tblMatriculas[[#This Row],[Estado]]="activa",ISNUMBER(tblMatriculas[[#This Row],[% asistencia]]),NOT(ISNUMBER(SEARCH(pPrueba,tblMatriculas[[#This Row],[Nombre]]))))</f>
        <v>1</v>
      </c>
      <c r="R1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8" s="23" t="str" cm="1">
        <f t="array" ref="S1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" s="23" t="str" cm="1">
        <f t="array" ref="T1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" s="14" t="str" cm="1">
        <f t="array" ref="U1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" t="str" cm="1">
        <f t="array" ref="V1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" t="str" cm="1">
        <f t="array" ref="W1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8" t="str">
        <f>IF(COUNTIFS('Base Estudiantes'!$C:$C,tblMatriculas[[#This Row],[Cédula]],'Base Estudiantes'!$I:$I,tblMatriculas[[#This Row],[Código]])&gt;0,"Sí","No")</f>
        <v>Sí</v>
      </c>
      <c r="Z128" s="23" cm="1">
        <f t="array" ref="Z128">_xlfn.XLOOKUP(tblMatriculas[[#This Row],[Cédula]]&amp;"|"&amp;tblMatriculas[[#This Row],[Código]],tblBase[Documento]&amp;"|"&amp;tblBase[Código grupo],tblBase[Fecha matrícula],"")</f>
        <v>46264</v>
      </c>
    </row>
    <row r="129" spans="1:26" x14ac:dyDescent="0.2">
      <c r="A129" t="s">
        <v>301</v>
      </c>
      <c r="B129" t="s">
        <v>302</v>
      </c>
      <c r="C129" t="s">
        <v>13</v>
      </c>
      <c r="D129" t="s">
        <v>223</v>
      </c>
      <c r="E129" t="s">
        <v>224</v>
      </c>
      <c r="F129" t="s">
        <v>111</v>
      </c>
      <c r="G129" s="1">
        <v>0.2</v>
      </c>
      <c r="H129" t="s">
        <v>232</v>
      </c>
      <c r="I129" t="s">
        <v>18</v>
      </c>
      <c r="J129" t="s">
        <v>226</v>
      </c>
      <c r="K129" t="s">
        <v>24</v>
      </c>
      <c r="L129" s="14">
        <f>IFERROR(VALUE(LEFT(tblMatriculas[[#This Row],[Clases]],FIND("/",tblMatriculas[[#This Row],[Clases]])-1)),"")</f>
        <v>6</v>
      </c>
      <c r="M129" s="14">
        <f>IFERROR(VALUE(MID(tblMatriculas[[#This Row],[Clases]],FIND("/",tblMatriculas[[#This Row],[Clases]])+1,5)),"")</f>
        <v>30</v>
      </c>
      <c r="N1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9" s="14">
        <f>IF(OR(tblMatriculas[[#This Row],[Estado]]&lt;&gt;"activa",tblMatriculas[[#This Row],[Clases dictadas]]=""),"",MAX(0,tblMatriculas[[#This Row],[Clases dictadas]]-tblMatriculas[[#This Row],[Asistidas]]))</f>
        <v>0</v>
      </c>
      <c r="P129" s="1">
        <f>IF(OR(tblMatriculas[[#This Row],[Estado]]&lt;&gt;"activa",tblMatriculas[[#This Row],[Asistidas]]=""),"",tblMatriculas[[#This Row],[Asistencia]])</f>
        <v>0.2</v>
      </c>
      <c r="Q129" t="b">
        <f>AND(tblMatriculas[[#This Row],[Estado]]="activa",ISNUMBER(tblMatriculas[[#This Row],[% asistencia]]),NOT(ISNUMBER(SEARCH(pPrueba,tblMatriculas[[#This Row],[Nombre]]))))</f>
        <v>1</v>
      </c>
      <c r="R1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9" s="23" t="str" cm="1">
        <f t="array" ref="S1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" s="23" t="str" cm="1">
        <f t="array" ref="T1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" s="14" t="str" cm="1">
        <f t="array" ref="U1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" t="str" cm="1">
        <f t="array" ref="V1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" t="str" cm="1">
        <f t="array" ref="W1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9" t="str">
        <f>IF(COUNTIFS('Base Estudiantes'!$C:$C,tblMatriculas[[#This Row],[Cédula]],'Base Estudiantes'!$I:$I,tblMatriculas[[#This Row],[Código]])&gt;0,"Sí","No")</f>
        <v>Sí</v>
      </c>
      <c r="Z129" s="23" cm="1">
        <f t="array" ref="Z129">_xlfn.XLOOKUP(tblMatriculas[[#This Row],[Cédula]]&amp;"|"&amp;tblMatriculas[[#This Row],[Código]],tblBase[Documento]&amp;"|"&amp;tblBase[Código grupo],tblBase[Fecha matrícula],"")</f>
        <v>46264</v>
      </c>
    </row>
    <row r="130" spans="1:26" x14ac:dyDescent="0.2">
      <c r="A130" t="s">
        <v>303</v>
      </c>
      <c r="B130" t="s">
        <v>304</v>
      </c>
      <c r="C130" t="s">
        <v>13</v>
      </c>
      <c r="D130" t="s">
        <v>223</v>
      </c>
      <c r="E130" t="s">
        <v>224</v>
      </c>
      <c r="F130" t="s">
        <v>111</v>
      </c>
      <c r="G130" s="1">
        <v>0.2</v>
      </c>
      <c r="H130" t="s">
        <v>232</v>
      </c>
      <c r="I130" t="s">
        <v>18</v>
      </c>
      <c r="J130" t="s">
        <v>226</v>
      </c>
      <c r="K130" t="s">
        <v>24</v>
      </c>
      <c r="L130" s="14">
        <f>IFERROR(VALUE(LEFT(tblMatriculas[[#This Row],[Clases]],FIND("/",tblMatriculas[[#This Row],[Clases]])-1)),"")</f>
        <v>6</v>
      </c>
      <c r="M130" s="14">
        <f>IFERROR(VALUE(MID(tblMatriculas[[#This Row],[Clases]],FIND("/",tblMatriculas[[#This Row],[Clases]])+1,5)),"")</f>
        <v>30</v>
      </c>
      <c r="N1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0" s="14">
        <f>IF(OR(tblMatriculas[[#This Row],[Estado]]&lt;&gt;"activa",tblMatriculas[[#This Row],[Clases dictadas]]=""),"",MAX(0,tblMatriculas[[#This Row],[Clases dictadas]]-tblMatriculas[[#This Row],[Asistidas]]))</f>
        <v>0</v>
      </c>
      <c r="P130" s="1">
        <f>IF(OR(tblMatriculas[[#This Row],[Estado]]&lt;&gt;"activa",tblMatriculas[[#This Row],[Asistidas]]=""),"",tblMatriculas[[#This Row],[Asistencia]])</f>
        <v>0.2</v>
      </c>
      <c r="Q130" t="b">
        <f>AND(tblMatriculas[[#This Row],[Estado]]="activa",ISNUMBER(tblMatriculas[[#This Row],[% asistencia]]),NOT(ISNUMBER(SEARCH(pPrueba,tblMatriculas[[#This Row],[Nombre]]))))</f>
        <v>1</v>
      </c>
      <c r="R1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0" s="23" t="str" cm="1">
        <f t="array" ref="S1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" s="23" t="str" cm="1">
        <f t="array" ref="T1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" s="14" t="str" cm="1">
        <f t="array" ref="U1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" t="str" cm="1">
        <f t="array" ref="V1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" t="str" cm="1">
        <f t="array" ref="W1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0" t="str">
        <f>IF(COUNTIFS('Base Estudiantes'!$C:$C,tblMatriculas[[#This Row],[Cédula]],'Base Estudiantes'!$I:$I,tblMatriculas[[#This Row],[Código]])&gt;0,"Sí","No")</f>
        <v>Sí</v>
      </c>
      <c r="Z130" s="23" cm="1">
        <f t="array" ref="Z130">_xlfn.XLOOKUP(tblMatriculas[[#This Row],[Cédula]]&amp;"|"&amp;tblMatriculas[[#This Row],[Código]],tblBase[Documento]&amp;"|"&amp;tblBase[Código grupo],tblBase[Fecha matrícula],"")</f>
        <v>46264</v>
      </c>
    </row>
    <row r="131" spans="1:26" x14ac:dyDescent="0.2">
      <c r="A131" t="s">
        <v>305</v>
      </c>
      <c r="B131" t="s">
        <v>306</v>
      </c>
      <c r="C131" t="s">
        <v>49</v>
      </c>
      <c r="D131" t="s">
        <v>223</v>
      </c>
      <c r="E131" t="s">
        <v>224</v>
      </c>
      <c r="F131" t="s">
        <v>111</v>
      </c>
      <c r="G131" s="1">
        <v>0</v>
      </c>
      <c r="H131" t="s">
        <v>254</v>
      </c>
      <c r="I131" t="s">
        <v>18</v>
      </c>
      <c r="J131" t="s">
        <v>226</v>
      </c>
      <c r="K131" t="s">
        <v>24</v>
      </c>
      <c r="L131" s="14">
        <f>IFERROR(VALUE(LEFT(tblMatriculas[[#This Row],[Clases]],FIND("/",tblMatriculas[[#This Row],[Clases]])-1)),"")</f>
        <v>0</v>
      </c>
      <c r="M131" s="14">
        <f>IFERROR(VALUE(MID(tblMatriculas[[#This Row],[Clases]],FIND("/",tblMatriculas[[#This Row],[Clases]])+1,5)),"")</f>
        <v>30</v>
      </c>
      <c r="N1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1" s="14" t="str">
        <f>IF(OR(tblMatriculas[[#This Row],[Estado]]&lt;&gt;"activa",tblMatriculas[[#This Row],[Clases dictadas]]=""),"",MAX(0,tblMatriculas[[#This Row],[Clases dictadas]]-tblMatriculas[[#This Row],[Asistidas]]))</f>
        <v/>
      </c>
      <c r="P131" s="1" t="str">
        <f>IF(OR(tblMatriculas[[#This Row],[Estado]]&lt;&gt;"activa",tblMatriculas[[#This Row],[Asistidas]]=""),"",tblMatriculas[[#This Row],[Asistencia]])</f>
        <v/>
      </c>
      <c r="Q131" t="b">
        <f>AND(tblMatriculas[[#This Row],[Estado]]="activa",ISNUMBER(tblMatriculas[[#This Row],[% asistencia]]),NOT(ISNUMBER(SEARCH(pPrueba,tblMatriculas[[#This Row],[Nombre]]))))</f>
        <v>0</v>
      </c>
      <c r="R1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1" s="23" t="str" cm="1">
        <f t="array" ref="S1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" s="23" t="str" cm="1">
        <f t="array" ref="T1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" s="14" t="str" cm="1">
        <f t="array" ref="U1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" t="str" cm="1">
        <f t="array" ref="V1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" t="str" cm="1">
        <f t="array" ref="W1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1" t="str">
        <f>IF(COUNTIFS('Base Estudiantes'!$C:$C,tblMatriculas[[#This Row],[Cédula]],'Base Estudiantes'!$I:$I,tblMatriculas[[#This Row],[Código]])&gt;0,"Sí","No")</f>
        <v>No</v>
      </c>
      <c r="Z131" s="23" t="str" cm="1">
        <f t="array" ref="Z131">_xlfn.XLOOKUP(tblMatriculas[[#This Row],[Cédula]]&amp;"|"&amp;tblMatriculas[[#This Row],[Código]],tblBase[Documento]&amp;"|"&amp;tblBase[Código grupo],tblBase[Fecha matrícula],"")</f>
        <v/>
      </c>
    </row>
    <row r="132" spans="1:26" x14ac:dyDescent="0.2">
      <c r="A132" t="s">
        <v>307</v>
      </c>
      <c r="B132" t="s">
        <v>308</v>
      </c>
      <c r="C132" t="s">
        <v>13</v>
      </c>
      <c r="D132" t="s">
        <v>223</v>
      </c>
      <c r="E132" t="s">
        <v>224</v>
      </c>
      <c r="F132" t="s">
        <v>111</v>
      </c>
      <c r="G132" s="1">
        <v>0.2</v>
      </c>
      <c r="H132" t="s">
        <v>232</v>
      </c>
      <c r="I132" t="s">
        <v>18</v>
      </c>
      <c r="J132" t="s">
        <v>226</v>
      </c>
      <c r="K132" t="s">
        <v>24</v>
      </c>
      <c r="L132" s="14">
        <f>IFERROR(VALUE(LEFT(tblMatriculas[[#This Row],[Clases]],FIND("/",tblMatriculas[[#This Row],[Clases]])-1)),"")</f>
        <v>6</v>
      </c>
      <c r="M132" s="14">
        <f>IFERROR(VALUE(MID(tblMatriculas[[#This Row],[Clases]],FIND("/",tblMatriculas[[#This Row],[Clases]])+1,5)),"")</f>
        <v>30</v>
      </c>
      <c r="N1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2" s="14">
        <f>IF(OR(tblMatriculas[[#This Row],[Estado]]&lt;&gt;"activa",tblMatriculas[[#This Row],[Clases dictadas]]=""),"",MAX(0,tblMatriculas[[#This Row],[Clases dictadas]]-tblMatriculas[[#This Row],[Asistidas]]))</f>
        <v>0</v>
      </c>
      <c r="P132" s="1">
        <f>IF(OR(tblMatriculas[[#This Row],[Estado]]&lt;&gt;"activa",tblMatriculas[[#This Row],[Asistidas]]=""),"",tblMatriculas[[#This Row],[Asistencia]])</f>
        <v>0.2</v>
      </c>
      <c r="Q132" t="b">
        <f>AND(tblMatriculas[[#This Row],[Estado]]="activa",ISNUMBER(tblMatriculas[[#This Row],[% asistencia]]),NOT(ISNUMBER(SEARCH(pPrueba,tblMatriculas[[#This Row],[Nombre]]))))</f>
        <v>1</v>
      </c>
      <c r="R1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" s="23" t="str" cm="1">
        <f t="array" ref="S1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" s="23" t="str" cm="1">
        <f t="array" ref="T1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" s="14" t="str" cm="1">
        <f t="array" ref="U1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" t="str" cm="1">
        <f t="array" ref="V1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" t="str" cm="1">
        <f t="array" ref="W1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" t="str">
        <f>IF(COUNTIFS('Base Estudiantes'!$C:$C,tblMatriculas[[#This Row],[Cédula]],'Base Estudiantes'!$I:$I,tblMatriculas[[#This Row],[Código]])&gt;0,"Sí","No")</f>
        <v>Sí</v>
      </c>
      <c r="Z132" s="23" cm="1">
        <f t="array" ref="Z132">_xlfn.XLOOKUP(tblMatriculas[[#This Row],[Cédula]]&amp;"|"&amp;tblMatriculas[[#This Row],[Código]],tblBase[Documento]&amp;"|"&amp;tblBase[Código grupo],tblBase[Fecha matrícula],"")</f>
        <v>46264</v>
      </c>
    </row>
    <row r="133" spans="1:26" x14ac:dyDescent="0.2">
      <c r="A133" t="s">
        <v>309</v>
      </c>
      <c r="B133" t="s">
        <v>310</v>
      </c>
      <c r="C133" t="s">
        <v>13</v>
      </c>
      <c r="D133" t="s">
        <v>223</v>
      </c>
      <c r="E133" t="s">
        <v>224</v>
      </c>
      <c r="F133" t="s">
        <v>111</v>
      </c>
      <c r="G133" s="1">
        <v>0.13300000000000001</v>
      </c>
      <c r="H133" t="s">
        <v>112</v>
      </c>
      <c r="I133" t="s">
        <v>18</v>
      </c>
      <c r="J133" t="s">
        <v>226</v>
      </c>
      <c r="K133" t="s">
        <v>24</v>
      </c>
      <c r="L133" s="14">
        <f>IFERROR(VALUE(LEFT(tblMatriculas[[#This Row],[Clases]],FIND("/",tblMatriculas[[#This Row],[Clases]])-1)),"")</f>
        <v>4</v>
      </c>
      <c r="M133" s="14">
        <f>IFERROR(VALUE(MID(tblMatriculas[[#This Row],[Clases]],FIND("/",tblMatriculas[[#This Row],[Clases]])+1,5)),"")</f>
        <v>30</v>
      </c>
      <c r="N1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3" s="14">
        <f>IF(OR(tblMatriculas[[#This Row],[Estado]]&lt;&gt;"activa",tblMatriculas[[#This Row],[Clases dictadas]]=""),"",MAX(0,tblMatriculas[[#This Row],[Clases dictadas]]-tblMatriculas[[#This Row],[Asistidas]]))</f>
        <v>2</v>
      </c>
      <c r="P133" s="1">
        <f>IF(OR(tblMatriculas[[#This Row],[Estado]]&lt;&gt;"activa",tblMatriculas[[#This Row],[Asistidas]]=""),"",tblMatriculas[[#This Row],[Asistencia]])</f>
        <v>0.13300000000000001</v>
      </c>
      <c r="Q133" t="b">
        <f>AND(tblMatriculas[[#This Row],[Estado]]="activa",ISNUMBER(tblMatriculas[[#This Row],[% asistencia]]),NOT(ISNUMBER(SEARCH(pPrueba,tblMatriculas[[#This Row],[Nombre]]))))</f>
        <v>1</v>
      </c>
      <c r="R1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" s="23" t="str" cm="1">
        <f t="array" ref="S1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" s="23" t="str" cm="1">
        <f t="array" ref="T1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" s="14" t="str" cm="1">
        <f t="array" ref="U1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" t="str" cm="1">
        <f t="array" ref="V1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" t="str" cm="1">
        <f t="array" ref="W1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" t="str">
        <f>IF(COUNTIFS('Base Estudiantes'!$C:$C,tblMatriculas[[#This Row],[Cédula]],'Base Estudiantes'!$I:$I,tblMatriculas[[#This Row],[Código]])&gt;0,"Sí","No")</f>
        <v>Sí</v>
      </c>
      <c r="Z133" s="23" cm="1">
        <f t="array" ref="Z133">_xlfn.XLOOKUP(tblMatriculas[[#This Row],[Cédula]]&amp;"|"&amp;tblMatriculas[[#This Row],[Código]],tblBase[Documento]&amp;"|"&amp;tblBase[Código grupo],tblBase[Fecha matrícula],"")</f>
        <v>46264</v>
      </c>
    </row>
    <row r="134" spans="1:26" x14ac:dyDescent="0.2">
      <c r="A134" t="s">
        <v>311</v>
      </c>
      <c r="B134" t="s">
        <v>312</v>
      </c>
      <c r="C134" t="s">
        <v>13</v>
      </c>
      <c r="D134" t="s">
        <v>223</v>
      </c>
      <c r="E134" t="s">
        <v>224</v>
      </c>
      <c r="F134" t="s">
        <v>111</v>
      </c>
      <c r="G134" s="1">
        <v>0.16699999999999998</v>
      </c>
      <c r="H134" t="s">
        <v>229</v>
      </c>
      <c r="I134" t="s">
        <v>18</v>
      </c>
      <c r="J134" t="s">
        <v>226</v>
      </c>
      <c r="K134" t="s">
        <v>24</v>
      </c>
      <c r="L134" s="14">
        <f>IFERROR(VALUE(LEFT(tblMatriculas[[#This Row],[Clases]],FIND("/",tblMatriculas[[#This Row],[Clases]])-1)),"")</f>
        <v>5</v>
      </c>
      <c r="M134" s="14">
        <f>IFERROR(VALUE(MID(tblMatriculas[[#This Row],[Clases]],FIND("/",tblMatriculas[[#This Row],[Clases]])+1,5)),"")</f>
        <v>30</v>
      </c>
      <c r="N1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4" s="14">
        <f>IF(OR(tblMatriculas[[#This Row],[Estado]]&lt;&gt;"activa",tblMatriculas[[#This Row],[Clases dictadas]]=""),"",MAX(0,tblMatriculas[[#This Row],[Clases dictadas]]-tblMatriculas[[#This Row],[Asistidas]]))</f>
        <v>1</v>
      </c>
      <c r="P134" s="1">
        <f>IF(OR(tblMatriculas[[#This Row],[Estado]]&lt;&gt;"activa",tblMatriculas[[#This Row],[Asistidas]]=""),"",tblMatriculas[[#This Row],[Asistencia]])</f>
        <v>0.16699999999999998</v>
      </c>
      <c r="Q134" t="b">
        <f>AND(tblMatriculas[[#This Row],[Estado]]="activa",ISNUMBER(tblMatriculas[[#This Row],[% asistencia]]),NOT(ISNUMBER(SEARCH(pPrueba,tblMatriculas[[#This Row],[Nombre]]))))</f>
        <v>1</v>
      </c>
      <c r="R1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" s="23" t="str" cm="1">
        <f t="array" ref="S1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" s="23" t="str" cm="1">
        <f t="array" ref="T1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" s="14" t="str" cm="1">
        <f t="array" ref="U1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" t="str" cm="1">
        <f t="array" ref="V1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" t="str" cm="1">
        <f t="array" ref="W1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" t="str">
        <f>IF(COUNTIFS('Base Estudiantes'!$C:$C,tblMatriculas[[#This Row],[Cédula]],'Base Estudiantes'!$I:$I,tblMatriculas[[#This Row],[Código]])&gt;0,"Sí","No")</f>
        <v>Sí</v>
      </c>
      <c r="Z134" s="23" cm="1">
        <f t="array" ref="Z134">_xlfn.XLOOKUP(tblMatriculas[[#This Row],[Cédula]]&amp;"|"&amp;tblMatriculas[[#This Row],[Código]],tblBase[Documento]&amp;"|"&amp;tblBase[Código grupo],tblBase[Fecha matrícula],"")</f>
        <v>46264</v>
      </c>
    </row>
    <row r="135" spans="1:26" x14ac:dyDescent="0.2">
      <c r="A135" t="s">
        <v>313</v>
      </c>
      <c r="B135" t="s">
        <v>314</v>
      </c>
      <c r="C135" t="s">
        <v>13</v>
      </c>
      <c r="D135" t="s">
        <v>223</v>
      </c>
      <c r="E135" t="s">
        <v>224</v>
      </c>
      <c r="F135" t="s">
        <v>111</v>
      </c>
      <c r="G135" s="1">
        <v>0</v>
      </c>
      <c r="H135" t="s">
        <v>254</v>
      </c>
      <c r="I135" t="s">
        <v>18</v>
      </c>
      <c r="J135" t="s">
        <v>226</v>
      </c>
      <c r="K135" t="s">
        <v>24</v>
      </c>
      <c r="L135" s="14">
        <f>IFERROR(VALUE(LEFT(tblMatriculas[[#This Row],[Clases]],FIND("/",tblMatriculas[[#This Row],[Clases]])-1)),"")</f>
        <v>0</v>
      </c>
      <c r="M135" s="14">
        <f>IFERROR(VALUE(MID(tblMatriculas[[#This Row],[Clases]],FIND("/",tblMatriculas[[#This Row],[Clases]])+1,5)),"")</f>
        <v>30</v>
      </c>
      <c r="N1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5" s="14">
        <f>IF(OR(tblMatriculas[[#This Row],[Estado]]&lt;&gt;"activa",tblMatriculas[[#This Row],[Clases dictadas]]=""),"",MAX(0,tblMatriculas[[#This Row],[Clases dictadas]]-tblMatriculas[[#This Row],[Asistidas]]))</f>
        <v>6</v>
      </c>
      <c r="P135" s="1">
        <f>IF(OR(tblMatriculas[[#This Row],[Estado]]&lt;&gt;"activa",tblMatriculas[[#This Row],[Asistidas]]=""),"",tblMatriculas[[#This Row],[Asistencia]])</f>
        <v>0</v>
      </c>
      <c r="Q135" t="b">
        <f>AND(tblMatriculas[[#This Row],[Estado]]="activa",ISNUMBER(tblMatriculas[[#This Row],[% asistencia]]),NOT(ISNUMBER(SEARCH(pPrueba,tblMatriculas[[#This Row],[Nombre]]))))</f>
        <v>1</v>
      </c>
      <c r="R1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5" s="23" t="str" cm="1">
        <f t="array" ref="S1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" s="23" t="str" cm="1">
        <f t="array" ref="T1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" s="14" t="str" cm="1">
        <f t="array" ref="U1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" t="str" cm="1">
        <f t="array" ref="V1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" t="str" cm="1">
        <f t="array" ref="W1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5" t="str">
        <f>IF(COUNTIFS('Base Estudiantes'!$C:$C,tblMatriculas[[#This Row],[Cédula]],'Base Estudiantes'!$I:$I,tblMatriculas[[#This Row],[Código]])&gt;0,"Sí","No")</f>
        <v>Sí</v>
      </c>
      <c r="Z135" s="23" cm="1">
        <f t="array" ref="Z135">_xlfn.XLOOKUP(tblMatriculas[[#This Row],[Cédula]]&amp;"|"&amp;tblMatriculas[[#This Row],[Código]],tblBase[Documento]&amp;"|"&amp;tblBase[Código grupo],tblBase[Fecha matrícula],"")</f>
        <v>46264</v>
      </c>
    </row>
    <row r="136" spans="1:26" x14ac:dyDescent="0.2">
      <c r="A136" t="s">
        <v>315</v>
      </c>
      <c r="B136" t="s">
        <v>316</v>
      </c>
      <c r="C136" t="s">
        <v>13</v>
      </c>
      <c r="D136" t="s">
        <v>223</v>
      </c>
      <c r="E136" t="s">
        <v>224</v>
      </c>
      <c r="F136" t="s">
        <v>111</v>
      </c>
      <c r="G136" s="1">
        <v>0.13300000000000001</v>
      </c>
      <c r="H136" t="s">
        <v>112</v>
      </c>
      <c r="I136" t="s">
        <v>18</v>
      </c>
      <c r="J136" t="s">
        <v>226</v>
      </c>
      <c r="K136" t="s">
        <v>24</v>
      </c>
      <c r="L136" s="14">
        <f>IFERROR(VALUE(LEFT(tblMatriculas[[#This Row],[Clases]],FIND("/",tblMatriculas[[#This Row],[Clases]])-1)),"")</f>
        <v>4</v>
      </c>
      <c r="M136" s="14">
        <f>IFERROR(VALUE(MID(tblMatriculas[[#This Row],[Clases]],FIND("/",tblMatriculas[[#This Row],[Clases]])+1,5)),"")</f>
        <v>30</v>
      </c>
      <c r="N1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6" s="14">
        <f>IF(OR(tblMatriculas[[#This Row],[Estado]]&lt;&gt;"activa",tblMatriculas[[#This Row],[Clases dictadas]]=""),"",MAX(0,tblMatriculas[[#This Row],[Clases dictadas]]-tblMatriculas[[#This Row],[Asistidas]]))</f>
        <v>2</v>
      </c>
      <c r="P136" s="1">
        <f>IF(OR(tblMatriculas[[#This Row],[Estado]]&lt;&gt;"activa",tblMatriculas[[#This Row],[Asistidas]]=""),"",tblMatriculas[[#This Row],[Asistencia]])</f>
        <v>0.13300000000000001</v>
      </c>
      <c r="Q136" t="b">
        <f>AND(tblMatriculas[[#This Row],[Estado]]="activa",ISNUMBER(tblMatriculas[[#This Row],[% asistencia]]),NOT(ISNUMBER(SEARCH(pPrueba,tblMatriculas[[#This Row],[Nombre]]))))</f>
        <v>1</v>
      </c>
      <c r="R1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6" s="23" t="str" cm="1">
        <f t="array" ref="S1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" s="23" t="str" cm="1">
        <f t="array" ref="T1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" s="14" t="str" cm="1">
        <f t="array" ref="U1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" t="str" cm="1">
        <f t="array" ref="V1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" t="str" cm="1">
        <f t="array" ref="W1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6" t="str">
        <f>IF(COUNTIFS('Base Estudiantes'!$C:$C,tblMatriculas[[#This Row],[Cédula]],'Base Estudiantes'!$I:$I,tblMatriculas[[#This Row],[Código]])&gt;0,"Sí","No")</f>
        <v>Sí</v>
      </c>
      <c r="Z136" s="23" cm="1">
        <f t="array" ref="Z136">_xlfn.XLOOKUP(tblMatriculas[[#This Row],[Cédula]]&amp;"|"&amp;tblMatriculas[[#This Row],[Código]],tblBase[Documento]&amp;"|"&amp;tblBase[Código grupo],tblBase[Fecha matrícula],"")</f>
        <v>46264</v>
      </c>
    </row>
    <row r="137" spans="1:26" x14ac:dyDescent="0.2">
      <c r="A137" t="s">
        <v>317</v>
      </c>
      <c r="B137" t="s">
        <v>318</v>
      </c>
      <c r="C137" t="s">
        <v>13</v>
      </c>
      <c r="D137" t="s">
        <v>223</v>
      </c>
      <c r="E137" t="s">
        <v>224</v>
      </c>
      <c r="F137" t="s">
        <v>111</v>
      </c>
      <c r="G137" s="1">
        <v>0.16699999999999998</v>
      </c>
      <c r="H137" t="s">
        <v>229</v>
      </c>
      <c r="I137" t="s">
        <v>18</v>
      </c>
      <c r="J137" t="s">
        <v>226</v>
      </c>
      <c r="K137" t="s">
        <v>24</v>
      </c>
      <c r="L137" s="14">
        <f>IFERROR(VALUE(LEFT(tblMatriculas[[#This Row],[Clases]],FIND("/",tblMatriculas[[#This Row],[Clases]])-1)),"")</f>
        <v>5</v>
      </c>
      <c r="M137" s="14">
        <f>IFERROR(VALUE(MID(tblMatriculas[[#This Row],[Clases]],FIND("/",tblMatriculas[[#This Row],[Clases]])+1,5)),"")</f>
        <v>30</v>
      </c>
      <c r="N1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7" s="14">
        <f>IF(OR(tblMatriculas[[#This Row],[Estado]]&lt;&gt;"activa",tblMatriculas[[#This Row],[Clases dictadas]]=""),"",MAX(0,tblMatriculas[[#This Row],[Clases dictadas]]-tblMatriculas[[#This Row],[Asistidas]]))</f>
        <v>1</v>
      </c>
      <c r="P137" s="1">
        <f>IF(OR(tblMatriculas[[#This Row],[Estado]]&lt;&gt;"activa",tblMatriculas[[#This Row],[Asistidas]]=""),"",tblMatriculas[[#This Row],[Asistencia]])</f>
        <v>0.16699999999999998</v>
      </c>
      <c r="Q137" t="b">
        <f>AND(tblMatriculas[[#This Row],[Estado]]="activa",ISNUMBER(tblMatriculas[[#This Row],[% asistencia]]),NOT(ISNUMBER(SEARCH(pPrueba,tblMatriculas[[#This Row],[Nombre]]))))</f>
        <v>1</v>
      </c>
      <c r="R1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7" s="23" t="str" cm="1">
        <f t="array" ref="S1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" s="23" t="str" cm="1">
        <f t="array" ref="T1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" s="14" t="str" cm="1">
        <f t="array" ref="U1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" t="str" cm="1">
        <f t="array" ref="V1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" t="str" cm="1">
        <f t="array" ref="W1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7" t="str">
        <f>IF(COUNTIFS('Base Estudiantes'!$C:$C,tblMatriculas[[#This Row],[Cédula]],'Base Estudiantes'!$I:$I,tblMatriculas[[#This Row],[Código]])&gt;0,"Sí","No")</f>
        <v>Sí</v>
      </c>
      <c r="Z137" s="23" cm="1">
        <f t="array" ref="Z137">_xlfn.XLOOKUP(tblMatriculas[[#This Row],[Cédula]]&amp;"|"&amp;tblMatriculas[[#This Row],[Código]],tblBase[Documento]&amp;"|"&amp;tblBase[Código grupo],tblBase[Fecha matrícula],"")</f>
        <v>46264</v>
      </c>
    </row>
    <row r="138" spans="1:26" x14ac:dyDescent="0.2">
      <c r="A138" t="s">
        <v>319</v>
      </c>
      <c r="B138" t="s">
        <v>320</v>
      </c>
      <c r="C138" t="s">
        <v>13</v>
      </c>
      <c r="D138" t="s">
        <v>223</v>
      </c>
      <c r="E138" t="s">
        <v>224</v>
      </c>
      <c r="F138" t="s">
        <v>111</v>
      </c>
      <c r="G138" s="1">
        <v>0.2</v>
      </c>
      <c r="H138" t="s">
        <v>232</v>
      </c>
      <c r="I138" t="s">
        <v>18</v>
      </c>
      <c r="J138" t="s">
        <v>226</v>
      </c>
      <c r="K138" t="s">
        <v>24</v>
      </c>
      <c r="L138" s="14">
        <f>IFERROR(VALUE(LEFT(tblMatriculas[[#This Row],[Clases]],FIND("/",tblMatriculas[[#This Row],[Clases]])-1)),"")</f>
        <v>6</v>
      </c>
      <c r="M138" s="14">
        <f>IFERROR(VALUE(MID(tblMatriculas[[#This Row],[Clases]],FIND("/",tblMatriculas[[#This Row],[Clases]])+1,5)),"")</f>
        <v>30</v>
      </c>
      <c r="N1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8" s="14">
        <f>IF(OR(tblMatriculas[[#This Row],[Estado]]&lt;&gt;"activa",tblMatriculas[[#This Row],[Clases dictadas]]=""),"",MAX(0,tblMatriculas[[#This Row],[Clases dictadas]]-tblMatriculas[[#This Row],[Asistidas]]))</f>
        <v>0</v>
      </c>
      <c r="P138" s="1">
        <f>IF(OR(tblMatriculas[[#This Row],[Estado]]&lt;&gt;"activa",tblMatriculas[[#This Row],[Asistidas]]=""),"",tblMatriculas[[#This Row],[Asistencia]])</f>
        <v>0.2</v>
      </c>
      <c r="Q138" t="b">
        <f>AND(tblMatriculas[[#This Row],[Estado]]="activa",ISNUMBER(tblMatriculas[[#This Row],[% asistencia]]),NOT(ISNUMBER(SEARCH(pPrueba,tblMatriculas[[#This Row],[Nombre]]))))</f>
        <v>1</v>
      </c>
      <c r="R1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8" s="23" t="str" cm="1">
        <f t="array" ref="S1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" s="23" t="str" cm="1">
        <f t="array" ref="T1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" s="14" t="str" cm="1">
        <f t="array" ref="U1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" t="str" cm="1">
        <f t="array" ref="V1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" t="str" cm="1">
        <f t="array" ref="W1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8" t="str">
        <f>IF(COUNTIFS('Base Estudiantes'!$C:$C,tblMatriculas[[#This Row],[Cédula]],'Base Estudiantes'!$I:$I,tblMatriculas[[#This Row],[Código]])&gt;0,"Sí","No")</f>
        <v>Sí</v>
      </c>
      <c r="Z138" s="23" cm="1">
        <f t="array" ref="Z138">_xlfn.XLOOKUP(tblMatriculas[[#This Row],[Cédula]]&amp;"|"&amp;tblMatriculas[[#This Row],[Código]],tblBase[Documento]&amp;"|"&amp;tblBase[Código grupo],tblBase[Fecha matrícula],"")</f>
        <v>46264</v>
      </c>
    </row>
    <row r="139" spans="1:26" x14ac:dyDescent="0.2">
      <c r="A139" t="s">
        <v>321</v>
      </c>
      <c r="B139" t="s">
        <v>322</v>
      </c>
      <c r="C139" t="s">
        <v>13</v>
      </c>
      <c r="D139" t="s">
        <v>223</v>
      </c>
      <c r="E139" t="s">
        <v>224</v>
      </c>
      <c r="F139" t="s">
        <v>111</v>
      </c>
      <c r="G139" s="1">
        <v>0</v>
      </c>
      <c r="H139" t="s">
        <v>254</v>
      </c>
      <c r="I139" t="s">
        <v>18</v>
      </c>
      <c r="J139" t="s">
        <v>226</v>
      </c>
      <c r="K139" t="s">
        <v>24</v>
      </c>
      <c r="L139" s="14">
        <f>IFERROR(VALUE(LEFT(tblMatriculas[[#This Row],[Clases]],FIND("/",tblMatriculas[[#This Row],[Clases]])-1)),"")</f>
        <v>0</v>
      </c>
      <c r="M139" s="14">
        <f>IFERROR(VALUE(MID(tblMatriculas[[#This Row],[Clases]],FIND("/",tblMatriculas[[#This Row],[Clases]])+1,5)),"")</f>
        <v>30</v>
      </c>
      <c r="N1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39" s="14">
        <f>IF(OR(tblMatriculas[[#This Row],[Estado]]&lt;&gt;"activa",tblMatriculas[[#This Row],[Clases dictadas]]=""),"",MAX(0,tblMatriculas[[#This Row],[Clases dictadas]]-tblMatriculas[[#This Row],[Asistidas]]))</f>
        <v>6</v>
      </c>
      <c r="P139" s="1">
        <f>IF(OR(tblMatriculas[[#This Row],[Estado]]&lt;&gt;"activa",tblMatriculas[[#This Row],[Asistidas]]=""),"",tblMatriculas[[#This Row],[Asistencia]])</f>
        <v>0</v>
      </c>
      <c r="Q139" t="b">
        <f>AND(tblMatriculas[[#This Row],[Estado]]="activa",ISNUMBER(tblMatriculas[[#This Row],[% asistencia]]),NOT(ISNUMBER(SEARCH(pPrueba,tblMatriculas[[#This Row],[Nombre]]))))</f>
        <v>1</v>
      </c>
      <c r="R1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9" s="23" t="str" cm="1">
        <f t="array" ref="S1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" s="23" t="str" cm="1">
        <f t="array" ref="T1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" s="14" t="str" cm="1">
        <f t="array" ref="U1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" t="str" cm="1">
        <f t="array" ref="V1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" t="str" cm="1">
        <f t="array" ref="W1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9" t="str">
        <f>IF(COUNTIFS('Base Estudiantes'!$C:$C,tblMatriculas[[#This Row],[Cédula]],'Base Estudiantes'!$I:$I,tblMatriculas[[#This Row],[Código]])&gt;0,"Sí","No")</f>
        <v>Sí</v>
      </c>
      <c r="Z139" s="23" cm="1">
        <f t="array" ref="Z139">_xlfn.XLOOKUP(tblMatriculas[[#This Row],[Cédula]]&amp;"|"&amp;tblMatriculas[[#This Row],[Código]],tblBase[Documento]&amp;"|"&amp;tblBase[Código grupo],tblBase[Fecha matrícula],"")</f>
        <v>46264</v>
      </c>
    </row>
    <row r="140" spans="1:26" x14ac:dyDescent="0.2">
      <c r="A140" t="s">
        <v>323</v>
      </c>
      <c r="B140" t="s">
        <v>324</v>
      </c>
      <c r="C140" t="s">
        <v>13</v>
      </c>
      <c r="D140" t="s">
        <v>223</v>
      </c>
      <c r="E140" t="s">
        <v>224</v>
      </c>
      <c r="F140" t="s">
        <v>111</v>
      </c>
      <c r="G140" s="1">
        <v>0.2</v>
      </c>
      <c r="H140" t="s">
        <v>232</v>
      </c>
      <c r="I140" t="s">
        <v>18</v>
      </c>
      <c r="J140" t="s">
        <v>226</v>
      </c>
      <c r="K140" t="s">
        <v>24</v>
      </c>
      <c r="L140" s="14">
        <f>IFERROR(VALUE(LEFT(tblMatriculas[[#This Row],[Clases]],FIND("/",tblMatriculas[[#This Row],[Clases]])-1)),"")</f>
        <v>6</v>
      </c>
      <c r="M140" s="14">
        <f>IFERROR(VALUE(MID(tblMatriculas[[#This Row],[Clases]],FIND("/",tblMatriculas[[#This Row],[Clases]])+1,5)),"")</f>
        <v>30</v>
      </c>
      <c r="N1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40" s="14">
        <f>IF(OR(tblMatriculas[[#This Row],[Estado]]&lt;&gt;"activa",tblMatriculas[[#This Row],[Clases dictadas]]=""),"",MAX(0,tblMatriculas[[#This Row],[Clases dictadas]]-tblMatriculas[[#This Row],[Asistidas]]))</f>
        <v>0</v>
      </c>
      <c r="P140" s="1">
        <f>IF(OR(tblMatriculas[[#This Row],[Estado]]&lt;&gt;"activa",tblMatriculas[[#This Row],[Asistidas]]=""),"",tblMatriculas[[#This Row],[Asistencia]])</f>
        <v>0.2</v>
      </c>
      <c r="Q140" t="b">
        <f>AND(tblMatriculas[[#This Row],[Estado]]="activa",ISNUMBER(tblMatriculas[[#This Row],[% asistencia]]),NOT(ISNUMBER(SEARCH(pPrueba,tblMatriculas[[#This Row],[Nombre]]))))</f>
        <v>1</v>
      </c>
      <c r="R1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" s="23" t="str" cm="1">
        <f t="array" ref="S1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" s="23" t="str" cm="1">
        <f t="array" ref="T1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" s="14" t="str" cm="1">
        <f t="array" ref="U1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" t="str" cm="1">
        <f t="array" ref="V1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" t="str" cm="1">
        <f t="array" ref="W1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" t="str">
        <f>IF(COUNTIFS('Base Estudiantes'!$C:$C,tblMatriculas[[#This Row],[Cédula]],'Base Estudiantes'!$I:$I,tblMatriculas[[#This Row],[Código]])&gt;0,"Sí","No")</f>
        <v>Sí</v>
      </c>
      <c r="Z140" s="23" cm="1">
        <f t="array" ref="Z140">_xlfn.XLOOKUP(tblMatriculas[[#This Row],[Cédula]]&amp;"|"&amp;tblMatriculas[[#This Row],[Código]],tblBase[Documento]&amp;"|"&amp;tblBase[Código grupo],tblBase[Fecha matrícula],"")</f>
        <v>46264</v>
      </c>
    </row>
    <row r="141" spans="1:26" x14ac:dyDescent="0.2">
      <c r="A141" t="s">
        <v>325</v>
      </c>
      <c r="B141" t="s">
        <v>326</v>
      </c>
      <c r="C141" t="s">
        <v>13</v>
      </c>
      <c r="D141" t="s">
        <v>223</v>
      </c>
      <c r="E141" t="s">
        <v>224</v>
      </c>
      <c r="F141" t="s">
        <v>111</v>
      </c>
      <c r="G141" s="1">
        <v>0.16699999999999998</v>
      </c>
      <c r="H141" t="s">
        <v>229</v>
      </c>
      <c r="I141" t="s">
        <v>18</v>
      </c>
      <c r="J141" t="s">
        <v>226</v>
      </c>
      <c r="K141" t="s">
        <v>24</v>
      </c>
      <c r="L141" s="14">
        <f>IFERROR(VALUE(LEFT(tblMatriculas[[#This Row],[Clases]],FIND("/",tblMatriculas[[#This Row],[Clases]])-1)),"")</f>
        <v>5</v>
      </c>
      <c r="M141" s="14">
        <f>IFERROR(VALUE(MID(tblMatriculas[[#This Row],[Clases]],FIND("/",tblMatriculas[[#This Row],[Clases]])+1,5)),"")</f>
        <v>30</v>
      </c>
      <c r="N1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41" s="14">
        <f>IF(OR(tblMatriculas[[#This Row],[Estado]]&lt;&gt;"activa",tblMatriculas[[#This Row],[Clases dictadas]]=""),"",MAX(0,tblMatriculas[[#This Row],[Clases dictadas]]-tblMatriculas[[#This Row],[Asistidas]]))</f>
        <v>1</v>
      </c>
      <c r="P141" s="1">
        <f>IF(OR(tblMatriculas[[#This Row],[Estado]]&lt;&gt;"activa",tblMatriculas[[#This Row],[Asistidas]]=""),"",tblMatriculas[[#This Row],[Asistencia]])</f>
        <v>0.16699999999999998</v>
      </c>
      <c r="Q141" t="b">
        <f>AND(tblMatriculas[[#This Row],[Estado]]="activa",ISNUMBER(tblMatriculas[[#This Row],[% asistencia]]),NOT(ISNUMBER(SEARCH(pPrueba,tblMatriculas[[#This Row],[Nombre]]))))</f>
        <v>1</v>
      </c>
      <c r="R1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" s="23" t="str" cm="1">
        <f t="array" ref="S1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" s="23" t="str" cm="1">
        <f t="array" ref="T1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" s="14" t="str" cm="1">
        <f t="array" ref="U1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" t="str" cm="1">
        <f t="array" ref="V1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" t="str" cm="1">
        <f t="array" ref="W1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" t="str">
        <f>IF(COUNTIFS('Base Estudiantes'!$C:$C,tblMatriculas[[#This Row],[Cédula]],'Base Estudiantes'!$I:$I,tblMatriculas[[#This Row],[Código]])&gt;0,"Sí","No")</f>
        <v>Sí</v>
      </c>
      <c r="Z141" s="23" cm="1">
        <f t="array" ref="Z141">_xlfn.XLOOKUP(tblMatriculas[[#This Row],[Cédula]]&amp;"|"&amp;tblMatriculas[[#This Row],[Código]],tblBase[Documento]&amp;"|"&amp;tblBase[Código grupo],tblBase[Fecha matrícula],"")</f>
        <v>46264</v>
      </c>
    </row>
    <row r="142" spans="1:26" x14ac:dyDescent="0.2">
      <c r="A142" t="s">
        <v>327</v>
      </c>
      <c r="B142" t="s">
        <v>328</v>
      </c>
      <c r="C142" t="s">
        <v>13</v>
      </c>
      <c r="D142" t="s">
        <v>223</v>
      </c>
      <c r="E142" t="s">
        <v>224</v>
      </c>
      <c r="F142" t="s">
        <v>111</v>
      </c>
      <c r="G142" s="1">
        <v>0.2</v>
      </c>
      <c r="H142" t="s">
        <v>232</v>
      </c>
      <c r="I142" t="s">
        <v>18</v>
      </c>
      <c r="J142" t="s">
        <v>226</v>
      </c>
      <c r="K142" t="s">
        <v>24</v>
      </c>
      <c r="L142" s="14">
        <f>IFERROR(VALUE(LEFT(tblMatriculas[[#This Row],[Clases]],FIND("/",tblMatriculas[[#This Row],[Clases]])-1)),"")</f>
        <v>6</v>
      </c>
      <c r="M142" s="14">
        <f>IFERROR(VALUE(MID(tblMatriculas[[#This Row],[Clases]],FIND("/",tblMatriculas[[#This Row],[Clases]])+1,5)),"")</f>
        <v>30</v>
      </c>
      <c r="N1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42" s="14">
        <f>IF(OR(tblMatriculas[[#This Row],[Estado]]&lt;&gt;"activa",tblMatriculas[[#This Row],[Clases dictadas]]=""),"",MAX(0,tblMatriculas[[#This Row],[Clases dictadas]]-tblMatriculas[[#This Row],[Asistidas]]))</f>
        <v>0</v>
      </c>
      <c r="P142" s="1">
        <f>IF(OR(tblMatriculas[[#This Row],[Estado]]&lt;&gt;"activa",tblMatriculas[[#This Row],[Asistidas]]=""),"",tblMatriculas[[#This Row],[Asistencia]])</f>
        <v>0.2</v>
      </c>
      <c r="Q142" t="b">
        <f>AND(tblMatriculas[[#This Row],[Estado]]="activa",ISNUMBER(tblMatriculas[[#This Row],[% asistencia]]),NOT(ISNUMBER(SEARCH(pPrueba,tblMatriculas[[#This Row],[Nombre]]))))</f>
        <v>1</v>
      </c>
      <c r="R1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" s="23" t="str" cm="1">
        <f t="array" ref="S1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" s="23" t="str" cm="1">
        <f t="array" ref="T1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" s="14" t="str" cm="1">
        <f t="array" ref="U1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" t="str" cm="1">
        <f t="array" ref="V1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" t="str" cm="1">
        <f t="array" ref="W1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" t="str">
        <f>IF(COUNTIFS('Base Estudiantes'!$C:$C,tblMatriculas[[#This Row],[Cédula]],'Base Estudiantes'!$I:$I,tblMatriculas[[#This Row],[Código]])&gt;0,"Sí","No")</f>
        <v>Sí</v>
      </c>
      <c r="Z142" s="23" cm="1">
        <f t="array" ref="Z142">_xlfn.XLOOKUP(tblMatriculas[[#This Row],[Cédula]]&amp;"|"&amp;tblMatriculas[[#This Row],[Código]],tblBase[Documento]&amp;"|"&amp;tblBase[Código grupo],tblBase[Fecha matrícula],"")</f>
        <v>46267</v>
      </c>
    </row>
    <row r="143" spans="1:26" x14ac:dyDescent="0.2">
      <c r="A143" t="s">
        <v>329</v>
      </c>
      <c r="B143" t="s">
        <v>330</v>
      </c>
      <c r="C143" t="s">
        <v>13</v>
      </c>
      <c r="D143" t="s">
        <v>223</v>
      </c>
      <c r="E143" t="s">
        <v>224</v>
      </c>
      <c r="F143" t="s">
        <v>111</v>
      </c>
      <c r="G143" s="1">
        <v>0.13300000000000001</v>
      </c>
      <c r="H143" t="s">
        <v>112</v>
      </c>
      <c r="I143" t="s">
        <v>18</v>
      </c>
      <c r="J143" t="s">
        <v>226</v>
      </c>
      <c r="K143" t="s">
        <v>24</v>
      </c>
      <c r="L143" s="14">
        <f>IFERROR(VALUE(LEFT(tblMatriculas[[#This Row],[Clases]],FIND("/",tblMatriculas[[#This Row],[Clases]])-1)),"")</f>
        <v>4</v>
      </c>
      <c r="M143" s="14">
        <f>IFERROR(VALUE(MID(tblMatriculas[[#This Row],[Clases]],FIND("/",tblMatriculas[[#This Row],[Clases]])+1,5)),"")</f>
        <v>30</v>
      </c>
      <c r="N1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43" s="14">
        <f>IF(OR(tblMatriculas[[#This Row],[Estado]]&lt;&gt;"activa",tblMatriculas[[#This Row],[Clases dictadas]]=""),"",MAX(0,tblMatriculas[[#This Row],[Clases dictadas]]-tblMatriculas[[#This Row],[Asistidas]]))</f>
        <v>2</v>
      </c>
      <c r="P143" s="1">
        <f>IF(OR(tblMatriculas[[#This Row],[Estado]]&lt;&gt;"activa",tblMatriculas[[#This Row],[Asistidas]]=""),"",tblMatriculas[[#This Row],[Asistencia]])</f>
        <v>0.13300000000000001</v>
      </c>
      <c r="Q143" t="b">
        <f>AND(tblMatriculas[[#This Row],[Estado]]="activa",ISNUMBER(tblMatriculas[[#This Row],[% asistencia]]),NOT(ISNUMBER(SEARCH(pPrueba,tblMatriculas[[#This Row],[Nombre]]))))</f>
        <v>1</v>
      </c>
      <c r="R1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" s="23" t="str" cm="1">
        <f t="array" ref="S1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" s="23" t="str" cm="1">
        <f t="array" ref="T1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" s="14" t="str" cm="1">
        <f t="array" ref="U1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" t="str" cm="1">
        <f t="array" ref="V1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" t="str" cm="1">
        <f t="array" ref="W1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" t="str">
        <f>IF(COUNTIFS('Base Estudiantes'!$C:$C,tblMatriculas[[#This Row],[Cédula]],'Base Estudiantes'!$I:$I,tblMatriculas[[#This Row],[Código]])&gt;0,"Sí","No")</f>
        <v>Sí</v>
      </c>
      <c r="Z143" s="23" cm="1">
        <f t="array" ref="Z143">_xlfn.XLOOKUP(tblMatriculas[[#This Row],[Cédula]]&amp;"|"&amp;tblMatriculas[[#This Row],[Código]],tblBase[Documento]&amp;"|"&amp;tblBase[Código grupo],tblBase[Fecha matrícula],"")</f>
        <v>46272</v>
      </c>
    </row>
    <row r="144" spans="1:26" x14ac:dyDescent="0.2">
      <c r="A144" t="s">
        <v>331</v>
      </c>
      <c r="B144" t="s">
        <v>332</v>
      </c>
      <c r="C144" t="s">
        <v>13</v>
      </c>
      <c r="D144" t="s">
        <v>333</v>
      </c>
      <c r="E144" t="s">
        <v>334</v>
      </c>
      <c r="F144" t="s">
        <v>335</v>
      </c>
      <c r="G144" s="1">
        <v>0.05</v>
      </c>
      <c r="H144" t="s">
        <v>336</v>
      </c>
      <c r="I144" t="s">
        <v>18</v>
      </c>
      <c r="J144" t="s">
        <v>337</v>
      </c>
      <c r="K144" t="s">
        <v>114</v>
      </c>
      <c r="L144" s="14">
        <f>IFERROR(VALUE(LEFT(tblMatriculas[[#This Row],[Clases]],FIND("/",tblMatriculas[[#This Row],[Clases]])-1)),"")</f>
        <v>3</v>
      </c>
      <c r="M144" s="14">
        <f>IFERROR(VALUE(MID(tblMatriculas[[#This Row],[Clases]],FIND("/",tblMatriculas[[#This Row],[Clases]])+1,5)),"")</f>
        <v>60</v>
      </c>
      <c r="N1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44" s="14">
        <f>IF(OR(tblMatriculas[[#This Row],[Estado]]&lt;&gt;"activa",tblMatriculas[[#This Row],[Clases dictadas]]=""),"",MAX(0,tblMatriculas[[#This Row],[Clases dictadas]]-tblMatriculas[[#This Row],[Asistidas]]))</f>
        <v>6</v>
      </c>
      <c r="P144" s="1">
        <f>IF(OR(tblMatriculas[[#This Row],[Estado]]&lt;&gt;"activa",tblMatriculas[[#This Row],[Asistidas]]=""),"",tblMatriculas[[#This Row],[Asistencia]])</f>
        <v>0.05</v>
      </c>
      <c r="Q144" t="b">
        <f>AND(tblMatriculas[[#This Row],[Estado]]="activa",ISNUMBER(tblMatriculas[[#This Row],[% asistencia]]),NOT(ISNUMBER(SEARCH(pPrueba,tblMatriculas[[#This Row],[Nombre]]))))</f>
        <v>1</v>
      </c>
      <c r="R1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4" s="23" t="str" cm="1">
        <f t="array" ref="S1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" s="23" t="str" cm="1">
        <f t="array" ref="T1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" s="14" t="str" cm="1">
        <f t="array" ref="U1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" t="str" cm="1">
        <f t="array" ref="V1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" t="str" cm="1">
        <f t="array" ref="W1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4" t="str">
        <f>IF(COUNTIFS('Base Estudiantes'!$C:$C,tblMatriculas[[#This Row],[Cédula]],'Base Estudiantes'!$I:$I,tblMatriculas[[#This Row],[Código]])&gt;0,"Sí","No")</f>
        <v>Sí</v>
      </c>
      <c r="Z144" s="23" cm="1">
        <f t="array" ref="Z144">_xlfn.XLOOKUP(tblMatriculas[[#This Row],[Cédula]]&amp;"|"&amp;tblMatriculas[[#This Row],[Código]],tblBase[Documento]&amp;"|"&amp;tblBase[Código grupo],tblBase[Fecha matrícula],"")</f>
        <v>46263</v>
      </c>
    </row>
    <row r="145" spans="1:26" x14ac:dyDescent="0.2">
      <c r="A145" t="s">
        <v>338</v>
      </c>
      <c r="B145" t="s">
        <v>339</v>
      </c>
      <c r="C145" t="s">
        <v>13</v>
      </c>
      <c r="D145" t="s">
        <v>333</v>
      </c>
      <c r="E145" t="s">
        <v>334</v>
      </c>
      <c r="F145" t="s">
        <v>335</v>
      </c>
      <c r="G145" s="1">
        <v>0</v>
      </c>
      <c r="H145" t="s">
        <v>254</v>
      </c>
      <c r="I145" t="s">
        <v>18</v>
      </c>
      <c r="J145" t="s">
        <v>337</v>
      </c>
      <c r="K145" t="s">
        <v>24</v>
      </c>
      <c r="L145" s="14">
        <f>IFERROR(VALUE(LEFT(tblMatriculas[[#This Row],[Clases]],FIND("/",tblMatriculas[[#This Row],[Clases]])-1)),"")</f>
        <v>0</v>
      </c>
      <c r="M145" s="14">
        <f>IFERROR(VALUE(MID(tblMatriculas[[#This Row],[Clases]],FIND("/",tblMatriculas[[#This Row],[Clases]])+1,5)),"")</f>
        <v>30</v>
      </c>
      <c r="N1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45" s="14">
        <f>IF(OR(tblMatriculas[[#This Row],[Estado]]&lt;&gt;"activa",tblMatriculas[[#This Row],[Clases dictadas]]=""),"",MAX(0,tblMatriculas[[#This Row],[Clases dictadas]]-tblMatriculas[[#This Row],[Asistidas]]))</f>
        <v>5</v>
      </c>
      <c r="P145" s="1">
        <f>IF(OR(tblMatriculas[[#This Row],[Estado]]&lt;&gt;"activa",tblMatriculas[[#This Row],[Asistidas]]=""),"",tblMatriculas[[#This Row],[Asistencia]])</f>
        <v>0</v>
      </c>
      <c r="Q145" t="b">
        <f>AND(tblMatriculas[[#This Row],[Estado]]="activa",ISNUMBER(tblMatriculas[[#This Row],[% asistencia]]),NOT(ISNUMBER(SEARCH(pPrueba,tblMatriculas[[#This Row],[Nombre]]))))</f>
        <v>1</v>
      </c>
      <c r="R1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5" s="23" t="str" cm="1">
        <f t="array" ref="S1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" s="23" t="str" cm="1">
        <f t="array" ref="T1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" s="14" t="str" cm="1">
        <f t="array" ref="U1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" t="str" cm="1">
        <f t="array" ref="V1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" t="str" cm="1">
        <f t="array" ref="W1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5" t="str">
        <f>IF(COUNTIFS('Base Estudiantes'!$C:$C,tblMatriculas[[#This Row],[Cédula]],'Base Estudiantes'!$I:$I,tblMatriculas[[#This Row],[Código]])&gt;0,"Sí","No")</f>
        <v>Sí</v>
      </c>
      <c r="Z145" s="23" cm="1">
        <f t="array" ref="Z145">_xlfn.XLOOKUP(tblMatriculas[[#This Row],[Cédula]]&amp;"|"&amp;tblMatriculas[[#This Row],[Código]],tblBase[Documento]&amp;"|"&amp;tblBase[Código grupo],tblBase[Fecha matrícula],"")</f>
        <v>46263</v>
      </c>
    </row>
    <row r="146" spans="1:26" x14ac:dyDescent="0.2">
      <c r="A146" t="s">
        <v>340</v>
      </c>
      <c r="B146" t="s">
        <v>341</v>
      </c>
      <c r="C146" t="s">
        <v>13</v>
      </c>
      <c r="D146" t="s">
        <v>333</v>
      </c>
      <c r="E146" t="s">
        <v>334</v>
      </c>
      <c r="F146" t="s">
        <v>335</v>
      </c>
      <c r="G146" s="1">
        <v>0.13300000000000001</v>
      </c>
      <c r="H146" t="s">
        <v>112</v>
      </c>
      <c r="I146" t="s">
        <v>18</v>
      </c>
      <c r="J146" t="s">
        <v>337</v>
      </c>
      <c r="K146" t="s">
        <v>24</v>
      </c>
      <c r="L146" s="14">
        <f>IFERROR(VALUE(LEFT(tblMatriculas[[#This Row],[Clases]],FIND("/",tblMatriculas[[#This Row],[Clases]])-1)),"")</f>
        <v>4</v>
      </c>
      <c r="M146" s="14">
        <f>IFERROR(VALUE(MID(tblMatriculas[[#This Row],[Clases]],FIND("/",tblMatriculas[[#This Row],[Clases]])+1,5)),"")</f>
        <v>30</v>
      </c>
      <c r="N1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46" s="14">
        <f>IF(OR(tblMatriculas[[#This Row],[Estado]]&lt;&gt;"activa",tblMatriculas[[#This Row],[Clases dictadas]]=""),"",MAX(0,tblMatriculas[[#This Row],[Clases dictadas]]-tblMatriculas[[#This Row],[Asistidas]]))</f>
        <v>1</v>
      </c>
      <c r="P146" s="1">
        <f>IF(OR(tblMatriculas[[#This Row],[Estado]]&lt;&gt;"activa",tblMatriculas[[#This Row],[Asistidas]]=""),"",tblMatriculas[[#This Row],[Asistencia]])</f>
        <v>0.13300000000000001</v>
      </c>
      <c r="Q146" t="b">
        <f>AND(tblMatriculas[[#This Row],[Estado]]="activa",ISNUMBER(tblMatriculas[[#This Row],[% asistencia]]),NOT(ISNUMBER(SEARCH(pPrueba,tblMatriculas[[#This Row],[Nombre]]))))</f>
        <v>1</v>
      </c>
      <c r="R1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6" s="23" t="str" cm="1">
        <f t="array" ref="S1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" s="23" t="str" cm="1">
        <f t="array" ref="T1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" s="14" t="str" cm="1">
        <f t="array" ref="U1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" t="str" cm="1">
        <f t="array" ref="V1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" t="str" cm="1">
        <f t="array" ref="W1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6" t="str">
        <f>IF(COUNTIFS('Base Estudiantes'!$C:$C,tblMatriculas[[#This Row],[Cédula]],'Base Estudiantes'!$I:$I,tblMatriculas[[#This Row],[Código]])&gt;0,"Sí","No")</f>
        <v>Sí</v>
      </c>
      <c r="Z146" s="23" cm="1">
        <f t="array" ref="Z146">_xlfn.XLOOKUP(tblMatriculas[[#This Row],[Cédula]]&amp;"|"&amp;tblMatriculas[[#This Row],[Código]],tblBase[Documento]&amp;"|"&amp;tblBase[Código grupo],tblBase[Fecha matrícula],"")</f>
        <v>46263</v>
      </c>
    </row>
    <row r="147" spans="1:26" x14ac:dyDescent="0.2">
      <c r="A147" t="s">
        <v>342</v>
      </c>
      <c r="B147" t="s">
        <v>343</v>
      </c>
      <c r="C147" t="s">
        <v>13</v>
      </c>
      <c r="D147" t="s">
        <v>333</v>
      </c>
      <c r="E147" t="s">
        <v>334</v>
      </c>
      <c r="F147" t="s">
        <v>335</v>
      </c>
      <c r="G147" s="1">
        <v>0.16699999999999998</v>
      </c>
      <c r="H147" t="s">
        <v>229</v>
      </c>
      <c r="I147" t="s">
        <v>18</v>
      </c>
      <c r="J147" t="s">
        <v>337</v>
      </c>
      <c r="K147" t="s">
        <v>24</v>
      </c>
      <c r="L147" s="14">
        <f>IFERROR(VALUE(LEFT(tblMatriculas[[#This Row],[Clases]],FIND("/",tblMatriculas[[#This Row],[Clases]])-1)),"")</f>
        <v>5</v>
      </c>
      <c r="M147" s="14">
        <f>IFERROR(VALUE(MID(tblMatriculas[[#This Row],[Clases]],FIND("/",tblMatriculas[[#This Row],[Clases]])+1,5)),"")</f>
        <v>30</v>
      </c>
      <c r="N1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47" s="14">
        <f>IF(OR(tblMatriculas[[#This Row],[Estado]]&lt;&gt;"activa",tblMatriculas[[#This Row],[Clases dictadas]]=""),"",MAX(0,tblMatriculas[[#This Row],[Clases dictadas]]-tblMatriculas[[#This Row],[Asistidas]]))</f>
        <v>0</v>
      </c>
      <c r="P147" s="1">
        <f>IF(OR(tblMatriculas[[#This Row],[Estado]]&lt;&gt;"activa",tblMatriculas[[#This Row],[Asistidas]]=""),"",tblMatriculas[[#This Row],[Asistencia]])</f>
        <v>0.16699999999999998</v>
      </c>
      <c r="Q147" t="b">
        <f>AND(tblMatriculas[[#This Row],[Estado]]="activa",ISNUMBER(tblMatriculas[[#This Row],[% asistencia]]),NOT(ISNUMBER(SEARCH(pPrueba,tblMatriculas[[#This Row],[Nombre]]))))</f>
        <v>1</v>
      </c>
      <c r="R1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7" s="23" t="str" cm="1">
        <f t="array" ref="S1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" s="23" t="str" cm="1">
        <f t="array" ref="T1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" s="14" t="str" cm="1">
        <f t="array" ref="U1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" t="str" cm="1">
        <f t="array" ref="V1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" t="str" cm="1">
        <f t="array" ref="W1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7" t="str">
        <f>IF(COUNTIFS('Base Estudiantes'!$C:$C,tblMatriculas[[#This Row],[Cédula]],'Base Estudiantes'!$I:$I,tblMatriculas[[#This Row],[Código]])&gt;0,"Sí","No")</f>
        <v>Sí</v>
      </c>
      <c r="Z147" s="23" cm="1">
        <f t="array" ref="Z147">_xlfn.XLOOKUP(tblMatriculas[[#This Row],[Cédula]]&amp;"|"&amp;tblMatriculas[[#This Row],[Código]],tblBase[Documento]&amp;"|"&amp;tblBase[Código grupo],tblBase[Fecha matrícula],"")</f>
        <v>46263</v>
      </c>
    </row>
    <row r="148" spans="1:26" x14ac:dyDescent="0.2">
      <c r="A148" t="s">
        <v>344</v>
      </c>
      <c r="B148" t="s">
        <v>345</v>
      </c>
      <c r="C148" t="s">
        <v>13</v>
      </c>
      <c r="D148" t="s">
        <v>333</v>
      </c>
      <c r="E148" t="s">
        <v>334</v>
      </c>
      <c r="F148" t="s">
        <v>335</v>
      </c>
      <c r="G148" s="1">
        <v>0.13300000000000001</v>
      </c>
      <c r="H148" t="s">
        <v>112</v>
      </c>
      <c r="I148" t="s">
        <v>18</v>
      </c>
      <c r="J148" t="s">
        <v>337</v>
      </c>
      <c r="K148" t="s">
        <v>24</v>
      </c>
      <c r="L148" s="14">
        <f>IFERROR(VALUE(LEFT(tblMatriculas[[#This Row],[Clases]],FIND("/",tblMatriculas[[#This Row],[Clases]])-1)),"")</f>
        <v>4</v>
      </c>
      <c r="M148" s="14">
        <f>IFERROR(VALUE(MID(tblMatriculas[[#This Row],[Clases]],FIND("/",tblMatriculas[[#This Row],[Clases]])+1,5)),"")</f>
        <v>30</v>
      </c>
      <c r="N1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48" s="14">
        <f>IF(OR(tblMatriculas[[#This Row],[Estado]]&lt;&gt;"activa",tblMatriculas[[#This Row],[Clases dictadas]]=""),"",MAX(0,tblMatriculas[[#This Row],[Clases dictadas]]-tblMatriculas[[#This Row],[Asistidas]]))</f>
        <v>1</v>
      </c>
      <c r="P148" s="1">
        <f>IF(OR(tblMatriculas[[#This Row],[Estado]]&lt;&gt;"activa",tblMatriculas[[#This Row],[Asistidas]]=""),"",tblMatriculas[[#This Row],[Asistencia]])</f>
        <v>0.13300000000000001</v>
      </c>
      <c r="Q148" t="b">
        <f>AND(tblMatriculas[[#This Row],[Estado]]="activa",ISNUMBER(tblMatriculas[[#This Row],[% asistencia]]),NOT(ISNUMBER(SEARCH(pPrueba,tblMatriculas[[#This Row],[Nombre]]))))</f>
        <v>1</v>
      </c>
      <c r="R1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8" s="23" t="str" cm="1">
        <f t="array" ref="S1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" s="23" t="str" cm="1">
        <f t="array" ref="T1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" s="14" t="str" cm="1">
        <f t="array" ref="U1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" t="str" cm="1">
        <f t="array" ref="V1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" t="str" cm="1">
        <f t="array" ref="W1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8" t="str">
        <f>IF(COUNTIFS('Base Estudiantes'!$C:$C,tblMatriculas[[#This Row],[Cédula]],'Base Estudiantes'!$I:$I,tblMatriculas[[#This Row],[Código]])&gt;0,"Sí","No")</f>
        <v>Sí</v>
      </c>
      <c r="Z148" s="23" cm="1">
        <f t="array" ref="Z148">_xlfn.XLOOKUP(tblMatriculas[[#This Row],[Cédula]]&amp;"|"&amp;tblMatriculas[[#This Row],[Código]],tblBase[Documento]&amp;"|"&amp;tblBase[Código grupo],tblBase[Fecha matrícula],"")</f>
        <v>46264</v>
      </c>
    </row>
    <row r="149" spans="1:26" x14ac:dyDescent="0.2">
      <c r="A149" t="s">
        <v>346</v>
      </c>
      <c r="B149" t="s">
        <v>347</v>
      </c>
      <c r="C149" t="s">
        <v>49</v>
      </c>
      <c r="D149" t="s">
        <v>333</v>
      </c>
      <c r="E149" t="s">
        <v>334</v>
      </c>
      <c r="F149" t="s">
        <v>335</v>
      </c>
      <c r="G149" s="1">
        <v>3.3000000000000002E-2</v>
      </c>
      <c r="H149" t="s">
        <v>225</v>
      </c>
      <c r="I149" t="s">
        <v>18</v>
      </c>
      <c r="J149" t="s">
        <v>337</v>
      </c>
      <c r="K149" t="s">
        <v>24</v>
      </c>
      <c r="L149" s="14">
        <f>IFERROR(VALUE(LEFT(tblMatriculas[[#This Row],[Clases]],FIND("/",tblMatriculas[[#This Row],[Clases]])-1)),"")</f>
        <v>1</v>
      </c>
      <c r="M149" s="14">
        <f>IFERROR(VALUE(MID(tblMatriculas[[#This Row],[Clases]],FIND("/",tblMatriculas[[#This Row],[Clases]])+1,5)),"")</f>
        <v>30</v>
      </c>
      <c r="N1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49" s="14" t="str">
        <f>IF(OR(tblMatriculas[[#This Row],[Estado]]&lt;&gt;"activa",tblMatriculas[[#This Row],[Clases dictadas]]=""),"",MAX(0,tblMatriculas[[#This Row],[Clases dictadas]]-tblMatriculas[[#This Row],[Asistidas]]))</f>
        <v/>
      </c>
      <c r="P149" s="1" t="str">
        <f>IF(OR(tblMatriculas[[#This Row],[Estado]]&lt;&gt;"activa",tblMatriculas[[#This Row],[Asistidas]]=""),"",tblMatriculas[[#This Row],[Asistencia]])</f>
        <v/>
      </c>
      <c r="Q149" t="b">
        <f>AND(tblMatriculas[[#This Row],[Estado]]="activa",ISNUMBER(tblMatriculas[[#This Row],[% asistencia]]),NOT(ISNUMBER(SEARCH(pPrueba,tblMatriculas[[#This Row],[Nombre]]))))</f>
        <v>0</v>
      </c>
      <c r="R1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49" s="23" t="str" cm="1">
        <f t="array" ref="S1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" s="23" t="str" cm="1">
        <f t="array" ref="T1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" s="14" t="str" cm="1">
        <f t="array" ref="U1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" t="str" cm="1">
        <f t="array" ref="V1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" t="str" cm="1">
        <f t="array" ref="W1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9" t="str">
        <f>IF(COUNTIFS('Base Estudiantes'!$C:$C,tblMatriculas[[#This Row],[Cédula]],'Base Estudiantes'!$I:$I,tblMatriculas[[#This Row],[Código]])&gt;0,"Sí","No")</f>
        <v>No</v>
      </c>
      <c r="Z149" s="23" t="str" cm="1">
        <f t="array" ref="Z149">_xlfn.XLOOKUP(tblMatriculas[[#This Row],[Cédula]]&amp;"|"&amp;tblMatriculas[[#This Row],[Código]],tblBase[Documento]&amp;"|"&amp;tblBase[Código grupo],tblBase[Fecha matrícula],"")</f>
        <v/>
      </c>
    </row>
    <row r="150" spans="1:26" x14ac:dyDescent="0.2">
      <c r="A150" t="s">
        <v>348</v>
      </c>
      <c r="B150" t="s">
        <v>349</v>
      </c>
      <c r="C150" t="s">
        <v>13</v>
      </c>
      <c r="D150" t="s">
        <v>333</v>
      </c>
      <c r="E150" t="s">
        <v>334</v>
      </c>
      <c r="F150" t="s">
        <v>335</v>
      </c>
      <c r="G150" s="1">
        <v>0.16699999999999998</v>
      </c>
      <c r="H150" t="s">
        <v>229</v>
      </c>
      <c r="I150" t="s">
        <v>18</v>
      </c>
      <c r="J150" t="s">
        <v>337</v>
      </c>
      <c r="K150" t="s">
        <v>24</v>
      </c>
      <c r="L150" s="14">
        <f>IFERROR(VALUE(LEFT(tblMatriculas[[#This Row],[Clases]],FIND("/",tblMatriculas[[#This Row],[Clases]])-1)),"")</f>
        <v>5</v>
      </c>
      <c r="M150" s="14">
        <f>IFERROR(VALUE(MID(tblMatriculas[[#This Row],[Clases]],FIND("/",tblMatriculas[[#This Row],[Clases]])+1,5)),"")</f>
        <v>30</v>
      </c>
      <c r="N1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0" s="14">
        <f>IF(OR(tblMatriculas[[#This Row],[Estado]]&lt;&gt;"activa",tblMatriculas[[#This Row],[Clases dictadas]]=""),"",MAX(0,tblMatriculas[[#This Row],[Clases dictadas]]-tblMatriculas[[#This Row],[Asistidas]]))</f>
        <v>0</v>
      </c>
      <c r="P150" s="1">
        <f>IF(OR(tblMatriculas[[#This Row],[Estado]]&lt;&gt;"activa",tblMatriculas[[#This Row],[Asistidas]]=""),"",tblMatriculas[[#This Row],[Asistencia]])</f>
        <v>0.16699999999999998</v>
      </c>
      <c r="Q150" t="b">
        <f>AND(tblMatriculas[[#This Row],[Estado]]="activa",ISNUMBER(tblMatriculas[[#This Row],[% asistencia]]),NOT(ISNUMBER(SEARCH(pPrueba,tblMatriculas[[#This Row],[Nombre]]))))</f>
        <v>1</v>
      </c>
      <c r="R1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0" s="23" t="str" cm="1">
        <f t="array" ref="S1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" s="23" t="str" cm="1">
        <f t="array" ref="T1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" s="14" t="str" cm="1">
        <f t="array" ref="U1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" t="str" cm="1">
        <f t="array" ref="V1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" t="str" cm="1">
        <f t="array" ref="W1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0" t="str">
        <f>IF(COUNTIFS('Base Estudiantes'!$C:$C,tblMatriculas[[#This Row],[Cédula]],'Base Estudiantes'!$I:$I,tblMatriculas[[#This Row],[Código]])&gt;0,"Sí","No")</f>
        <v>Sí</v>
      </c>
      <c r="Z150" s="23" cm="1">
        <f t="array" ref="Z150">_xlfn.XLOOKUP(tblMatriculas[[#This Row],[Cédula]]&amp;"|"&amp;tblMatriculas[[#This Row],[Código]],tblBase[Documento]&amp;"|"&amp;tblBase[Código grupo],tblBase[Fecha matrícula],"")</f>
        <v>46264</v>
      </c>
    </row>
    <row r="151" spans="1:26" x14ac:dyDescent="0.2">
      <c r="A151" t="s">
        <v>350</v>
      </c>
      <c r="B151" t="s">
        <v>351</v>
      </c>
      <c r="C151" t="s">
        <v>13</v>
      </c>
      <c r="D151" t="s">
        <v>333</v>
      </c>
      <c r="E151" t="s">
        <v>334</v>
      </c>
      <c r="F151" t="s">
        <v>335</v>
      </c>
      <c r="G151" s="1">
        <v>0.16699999999999998</v>
      </c>
      <c r="H151" t="s">
        <v>229</v>
      </c>
      <c r="I151" t="s">
        <v>18</v>
      </c>
      <c r="J151" t="s">
        <v>337</v>
      </c>
      <c r="K151" t="s">
        <v>24</v>
      </c>
      <c r="L151" s="14">
        <f>IFERROR(VALUE(LEFT(tblMatriculas[[#This Row],[Clases]],FIND("/",tblMatriculas[[#This Row],[Clases]])-1)),"")</f>
        <v>5</v>
      </c>
      <c r="M151" s="14">
        <f>IFERROR(VALUE(MID(tblMatriculas[[#This Row],[Clases]],FIND("/",tblMatriculas[[#This Row],[Clases]])+1,5)),"")</f>
        <v>30</v>
      </c>
      <c r="N1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1" s="14">
        <f>IF(OR(tblMatriculas[[#This Row],[Estado]]&lt;&gt;"activa",tblMatriculas[[#This Row],[Clases dictadas]]=""),"",MAX(0,tblMatriculas[[#This Row],[Clases dictadas]]-tblMatriculas[[#This Row],[Asistidas]]))</f>
        <v>0</v>
      </c>
      <c r="P151" s="1">
        <f>IF(OR(tblMatriculas[[#This Row],[Estado]]&lt;&gt;"activa",tblMatriculas[[#This Row],[Asistidas]]=""),"",tblMatriculas[[#This Row],[Asistencia]])</f>
        <v>0.16699999999999998</v>
      </c>
      <c r="Q151" t="b">
        <f>AND(tblMatriculas[[#This Row],[Estado]]="activa",ISNUMBER(tblMatriculas[[#This Row],[% asistencia]]),NOT(ISNUMBER(SEARCH(pPrueba,tblMatriculas[[#This Row],[Nombre]]))))</f>
        <v>1</v>
      </c>
      <c r="R1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" s="23" t="str" cm="1">
        <f t="array" ref="S1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" s="23" t="str" cm="1">
        <f t="array" ref="T1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" s="14" t="str" cm="1">
        <f t="array" ref="U1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" t="str" cm="1">
        <f t="array" ref="V1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" t="str" cm="1">
        <f t="array" ref="W1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" t="str">
        <f>IF(COUNTIFS('Base Estudiantes'!$C:$C,tblMatriculas[[#This Row],[Cédula]],'Base Estudiantes'!$I:$I,tblMatriculas[[#This Row],[Código]])&gt;0,"Sí","No")</f>
        <v>Sí</v>
      </c>
      <c r="Z151" s="23" cm="1">
        <f t="array" ref="Z151">_xlfn.XLOOKUP(tblMatriculas[[#This Row],[Cédula]]&amp;"|"&amp;tblMatriculas[[#This Row],[Código]],tblBase[Documento]&amp;"|"&amp;tblBase[Código grupo],tblBase[Fecha matrícula],"")</f>
        <v>46264</v>
      </c>
    </row>
    <row r="152" spans="1:26" x14ac:dyDescent="0.2">
      <c r="A152" t="s">
        <v>352</v>
      </c>
      <c r="B152" t="s">
        <v>353</v>
      </c>
      <c r="C152" t="s">
        <v>13</v>
      </c>
      <c r="D152" t="s">
        <v>333</v>
      </c>
      <c r="E152" t="s">
        <v>334</v>
      </c>
      <c r="F152" t="s">
        <v>335</v>
      </c>
      <c r="G152" s="1">
        <v>6.7000000000000004E-2</v>
      </c>
      <c r="H152" t="s">
        <v>166</v>
      </c>
      <c r="I152" t="s">
        <v>18</v>
      </c>
      <c r="J152" t="s">
        <v>337</v>
      </c>
      <c r="K152" t="s">
        <v>24</v>
      </c>
      <c r="L152" s="14">
        <f>IFERROR(VALUE(LEFT(tblMatriculas[[#This Row],[Clases]],FIND("/",tblMatriculas[[#This Row],[Clases]])-1)),"")</f>
        <v>2</v>
      </c>
      <c r="M152" s="14">
        <f>IFERROR(VALUE(MID(tblMatriculas[[#This Row],[Clases]],FIND("/",tblMatriculas[[#This Row],[Clases]])+1,5)),"")</f>
        <v>30</v>
      </c>
      <c r="N1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2" s="14">
        <f>IF(OR(tblMatriculas[[#This Row],[Estado]]&lt;&gt;"activa",tblMatriculas[[#This Row],[Clases dictadas]]=""),"",MAX(0,tblMatriculas[[#This Row],[Clases dictadas]]-tblMatriculas[[#This Row],[Asistidas]]))</f>
        <v>3</v>
      </c>
      <c r="P152" s="1">
        <f>IF(OR(tblMatriculas[[#This Row],[Estado]]&lt;&gt;"activa",tblMatriculas[[#This Row],[Asistidas]]=""),"",tblMatriculas[[#This Row],[Asistencia]])</f>
        <v>6.7000000000000004E-2</v>
      </c>
      <c r="Q152" t="b">
        <f>AND(tblMatriculas[[#This Row],[Estado]]="activa",ISNUMBER(tblMatriculas[[#This Row],[% asistencia]]),NOT(ISNUMBER(SEARCH(pPrueba,tblMatriculas[[#This Row],[Nombre]]))))</f>
        <v>1</v>
      </c>
      <c r="R1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2" s="23" t="str" cm="1">
        <f t="array" ref="S1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" s="23" t="str" cm="1">
        <f t="array" ref="T1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" s="14" t="str" cm="1">
        <f t="array" ref="U1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" t="str" cm="1">
        <f t="array" ref="V1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" t="str" cm="1">
        <f t="array" ref="W1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2" t="str">
        <f>IF(COUNTIFS('Base Estudiantes'!$C:$C,tblMatriculas[[#This Row],[Cédula]],'Base Estudiantes'!$I:$I,tblMatriculas[[#This Row],[Código]])&gt;0,"Sí","No")</f>
        <v>Sí</v>
      </c>
      <c r="Z152" s="23" cm="1">
        <f t="array" ref="Z152">_xlfn.XLOOKUP(tblMatriculas[[#This Row],[Cédula]]&amp;"|"&amp;tblMatriculas[[#This Row],[Código]],tblBase[Documento]&amp;"|"&amp;tblBase[Código grupo],tblBase[Fecha matrícula],"")</f>
        <v>46264</v>
      </c>
    </row>
    <row r="153" spans="1:26" x14ac:dyDescent="0.2">
      <c r="A153" t="s">
        <v>354</v>
      </c>
      <c r="B153" t="s">
        <v>355</v>
      </c>
      <c r="C153" t="s">
        <v>13</v>
      </c>
      <c r="D153" t="s">
        <v>333</v>
      </c>
      <c r="E153" t="s">
        <v>334</v>
      </c>
      <c r="F153" t="s">
        <v>335</v>
      </c>
      <c r="G153" s="1">
        <v>0.16699999999999998</v>
      </c>
      <c r="H153" t="s">
        <v>229</v>
      </c>
      <c r="I153" t="s">
        <v>18</v>
      </c>
      <c r="J153" t="s">
        <v>337</v>
      </c>
      <c r="K153" t="s">
        <v>24</v>
      </c>
      <c r="L153" s="14">
        <f>IFERROR(VALUE(LEFT(tblMatriculas[[#This Row],[Clases]],FIND("/",tblMatriculas[[#This Row],[Clases]])-1)),"")</f>
        <v>5</v>
      </c>
      <c r="M153" s="14">
        <f>IFERROR(VALUE(MID(tblMatriculas[[#This Row],[Clases]],FIND("/",tblMatriculas[[#This Row],[Clases]])+1,5)),"")</f>
        <v>30</v>
      </c>
      <c r="N1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3" s="14">
        <f>IF(OR(tblMatriculas[[#This Row],[Estado]]&lt;&gt;"activa",tblMatriculas[[#This Row],[Clases dictadas]]=""),"",MAX(0,tblMatriculas[[#This Row],[Clases dictadas]]-tblMatriculas[[#This Row],[Asistidas]]))</f>
        <v>0</v>
      </c>
      <c r="P153" s="1">
        <f>IF(OR(tblMatriculas[[#This Row],[Estado]]&lt;&gt;"activa",tblMatriculas[[#This Row],[Asistidas]]=""),"",tblMatriculas[[#This Row],[Asistencia]])</f>
        <v>0.16699999999999998</v>
      </c>
      <c r="Q153" t="b">
        <f>AND(tblMatriculas[[#This Row],[Estado]]="activa",ISNUMBER(tblMatriculas[[#This Row],[% asistencia]]),NOT(ISNUMBER(SEARCH(pPrueba,tblMatriculas[[#This Row],[Nombre]]))))</f>
        <v>1</v>
      </c>
      <c r="R1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" s="23" t="str" cm="1">
        <f t="array" ref="S1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" s="23" t="str" cm="1">
        <f t="array" ref="T1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" s="14" t="str" cm="1">
        <f t="array" ref="U1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" t="str" cm="1">
        <f t="array" ref="V1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" t="str" cm="1">
        <f t="array" ref="W1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" t="str">
        <f>IF(COUNTIFS('Base Estudiantes'!$C:$C,tblMatriculas[[#This Row],[Cédula]],'Base Estudiantes'!$I:$I,tblMatriculas[[#This Row],[Código]])&gt;0,"Sí","No")</f>
        <v>Sí</v>
      </c>
      <c r="Z153" s="23" cm="1">
        <f t="array" ref="Z153">_xlfn.XLOOKUP(tblMatriculas[[#This Row],[Cédula]]&amp;"|"&amp;tblMatriculas[[#This Row],[Código]],tblBase[Documento]&amp;"|"&amp;tblBase[Código grupo],tblBase[Fecha matrícula],"")</f>
        <v>46264</v>
      </c>
    </row>
    <row r="154" spans="1:26" x14ac:dyDescent="0.2">
      <c r="A154" t="s">
        <v>356</v>
      </c>
      <c r="B154" t="s">
        <v>357</v>
      </c>
      <c r="C154" t="s">
        <v>13</v>
      </c>
      <c r="D154" t="s">
        <v>333</v>
      </c>
      <c r="E154" t="s">
        <v>334</v>
      </c>
      <c r="F154" t="s">
        <v>335</v>
      </c>
      <c r="G154" s="1">
        <v>0</v>
      </c>
      <c r="H154" t="s">
        <v>254</v>
      </c>
      <c r="I154" t="s">
        <v>18</v>
      </c>
      <c r="J154" t="s">
        <v>337</v>
      </c>
      <c r="K154" t="s">
        <v>24</v>
      </c>
      <c r="L154" s="14">
        <f>IFERROR(VALUE(LEFT(tblMatriculas[[#This Row],[Clases]],FIND("/",tblMatriculas[[#This Row],[Clases]])-1)),"")</f>
        <v>0</v>
      </c>
      <c r="M154" s="14">
        <f>IFERROR(VALUE(MID(tblMatriculas[[#This Row],[Clases]],FIND("/",tblMatriculas[[#This Row],[Clases]])+1,5)),"")</f>
        <v>30</v>
      </c>
      <c r="N1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4" s="14">
        <f>IF(OR(tblMatriculas[[#This Row],[Estado]]&lt;&gt;"activa",tblMatriculas[[#This Row],[Clases dictadas]]=""),"",MAX(0,tblMatriculas[[#This Row],[Clases dictadas]]-tblMatriculas[[#This Row],[Asistidas]]))</f>
        <v>5</v>
      </c>
      <c r="P154" s="1">
        <f>IF(OR(tblMatriculas[[#This Row],[Estado]]&lt;&gt;"activa",tblMatriculas[[#This Row],[Asistidas]]=""),"",tblMatriculas[[#This Row],[Asistencia]])</f>
        <v>0</v>
      </c>
      <c r="Q154" t="b">
        <f>AND(tblMatriculas[[#This Row],[Estado]]="activa",ISNUMBER(tblMatriculas[[#This Row],[% asistencia]]),NOT(ISNUMBER(SEARCH(pPrueba,tblMatriculas[[#This Row],[Nombre]]))))</f>
        <v>1</v>
      </c>
      <c r="R1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4" s="23" t="str" cm="1">
        <f t="array" ref="S1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" s="23" t="str" cm="1">
        <f t="array" ref="T1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" s="14" t="str" cm="1">
        <f t="array" ref="U1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" t="str" cm="1">
        <f t="array" ref="V1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" t="str" cm="1">
        <f t="array" ref="W1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4" t="str">
        <f>IF(COUNTIFS('Base Estudiantes'!$C:$C,tblMatriculas[[#This Row],[Cédula]],'Base Estudiantes'!$I:$I,tblMatriculas[[#This Row],[Código]])&gt;0,"Sí","No")</f>
        <v>Sí</v>
      </c>
      <c r="Z154" s="23" cm="1">
        <f t="array" ref="Z154">_xlfn.XLOOKUP(tblMatriculas[[#This Row],[Cédula]]&amp;"|"&amp;tblMatriculas[[#This Row],[Código]],tblBase[Documento]&amp;"|"&amp;tblBase[Código grupo],tblBase[Fecha matrícula],"")</f>
        <v>46264</v>
      </c>
    </row>
    <row r="155" spans="1:26" x14ac:dyDescent="0.2">
      <c r="A155" t="s">
        <v>358</v>
      </c>
      <c r="B155" t="s">
        <v>359</v>
      </c>
      <c r="C155" t="s">
        <v>13</v>
      </c>
      <c r="D155" t="s">
        <v>333</v>
      </c>
      <c r="E155" t="s">
        <v>334</v>
      </c>
      <c r="F155" t="s">
        <v>335</v>
      </c>
      <c r="G155" s="1">
        <v>0.16699999999999998</v>
      </c>
      <c r="H155" t="s">
        <v>229</v>
      </c>
      <c r="I155" t="s">
        <v>18</v>
      </c>
      <c r="J155" t="s">
        <v>337</v>
      </c>
      <c r="K155" t="s">
        <v>24</v>
      </c>
      <c r="L155" s="14">
        <f>IFERROR(VALUE(LEFT(tblMatriculas[[#This Row],[Clases]],FIND("/",tblMatriculas[[#This Row],[Clases]])-1)),"")</f>
        <v>5</v>
      </c>
      <c r="M155" s="14">
        <f>IFERROR(VALUE(MID(tblMatriculas[[#This Row],[Clases]],FIND("/",tblMatriculas[[#This Row],[Clases]])+1,5)),"")</f>
        <v>30</v>
      </c>
      <c r="N1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" s="14">
        <f>IF(OR(tblMatriculas[[#This Row],[Estado]]&lt;&gt;"activa",tblMatriculas[[#This Row],[Clases dictadas]]=""),"",MAX(0,tblMatriculas[[#This Row],[Clases dictadas]]-tblMatriculas[[#This Row],[Asistidas]]))</f>
        <v>0</v>
      </c>
      <c r="P155" s="1">
        <f>IF(OR(tblMatriculas[[#This Row],[Estado]]&lt;&gt;"activa",tblMatriculas[[#This Row],[Asistidas]]=""),"",tblMatriculas[[#This Row],[Asistencia]])</f>
        <v>0.16699999999999998</v>
      </c>
      <c r="Q155" t="b">
        <f>AND(tblMatriculas[[#This Row],[Estado]]="activa",ISNUMBER(tblMatriculas[[#This Row],[% asistencia]]),NOT(ISNUMBER(SEARCH(pPrueba,tblMatriculas[[#This Row],[Nombre]]))))</f>
        <v>1</v>
      </c>
      <c r="R1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" s="23" t="str" cm="1">
        <f t="array" ref="S1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" s="23" t="str" cm="1">
        <f t="array" ref="T1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" s="14" t="str" cm="1">
        <f t="array" ref="U1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" t="str" cm="1">
        <f t="array" ref="V1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" t="str" cm="1">
        <f t="array" ref="W1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" t="str">
        <f>IF(COUNTIFS('Base Estudiantes'!$C:$C,tblMatriculas[[#This Row],[Cédula]],'Base Estudiantes'!$I:$I,tblMatriculas[[#This Row],[Código]])&gt;0,"Sí","No")</f>
        <v>Sí</v>
      </c>
      <c r="Z155" s="23" cm="1">
        <f t="array" ref="Z155">_xlfn.XLOOKUP(tblMatriculas[[#This Row],[Cédula]]&amp;"|"&amp;tblMatriculas[[#This Row],[Código]],tblBase[Documento]&amp;"|"&amp;tblBase[Código grupo],tblBase[Fecha matrícula],"")</f>
        <v>46264</v>
      </c>
    </row>
    <row r="156" spans="1:26" x14ac:dyDescent="0.2">
      <c r="A156" t="s">
        <v>360</v>
      </c>
      <c r="B156" t="s">
        <v>361</v>
      </c>
      <c r="C156" t="s">
        <v>13</v>
      </c>
      <c r="D156" t="s">
        <v>333</v>
      </c>
      <c r="E156" t="s">
        <v>334</v>
      </c>
      <c r="F156" t="s">
        <v>335</v>
      </c>
      <c r="G156" s="1">
        <v>0.1</v>
      </c>
      <c r="H156" t="s">
        <v>117</v>
      </c>
      <c r="I156" t="s">
        <v>18</v>
      </c>
      <c r="J156" t="s">
        <v>337</v>
      </c>
      <c r="K156" t="s">
        <v>24</v>
      </c>
      <c r="L156" s="14">
        <f>IFERROR(VALUE(LEFT(tblMatriculas[[#This Row],[Clases]],FIND("/",tblMatriculas[[#This Row],[Clases]])-1)),"")</f>
        <v>3</v>
      </c>
      <c r="M156" s="14">
        <f>IFERROR(VALUE(MID(tblMatriculas[[#This Row],[Clases]],FIND("/",tblMatriculas[[#This Row],[Clases]])+1,5)),"")</f>
        <v>30</v>
      </c>
      <c r="N1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" s="14">
        <f>IF(OR(tblMatriculas[[#This Row],[Estado]]&lt;&gt;"activa",tblMatriculas[[#This Row],[Clases dictadas]]=""),"",MAX(0,tblMatriculas[[#This Row],[Clases dictadas]]-tblMatriculas[[#This Row],[Asistidas]]))</f>
        <v>2</v>
      </c>
      <c r="P156" s="1">
        <f>IF(OR(tblMatriculas[[#This Row],[Estado]]&lt;&gt;"activa",tblMatriculas[[#This Row],[Asistidas]]=""),"",tblMatriculas[[#This Row],[Asistencia]])</f>
        <v>0.1</v>
      </c>
      <c r="Q156" t="b">
        <f>AND(tblMatriculas[[#This Row],[Estado]]="activa",ISNUMBER(tblMatriculas[[#This Row],[% asistencia]]),NOT(ISNUMBER(SEARCH(pPrueba,tblMatriculas[[#This Row],[Nombre]]))))</f>
        <v>1</v>
      </c>
      <c r="R1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" s="23" t="str" cm="1">
        <f t="array" ref="S1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" s="23" t="str" cm="1">
        <f t="array" ref="T1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" s="14" t="str" cm="1">
        <f t="array" ref="U1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" t="str" cm="1">
        <f t="array" ref="V1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" t="str" cm="1">
        <f t="array" ref="W1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" t="str">
        <f>IF(COUNTIFS('Base Estudiantes'!$C:$C,tblMatriculas[[#This Row],[Cédula]],'Base Estudiantes'!$I:$I,tblMatriculas[[#This Row],[Código]])&gt;0,"Sí","No")</f>
        <v>Sí</v>
      </c>
      <c r="Z156" s="23" cm="1">
        <f t="array" ref="Z156">_xlfn.XLOOKUP(tblMatriculas[[#This Row],[Cédula]]&amp;"|"&amp;tblMatriculas[[#This Row],[Código]],tblBase[Documento]&amp;"|"&amp;tblBase[Código grupo],tblBase[Fecha matrícula],"")</f>
        <v>46264</v>
      </c>
    </row>
    <row r="157" spans="1:26" x14ac:dyDescent="0.2">
      <c r="A157" t="s">
        <v>362</v>
      </c>
      <c r="B157" t="s">
        <v>363</v>
      </c>
      <c r="C157" t="s">
        <v>13</v>
      </c>
      <c r="D157" t="s">
        <v>333</v>
      </c>
      <c r="E157" t="s">
        <v>334</v>
      </c>
      <c r="F157" t="s">
        <v>335</v>
      </c>
      <c r="G157" s="1">
        <v>0.16699999999999998</v>
      </c>
      <c r="H157" t="s">
        <v>229</v>
      </c>
      <c r="I157" t="s">
        <v>18</v>
      </c>
      <c r="J157" t="s">
        <v>337</v>
      </c>
      <c r="K157" t="s">
        <v>24</v>
      </c>
      <c r="L157" s="14">
        <f>IFERROR(VALUE(LEFT(tblMatriculas[[#This Row],[Clases]],FIND("/",tblMatriculas[[#This Row],[Clases]])-1)),"")</f>
        <v>5</v>
      </c>
      <c r="M157" s="14">
        <f>IFERROR(VALUE(MID(tblMatriculas[[#This Row],[Clases]],FIND("/",tblMatriculas[[#This Row],[Clases]])+1,5)),"")</f>
        <v>30</v>
      </c>
      <c r="N1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" s="14">
        <f>IF(OR(tblMatriculas[[#This Row],[Estado]]&lt;&gt;"activa",tblMatriculas[[#This Row],[Clases dictadas]]=""),"",MAX(0,tblMatriculas[[#This Row],[Clases dictadas]]-tblMatriculas[[#This Row],[Asistidas]]))</f>
        <v>0</v>
      </c>
      <c r="P157" s="1">
        <f>IF(OR(tblMatriculas[[#This Row],[Estado]]&lt;&gt;"activa",tblMatriculas[[#This Row],[Asistidas]]=""),"",tblMatriculas[[#This Row],[Asistencia]])</f>
        <v>0.16699999999999998</v>
      </c>
      <c r="Q157" t="b">
        <f>AND(tblMatriculas[[#This Row],[Estado]]="activa",ISNUMBER(tblMatriculas[[#This Row],[% asistencia]]),NOT(ISNUMBER(SEARCH(pPrueba,tblMatriculas[[#This Row],[Nombre]]))))</f>
        <v>1</v>
      </c>
      <c r="R1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" s="23" t="str" cm="1">
        <f t="array" ref="S1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" s="23" t="str" cm="1">
        <f t="array" ref="T1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" s="14" t="str" cm="1">
        <f t="array" ref="U1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" t="str" cm="1">
        <f t="array" ref="V1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" t="str" cm="1">
        <f t="array" ref="W1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" t="str">
        <f>IF(COUNTIFS('Base Estudiantes'!$C:$C,tblMatriculas[[#This Row],[Cédula]],'Base Estudiantes'!$I:$I,tblMatriculas[[#This Row],[Código]])&gt;0,"Sí","No")</f>
        <v>Sí</v>
      </c>
      <c r="Z157" s="23" cm="1">
        <f t="array" ref="Z157">_xlfn.XLOOKUP(tblMatriculas[[#This Row],[Cédula]]&amp;"|"&amp;tblMatriculas[[#This Row],[Código]],tblBase[Documento]&amp;"|"&amp;tblBase[Código grupo],tblBase[Fecha matrícula],"")</f>
        <v>46264</v>
      </c>
    </row>
    <row r="158" spans="1:26" x14ac:dyDescent="0.2">
      <c r="A158" t="s">
        <v>364</v>
      </c>
      <c r="B158" t="s">
        <v>365</v>
      </c>
      <c r="C158" t="s">
        <v>13</v>
      </c>
      <c r="D158" t="s">
        <v>333</v>
      </c>
      <c r="E158" t="s">
        <v>334</v>
      </c>
      <c r="F158" t="s">
        <v>335</v>
      </c>
      <c r="G158" s="1">
        <v>0.16699999999999998</v>
      </c>
      <c r="H158" t="s">
        <v>229</v>
      </c>
      <c r="I158" t="s">
        <v>18</v>
      </c>
      <c r="J158" t="s">
        <v>337</v>
      </c>
      <c r="K158" t="s">
        <v>24</v>
      </c>
      <c r="L158" s="14">
        <f>IFERROR(VALUE(LEFT(tblMatriculas[[#This Row],[Clases]],FIND("/",tblMatriculas[[#This Row],[Clases]])-1)),"")</f>
        <v>5</v>
      </c>
      <c r="M158" s="14">
        <f>IFERROR(VALUE(MID(tblMatriculas[[#This Row],[Clases]],FIND("/",tblMatriculas[[#This Row],[Clases]])+1,5)),"")</f>
        <v>30</v>
      </c>
      <c r="N1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" s="14">
        <f>IF(OR(tblMatriculas[[#This Row],[Estado]]&lt;&gt;"activa",tblMatriculas[[#This Row],[Clases dictadas]]=""),"",MAX(0,tblMatriculas[[#This Row],[Clases dictadas]]-tblMatriculas[[#This Row],[Asistidas]]))</f>
        <v>0</v>
      </c>
      <c r="P158" s="1">
        <f>IF(OR(tblMatriculas[[#This Row],[Estado]]&lt;&gt;"activa",tblMatriculas[[#This Row],[Asistidas]]=""),"",tblMatriculas[[#This Row],[Asistencia]])</f>
        <v>0.16699999999999998</v>
      </c>
      <c r="Q158" t="b">
        <f>AND(tblMatriculas[[#This Row],[Estado]]="activa",ISNUMBER(tblMatriculas[[#This Row],[% asistencia]]),NOT(ISNUMBER(SEARCH(pPrueba,tblMatriculas[[#This Row],[Nombre]]))))</f>
        <v>1</v>
      </c>
      <c r="R1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" s="23" t="str" cm="1">
        <f t="array" ref="S1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" s="23" t="str" cm="1">
        <f t="array" ref="T1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" s="14" t="str" cm="1">
        <f t="array" ref="U1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" t="str" cm="1">
        <f t="array" ref="V1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" t="str" cm="1">
        <f t="array" ref="W1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" t="str">
        <f>IF(COUNTIFS('Base Estudiantes'!$C:$C,tblMatriculas[[#This Row],[Cédula]],'Base Estudiantes'!$I:$I,tblMatriculas[[#This Row],[Código]])&gt;0,"Sí","No")</f>
        <v>Sí</v>
      </c>
      <c r="Z158" s="23" cm="1">
        <f t="array" ref="Z158">_xlfn.XLOOKUP(tblMatriculas[[#This Row],[Cédula]]&amp;"|"&amp;tblMatriculas[[#This Row],[Código]],tblBase[Documento]&amp;"|"&amp;tblBase[Código grupo],tblBase[Fecha matrícula],"")</f>
        <v>46264</v>
      </c>
    </row>
    <row r="159" spans="1:26" x14ac:dyDescent="0.2">
      <c r="A159" t="s">
        <v>366</v>
      </c>
      <c r="B159" t="s">
        <v>367</v>
      </c>
      <c r="C159" t="s">
        <v>13</v>
      </c>
      <c r="D159" t="s">
        <v>333</v>
      </c>
      <c r="E159" t="s">
        <v>334</v>
      </c>
      <c r="F159" t="s">
        <v>335</v>
      </c>
      <c r="G159" s="1">
        <v>6.7000000000000004E-2</v>
      </c>
      <c r="H159" t="s">
        <v>166</v>
      </c>
      <c r="I159" t="s">
        <v>18</v>
      </c>
      <c r="J159" t="s">
        <v>337</v>
      </c>
      <c r="K159" t="s">
        <v>24</v>
      </c>
      <c r="L159" s="14">
        <f>IFERROR(VALUE(LEFT(tblMatriculas[[#This Row],[Clases]],FIND("/",tblMatriculas[[#This Row],[Clases]])-1)),"")</f>
        <v>2</v>
      </c>
      <c r="M159" s="14">
        <f>IFERROR(VALUE(MID(tblMatriculas[[#This Row],[Clases]],FIND("/",tblMatriculas[[#This Row],[Clases]])+1,5)),"")</f>
        <v>30</v>
      </c>
      <c r="N1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" s="14">
        <f>IF(OR(tblMatriculas[[#This Row],[Estado]]&lt;&gt;"activa",tblMatriculas[[#This Row],[Clases dictadas]]=""),"",MAX(0,tblMatriculas[[#This Row],[Clases dictadas]]-tblMatriculas[[#This Row],[Asistidas]]))</f>
        <v>3</v>
      </c>
      <c r="P159" s="1">
        <f>IF(OR(tblMatriculas[[#This Row],[Estado]]&lt;&gt;"activa",tblMatriculas[[#This Row],[Asistidas]]=""),"",tblMatriculas[[#This Row],[Asistencia]])</f>
        <v>6.7000000000000004E-2</v>
      </c>
      <c r="Q159" t="b">
        <f>AND(tblMatriculas[[#This Row],[Estado]]="activa",ISNUMBER(tblMatriculas[[#This Row],[% asistencia]]),NOT(ISNUMBER(SEARCH(pPrueba,tblMatriculas[[#This Row],[Nombre]]))))</f>
        <v>1</v>
      </c>
      <c r="R1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9" s="23" t="str" cm="1">
        <f t="array" ref="S1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" s="23" t="str" cm="1">
        <f t="array" ref="T1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" s="14" t="str" cm="1">
        <f t="array" ref="U1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" t="str" cm="1">
        <f t="array" ref="V1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" t="str" cm="1">
        <f t="array" ref="W1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9" t="str">
        <f>IF(COUNTIFS('Base Estudiantes'!$C:$C,tblMatriculas[[#This Row],[Cédula]],'Base Estudiantes'!$I:$I,tblMatriculas[[#This Row],[Código]])&gt;0,"Sí","No")</f>
        <v>Sí</v>
      </c>
      <c r="Z159" s="23" cm="1">
        <f t="array" ref="Z159">_xlfn.XLOOKUP(tblMatriculas[[#This Row],[Cédula]]&amp;"|"&amp;tblMatriculas[[#This Row],[Código]],tblBase[Documento]&amp;"|"&amp;tblBase[Código grupo],tblBase[Fecha matrícula],"")</f>
        <v>46264</v>
      </c>
    </row>
    <row r="160" spans="1:26" x14ac:dyDescent="0.2">
      <c r="A160" t="s">
        <v>368</v>
      </c>
      <c r="B160" t="s">
        <v>369</v>
      </c>
      <c r="C160" t="s">
        <v>13</v>
      </c>
      <c r="D160" t="s">
        <v>333</v>
      </c>
      <c r="E160" t="s">
        <v>334</v>
      </c>
      <c r="F160" t="s">
        <v>335</v>
      </c>
      <c r="G160" s="1">
        <v>0.16699999999999998</v>
      </c>
      <c r="H160" t="s">
        <v>229</v>
      </c>
      <c r="I160" t="s">
        <v>18</v>
      </c>
      <c r="J160" t="s">
        <v>337</v>
      </c>
      <c r="K160" t="s">
        <v>24</v>
      </c>
      <c r="L160" s="14">
        <f>IFERROR(VALUE(LEFT(tblMatriculas[[#This Row],[Clases]],FIND("/",tblMatriculas[[#This Row],[Clases]])-1)),"")</f>
        <v>5</v>
      </c>
      <c r="M160" s="14">
        <f>IFERROR(VALUE(MID(tblMatriculas[[#This Row],[Clases]],FIND("/",tblMatriculas[[#This Row],[Clases]])+1,5)),"")</f>
        <v>30</v>
      </c>
      <c r="N1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0" s="14">
        <f>IF(OR(tblMatriculas[[#This Row],[Estado]]&lt;&gt;"activa",tblMatriculas[[#This Row],[Clases dictadas]]=""),"",MAX(0,tblMatriculas[[#This Row],[Clases dictadas]]-tblMatriculas[[#This Row],[Asistidas]]))</f>
        <v>0</v>
      </c>
      <c r="P160" s="1">
        <f>IF(OR(tblMatriculas[[#This Row],[Estado]]&lt;&gt;"activa",tblMatriculas[[#This Row],[Asistidas]]=""),"",tblMatriculas[[#This Row],[Asistencia]])</f>
        <v>0.16699999999999998</v>
      </c>
      <c r="Q160" t="b">
        <f>AND(tblMatriculas[[#This Row],[Estado]]="activa",ISNUMBER(tblMatriculas[[#This Row],[% asistencia]]),NOT(ISNUMBER(SEARCH(pPrueba,tblMatriculas[[#This Row],[Nombre]]))))</f>
        <v>1</v>
      </c>
      <c r="R1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0" s="23" t="str" cm="1">
        <f t="array" ref="S1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" s="23" t="str" cm="1">
        <f t="array" ref="T1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" s="14" t="str" cm="1">
        <f t="array" ref="U1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" t="str" cm="1">
        <f t="array" ref="V1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" t="str" cm="1">
        <f t="array" ref="W1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0" t="str">
        <f>IF(COUNTIFS('Base Estudiantes'!$C:$C,tblMatriculas[[#This Row],[Cédula]],'Base Estudiantes'!$I:$I,tblMatriculas[[#This Row],[Código]])&gt;0,"Sí","No")</f>
        <v>Sí</v>
      </c>
      <c r="Z160" s="23" cm="1">
        <f t="array" ref="Z160">_xlfn.XLOOKUP(tblMatriculas[[#This Row],[Cédula]]&amp;"|"&amp;tblMatriculas[[#This Row],[Código]],tblBase[Documento]&amp;"|"&amp;tblBase[Código grupo],tblBase[Fecha matrícula],"")</f>
        <v>46264</v>
      </c>
    </row>
    <row r="161" spans="1:26" x14ac:dyDescent="0.2">
      <c r="A161" t="s">
        <v>370</v>
      </c>
      <c r="B161" t="s">
        <v>371</v>
      </c>
      <c r="C161" t="s">
        <v>13</v>
      </c>
      <c r="D161" t="s">
        <v>333</v>
      </c>
      <c r="E161" t="s">
        <v>334</v>
      </c>
      <c r="F161" t="s">
        <v>335</v>
      </c>
      <c r="G161" s="1">
        <v>0.13300000000000001</v>
      </c>
      <c r="H161" t="s">
        <v>112</v>
      </c>
      <c r="I161" t="s">
        <v>18</v>
      </c>
      <c r="J161" t="s">
        <v>337</v>
      </c>
      <c r="K161" t="s">
        <v>24</v>
      </c>
      <c r="L161" s="14">
        <f>IFERROR(VALUE(LEFT(tblMatriculas[[#This Row],[Clases]],FIND("/",tblMatriculas[[#This Row],[Clases]])-1)),"")</f>
        <v>4</v>
      </c>
      <c r="M161" s="14">
        <f>IFERROR(VALUE(MID(tblMatriculas[[#This Row],[Clases]],FIND("/",tblMatriculas[[#This Row],[Clases]])+1,5)),"")</f>
        <v>30</v>
      </c>
      <c r="N1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1" s="14">
        <f>IF(OR(tblMatriculas[[#This Row],[Estado]]&lt;&gt;"activa",tblMatriculas[[#This Row],[Clases dictadas]]=""),"",MAX(0,tblMatriculas[[#This Row],[Clases dictadas]]-tblMatriculas[[#This Row],[Asistidas]]))</f>
        <v>1</v>
      </c>
      <c r="P161" s="1">
        <f>IF(OR(tblMatriculas[[#This Row],[Estado]]&lt;&gt;"activa",tblMatriculas[[#This Row],[Asistidas]]=""),"",tblMatriculas[[#This Row],[Asistencia]])</f>
        <v>0.13300000000000001</v>
      </c>
      <c r="Q161" t="b">
        <f>AND(tblMatriculas[[#This Row],[Estado]]="activa",ISNUMBER(tblMatriculas[[#This Row],[% asistencia]]),NOT(ISNUMBER(SEARCH(pPrueba,tblMatriculas[[#This Row],[Nombre]]))))</f>
        <v>1</v>
      </c>
      <c r="R1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1" s="23" t="str" cm="1">
        <f t="array" ref="S1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" s="23" t="str" cm="1">
        <f t="array" ref="T1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" s="14" t="str" cm="1">
        <f t="array" ref="U1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" t="str" cm="1">
        <f t="array" ref="V1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" t="str" cm="1">
        <f t="array" ref="W1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1" t="str">
        <f>IF(COUNTIFS('Base Estudiantes'!$C:$C,tblMatriculas[[#This Row],[Cédula]],'Base Estudiantes'!$I:$I,tblMatriculas[[#This Row],[Código]])&gt;0,"Sí","No")</f>
        <v>Sí</v>
      </c>
      <c r="Z161" s="23" cm="1">
        <f t="array" ref="Z161">_xlfn.XLOOKUP(tblMatriculas[[#This Row],[Cédula]]&amp;"|"&amp;tblMatriculas[[#This Row],[Código]],tblBase[Documento]&amp;"|"&amp;tblBase[Código grupo],tblBase[Fecha matrícula],"")</f>
        <v>46264</v>
      </c>
    </row>
    <row r="162" spans="1:26" x14ac:dyDescent="0.2">
      <c r="A162" t="s">
        <v>372</v>
      </c>
      <c r="B162" t="s">
        <v>373</v>
      </c>
      <c r="C162" t="s">
        <v>13</v>
      </c>
      <c r="D162" t="s">
        <v>333</v>
      </c>
      <c r="E162" t="s">
        <v>334</v>
      </c>
      <c r="F162" t="s">
        <v>335</v>
      </c>
      <c r="G162" s="1">
        <v>3.3000000000000002E-2</v>
      </c>
      <c r="H162" t="s">
        <v>225</v>
      </c>
      <c r="I162" t="s">
        <v>18</v>
      </c>
      <c r="J162" t="s">
        <v>337</v>
      </c>
      <c r="K162" t="s">
        <v>24</v>
      </c>
      <c r="L162" s="14">
        <f>IFERROR(VALUE(LEFT(tblMatriculas[[#This Row],[Clases]],FIND("/",tblMatriculas[[#This Row],[Clases]])-1)),"")</f>
        <v>1</v>
      </c>
      <c r="M162" s="14">
        <f>IFERROR(VALUE(MID(tblMatriculas[[#This Row],[Clases]],FIND("/",tblMatriculas[[#This Row],[Clases]])+1,5)),"")</f>
        <v>30</v>
      </c>
      <c r="N1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2" s="14">
        <f>IF(OR(tblMatriculas[[#This Row],[Estado]]&lt;&gt;"activa",tblMatriculas[[#This Row],[Clases dictadas]]=""),"",MAX(0,tblMatriculas[[#This Row],[Clases dictadas]]-tblMatriculas[[#This Row],[Asistidas]]))</f>
        <v>4</v>
      </c>
      <c r="P162" s="1">
        <f>IF(OR(tblMatriculas[[#This Row],[Estado]]&lt;&gt;"activa",tblMatriculas[[#This Row],[Asistidas]]=""),"",tblMatriculas[[#This Row],[Asistencia]])</f>
        <v>3.3000000000000002E-2</v>
      </c>
      <c r="Q162" t="b">
        <f>AND(tblMatriculas[[#This Row],[Estado]]="activa",ISNUMBER(tblMatriculas[[#This Row],[% asistencia]]),NOT(ISNUMBER(SEARCH(pPrueba,tblMatriculas[[#This Row],[Nombre]]))))</f>
        <v>1</v>
      </c>
      <c r="R1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2" s="23" t="str" cm="1">
        <f t="array" ref="S1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" s="23" t="str" cm="1">
        <f t="array" ref="T1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" s="14" t="str" cm="1">
        <f t="array" ref="U1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" t="str" cm="1">
        <f t="array" ref="V1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" t="str" cm="1">
        <f t="array" ref="W1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2" t="str">
        <f>IF(COUNTIFS('Base Estudiantes'!$C:$C,tblMatriculas[[#This Row],[Cédula]],'Base Estudiantes'!$I:$I,tblMatriculas[[#This Row],[Código]])&gt;0,"Sí","No")</f>
        <v>Sí</v>
      </c>
      <c r="Z162" s="23" cm="1">
        <f t="array" ref="Z162">_xlfn.XLOOKUP(tblMatriculas[[#This Row],[Cédula]]&amp;"|"&amp;tblMatriculas[[#This Row],[Código]],tblBase[Documento]&amp;"|"&amp;tblBase[Código grupo],tblBase[Fecha matrícula],"")</f>
        <v>46264</v>
      </c>
    </row>
    <row r="163" spans="1:26" x14ac:dyDescent="0.2">
      <c r="A163" t="s">
        <v>374</v>
      </c>
      <c r="B163" t="s">
        <v>375</v>
      </c>
      <c r="C163" t="s">
        <v>13</v>
      </c>
      <c r="D163" t="s">
        <v>333</v>
      </c>
      <c r="E163" t="s">
        <v>334</v>
      </c>
      <c r="F163" t="s">
        <v>335</v>
      </c>
      <c r="G163" s="1">
        <v>0</v>
      </c>
      <c r="H163" t="s">
        <v>254</v>
      </c>
      <c r="I163" t="s">
        <v>18</v>
      </c>
      <c r="J163" t="s">
        <v>337</v>
      </c>
      <c r="K163" t="s">
        <v>24</v>
      </c>
      <c r="L163" s="14">
        <f>IFERROR(VALUE(LEFT(tblMatriculas[[#This Row],[Clases]],FIND("/",tblMatriculas[[#This Row],[Clases]])-1)),"")</f>
        <v>0</v>
      </c>
      <c r="M163" s="14">
        <f>IFERROR(VALUE(MID(tblMatriculas[[#This Row],[Clases]],FIND("/",tblMatriculas[[#This Row],[Clases]])+1,5)),"")</f>
        <v>30</v>
      </c>
      <c r="N1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3" s="14">
        <f>IF(OR(tblMatriculas[[#This Row],[Estado]]&lt;&gt;"activa",tblMatriculas[[#This Row],[Clases dictadas]]=""),"",MAX(0,tblMatriculas[[#This Row],[Clases dictadas]]-tblMatriculas[[#This Row],[Asistidas]]))</f>
        <v>5</v>
      </c>
      <c r="P163" s="1">
        <f>IF(OR(tblMatriculas[[#This Row],[Estado]]&lt;&gt;"activa",tblMatriculas[[#This Row],[Asistidas]]=""),"",tblMatriculas[[#This Row],[Asistencia]])</f>
        <v>0</v>
      </c>
      <c r="Q163" t="b">
        <f>AND(tblMatriculas[[#This Row],[Estado]]="activa",ISNUMBER(tblMatriculas[[#This Row],[% asistencia]]),NOT(ISNUMBER(SEARCH(pPrueba,tblMatriculas[[#This Row],[Nombre]]))))</f>
        <v>1</v>
      </c>
      <c r="R1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3" s="23" t="str" cm="1">
        <f t="array" ref="S1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" s="23" t="str" cm="1">
        <f t="array" ref="T1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" s="14" t="str" cm="1">
        <f t="array" ref="U1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" t="str" cm="1">
        <f t="array" ref="V1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" t="str" cm="1">
        <f t="array" ref="W1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3" t="str">
        <f>IF(COUNTIFS('Base Estudiantes'!$C:$C,tblMatriculas[[#This Row],[Cédula]],'Base Estudiantes'!$I:$I,tblMatriculas[[#This Row],[Código]])&gt;0,"Sí","No")</f>
        <v>Sí</v>
      </c>
      <c r="Z163" s="23" cm="1">
        <f t="array" ref="Z163">_xlfn.XLOOKUP(tblMatriculas[[#This Row],[Cédula]]&amp;"|"&amp;tblMatriculas[[#This Row],[Código]],tblBase[Documento]&amp;"|"&amp;tblBase[Código grupo],tblBase[Fecha matrícula],"")</f>
        <v>46264</v>
      </c>
    </row>
    <row r="164" spans="1:26" x14ac:dyDescent="0.2">
      <c r="A164" t="s">
        <v>376</v>
      </c>
      <c r="B164" t="s">
        <v>377</v>
      </c>
      <c r="C164" t="s">
        <v>13</v>
      </c>
      <c r="D164" t="s">
        <v>333</v>
      </c>
      <c r="E164" t="s">
        <v>334</v>
      </c>
      <c r="F164" t="s">
        <v>335</v>
      </c>
      <c r="G164" s="1">
        <v>0.1</v>
      </c>
      <c r="H164" t="s">
        <v>117</v>
      </c>
      <c r="I164" t="s">
        <v>18</v>
      </c>
      <c r="J164" t="s">
        <v>337</v>
      </c>
      <c r="K164" t="s">
        <v>24</v>
      </c>
      <c r="L164" s="14">
        <f>IFERROR(VALUE(LEFT(tblMatriculas[[#This Row],[Clases]],FIND("/",tblMatriculas[[#This Row],[Clases]])-1)),"")</f>
        <v>3</v>
      </c>
      <c r="M164" s="14">
        <f>IFERROR(VALUE(MID(tblMatriculas[[#This Row],[Clases]],FIND("/",tblMatriculas[[#This Row],[Clases]])+1,5)),"")</f>
        <v>30</v>
      </c>
      <c r="N1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4" s="14">
        <f>IF(OR(tblMatriculas[[#This Row],[Estado]]&lt;&gt;"activa",tblMatriculas[[#This Row],[Clases dictadas]]=""),"",MAX(0,tblMatriculas[[#This Row],[Clases dictadas]]-tblMatriculas[[#This Row],[Asistidas]]))</f>
        <v>2</v>
      </c>
      <c r="P164" s="1">
        <f>IF(OR(tblMatriculas[[#This Row],[Estado]]&lt;&gt;"activa",tblMatriculas[[#This Row],[Asistidas]]=""),"",tblMatriculas[[#This Row],[Asistencia]])</f>
        <v>0.1</v>
      </c>
      <c r="Q164" t="b">
        <f>AND(tblMatriculas[[#This Row],[Estado]]="activa",ISNUMBER(tblMatriculas[[#This Row],[% asistencia]]),NOT(ISNUMBER(SEARCH(pPrueba,tblMatriculas[[#This Row],[Nombre]]))))</f>
        <v>1</v>
      </c>
      <c r="R1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4" s="23" t="str" cm="1">
        <f t="array" ref="S1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" s="23" t="str" cm="1">
        <f t="array" ref="T1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" s="14" t="str" cm="1">
        <f t="array" ref="U1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" t="str" cm="1">
        <f t="array" ref="V1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" t="str" cm="1">
        <f t="array" ref="W1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" t="str">
        <f>IF(COUNTIFS('Base Estudiantes'!$C:$C,tblMatriculas[[#This Row],[Cédula]],'Base Estudiantes'!$I:$I,tblMatriculas[[#This Row],[Código]])&gt;0,"Sí","No")</f>
        <v>Sí</v>
      </c>
      <c r="Z164" s="23" cm="1">
        <f t="array" ref="Z164">_xlfn.XLOOKUP(tblMatriculas[[#This Row],[Cédula]]&amp;"|"&amp;tblMatriculas[[#This Row],[Código]],tblBase[Documento]&amp;"|"&amp;tblBase[Código grupo],tblBase[Fecha matrícula],"")</f>
        <v>46264</v>
      </c>
    </row>
    <row r="165" spans="1:26" x14ac:dyDescent="0.2">
      <c r="A165" t="s">
        <v>378</v>
      </c>
      <c r="B165" t="s">
        <v>379</v>
      </c>
      <c r="C165" t="s">
        <v>49</v>
      </c>
      <c r="D165" t="s">
        <v>333</v>
      </c>
      <c r="E165" t="s">
        <v>334</v>
      </c>
      <c r="F165" t="s">
        <v>335</v>
      </c>
      <c r="G165" s="1">
        <v>0.1</v>
      </c>
      <c r="H165" t="s">
        <v>380</v>
      </c>
      <c r="I165" t="s">
        <v>18</v>
      </c>
      <c r="J165" t="s">
        <v>337</v>
      </c>
      <c r="K165" t="s">
        <v>24</v>
      </c>
      <c r="L165" s="14">
        <f>IFERROR(VALUE(LEFT(tblMatriculas[[#This Row],[Clases]],FIND("/",tblMatriculas[[#This Row],[Clases]])-1)),"")</f>
        <v>6</v>
      </c>
      <c r="M165" s="14">
        <f>IFERROR(VALUE(MID(tblMatriculas[[#This Row],[Clases]],FIND("/",tblMatriculas[[#This Row],[Clases]])+1,5)),"")</f>
        <v>60</v>
      </c>
      <c r="N1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65" s="14" t="str">
        <f>IF(OR(tblMatriculas[[#This Row],[Estado]]&lt;&gt;"activa",tblMatriculas[[#This Row],[Clases dictadas]]=""),"",MAX(0,tblMatriculas[[#This Row],[Clases dictadas]]-tblMatriculas[[#This Row],[Asistidas]]))</f>
        <v/>
      </c>
      <c r="P165" s="1" t="str">
        <f>IF(OR(tblMatriculas[[#This Row],[Estado]]&lt;&gt;"activa",tblMatriculas[[#This Row],[Asistidas]]=""),"",tblMatriculas[[#This Row],[Asistencia]])</f>
        <v/>
      </c>
      <c r="Q165" t="b">
        <f>AND(tblMatriculas[[#This Row],[Estado]]="activa",ISNUMBER(tblMatriculas[[#This Row],[% asistencia]]),NOT(ISNUMBER(SEARCH(pPrueba,tblMatriculas[[#This Row],[Nombre]]))))</f>
        <v>0</v>
      </c>
      <c r="R1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5" s="23" t="str" cm="1">
        <f t="array" ref="S1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" s="23" t="str" cm="1">
        <f t="array" ref="T1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" s="14" t="str" cm="1">
        <f t="array" ref="U1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" t="str" cm="1">
        <f t="array" ref="V1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" t="str" cm="1">
        <f t="array" ref="W1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" t="str">
        <f>IF(COUNTIFS('Base Estudiantes'!$C:$C,tblMatriculas[[#This Row],[Cédula]],'Base Estudiantes'!$I:$I,tblMatriculas[[#This Row],[Código]])&gt;0,"Sí","No")</f>
        <v>No</v>
      </c>
      <c r="Z165" s="23" t="str" cm="1">
        <f t="array" ref="Z165">_xlfn.XLOOKUP(tblMatriculas[[#This Row],[Cédula]]&amp;"|"&amp;tblMatriculas[[#This Row],[Código]],tblBase[Documento]&amp;"|"&amp;tblBase[Código grupo],tblBase[Fecha matrícula],"")</f>
        <v/>
      </c>
    </row>
    <row r="166" spans="1:26" x14ac:dyDescent="0.2">
      <c r="A166" t="s">
        <v>381</v>
      </c>
      <c r="B166" t="s">
        <v>382</v>
      </c>
      <c r="C166" t="s">
        <v>13</v>
      </c>
      <c r="D166" t="s">
        <v>333</v>
      </c>
      <c r="E166" t="s">
        <v>334</v>
      </c>
      <c r="F166" t="s">
        <v>335</v>
      </c>
      <c r="G166" s="1">
        <v>0</v>
      </c>
      <c r="H166" t="s">
        <v>254</v>
      </c>
      <c r="I166" t="s">
        <v>18</v>
      </c>
      <c r="J166" t="s">
        <v>337</v>
      </c>
      <c r="K166" t="s">
        <v>24</v>
      </c>
      <c r="L166" s="14">
        <f>IFERROR(VALUE(LEFT(tblMatriculas[[#This Row],[Clases]],FIND("/",tblMatriculas[[#This Row],[Clases]])-1)),"")</f>
        <v>0</v>
      </c>
      <c r="M166" s="14">
        <f>IFERROR(VALUE(MID(tblMatriculas[[#This Row],[Clases]],FIND("/",tblMatriculas[[#This Row],[Clases]])+1,5)),"")</f>
        <v>30</v>
      </c>
      <c r="N1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6" s="14">
        <f>IF(OR(tblMatriculas[[#This Row],[Estado]]&lt;&gt;"activa",tblMatriculas[[#This Row],[Clases dictadas]]=""),"",MAX(0,tblMatriculas[[#This Row],[Clases dictadas]]-tblMatriculas[[#This Row],[Asistidas]]))</f>
        <v>5</v>
      </c>
      <c r="P166" s="1">
        <f>IF(OR(tblMatriculas[[#This Row],[Estado]]&lt;&gt;"activa",tblMatriculas[[#This Row],[Asistidas]]=""),"",tblMatriculas[[#This Row],[Asistencia]])</f>
        <v>0</v>
      </c>
      <c r="Q166" t="b">
        <f>AND(tblMatriculas[[#This Row],[Estado]]="activa",ISNUMBER(tblMatriculas[[#This Row],[% asistencia]]),NOT(ISNUMBER(SEARCH(pPrueba,tblMatriculas[[#This Row],[Nombre]]))))</f>
        <v>1</v>
      </c>
      <c r="R1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6" s="23" t="str" cm="1">
        <f t="array" ref="S1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" s="23" t="str" cm="1">
        <f t="array" ref="T1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" s="14" t="str" cm="1">
        <f t="array" ref="U1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" t="str" cm="1">
        <f t="array" ref="V1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" t="str" cm="1">
        <f t="array" ref="W1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6" t="str">
        <f>IF(COUNTIFS('Base Estudiantes'!$C:$C,tblMatriculas[[#This Row],[Cédula]],'Base Estudiantes'!$I:$I,tblMatriculas[[#This Row],[Código]])&gt;0,"Sí","No")</f>
        <v>Sí</v>
      </c>
      <c r="Z166" s="23" cm="1">
        <f t="array" ref="Z166">_xlfn.XLOOKUP(tblMatriculas[[#This Row],[Cédula]]&amp;"|"&amp;tblMatriculas[[#This Row],[Código]],tblBase[Documento]&amp;"|"&amp;tblBase[Código grupo],tblBase[Fecha matrícula],"")</f>
        <v>46264</v>
      </c>
    </row>
    <row r="167" spans="1:26" x14ac:dyDescent="0.2">
      <c r="A167" t="s">
        <v>383</v>
      </c>
      <c r="B167" t="s">
        <v>384</v>
      </c>
      <c r="C167" t="s">
        <v>13</v>
      </c>
      <c r="D167" t="s">
        <v>333</v>
      </c>
      <c r="E167" t="s">
        <v>334</v>
      </c>
      <c r="F167" t="s">
        <v>335</v>
      </c>
      <c r="G167" s="1">
        <v>0.16699999999999998</v>
      </c>
      <c r="H167" t="s">
        <v>229</v>
      </c>
      <c r="I167" t="s">
        <v>18</v>
      </c>
      <c r="J167" t="s">
        <v>337</v>
      </c>
      <c r="K167" t="s">
        <v>24</v>
      </c>
      <c r="L167" s="14">
        <f>IFERROR(VALUE(LEFT(tblMatriculas[[#This Row],[Clases]],FIND("/",tblMatriculas[[#This Row],[Clases]])-1)),"")</f>
        <v>5</v>
      </c>
      <c r="M167" s="14">
        <f>IFERROR(VALUE(MID(tblMatriculas[[#This Row],[Clases]],FIND("/",tblMatriculas[[#This Row],[Clases]])+1,5)),"")</f>
        <v>30</v>
      </c>
      <c r="N1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7" s="14">
        <f>IF(OR(tblMatriculas[[#This Row],[Estado]]&lt;&gt;"activa",tblMatriculas[[#This Row],[Clases dictadas]]=""),"",MAX(0,tblMatriculas[[#This Row],[Clases dictadas]]-tblMatriculas[[#This Row],[Asistidas]]))</f>
        <v>0</v>
      </c>
      <c r="P167" s="1">
        <f>IF(OR(tblMatriculas[[#This Row],[Estado]]&lt;&gt;"activa",tblMatriculas[[#This Row],[Asistidas]]=""),"",tblMatriculas[[#This Row],[Asistencia]])</f>
        <v>0.16699999999999998</v>
      </c>
      <c r="Q167" t="b">
        <f>AND(tblMatriculas[[#This Row],[Estado]]="activa",ISNUMBER(tblMatriculas[[#This Row],[% asistencia]]),NOT(ISNUMBER(SEARCH(pPrueba,tblMatriculas[[#This Row],[Nombre]]))))</f>
        <v>1</v>
      </c>
      <c r="R1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" s="23" t="str" cm="1">
        <f t="array" ref="S1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" s="23" t="str" cm="1">
        <f t="array" ref="T1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" s="14" t="str" cm="1">
        <f t="array" ref="U1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" t="str" cm="1">
        <f t="array" ref="V1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" t="str" cm="1">
        <f t="array" ref="W1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" t="str">
        <f>IF(COUNTIFS('Base Estudiantes'!$C:$C,tblMatriculas[[#This Row],[Cédula]],'Base Estudiantes'!$I:$I,tblMatriculas[[#This Row],[Código]])&gt;0,"Sí","No")</f>
        <v>Sí</v>
      </c>
      <c r="Z167" s="23" cm="1">
        <f t="array" ref="Z167">_xlfn.XLOOKUP(tblMatriculas[[#This Row],[Cédula]]&amp;"|"&amp;tblMatriculas[[#This Row],[Código]],tblBase[Documento]&amp;"|"&amp;tblBase[Código grupo],tblBase[Fecha matrícula],"")</f>
        <v>46264</v>
      </c>
    </row>
    <row r="168" spans="1:26" x14ac:dyDescent="0.2">
      <c r="A168" t="s">
        <v>385</v>
      </c>
      <c r="B168" t="s">
        <v>386</v>
      </c>
      <c r="C168" t="s">
        <v>13</v>
      </c>
      <c r="D168" t="s">
        <v>333</v>
      </c>
      <c r="E168" t="s">
        <v>334</v>
      </c>
      <c r="F168" t="s">
        <v>335</v>
      </c>
      <c r="G168" s="1">
        <v>0.16699999999999998</v>
      </c>
      <c r="H168" t="s">
        <v>229</v>
      </c>
      <c r="I168" t="s">
        <v>18</v>
      </c>
      <c r="J168" t="s">
        <v>337</v>
      </c>
      <c r="K168" t="s">
        <v>24</v>
      </c>
      <c r="L168" s="14">
        <f>IFERROR(VALUE(LEFT(tblMatriculas[[#This Row],[Clases]],FIND("/",tblMatriculas[[#This Row],[Clases]])-1)),"")</f>
        <v>5</v>
      </c>
      <c r="M168" s="14">
        <f>IFERROR(VALUE(MID(tblMatriculas[[#This Row],[Clases]],FIND("/",tblMatriculas[[#This Row],[Clases]])+1,5)),"")</f>
        <v>30</v>
      </c>
      <c r="N1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8" s="14">
        <f>IF(OR(tblMatriculas[[#This Row],[Estado]]&lt;&gt;"activa",tblMatriculas[[#This Row],[Clases dictadas]]=""),"",MAX(0,tblMatriculas[[#This Row],[Clases dictadas]]-tblMatriculas[[#This Row],[Asistidas]]))</f>
        <v>0</v>
      </c>
      <c r="P168" s="1">
        <f>IF(OR(tblMatriculas[[#This Row],[Estado]]&lt;&gt;"activa",tblMatriculas[[#This Row],[Asistidas]]=""),"",tblMatriculas[[#This Row],[Asistencia]])</f>
        <v>0.16699999999999998</v>
      </c>
      <c r="Q168" t="b">
        <f>AND(tblMatriculas[[#This Row],[Estado]]="activa",ISNUMBER(tblMatriculas[[#This Row],[% asistencia]]),NOT(ISNUMBER(SEARCH(pPrueba,tblMatriculas[[#This Row],[Nombre]]))))</f>
        <v>1</v>
      </c>
      <c r="R1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" s="23" t="str" cm="1">
        <f t="array" ref="S1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" s="23" t="str" cm="1">
        <f t="array" ref="T1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" s="14" t="str" cm="1">
        <f t="array" ref="U1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" t="str" cm="1">
        <f t="array" ref="V1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" t="str" cm="1">
        <f t="array" ref="W1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" t="str">
        <f>IF(COUNTIFS('Base Estudiantes'!$C:$C,tblMatriculas[[#This Row],[Cédula]],'Base Estudiantes'!$I:$I,tblMatriculas[[#This Row],[Código]])&gt;0,"Sí","No")</f>
        <v>Sí</v>
      </c>
      <c r="Z168" s="23" cm="1">
        <f t="array" ref="Z168">_xlfn.XLOOKUP(tblMatriculas[[#This Row],[Cédula]]&amp;"|"&amp;tblMatriculas[[#This Row],[Código]],tblBase[Documento]&amp;"|"&amp;tblBase[Código grupo],tblBase[Fecha matrícula],"")</f>
        <v>46264</v>
      </c>
    </row>
    <row r="169" spans="1:26" x14ac:dyDescent="0.2">
      <c r="A169" t="s">
        <v>387</v>
      </c>
      <c r="B169" t="s">
        <v>388</v>
      </c>
      <c r="C169" t="s">
        <v>13</v>
      </c>
      <c r="D169" t="s">
        <v>333</v>
      </c>
      <c r="E169" t="s">
        <v>334</v>
      </c>
      <c r="F169" t="s">
        <v>335</v>
      </c>
      <c r="G169" s="1">
        <v>0.13300000000000001</v>
      </c>
      <c r="H169" t="s">
        <v>112</v>
      </c>
      <c r="I169" t="s">
        <v>18</v>
      </c>
      <c r="J169" t="s">
        <v>337</v>
      </c>
      <c r="K169" t="s">
        <v>24</v>
      </c>
      <c r="L169" s="14">
        <f>IFERROR(VALUE(LEFT(tblMatriculas[[#This Row],[Clases]],FIND("/",tblMatriculas[[#This Row],[Clases]])-1)),"")</f>
        <v>4</v>
      </c>
      <c r="M169" s="14">
        <f>IFERROR(VALUE(MID(tblMatriculas[[#This Row],[Clases]],FIND("/",tblMatriculas[[#This Row],[Clases]])+1,5)),"")</f>
        <v>30</v>
      </c>
      <c r="N1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9" s="14">
        <f>IF(OR(tblMatriculas[[#This Row],[Estado]]&lt;&gt;"activa",tblMatriculas[[#This Row],[Clases dictadas]]=""),"",MAX(0,tblMatriculas[[#This Row],[Clases dictadas]]-tblMatriculas[[#This Row],[Asistidas]]))</f>
        <v>1</v>
      </c>
      <c r="P169" s="1">
        <f>IF(OR(tblMatriculas[[#This Row],[Estado]]&lt;&gt;"activa",tblMatriculas[[#This Row],[Asistidas]]=""),"",tblMatriculas[[#This Row],[Asistencia]])</f>
        <v>0.13300000000000001</v>
      </c>
      <c r="Q169" t="b">
        <f>AND(tblMatriculas[[#This Row],[Estado]]="activa",ISNUMBER(tblMatriculas[[#This Row],[% asistencia]]),NOT(ISNUMBER(SEARCH(pPrueba,tblMatriculas[[#This Row],[Nombre]]))))</f>
        <v>1</v>
      </c>
      <c r="R1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" s="23" t="str" cm="1">
        <f t="array" ref="S1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" s="23" t="str" cm="1">
        <f t="array" ref="T1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" s="14" t="str" cm="1">
        <f t="array" ref="U1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" t="str" cm="1">
        <f t="array" ref="V1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" t="str" cm="1">
        <f t="array" ref="W1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" t="str">
        <f>IF(COUNTIFS('Base Estudiantes'!$C:$C,tblMatriculas[[#This Row],[Cédula]],'Base Estudiantes'!$I:$I,tblMatriculas[[#This Row],[Código]])&gt;0,"Sí","No")</f>
        <v>Sí</v>
      </c>
      <c r="Z169" s="23" cm="1">
        <f t="array" ref="Z169">_xlfn.XLOOKUP(tblMatriculas[[#This Row],[Cédula]]&amp;"|"&amp;tblMatriculas[[#This Row],[Código]],tblBase[Documento]&amp;"|"&amp;tblBase[Código grupo],tblBase[Fecha matrícula],"")</f>
        <v>46264</v>
      </c>
    </row>
    <row r="170" spans="1:26" x14ac:dyDescent="0.2">
      <c r="A170" t="s">
        <v>389</v>
      </c>
      <c r="B170" t="s">
        <v>390</v>
      </c>
      <c r="C170" t="s">
        <v>13</v>
      </c>
      <c r="D170" t="s">
        <v>333</v>
      </c>
      <c r="E170" t="s">
        <v>334</v>
      </c>
      <c r="F170" t="s">
        <v>335</v>
      </c>
      <c r="G170" s="1">
        <v>0.16699999999999998</v>
      </c>
      <c r="H170" t="s">
        <v>229</v>
      </c>
      <c r="I170" t="s">
        <v>18</v>
      </c>
      <c r="J170" t="s">
        <v>337</v>
      </c>
      <c r="K170" t="s">
        <v>24</v>
      </c>
      <c r="L170" s="14">
        <f>IFERROR(VALUE(LEFT(tblMatriculas[[#This Row],[Clases]],FIND("/",tblMatriculas[[#This Row],[Clases]])-1)),"")</f>
        <v>5</v>
      </c>
      <c r="M170" s="14">
        <f>IFERROR(VALUE(MID(tblMatriculas[[#This Row],[Clases]],FIND("/",tblMatriculas[[#This Row],[Clases]])+1,5)),"")</f>
        <v>30</v>
      </c>
      <c r="N1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" s="14">
        <f>IF(OR(tblMatriculas[[#This Row],[Estado]]&lt;&gt;"activa",tblMatriculas[[#This Row],[Clases dictadas]]=""),"",MAX(0,tblMatriculas[[#This Row],[Clases dictadas]]-tblMatriculas[[#This Row],[Asistidas]]))</f>
        <v>0</v>
      </c>
      <c r="P170" s="1">
        <f>IF(OR(tblMatriculas[[#This Row],[Estado]]&lt;&gt;"activa",tblMatriculas[[#This Row],[Asistidas]]=""),"",tblMatriculas[[#This Row],[Asistencia]])</f>
        <v>0.16699999999999998</v>
      </c>
      <c r="Q170" t="b">
        <f>AND(tblMatriculas[[#This Row],[Estado]]="activa",ISNUMBER(tblMatriculas[[#This Row],[% asistencia]]),NOT(ISNUMBER(SEARCH(pPrueba,tblMatriculas[[#This Row],[Nombre]]))))</f>
        <v>1</v>
      </c>
      <c r="R1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" s="23" t="str" cm="1">
        <f t="array" ref="S1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" s="23" t="str" cm="1">
        <f t="array" ref="T1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" s="14" t="str" cm="1">
        <f t="array" ref="U1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" t="str" cm="1">
        <f t="array" ref="V1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" t="str" cm="1">
        <f t="array" ref="W1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" t="str">
        <f>IF(COUNTIFS('Base Estudiantes'!$C:$C,tblMatriculas[[#This Row],[Cédula]],'Base Estudiantes'!$I:$I,tblMatriculas[[#This Row],[Código]])&gt;0,"Sí","No")</f>
        <v>Sí</v>
      </c>
      <c r="Z170" s="23" cm="1">
        <f t="array" ref="Z170">_xlfn.XLOOKUP(tblMatriculas[[#This Row],[Cédula]]&amp;"|"&amp;tblMatriculas[[#This Row],[Código]],tblBase[Documento]&amp;"|"&amp;tblBase[Código grupo],tblBase[Fecha matrícula],"")</f>
        <v>46264</v>
      </c>
    </row>
    <row r="171" spans="1:26" x14ac:dyDescent="0.2">
      <c r="A171" t="s">
        <v>391</v>
      </c>
      <c r="B171" t="s">
        <v>392</v>
      </c>
      <c r="C171" t="s">
        <v>13</v>
      </c>
      <c r="D171" t="s">
        <v>333</v>
      </c>
      <c r="E171" t="s">
        <v>334</v>
      </c>
      <c r="F171" t="s">
        <v>335</v>
      </c>
      <c r="G171" s="1">
        <v>0.16699999999999998</v>
      </c>
      <c r="H171" t="s">
        <v>229</v>
      </c>
      <c r="I171" t="s">
        <v>18</v>
      </c>
      <c r="J171" t="s">
        <v>337</v>
      </c>
      <c r="K171" t="s">
        <v>24</v>
      </c>
      <c r="L171" s="14">
        <f>IFERROR(VALUE(LEFT(tblMatriculas[[#This Row],[Clases]],FIND("/",tblMatriculas[[#This Row],[Clases]])-1)),"")</f>
        <v>5</v>
      </c>
      <c r="M171" s="14">
        <f>IFERROR(VALUE(MID(tblMatriculas[[#This Row],[Clases]],FIND("/",tblMatriculas[[#This Row],[Clases]])+1,5)),"")</f>
        <v>30</v>
      </c>
      <c r="N1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" s="14">
        <f>IF(OR(tblMatriculas[[#This Row],[Estado]]&lt;&gt;"activa",tblMatriculas[[#This Row],[Clases dictadas]]=""),"",MAX(0,tblMatriculas[[#This Row],[Clases dictadas]]-tblMatriculas[[#This Row],[Asistidas]]))</f>
        <v>0</v>
      </c>
      <c r="P171" s="1">
        <f>IF(OR(tblMatriculas[[#This Row],[Estado]]&lt;&gt;"activa",tblMatriculas[[#This Row],[Asistidas]]=""),"",tblMatriculas[[#This Row],[Asistencia]])</f>
        <v>0.16699999999999998</v>
      </c>
      <c r="Q171" t="b">
        <f>AND(tblMatriculas[[#This Row],[Estado]]="activa",ISNUMBER(tblMatriculas[[#This Row],[% asistencia]]),NOT(ISNUMBER(SEARCH(pPrueba,tblMatriculas[[#This Row],[Nombre]]))))</f>
        <v>1</v>
      </c>
      <c r="R1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" s="23" t="str" cm="1">
        <f t="array" ref="S1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" s="23" t="str" cm="1">
        <f t="array" ref="T1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" s="14" t="str" cm="1">
        <f t="array" ref="U1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" t="str" cm="1">
        <f t="array" ref="V1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" t="str" cm="1">
        <f t="array" ref="W1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" t="str">
        <f>IF(COUNTIFS('Base Estudiantes'!$C:$C,tblMatriculas[[#This Row],[Cédula]],'Base Estudiantes'!$I:$I,tblMatriculas[[#This Row],[Código]])&gt;0,"Sí","No")</f>
        <v>Sí</v>
      </c>
      <c r="Z171" s="23" cm="1">
        <f t="array" ref="Z171">_xlfn.XLOOKUP(tblMatriculas[[#This Row],[Cédula]]&amp;"|"&amp;tblMatriculas[[#This Row],[Código]],tblBase[Documento]&amp;"|"&amp;tblBase[Código grupo],tblBase[Fecha matrícula],"")</f>
        <v>46264</v>
      </c>
    </row>
    <row r="172" spans="1:26" x14ac:dyDescent="0.2">
      <c r="A172" t="s">
        <v>393</v>
      </c>
      <c r="B172" t="s">
        <v>394</v>
      </c>
      <c r="C172" t="s">
        <v>13</v>
      </c>
      <c r="D172" t="s">
        <v>333</v>
      </c>
      <c r="E172" t="s">
        <v>334</v>
      </c>
      <c r="F172" t="s">
        <v>335</v>
      </c>
      <c r="G172" s="1">
        <v>0</v>
      </c>
      <c r="H172" t="s">
        <v>254</v>
      </c>
      <c r="I172" t="s">
        <v>18</v>
      </c>
      <c r="J172" t="s">
        <v>337</v>
      </c>
      <c r="K172" t="s">
        <v>24</v>
      </c>
      <c r="L172" s="14">
        <f>IFERROR(VALUE(LEFT(tblMatriculas[[#This Row],[Clases]],FIND("/",tblMatriculas[[#This Row],[Clases]])-1)),"")</f>
        <v>0</v>
      </c>
      <c r="M172" s="14">
        <f>IFERROR(VALUE(MID(tblMatriculas[[#This Row],[Clases]],FIND("/",tblMatriculas[[#This Row],[Clases]])+1,5)),"")</f>
        <v>30</v>
      </c>
      <c r="N1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" s="14">
        <f>IF(OR(tblMatriculas[[#This Row],[Estado]]&lt;&gt;"activa",tblMatriculas[[#This Row],[Clases dictadas]]=""),"",MAX(0,tblMatriculas[[#This Row],[Clases dictadas]]-tblMatriculas[[#This Row],[Asistidas]]))</f>
        <v>5</v>
      </c>
      <c r="P172" s="1">
        <f>IF(OR(tblMatriculas[[#This Row],[Estado]]&lt;&gt;"activa",tblMatriculas[[#This Row],[Asistidas]]=""),"",tblMatriculas[[#This Row],[Asistencia]])</f>
        <v>0</v>
      </c>
      <c r="Q172" t="b">
        <f>AND(tblMatriculas[[#This Row],[Estado]]="activa",ISNUMBER(tblMatriculas[[#This Row],[% asistencia]]),NOT(ISNUMBER(SEARCH(pPrueba,tblMatriculas[[#This Row],[Nombre]]))))</f>
        <v>1</v>
      </c>
      <c r="R1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72" s="23" t="str" cm="1">
        <f t="array" ref="S1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" s="23" t="str" cm="1">
        <f t="array" ref="T1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" s="14" t="str" cm="1">
        <f t="array" ref="U1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" t="str" cm="1">
        <f t="array" ref="V1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" t="str" cm="1">
        <f t="array" ref="W1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72" t="str">
        <f>IF(COUNTIFS('Base Estudiantes'!$C:$C,tblMatriculas[[#This Row],[Cédula]],'Base Estudiantes'!$I:$I,tblMatriculas[[#This Row],[Código]])&gt;0,"Sí","No")</f>
        <v>Sí</v>
      </c>
      <c r="Z172" s="23" cm="1">
        <f t="array" ref="Z172">_xlfn.XLOOKUP(tblMatriculas[[#This Row],[Cédula]]&amp;"|"&amp;tblMatriculas[[#This Row],[Código]],tblBase[Documento]&amp;"|"&amp;tblBase[Código grupo],tblBase[Fecha matrícula],"")</f>
        <v>46264</v>
      </c>
    </row>
    <row r="173" spans="1:26" x14ac:dyDescent="0.2">
      <c r="A173" t="s">
        <v>395</v>
      </c>
      <c r="B173" t="s">
        <v>396</v>
      </c>
      <c r="C173" t="s">
        <v>13</v>
      </c>
      <c r="D173" t="s">
        <v>333</v>
      </c>
      <c r="E173" t="s">
        <v>334</v>
      </c>
      <c r="F173" t="s">
        <v>335</v>
      </c>
      <c r="G173" s="1">
        <v>0.16699999999999998</v>
      </c>
      <c r="H173" t="s">
        <v>229</v>
      </c>
      <c r="I173" t="s">
        <v>18</v>
      </c>
      <c r="J173" t="s">
        <v>337</v>
      </c>
      <c r="K173" t="s">
        <v>24</v>
      </c>
      <c r="L173" s="14">
        <f>IFERROR(VALUE(LEFT(tblMatriculas[[#This Row],[Clases]],FIND("/",tblMatriculas[[#This Row],[Clases]])-1)),"")</f>
        <v>5</v>
      </c>
      <c r="M173" s="14">
        <f>IFERROR(VALUE(MID(tblMatriculas[[#This Row],[Clases]],FIND("/",tblMatriculas[[#This Row],[Clases]])+1,5)),"")</f>
        <v>30</v>
      </c>
      <c r="N1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" s="14">
        <f>IF(OR(tblMatriculas[[#This Row],[Estado]]&lt;&gt;"activa",tblMatriculas[[#This Row],[Clases dictadas]]=""),"",MAX(0,tblMatriculas[[#This Row],[Clases dictadas]]-tblMatriculas[[#This Row],[Asistidas]]))</f>
        <v>0</v>
      </c>
      <c r="P173" s="1">
        <f>IF(OR(tblMatriculas[[#This Row],[Estado]]&lt;&gt;"activa",tblMatriculas[[#This Row],[Asistidas]]=""),"",tblMatriculas[[#This Row],[Asistencia]])</f>
        <v>0.16699999999999998</v>
      </c>
      <c r="Q173" t="b">
        <f>AND(tblMatriculas[[#This Row],[Estado]]="activa",ISNUMBER(tblMatriculas[[#This Row],[% asistencia]]),NOT(ISNUMBER(SEARCH(pPrueba,tblMatriculas[[#This Row],[Nombre]]))))</f>
        <v>1</v>
      </c>
      <c r="R1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" s="23" t="str" cm="1">
        <f t="array" ref="S1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" s="23" t="str" cm="1">
        <f t="array" ref="T1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" s="14" t="str" cm="1">
        <f t="array" ref="U1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" t="str" cm="1">
        <f t="array" ref="V1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" t="str" cm="1">
        <f t="array" ref="W1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" t="str">
        <f>IF(COUNTIFS('Base Estudiantes'!$C:$C,tblMatriculas[[#This Row],[Cédula]],'Base Estudiantes'!$I:$I,tblMatriculas[[#This Row],[Código]])&gt;0,"Sí","No")</f>
        <v>Sí</v>
      </c>
      <c r="Z173" s="23" cm="1">
        <f t="array" ref="Z173">_xlfn.XLOOKUP(tblMatriculas[[#This Row],[Cédula]]&amp;"|"&amp;tblMatriculas[[#This Row],[Código]],tblBase[Documento]&amp;"|"&amp;tblBase[Código grupo],tblBase[Fecha matrícula],"")</f>
        <v>46264</v>
      </c>
    </row>
    <row r="174" spans="1:26" x14ac:dyDescent="0.2">
      <c r="A174" t="s">
        <v>397</v>
      </c>
      <c r="B174" t="s">
        <v>398</v>
      </c>
      <c r="C174" t="s">
        <v>13</v>
      </c>
      <c r="D174" t="s">
        <v>333</v>
      </c>
      <c r="E174" t="s">
        <v>334</v>
      </c>
      <c r="F174" t="s">
        <v>335</v>
      </c>
      <c r="G174" s="1">
        <v>0.16699999999999998</v>
      </c>
      <c r="H174" t="s">
        <v>229</v>
      </c>
      <c r="I174" t="s">
        <v>18</v>
      </c>
      <c r="J174" t="s">
        <v>337</v>
      </c>
      <c r="K174" t="s">
        <v>24</v>
      </c>
      <c r="L174" s="14">
        <f>IFERROR(VALUE(LEFT(tblMatriculas[[#This Row],[Clases]],FIND("/",tblMatriculas[[#This Row],[Clases]])-1)),"")</f>
        <v>5</v>
      </c>
      <c r="M174" s="14">
        <f>IFERROR(VALUE(MID(tblMatriculas[[#This Row],[Clases]],FIND("/",tblMatriculas[[#This Row],[Clases]])+1,5)),"")</f>
        <v>30</v>
      </c>
      <c r="N1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4" s="14">
        <f>IF(OR(tblMatriculas[[#This Row],[Estado]]&lt;&gt;"activa",tblMatriculas[[#This Row],[Clases dictadas]]=""),"",MAX(0,tblMatriculas[[#This Row],[Clases dictadas]]-tblMatriculas[[#This Row],[Asistidas]]))</f>
        <v>0</v>
      </c>
      <c r="P174" s="1">
        <f>IF(OR(tblMatriculas[[#This Row],[Estado]]&lt;&gt;"activa",tblMatriculas[[#This Row],[Asistidas]]=""),"",tblMatriculas[[#This Row],[Asistencia]])</f>
        <v>0.16699999999999998</v>
      </c>
      <c r="Q174" t="b">
        <f>AND(tblMatriculas[[#This Row],[Estado]]="activa",ISNUMBER(tblMatriculas[[#This Row],[% asistencia]]),NOT(ISNUMBER(SEARCH(pPrueba,tblMatriculas[[#This Row],[Nombre]]))))</f>
        <v>1</v>
      </c>
      <c r="R1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" s="23" t="str" cm="1">
        <f t="array" ref="S1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" s="23" t="str" cm="1">
        <f t="array" ref="T1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" s="14" t="str" cm="1">
        <f t="array" ref="U1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" t="str" cm="1">
        <f t="array" ref="V1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" t="str" cm="1">
        <f t="array" ref="W1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" t="str">
        <f>IF(COUNTIFS('Base Estudiantes'!$C:$C,tblMatriculas[[#This Row],[Cédula]],'Base Estudiantes'!$I:$I,tblMatriculas[[#This Row],[Código]])&gt;0,"Sí","No")</f>
        <v>Sí</v>
      </c>
      <c r="Z174" s="23" cm="1">
        <f t="array" ref="Z174">_xlfn.XLOOKUP(tblMatriculas[[#This Row],[Cédula]]&amp;"|"&amp;tblMatriculas[[#This Row],[Código]],tblBase[Documento]&amp;"|"&amp;tblBase[Código grupo],tblBase[Fecha matrícula],"")</f>
        <v>46264</v>
      </c>
    </row>
    <row r="175" spans="1:26" x14ac:dyDescent="0.2">
      <c r="A175" t="s">
        <v>399</v>
      </c>
      <c r="B175" t="s">
        <v>400</v>
      </c>
      <c r="C175" t="s">
        <v>13</v>
      </c>
      <c r="D175" t="s">
        <v>333</v>
      </c>
      <c r="E175" t="s">
        <v>334</v>
      </c>
      <c r="F175" t="s">
        <v>335</v>
      </c>
      <c r="G175" s="1">
        <v>0.16699999999999998</v>
      </c>
      <c r="H175" t="s">
        <v>229</v>
      </c>
      <c r="I175" t="s">
        <v>18</v>
      </c>
      <c r="J175" t="s">
        <v>337</v>
      </c>
      <c r="K175" t="s">
        <v>24</v>
      </c>
      <c r="L175" s="14">
        <f>IFERROR(VALUE(LEFT(tblMatriculas[[#This Row],[Clases]],FIND("/",tblMatriculas[[#This Row],[Clases]])-1)),"")</f>
        <v>5</v>
      </c>
      <c r="M175" s="14">
        <f>IFERROR(VALUE(MID(tblMatriculas[[#This Row],[Clases]],FIND("/",tblMatriculas[[#This Row],[Clases]])+1,5)),"")</f>
        <v>30</v>
      </c>
      <c r="N1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5" s="14">
        <f>IF(OR(tblMatriculas[[#This Row],[Estado]]&lt;&gt;"activa",tblMatriculas[[#This Row],[Clases dictadas]]=""),"",MAX(0,tblMatriculas[[#This Row],[Clases dictadas]]-tblMatriculas[[#This Row],[Asistidas]]))</f>
        <v>0</v>
      </c>
      <c r="P175" s="1">
        <f>IF(OR(tblMatriculas[[#This Row],[Estado]]&lt;&gt;"activa",tblMatriculas[[#This Row],[Asistidas]]=""),"",tblMatriculas[[#This Row],[Asistencia]])</f>
        <v>0.16699999999999998</v>
      </c>
      <c r="Q175" t="b">
        <f>AND(tblMatriculas[[#This Row],[Estado]]="activa",ISNUMBER(tblMatriculas[[#This Row],[% asistencia]]),NOT(ISNUMBER(SEARCH(pPrueba,tblMatriculas[[#This Row],[Nombre]]))))</f>
        <v>1</v>
      </c>
      <c r="R1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" s="23" t="str" cm="1">
        <f t="array" ref="S1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" s="23" t="str" cm="1">
        <f t="array" ref="T1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" s="14" t="str" cm="1">
        <f t="array" ref="U1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" t="str" cm="1">
        <f t="array" ref="V1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" t="str" cm="1">
        <f t="array" ref="W1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" t="str">
        <f>IF(COUNTIFS('Base Estudiantes'!$C:$C,tblMatriculas[[#This Row],[Cédula]],'Base Estudiantes'!$I:$I,tblMatriculas[[#This Row],[Código]])&gt;0,"Sí","No")</f>
        <v>Sí</v>
      </c>
      <c r="Z175" s="23" cm="1">
        <f t="array" ref="Z175">_xlfn.XLOOKUP(tblMatriculas[[#This Row],[Cédula]]&amp;"|"&amp;tblMatriculas[[#This Row],[Código]],tblBase[Documento]&amp;"|"&amp;tblBase[Código grupo],tblBase[Fecha matrícula],"")</f>
        <v>46264</v>
      </c>
    </row>
    <row r="176" spans="1:26" x14ac:dyDescent="0.2">
      <c r="A176" t="s">
        <v>401</v>
      </c>
      <c r="B176" t="s">
        <v>402</v>
      </c>
      <c r="C176" t="s">
        <v>13</v>
      </c>
      <c r="D176" t="s">
        <v>333</v>
      </c>
      <c r="E176" t="s">
        <v>334</v>
      </c>
      <c r="F176" t="s">
        <v>335</v>
      </c>
      <c r="G176" s="1">
        <v>0.16699999999999998</v>
      </c>
      <c r="H176" t="s">
        <v>229</v>
      </c>
      <c r="I176" t="s">
        <v>18</v>
      </c>
      <c r="J176" t="s">
        <v>337</v>
      </c>
      <c r="K176" t="s">
        <v>24</v>
      </c>
      <c r="L176" s="14">
        <f>IFERROR(VALUE(LEFT(tblMatriculas[[#This Row],[Clases]],FIND("/",tblMatriculas[[#This Row],[Clases]])-1)),"")</f>
        <v>5</v>
      </c>
      <c r="M176" s="14">
        <f>IFERROR(VALUE(MID(tblMatriculas[[#This Row],[Clases]],FIND("/",tblMatriculas[[#This Row],[Clases]])+1,5)),"")</f>
        <v>30</v>
      </c>
      <c r="N1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6" s="14">
        <f>IF(OR(tblMatriculas[[#This Row],[Estado]]&lt;&gt;"activa",tblMatriculas[[#This Row],[Clases dictadas]]=""),"",MAX(0,tblMatriculas[[#This Row],[Clases dictadas]]-tblMatriculas[[#This Row],[Asistidas]]))</f>
        <v>0</v>
      </c>
      <c r="P176" s="1">
        <f>IF(OR(tblMatriculas[[#This Row],[Estado]]&lt;&gt;"activa",tblMatriculas[[#This Row],[Asistidas]]=""),"",tblMatriculas[[#This Row],[Asistencia]])</f>
        <v>0.16699999999999998</v>
      </c>
      <c r="Q176" t="b">
        <f>AND(tblMatriculas[[#This Row],[Estado]]="activa",ISNUMBER(tblMatriculas[[#This Row],[% asistencia]]),NOT(ISNUMBER(SEARCH(pPrueba,tblMatriculas[[#This Row],[Nombre]]))))</f>
        <v>1</v>
      </c>
      <c r="R1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" s="23" t="str" cm="1">
        <f t="array" ref="S1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" s="23" t="str" cm="1">
        <f t="array" ref="T1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" s="14" t="str" cm="1">
        <f t="array" ref="U1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" t="str" cm="1">
        <f t="array" ref="V1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" t="str" cm="1">
        <f t="array" ref="W1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" t="str">
        <f>IF(COUNTIFS('Base Estudiantes'!$C:$C,tblMatriculas[[#This Row],[Cédula]],'Base Estudiantes'!$I:$I,tblMatriculas[[#This Row],[Código]])&gt;0,"Sí","No")</f>
        <v>Sí</v>
      </c>
      <c r="Z176" s="23" cm="1">
        <f t="array" ref="Z176">_xlfn.XLOOKUP(tblMatriculas[[#This Row],[Cédula]]&amp;"|"&amp;tblMatriculas[[#This Row],[Código]],tblBase[Documento]&amp;"|"&amp;tblBase[Código grupo],tblBase[Fecha matrícula],"")</f>
        <v>46264</v>
      </c>
    </row>
    <row r="177" spans="1:26" x14ac:dyDescent="0.2">
      <c r="A177" t="s">
        <v>403</v>
      </c>
      <c r="B177" t="s">
        <v>404</v>
      </c>
      <c r="C177" t="s">
        <v>13</v>
      </c>
      <c r="D177" t="s">
        <v>333</v>
      </c>
      <c r="E177" t="s">
        <v>334</v>
      </c>
      <c r="F177" t="s">
        <v>335</v>
      </c>
      <c r="G177" s="1">
        <v>0.16699999999999998</v>
      </c>
      <c r="H177" t="s">
        <v>229</v>
      </c>
      <c r="I177" t="s">
        <v>18</v>
      </c>
      <c r="J177" t="s">
        <v>337</v>
      </c>
      <c r="K177" t="s">
        <v>24</v>
      </c>
      <c r="L177" s="14">
        <f>IFERROR(VALUE(LEFT(tblMatriculas[[#This Row],[Clases]],FIND("/",tblMatriculas[[#This Row],[Clases]])-1)),"")</f>
        <v>5</v>
      </c>
      <c r="M177" s="14">
        <f>IFERROR(VALUE(MID(tblMatriculas[[#This Row],[Clases]],FIND("/",tblMatriculas[[#This Row],[Clases]])+1,5)),"")</f>
        <v>30</v>
      </c>
      <c r="N1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" s="14">
        <f>IF(OR(tblMatriculas[[#This Row],[Estado]]&lt;&gt;"activa",tblMatriculas[[#This Row],[Clases dictadas]]=""),"",MAX(0,tblMatriculas[[#This Row],[Clases dictadas]]-tblMatriculas[[#This Row],[Asistidas]]))</f>
        <v>0</v>
      </c>
      <c r="P177" s="1">
        <f>IF(OR(tblMatriculas[[#This Row],[Estado]]&lt;&gt;"activa",tblMatriculas[[#This Row],[Asistidas]]=""),"",tblMatriculas[[#This Row],[Asistencia]])</f>
        <v>0.16699999999999998</v>
      </c>
      <c r="Q177" t="b">
        <f>AND(tblMatriculas[[#This Row],[Estado]]="activa",ISNUMBER(tblMatriculas[[#This Row],[% asistencia]]),NOT(ISNUMBER(SEARCH(pPrueba,tblMatriculas[[#This Row],[Nombre]]))))</f>
        <v>1</v>
      </c>
      <c r="R1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" s="23" t="str" cm="1">
        <f t="array" ref="S1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" s="23" t="str" cm="1">
        <f t="array" ref="T1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" s="14" t="str" cm="1">
        <f t="array" ref="U1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" t="str" cm="1">
        <f t="array" ref="V1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" t="str" cm="1">
        <f t="array" ref="W1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" t="str">
        <f>IF(COUNTIFS('Base Estudiantes'!$C:$C,tblMatriculas[[#This Row],[Cédula]],'Base Estudiantes'!$I:$I,tblMatriculas[[#This Row],[Código]])&gt;0,"Sí","No")</f>
        <v>Sí</v>
      </c>
      <c r="Z177" s="23" cm="1">
        <f t="array" ref="Z177">_xlfn.XLOOKUP(tblMatriculas[[#This Row],[Cédula]]&amp;"|"&amp;tblMatriculas[[#This Row],[Código]],tblBase[Documento]&amp;"|"&amp;tblBase[Código grupo],tblBase[Fecha matrícula],"")</f>
        <v>46264</v>
      </c>
    </row>
    <row r="178" spans="1:26" x14ac:dyDescent="0.2">
      <c r="A178" t="s">
        <v>405</v>
      </c>
      <c r="B178" t="s">
        <v>406</v>
      </c>
      <c r="C178" t="s">
        <v>13</v>
      </c>
      <c r="D178" t="s">
        <v>333</v>
      </c>
      <c r="E178" t="s">
        <v>334</v>
      </c>
      <c r="F178" t="s">
        <v>335</v>
      </c>
      <c r="G178" s="1">
        <v>0.16699999999999998</v>
      </c>
      <c r="H178" t="s">
        <v>229</v>
      </c>
      <c r="I178" t="s">
        <v>18</v>
      </c>
      <c r="J178" t="s">
        <v>337</v>
      </c>
      <c r="K178" t="s">
        <v>24</v>
      </c>
      <c r="L178" s="14">
        <f>IFERROR(VALUE(LEFT(tblMatriculas[[#This Row],[Clases]],FIND("/",tblMatriculas[[#This Row],[Clases]])-1)),"")</f>
        <v>5</v>
      </c>
      <c r="M178" s="14">
        <f>IFERROR(VALUE(MID(tblMatriculas[[#This Row],[Clases]],FIND("/",tblMatriculas[[#This Row],[Clases]])+1,5)),"")</f>
        <v>30</v>
      </c>
      <c r="N1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" s="14">
        <f>IF(OR(tblMatriculas[[#This Row],[Estado]]&lt;&gt;"activa",tblMatriculas[[#This Row],[Clases dictadas]]=""),"",MAX(0,tblMatriculas[[#This Row],[Clases dictadas]]-tblMatriculas[[#This Row],[Asistidas]]))</f>
        <v>0</v>
      </c>
      <c r="P178" s="1">
        <f>IF(OR(tblMatriculas[[#This Row],[Estado]]&lt;&gt;"activa",tblMatriculas[[#This Row],[Asistidas]]=""),"",tblMatriculas[[#This Row],[Asistencia]])</f>
        <v>0.16699999999999998</v>
      </c>
      <c r="Q178" t="b">
        <f>AND(tblMatriculas[[#This Row],[Estado]]="activa",ISNUMBER(tblMatriculas[[#This Row],[% asistencia]]),NOT(ISNUMBER(SEARCH(pPrueba,tblMatriculas[[#This Row],[Nombre]]))))</f>
        <v>1</v>
      </c>
      <c r="R1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" s="23" t="str" cm="1">
        <f t="array" ref="S1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" s="23" t="str" cm="1">
        <f t="array" ref="T1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" s="14" t="str" cm="1">
        <f t="array" ref="U1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" t="str" cm="1">
        <f t="array" ref="V1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" t="str" cm="1">
        <f t="array" ref="W1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" t="str">
        <f>IF(COUNTIFS('Base Estudiantes'!$C:$C,tblMatriculas[[#This Row],[Cédula]],'Base Estudiantes'!$I:$I,tblMatriculas[[#This Row],[Código]])&gt;0,"Sí","No")</f>
        <v>Sí</v>
      </c>
      <c r="Z178" s="23" cm="1">
        <f t="array" ref="Z178">_xlfn.XLOOKUP(tblMatriculas[[#This Row],[Cédula]]&amp;"|"&amp;tblMatriculas[[#This Row],[Código]],tblBase[Documento]&amp;"|"&amp;tblBase[Código grupo],tblBase[Fecha matrícula],"")</f>
        <v>46264</v>
      </c>
    </row>
    <row r="179" spans="1:26" x14ac:dyDescent="0.2">
      <c r="A179" t="s">
        <v>407</v>
      </c>
      <c r="B179" t="s">
        <v>408</v>
      </c>
      <c r="C179" t="s">
        <v>13</v>
      </c>
      <c r="D179" t="s">
        <v>333</v>
      </c>
      <c r="E179" t="s">
        <v>334</v>
      </c>
      <c r="F179" t="s">
        <v>335</v>
      </c>
      <c r="G179" s="1">
        <v>3.3000000000000002E-2</v>
      </c>
      <c r="H179" t="s">
        <v>225</v>
      </c>
      <c r="I179" t="s">
        <v>18</v>
      </c>
      <c r="J179" t="s">
        <v>337</v>
      </c>
      <c r="K179" t="s">
        <v>24</v>
      </c>
      <c r="L179" s="14">
        <f>IFERROR(VALUE(LEFT(tblMatriculas[[#This Row],[Clases]],FIND("/",tblMatriculas[[#This Row],[Clases]])-1)),"")</f>
        <v>1</v>
      </c>
      <c r="M179" s="14">
        <f>IFERROR(VALUE(MID(tblMatriculas[[#This Row],[Clases]],FIND("/",tblMatriculas[[#This Row],[Clases]])+1,5)),"")</f>
        <v>30</v>
      </c>
      <c r="N1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" s="14">
        <f>IF(OR(tblMatriculas[[#This Row],[Estado]]&lt;&gt;"activa",tblMatriculas[[#This Row],[Clases dictadas]]=""),"",MAX(0,tblMatriculas[[#This Row],[Clases dictadas]]-tblMatriculas[[#This Row],[Asistidas]]))</f>
        <v>4</v>
      </c>
      <c r="P179" s="1">
        <f>IF(OR(tblMatriculas[[#This Row],[Estado]]&lt;&gt;"activa",tblMatriculas[[#This Row],[Asistidas]]=""),"",tblMatriculas[[#This Row],[Asistencia]])</f>
        <v>3.3000000000000002E-2</v>
      </c>
      <c r="Q179" t="b">
        <f>AND(tblMatriculas[[#This Row],[Estado]]="activa",ISNUMBER(tblMatriculas[[#This Row],[% asistencia]]),NOT(ISNUMBER(SEARCH(pPrueba,tblMatriculas[[#This Row],[Nombre]]))))</f>
        <v>1</v>
      </c>
      <c r="R1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9" s="23" t="str" cm="1">
        <f t="array" ref="S1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" s="23" t="str" cm="1">
        <f t="array" ref="T1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" s="14" t="str" cm="1">
        <f t="array" ref="U1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" t="str" cm="1">
        <f t="array" ref="V1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" t="str" cm="1">
        <f t="array" ref="W1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9" t="str">
        <f>IF(COUNTIFS('Base Estudiantes'!$C:$C,tblMatriculas[[#This Row],[Cédula]],'Base Estudiantes'!$I:$I,tblMatriculas[[#This Row],[Código]])&gt;0,"Sí","No")</f>
        <v>Sí</v>
      </c>
      <c r="Z179" s="23" cm="1">
        <f t="array" ref="Z179">_xlfn.XLOOKUP(tblMatriculas[[#This Row],[Cédula]]&amp;"|"&amp;tblMatriculas[[#This Row],[Código]],tblBase[Documento]&amp;"|"&amp;tblBase[Código grupo],tblBase[Fecha matrícula],"")</f>
        <v>46264</v>
      </c>
    </row>
    <row r="180" spans="1:26" x14ac:dyDescent="0.2">
      <c r="A180" t="s">
        <v>409</v>
      </c>
      <c r="B180" t="s">
        <v>410</v>
      </c>
      <c r="C180" t="s">
        <v>13</v>
      </c>
      <c r="D180" t="s">
        <v>333</v>
      </c>
      <c r="E180" t="s">
        <v>334</v>
      </c>
      <c r="F180" t="s">
        <v>335</v>
      </c>
      <c r="G180" s="1">
        <v>0.13300000000000001</v>
      </c>
      <c r="H180" t="s">
        <v>112</v>
      </c>
      <c r="I180" t="s">
        <v>18</v>
      </c>
      <c r="J180" t="s">
        <v>337</v>
      </c>
      <c r="K180" t="s">
        <v>24</v>
      </c>
      <c r="L180" s="14">
        <f>IFERROR(VALUE(LEFT(tblMatriculas[[#This Row],[Clases]],FIND("/",tblMatriculas[[#This Row],[Clases]])-1)),"")</f>
        <v>4</v>
      </c>
      <c r="M180" s="14">
        <f>IFERROR(VALUE(MID(tblMatriculas[[#This Row],[Clases]],FIND("/",tblMatriculas[[#This Row],[Clases]])+1,5)),"")</f>
        <v>30</v>
      </c>
      <c r="N1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" s="14">
        <f>IF(OR(tblMatriculas[[#This Row],[Estado]]&lt;&gt;"activa",tblMatriculas[[#This Row],[Clases dictadas]]=""),"",MAX(0,tblMatriculas[[#This Row],[Clases dictadas]]-tblMatriculas[[#This Row],[Asistidas]]))</f>
        <v>1</v>
      </c>
      <c r="P180" s="1">
        <f>IF(OR(tblMatriculas[[#This Row],[Estado]]&lt;&gt;"activa",tblMatriculas[[#This Row],[Asistidas]]=""),"",tblMatriculas[[#This Row],[Asistencia]])</f>
        <v>0.13300000000000001</v>
      </c>
      <c r="Q180" t="b">
        <f>AND(tblMatriculas[[#This Row],[Estado]]="activa",ISNUMBER(tblMatriculas[[#This Row],[% asistencia]]),NOT(ISNUMBER(SEARCH(pPrueba,tblMatriculas[[#This Row],[Nombre]]))))</f>
        <v>1</v>
      </c>
      <c r="R1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" s="23" t="str" cm="1">
        <f t="array" ref="S1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" s="23" t="str" cm="1">
        <f t="array" ref="T1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" s="14" t="str" cm="1">
        <f t="array" ref="U1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" t="str" cm="1">
        <f t="array" ref="V1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" t="str" cm="1">
        <f t="array" ref="W1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" t="str">
        <f>IF(COUNTIFS('Base Estudiantes'!$C:$C,tblMatriculas[[#This Row],[Cédula]],'Base Estudiantes'!$I:$I,tblMatriculas[[#This Row],[Código]])&gt;0,"Sí","No")</f>
        <v>Sí</v>
      </c>
      <c r="Z180" s="23" cm="1">
        <f t="array" ref="Z180">_xlfn.XLOOKUP(tblMatriculas[[#This Row],[Cédula]]&amp;"|"&amp;tblMatriculas[[#This Row],[Código]],tblBase[Documento]&amp;"|"&amp;tblBase[Código grupo],tblBase[Fecha matrícula],"")</f>
        <v>46264</v>
      </c>
    </row>
    <row r="181" spans="1:26" x14ac:dyDescent="0.2">
      <c r="A181" t="s">
        <v>411</v>
      </c>
      <c r="B181" t="s">
        <v>412</v>
      </c>
      <c r="C181" t="s">
        <v>13</v>
      </c>
      <c r="D181" t="s">
        <v>333</v>
      </c>
      <c r="E181" t="s">
        <v>334</v>
      </c>
      <c r="F181" t="s">
        <v>335</v>
      </c>
      <c r="G181" s="1">
        <v>0.16699999999999998</v>
      </c>
      <c r="H181" t="s">
        <v>229</v>
      </c>
      <c r="I181" t="s">
        <v>18</v>
      </c>
      <c r="J181" t="s">
        <v>337</v>
      </c>
      <c r="K181" t="s">
        <v>24</v>
      </c>
      <c r="L181" s="14">
        <f>IFERROR(VALUE(LEFT(tblMatriculas[[#This Row],[Clases]],FIND("/",tblMatriculas[[#This Row],[Clases]])-1)),"")</f>
        <v>5</v>
      </c>
      <c r="M181" s="14">
        <f>IFERROR(VALUE(MID(tblMatriculas[[#This Row],[Clases]],FIND("/",tblMatriculas[[#This Row],[Clases]])+1,5)),"")</f>
        <v>30</v>
      </c>
      <c r="N1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1" s="14">
        <f>IF(OR(tblMatriculas[[#This Row],[Estado]]&lt;&gt;"activa",tblMatriculas[[#This Row],[Clases dictadas]]=""),"",MAX(0,tblMatriculas[[#This Row],[Clases dictadas]]-tblMatriculas[[#This Row],[Asistidas]]))</f>
        <v>0</v>
      </c>
      <c r="P181" s="1">
        <f>IF(OR(tblMatriculas[[#This Row],[Estado]]&lt;&gt;"activa",tblMatriculas[[#This Row],[Asistidas]]=""),"",tblMatriculas[[#This Row],[Asistencia]])</f>
        <v>0.16699999999999998</v>
      </c>
      <c r="Q181" t="b">
        <f>AND(tblMatriculas[[#This Row],[Estado]]="activa",ISNUMBER(tblMatriculas[[#This Row],[% asistencia]]),NOT(ISNUMBER(SEARCH(pPrueba,tblMatriculas[[#This Row],[Nombre]]))))</f>
        <v>1</v>
      </c>
      <c r="R1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" s="23" t="str" cm="1">
        <f t="array" ref="S1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" s="23" t="str" cm="1">
        <f t="array" ref="T1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" s="14" t="str" cm="1">
        <f t="array" ref="U1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" t="str" cm="1">
        <f t="array" ref="V1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" t="str" cm="1">
        <f t="array" ref="W1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" t="str">
        <f>IF(COUNTIFS('Base Estudiantes'!$C:$C,tblMatriculas[[#This Row],[Cédula]],'Base Estudiantes'!$I:$I,tblMatriculas[[#This Row],[Código]])&gt;0,"Sí","No")</f>
        <v>Sí</v>
      </c>
      <c r="Z181" s="23" cm="1">
        <f t="array" ref="Z181">_xlfn.XLOOKUP(tblMatriculas[[#This Row],[Cédula]]&amp;"|"&amp;tblMatriculas[[#This Row],[Código]],tblBase[Documento]&amp;"|"&amp;tblBase[Código grupo],tblBase[Fecha matrícula],"")</f>
        <v>46264</v>
      </c>
    </row>
    <row r="182" spans="1:26" x14ac:dyDescent="0.2">
      <c r="A182" t="s">
        <v>413</v>
      </c>
      <c r="B182" t="s">
        <v>414</v>
      </c>
      <c r="C182" t="s">
        <v>13</v>
      </c>
      <c r="D182" t="s">
        <v>333</v>
      </c>
      <c r="E182" t="s">
        <v>334</v>
      </c>
      <c r="F182" t="s">
        <v>335</v>
      </c>
      <c r="G182" s="1">
        <v>0.16699999999999998</v>
      </c>
      <c r="H182" t="s">
        <v>229</v>
      </c>
      <c r="I182" t="s">
        <v>18</v>
      </c>
      <c r="J182" t="s">
        <v>337</v>
      </c>
      <c r="K182" t="s">
        <v>24</v>
      </c>
      <c r="L182" s="14">
        <f>IFERROR(VALUE(LEFT(tblMatriculas[[#This Row],[Clases]],FIND("/",tblMatriculas[[#This Row],[Clases]])-1)),"")</f>
        <v>5</v>
      </c>
      <c r="M182" s="14">
        <f>IFERROR(VALUE(MID(tblMatriculas[[#This Row],[Clases]],FIND("/",tblMatriculas[[#This Row],[Clases]])+1,5)),"")</f>
        <v>30</v>
      </c>
      <c r="N1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2" s="14">
        <f>IF(OR(tblMatriculas[[#This Row],[Estado]]&lt;&gt;"activa",tblMatriculas[[#This Row],[Clases dictadas]]=""),"",MAX(0,tblMatriculas[[#This Row],[Clases dictadas]]-tblMatriculas[[#This Row],[Asistidas]]))</f>
        <v>0</v>
      </c>
      <c r="P182" s="1">
        <f>IF(OR(tblMatriculas[[#This Row],[Estado]]&lt;&gt;"activa",tblMatriculas[[#This Row],[Asistidas]]=""),"",tblMatriculas[[#This Row],[Asistencia]])</f>
        <v>0.16699999999999998</v>
      </c>
      <c r="Q182" t="b">
        <f>AND(tblMatriculas[[#This Row],[Estado]]="activa",ISNUMBER(tblMatriculas[[#This Row],[% asistencia]]),NOT(ISNUMBER(SEARCH(pPrueba,tblMatriculas[[#This Row],[Nombre]]))))</f>
        <v>1</v>
      </c>
      <c r="R1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" s="23" t="str" cm="1">
        <f t="array" ref="S1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" s="23" t="str" cm="1">
        <f t="array" ref="T1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" s="14" t="str" cm="1">
        <f t="array" ref="U1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" t="str" cm="1">
        <f t="array" ref="V1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" t="str" cm="1">
        <f t="array" ref="W1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" t="str">
        <f>IF(COUNTIFS('Base Estudiantes'!$C:$C,tblMatriculas[[#This Row],[Cédula]],'Base Estudiantes'!$I:$I,tblMatriculas[[#This Row],[Código]])&gt;0,"Sí","No")</f>
        <v>Sí</v>
      </c>
      <c r="Z182" s="23" cm="1">
        <f t="array" ref="Z182">_xlfn.XLOOKUP(tblMatriculas[[#This Row],[Cédula]]&amp;"|"&amp;tblMatriculas[[#This Row],[Código]],tblBase[Documento]&amp;"|"&amp;tblBase[Código grupo],tblBase[Fecha matrícula],"")</f>
        <v>46264</v>
      </c>
    </row>
    <row r="183" spans="1:26" x14ac:dyDescent="0.2">
      <c r="A183" t="s">
        <v>415</v>
      </c>
      <c r="B183" t="s">
        <v>416</v>
      </c>
      <c r="C183" t="s">
        <v>13</v>
      </c>
      <c r="D183" t="s">
        <v>333</v>
      </c>
      <c r="E183" t="s">
        <v>334</v>
      </c>
      <c r="F183" t="s">
        <v>335</v>
      </c>
      <c r="G183" s="1">
        <v>0.13300000000000001</v>
      </c>
      <c r="H183" t="s">
        <v>112</v>
      </c>
      <c r="I183" t="s">
        <v>18</v>
      </c>
      <c r="J183" t="s">
        <v>337</v>
      </c>
      <c r="K183" t="s">
        <v>24</v>
      </c>
      <c r="L183" s="14">
        <f>IFERROR(VALUE(LEFT(tblMatriculas[[#This Row],[Clases]],FIND("/",tblMatriculas[[#This Row],[Clases]])-1)),"")</f>
        <v>4</v>
      </c>
      <c r="M183" s="14">
        <f>IFERROR(VALUE(MID(tblMatriculas[[#This Row],[Clases]],FIND("/",tblMatriculas[[#This Row],[Clases]])+1,5)),"")</f>
        <v>30</v>
      </c>
      <c r="N1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3" s="14">
        <f>IF(OR(tblMatriculas[[#This Row],[Estado]]&lt;&gt;"activa",tblMatriculas[[#This Row],[Clases dictadas]]=""),"",MAX(0,tblMatriculas[[#This Row],[Clases dictadas]]-tblMatriculas[[#This Row],[Asistidas]]))</f>
        <v>1</v>
      </c>
      <c r="P183" s="1">
        <f>IF(OR(tblMatriculas[[#This Row],[Estado]]&lt;&gt;"activa",tblMatriculas[[#This Row],[Asistidas]]=""),"",tblMatriculas[[#This Row],[Asistencia]])</f>
        <v>0.13300000000000001</v>
      </c>
      <c r="Q183" t="b">
        <f>AND(tblMatriculas[[#This Row],[Estado]]="activa",ISNUMBER(tblMatriculas[[#This Row],[% asistencia]]),NOT(ISNUMBER(SEARCH(pPrueba,tblMatriculas[[#This Row],[Nombre]]))))</f>
        <v>1</v>
      </c>
      <c r="R1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" s="23" t="str" cm="1">
        <f t="array" ref="S1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" s="23" t="str" cm="1">
        <f t="array" ref="T1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" s="14" t="str" cm="1">
        <f t="array" ref="U1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" t="str" cm="1">
        <f t="array" ref="V1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" t="str" cm="1">
        <f t="array" ref="W1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" t="str">
        <f>IF(COUNTIFS('Base Estudiantes'!$C:$C,tblMatriculas[[#This Row],[Cédula]],'Base Estudiantes'!$I:$I,tblMatriculas[[#This Row],[Código]])&gt;0,"Sí","No")</f>
        <v>Sí</v>
      </c>
      <c r="Z183" s="23" cm="1">
        <f t="array" ref="Z183">_xlfn.XLOOKUP(tblMatriculas[[#This Row],[Cédula]]&amp;"|"&amp;tblMatriculas[[#This Row],[Código]],tblBase[Documento]&amp;"|"&amp;tblBase[Código grupo],tblBase[Fecha matrícula],"")</f>
        <v>46264</v>
      </c>
    </row>
    <row r="184" spans="1:26" x14ac:dyDescent="0.2">
      <c r="A184" t="s">
        <v>417</v>
      </c>
      <c r="B184" t="s">
        <v>418</v>
      </c>
      <c r="C184" t="s">
        <v>13</v>
      </c>
      <c r="D184" t="s">
        <v>333</v>
      </c>
      <c r="E184" t="s">
        <v>334</v>
      </c>
      <c r="F184" t="s">
        <v>335</v>
      </c>
      <c r="G184" s="1">
        <v>0.13300000000000001</v>
      </c>
      <c r="H184" t="s">
        <v>112</v>
      </c>
      <c r="I184" t="s">
        <v>18</v>
      </c>
      <c r="J184" t="s">
        <v>337</v>
      </c>
      <c r="K184" t="s">
        <v>419</v>
      </c>
      <c r="L184" s="14">
        <f>IFERROR(VALUE(LEFT(tblMatriculas[[#This Row],[Clases]],FIND("/",tblMatriculas[[#This Row],[Clases]])-1)),"")</f>
        <v>4</v>
      </c>
      <c r="M184" s="14">
        <f>IFERROR(VALUE(MID(tblMatriculas[[#This Row],[Clases]],FIND("/",tblMatriculas[[#This Row],[Clases]])+1,5)),"")</f>
        <v>30</v>
      </c>
      <c r="N1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4" s="14">
        <f>IF(OR(tblMatriculas[[#This Row],[Estado]]&lt;&gt;"activa",tblMatriculas[[#This Row],[Clases dictadas]]=""),"",MAX(0,tblMatriculas[[#This Row],[Clases dictadas]]-tblMatriculas[[#This Row],[Asistidas]]))</f>
        <v>1</v>
      </c>
      <c r="P184" s="1">
        <f>IF(OR(tblMatriculas[[#This Row],[Estado]]&lt;&gt;"activa",tblMatriculas[[#This Row],[Asistidas]]=""),"",tblMatriculas[[#This Row],[Asistencia]])</f>
        <v>0.13300000000000001</v>
      </c>
      <c r="Q184" t="b">
        <f>AND(tblMatriculas[[#This Row],[Estado]]="activa",ISNUMBER(tblMatriculas[[#This Row],[% asistencia]]),NOT(ISNUMBER(SEARCH(pPrueba,tblMatriculas[[#This Row],[Nombre]]))))</f>
        <v>1</v>
      </c>
      <c r="R1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" s="23" t="str" cm="1">
        <f t="array" ref="S1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" s="23" t="str" cm="1">
        <f t="array" ref="T1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" s="14" t="str" cm="1">
        <f t="array" ref="U1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" t="str" cm="1">
        <f t="array" ref="V1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" t="str" cm="1">
        <f t="array" ref="W1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" t="str">
        <f>IF(COUNTIFS('Base Estudiantes'!$C:$C,tblMatriculas[[#This Row],[Cédula]],'Base Estudiantes'!$I:$I,tblMatriculas[[#This Row],[Código]])&gt;0,"Sí","No")</f>
        <v>Sí</v>
      </c>
      <c r="Z184" s="23" cm="1">
        <f t="array" ref="Z184">_xlfn.XLOOKUP(tblMatriculas[[#This Row],[Cédula]]&amp;"|"&amp;tblMatriculas[[#This Row],[Código]],tblBase[Documento]&amp;"|"&amp;tblBase[Código grupo],tblBase[Fecha matrícula],"")</f>
        <v>46264</v>
      </c>
    </row>
    <row r="185" spans="1:26" x14ac:dyDescent="0.2">
      <c r="A185" t="s">
        <v>420</v>
      </c>
      <c r="B185" t="s">
        <v>421</v>
      </c>
      <c r="C185" t="s">
        <v>13</v>
      </c>
      <c r="D185" t="s">
        <v>333</v>
      </c>
      <c r="E185" t="s">
        <v>334</v>
      </c>
      <c r="F185" t="s">
        <v>335</v>
      </c>
      <c r="G185" s="1">
        <v>0.16699999999999998</v>
      </c>
      <c r="H185" t="s">
        <v>229</v>
      </c>
      <c r="I185" t="s">
        <v>18</v>
      </c>
      <c r="J185" t="s">
        <v>337</v>
      </c>
      <c r="K185" t="s">
        <v>419</v>
      </c>
      <c r="L185" s="14">
        <f>IFERROR(VALUE(LEFT(tblMatriculas[[#This Row],[Clases]],FIND("/",tblMatriculas[[#This Row],[Clases]])-1)),"")</f>
        <v>5</v>
      </c>
      <c r="M185" s="14">
        <f>IFERROR(VALUE(MID(tblMatriculas[[#This Row],[Clases]],FIND("/",tblMatriculas[[#This Row],[Clases]])+1,5)),"")</f>
        <v>30</v>
      </c>
      <c r="N1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5" s="14">
        <f>IF(OR(tblMatriculas[[#This Row],[Estado]]&lt;&gt;"activa",tblMatriculas[[#This Row],[Clases dictadas]]=""),"",MAX(0,tblMatriculas[[#This Row],[Clases dictadas]]-tblMatriculas[[#This Row],[Asistidas]]))</f>
        <v>0</v>
      </c>
      <c r="P185" s="1">
        <f>IF(OR(tblMatriculas[[#This Row],[Estado]]&lt;&gt;"activa",tblMatriculas[[#This Row],[Asistidas]]=""),"",tblMatriculas[[#This Row],[Asistencia]])</f>
        <v>0.16699999999999998</v>
      </c>
      <c r="Q185" t="b">
        <f>AND(tblMatriculas[[#This Row],[Estado]]="activa",ISNUMBER(tblMatriculas[[#This Row],[% asistencia]]),NOT(ISNUMBER(SEARCH(pPrueba,tblMatriculas[[#This Row],[Nombre]]))))</f>
        <v>1</v>
      </c>
      <c r="R1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" s="23" t="str" cm="1">
        <f t="array" ref="S1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" s="23" t="str" cm="1">
        <f t="array" ref="T1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" s="14" t="str" cm="1">
        <f t="array" ref="U1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" t="str" cm="1">
        <f t="array" ref="V1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" t="str" cm="1">
        <f t="array" ref="W1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" t="str">
        <f>IF(COUNTIFS('Base Estudiantes'!$C:$C,tblMatriculas[[#This Row],[Cédula]],'Base Estudiantes'!$I:$I,tblMatriculas[[#This Row],[Código]])&gt;0,"Sí","No")</f>
        <v>Sí</v>
      </c>
      <c r="Z185" s="23" cm="1">
        <f t="array" ref="Z185">_xlfn.XLOOKUP(tblMatriculas[[#This Row],[Cédula]]&amp;"|"&amp;tblMatriculas[[#This Row],[Código]],tblBase[Documento]&amp;"|"&amp;tblBase[Código grupo],tblBase[Fecha matrícula],"")</f>
        <v>46264</v>
      </c>
    </row>
    <row r="186" spans="1:26" x14ac:dyDescent="0.2">
      <c r="A186" t="s">
        <v>422</v>
      </c>
      <c r="B186" t="s">
        <v>423</v>
      </c>
      <c r="C186" t="s">
        <v>13</v>
      </c>
      <c r="D186" t="s">
        <v>333</v>
      </c>
      <c r="E186" t="s">
        <v>334</v>
      </c>
      <c r="F186" t="s">
        <v>335</v>
      </c>
      <c r="G186" s="1">
        <v>3.3000000000000002E-2</v>
      </c>
      <c r="H186" t="s">
        <v>225</v>
      </c>
      <c r="I186" t="s">
        <v>18</v>
      </c>
      <c r="J186" t="s">
        <v>337</v>
      </c>
      <c r="K186" t="s">
        <v>419</v>
      </c>
      <c r="L186" s="14">
        <f>IFERROR(VALUE(LEFT(tblMatriculas[[#This Row],[Clases]],FIND("/",tblMatriculas[[#This Row],[Clases]])-1)),"")</f>
        <v>1</v>
      </c>
      <c r="M186" s="14">
        <f>IFERROR(VALUE(MID(tblMatriculas[[#This Row],[Clases]],FIND("/",tblMatriculas[[#This Row],[Clases]])+1,5)),"")</f>
        <v>30</v>
      </c>
      <c r="N1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6" s="14">
        <f>IF(OR(tblMatriculas[[#This Row],[Estado]]&lt;&gt;"activa",tblMatriculas[[#This Row],[Clases dictadas]]=""),"",MAX(0,tblMatriculas[[#This Row],[Clases dictadas]]-tblMatriculas[[#This Row],[Asistidas]]))</f>
        <v>4</v>
      </c>
      <c r="P186" s="1">
        <f>IF(OR(tblMatriculas[[#This Row],[Estado]]&lt;&gt;"activa",tblMatriculas[[#This Row],[Asistidas]]=""),"",tblMatriculas[[#This Row],[Asistencia]])</f>
        <v>3.3000000000000002E-2</v>
      </c>
      <c r="Q186" t="b">
        <f>AND(tblMatriculas[[#This Row],[Estado]]="activa",ISNUMBER(tblMatriculas[[#This Row],[% asistencia]]),NOT(ISNUMBER(SEARCH(pPrueba,tblMatriculas[[#This Row],[Nombre]]))))</f>
        <v>1</v>
      </c>
      <c r="R1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86" s="23" t="str" cm="1">
        <f t="array" ref="S1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" s="23" t="str" cm="1">
        <f t="array" ref="T1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" s="14" t="str" cm="1">
        <f t="array" ref="U1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" t="str" cm="1">
        <f t="array" ref="V1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" t="str" cm="1">
        <f t="array" ref="W1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86" t="str">
        <f>IF(COUNTIFS('Base Estudiantes'!$C:$C,tblMatriculas[[#This Row],[Cédula]],'Base Estudiantes'!$I:$I,tblMatriculas[[#This Row],[Código]])&gt;0,"Sí","No")</f>
        <v>Sí</v>
      </c>
      <c r="Z186" s="23" cm="1">
        <f t="array" ref="Z186">_xlfn.XLOOKUP(tblMatriculas[[#This Row],[Cédula]]&amp;"|"&amp;tblMatriculas[[#This Row],[Código]],tblBase[Documento]&amp;"|"&amp;tblBase[Código grupo],tblBase[Fecha matrícula],"")</f>
        <v>46264</v>
      </c>
    </row>
    <row r="187" spans="1:26" x14ac:dyDescent="0.2">
      <c r="A187" t="s">
        <v>424</v>
      </c>
      <c r="B187" t="s">
        <v>425</v>
      </c>
      <c r="C187" t="s">
        <v>13</v>
      </c>
      <c r="D187" t="s">
        <v>333</v>
      </c>
      <c r="E187" t="s">
        <v>334</v>
      </c>
      <c r="F187" t="s">
        <v>335</v>
      </c>
      <c r="G187" s="1">
        <v>0.16699999999999998</v>
      </c>
      <c r="H187" t="s">
        <v>229</v>
      </c>
      <c r="I187" t="s">
        <v>18</v>
      </c>
      <c r="J187" t="s">
        <v>337</v>
      </c>
      <c r="K187" t="s">
        <v>426</v>
      </c>
      <c r="L187" s="14">
        <f>IFERROR(VALUE(LEFT(tblMatriculas[[#This Row],[Clases]],FIND("/",tblMatriculas[[#This Row],[Clases]])-1)),"")</f>
        <v>5</v>
      </c>
      <c r="M187" s="14">
        <f>IFERROR(VALUE(MID(tblMatriculas[[#This Row],[Clases]],FIND("/",tblMatriculas[[#This Row],[Clases]])+1,5)),"")</f>
        <v>30</v>
      </c>
      <c r="N1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7" s="14">
        <f>IF(OR(tblMatriculas[[#This Row],[Estado]]&lt;&gt;"activa",tblMatriculas[[#This Row],[Clases dictadas]]=""),"",MAX(0,tblMatriculas[[#This Row],[Clases dictadas]]-tblMatriculas[[#This Row],[Asistidas]]))</f>
        <v>0</v>
      </c>
      <c r="P187" s="1">
        <f>IF(OR(tblMatriculas[[#This Row],[Estado]]&lt;&gt;"activa",tblMatriculas[[#This Row],[Asistidas]]=""),"",tblMatriculas[[#This Row],[Asistencia]])</f>
        <v>0.16699999999999998</v>
      </c>
      <c r="Q187" t="b">
        <f>AND(tblMatriculas[[#This Row],[Estado]]="activa",ISNUMBER(tblMatriculas[[#This Row],[% asistencia]]),NOT(ISNUMBER(SEARCH(pPrueba,tblMatriculas[[#This Row],[Nombre]]))))</f>
        <v>1</v>
      </c>
      <c r="R1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" s="23" t="str" cm="1">
        <f t="array" ref="S1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" s="23" t="str" cm="1">
        <f t="array" ref="T1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" s="14" t="str" cm="1">
        <f t="array" ref="U1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" t="str" cm="1">
        <f t="array" ref="V1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" t="str" cm="1">
        <f t="array" ref="W1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" t="str">
        <f>IF(COUNTIFS('Base Estudiantes'!$C:$C,tblMatriculas[[#This Row],[Cédula]],'Base Estudiantes'!$I:$I,tblMatriculas[[#This Row],[Código]])&gt;0,"Sí","No")</f>
        <v>Sí</v>
      </c>
      <c r="Z187" s="23" cm="1">
        <f t="array" ref="Z187">_xlfn.XLOOKUP(tblMatriculas[[#This Row],[Cédula]]&amp;"|"&amp;tblMatriculas[[#This Row],[Código]],tblBase[Documento]&amp;"|"&amp;tblBase[Código grupo],tblBase[Fecha matrícula],"")</f>
        <v>46264</v>
      </c>
    </row>
    <row r="188" spans="1:26" x14ac:dyDescent="0.2">
      <c r="A188" t="s">
        <v>427</v>
      </c>
      <c r="B188" t="s">
        <v>428</v>
      </c>
      <c r="C188" t="s">
        <v>13</v>
      </c>
      <c r="D188" t="s">
        <v>429</v>
      </c>
      <c r="E188" t="s">
        <v>430</v>
      </c>
      <c r="F188" t="s">
        <v>335</v>
      </c>
      <c r="G188" s="1">
        <v>0.13300000000000001</v>
      </c>
      <c r="H188" t="s">
        <v>112</v>
      </c>
      <c r="I188" t="s">
        <v>18</v>
      </c>
      <c r="J188" t="s">
        <v>431</v>
      </c>
      <c r="K188" t="s">
        <v>432</v>
      </c>
      <c r="L188" s="14">
        <f>IFERROR(VALUE(LEFT(tblMatriculas[[#This Row],[Clases]],FIND("/",tblMatriculas[[#This Row],[Clases]])-1)),"")</f>
        <v>4</v>
      </c>
      <c r="M188" s="14">
        <f>IFERROR(VALUE(MID(tblMatriculas[[#This Row],[Clases]],FIND("/",tblMatriculas[[#This Row],[Clases]])+1,5)),"")</f>
        <v>30</v>
      </c>
      <c r="N1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8" s="14">
        <f>IF(OR(tblMatriculas[[#This Row],[Estado]]&lt;&gt;"activa",tblMatriculas[[#This Row],[Clases dictadas]]=""),"",MAX(0,tblMatriculas[[#This Row],[Clases dictadas]]-tblMatriculas[[#This Row],[Asistidas]]))</f>
        <v>1</v>
      </c>
      <c r="P188" s="1">
        <f>IF(OR(tblMatriculas[[#This Row],[Estado]]&lt;&gt;"activa",tblMatriculas[[#This Row],[Asistidas]]=""),"",tblMatriculas[[#This Row],[Asistencia]])</f>
        <v>0.13300000000000001</v>
      </c>
      <c r="Q188" t="b">
        <f>AND(tblMatriculas[[#This Row],[Estado]]="activa",ISNUMBER(tblMatriculas[[#This Row],[% asistencia]]),NOT(ISNUMBER(SEARCH(pPrueba,tblMatriculas[[#This Row],[Nombre]]))))</f>
        <v>1</v>
      </c>
      <c r="R1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" s="23" t="str" cm="1">
        <f t="array" ref="S1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" s="23" t="str" cm="1">
        <f t="array" ref="T1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" s="14" t="str" cm="1">
        <f t="array" ref="U1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" t="str" cm="1">
        <f t="array" ref="V1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" t="str" cm="1">
        <f t="array" ref="W1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" t="str">
        <f>IF(COUNTIFS('Base Estudiantes'!$C:$C,tblMatriculas[[#This Row],[Cédula]],'Base Estudiantes'!$I:$I,tblMatriculas[[#This Row],[Código]])&gt;0,"Sí","No")</f>
        <v>Sí</v>
      </c>
      <c r="Z188" s="23" cm="1">
        <f t="array" ref="Z188">_xlfn.XLOOKUP(tblMatriculas[[#This Row],[Cédula]]&amp;"|"&amp;tblMatriculas[[#This Row],[Código]],tblBase[Documento]&amp;"|"&amp;tblBase[Código grupo],tblBase[Fecha matrícula],"")</f>
        <v>46264</v>
      </c>
    </row>
    <row r="189" spans="1:26" x14ac:dyDescent="0.2">
      <c r="A189" t="s">
        <v>433</v>
      </c>
      <c r="B189" t="s">
        <v>434</v>
      </c>
      <c r="C189" t="s">
        <v>13</v>
      </c>
      <c r="D189" t="s">
        <v>429</v>
      </c>
      <c r="E189" t="s">
        <v>430</v>
      </c>
      <c r="F189" t="s">
        <v>335</v>
      </c>
      <c r="G189" s="1">
        <v>0.13300000000000001</v>
      </c>
      <c r="H189" t="s">
        <v>112</v>
      </c>
      <c r="I189" t="s">
        <v>18</v>
      </c>
      <c r="J189" t="s">
        <v>431</v>
      </c>
      <c r="K189" t="s">
        <v>233</v>
      </c>
      <c r="L189" s="14">
        <f>IFERROR(VALUE(LEFT(tblMatriculas[[#This Row],[Clases]],FIND("/",tblMatriculas[[#This Row],[Clases]])-1)),"")</f>
        <v>4</v>
      </c>
      <c r="M189" s="14">
        <f>IFERROR(VALUE(MID(tblMatriculas[[#This Row],[Clases]],FIND("/",tblMatriculas[[#This Row],[Clases]])+1,5)),"")</f>
        <v>30</v>
      </c>
      <c r="N1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9" s="14">
        <f>IF(OR(tblMatriculas[[#This Row],[Estado]]&lt;&gt;"activa",tblMatriculas[[#This Row],[Clases dictadas]]=""),"",MAX(0,tblMatriculas[[#This Row],[Clases dictadas]]-tblMatriculas[[#This Row],[Asistidas]]))</f>
        <v>1</v>
      </c>
      <c r="P189" s="1">
        <f>IF(OR(tblMatriculas[[#This Row],[Estado]]&lt;&gt;"activa",tblMatriculas[[#This Row],[Asistidas]]=""),"",tblMatriculas[[#This Row],[Asistencia]])</f>
        <v>0.13300000000000001</v>
      </c>
      <c r="Q189" t="b">
        <f>AND(tblMatriculas[[#This Row],[Estado]]="activa",ISNUMBER(tblMatriculas[[#This Row],[% asistencia]]),NOT(ISNUMBER(SEARCH(pPrueba,tblMatriculas[[#This Row],[Nombre]]))))</f>
        <v>1</v>
      </c>
      <c r="R1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" s="23" t="str" cm="1">
        <f t="array" ref="S1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" s="23" t="str" cm="1">
        <f t="array" ref="T1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" s="14" t="str" cm="1">
        <f t="array" ref="U1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" t="str" cm="1">
        <f t="array" ref="V1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" t="str" cm="1">
        <f t="array" ref="W1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" t="str">
        <f>IF(COUNTIFS('Base Estudiantes'!$C:$C,tblMatriculas[[#This Row],[Cédula]],'Base Estudiantes'!$I:$I,tblMatriculas[[#This Row],[Código]])&gt;0,"Sí","No")</f>
        <v>Sí</v>
      </c>
      <c r="Z189" s="23" cm="1">
        <f t="array" ref="Z189">_xlfn.XLOOKUP(tblMatriculas[[#This Row],[Cédula]]&amp;"|"&amp;tblMatriculas[[#This Row],[Código]],tblBase[Documento]&amp;"|"&amp;tblBase[Código grupo],tblBase[Fecha matrícula],"")</f>
        <v>46264</v>
      </c>
    </row>
    <row r="190" spans="1:26" x14ac:dyDescent="0.2">
      <c r="A190" t="s">
        <v>435</v>
      </c>
      <c r="B190" t="s">
        <v>436</v>
      </c>
      <c r="C190" t="s">
        <v>13</v>
      </c>
      <c r="D190" t="s">
        <v>429</v>
      </c>
      <c r="E190" t="s">
        <v>430</v>
      </c>
      <c r="F190" t="s">
        <v>335</v>
      </c>
      <c r="G190" s="1">
        <v>0.16699999999999998</v>
      </c>
      <c r="H190" t="s">
        <v>229</v>
      </c>
      <c r="I190" t="s">
        <v>18</v>
      </c>
      <c r="J190" t="s">
        <v>431</v>
      </c>
      <c r="K190" t="s">
        <v>24</v>
      </c>
      <c r="L190" s="14">
        <f>IFERROR(VALUE(LEFT(tblMatriculas[[#This Row],[Clases]],FIND("/",tblMatriculas[[#This Row],[Clases]])-1)),"")</f>
        <v>5</v>
      </c>
      <c r="M190" s="14">
        <f>IFERROR(VALUE(MID(tblMatriculas[[#This Row],[Clases]],FIND("/",tblMatriculas[[#This Row],[Clases]])+1,5)),"")</f>
        <v>30</v>
      </c>
      <c r="N1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0" s="14">
        <f>IF(OR(tblMatriculas[[#This Row],[Estado]]&lt;&gt;"activa",tblMatriculas[[#This Row],[Clases dictadas]]=""),"",MAX(0,tblMatriculas[[#This Row],[Clases dictadas]]-tblMatriculas[[#This Row],[Asistidas]]))</f>
        <v>0</v>
      </c>
      <c r="P190" s="1">
        <f>IF(OR(tblMatriculas[[#This Row],[Estado]]&lt;&gt;"activa",tblMatriculas[[#This Row],[Asistidas]]=""),"",tblMatriculas[[#This Row],[Asistencia]])</f>
        <v>0.16699999999999998</v>
      </c>
      <c r="Q190" t="b">
        <f>AND(tblMatriculas[[#This Row],[Estado]]="activa",ISNUMBER(tblMatriculas[[#This Row],[% asistencia]]),NOT(ISNUMBER(SEARCH(pPrueba,tblMatriculas[[#This Row],[Nombre]]))))</f>
        <v>1</v>
      </c>
      <c r="R1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" s="23" t="str" cm="1">
        <f t="array" ref="S1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" s="23" t="str" cm="1">
        <f t="array" ref="T1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" s="14" t="str" cm="1">
        <f t="array" ref="U1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" t="str" cm="1">
        <f t="array" ref="V1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" t="str" cm="1">
        <f t="array" ref="W1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" t="str">
        <f>IF(COUNTIFS('Base Estudiantes'!$C:$C,tblMatriculas[[#This Row],[Cédula]],'Base Estudiantes'!$I:$I,tblMatriculas[[#This Row],[Código]])&gt;0,"Sí","No")</f>
        <v>Sí</v>
      </c>
      <c r="Z190" s="23" cm="1">
        <f t="array" ref="Z190">_xlfn.XLOOKUP(tblMatriculas[[#This Row],[Cédula]]&amp;"|"&amp;tblMatriculas[[#This Row],[Código]],tblBase[Documento]&amp;"|"&amp;tblBase[Código grupo],tblBase[Fecha matrícula],"")</f>
        <v>46264</v>
      </c>
    </row>
    <row r="191" spans="1:26" x14ac:dyDescent="0.2">
      <c r="A191" t="s">
        <v>437</v>
      </c>
      <c r="B191" t="s">
        <v>438</v>
      </c>
      <c r="C191" t="s">
        <v>13</v>
      </c>
      <c r="D191" t="s">
        <v>429</v>
      </c>
      <c r="E191" t="s">
        <v>430</v>
      </c>
      <c r="F191" t="s">
        <v>335</v>
      </c>
      <c r="G191" s="1">
        <v>0</v>
      </c>
      <c r="H191" t="s">
        <v>254</v>
      </c>
      <c r="I191" t="s">
        <v>18</v>
      </c>
      <c r="J191" t="s">
        <v>431</v>
      </c>
      <c r="K191" t="s">
        <v>24</v>
      </c>
      <c r="L191" s="14">
        <f>IFERROR(VALUE(LEFT(tblMatriculas[[#This Row],[Clases]],FIND("/",tblMatriculas[[#This Row],[Clases]])-1)),"")</f>
        <v>0</v>
      </c>
      <c r="M191" s="14">
        <f>IFERROR(VALUE(MID(tblMatriculas[[#This Row],[Clases]],FIND("/",tblMatriculas[[#This Row],[Clases]])+1,5)),"")</f>
        <v>30</v>
      </c>
      <c r="N1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" s="14">
        <f>IF(OR(tblMatriculas[[#This Row],[Estado]]&lt;&gt;"activa",tblMatriculas[[#This Row],[Clases dictadas]]=""),"",MAX(0,tblMatriculas[[#This Row],[Clases dictadas]]-tblMatriculas[[#This Row],[Asistidas]]))</f>
        <v>5</v>
      </c>
      <c r="P191" s="1">
        <f>IF(OR(tblMatriculas[[#This Row],[Estado]]&lt;&gt;"activa",tblMatriculas[[#This Row],[Asistidas]]=""),"",tblMatriculas[[#This Row],[Asistencia]])</f>
        <v>0</v>
      </c>
      <c r="Q191" t="b">
        <f>AND(tblMatriculas[[#This Row],[Estado]]="activa",ISNUMBER(tblMatriculas[[#This Row],[% asistencia]]),NOT(ISNUMBER(SEARCH(pPrueba,tblMatriculas[[#This Row],[Nombre]]))))</f>
        <v>1</v>
      </c>
      <c r="R1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1" s="23" t="str" cm="1">
        <f t="array" ref="S1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" s="23" t="str" cm="1">
        <f t="array" ref="T1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" s="14" t="str" cm="1">
        <f t="array" ref="U1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" t="str" cm="1">
        <f t="array" ref="V1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" t="str" cm="1">
        <f t="array" ref="W1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1" t="str">
        <f>IF(COUNTIFS('Base Estudiantes'!$C:$C,tblMatriculas[[#This Row],[Cédula]],'Base Estudiantes'!$I:$I,tblMatriculas[[#This Row],[Código]])&gt;0,"Sí","No")</f>
        <v>Sí</v>
      </c>
      <c r="Z191" s="23" cm="1">
        <f t="array" ref="Z191">_xlfn.XLOOKUP(tblMatriculas[[#This Row],[Cédula]]&amp;"|"&amp;tblMatriculas[[#This Row],[Código]],tblBase[Documento]&amp;"|"&amp;tblBase[Código grupo],tblBase[Fecha matrícula],"")</f>
        <v>46264</v>
      </c>
    </row>
    <row r="192" spans="1:26" x14ac:dyDescent="0.2">
      <c r="A192" t="s">
        <v>439</v>
      </c>
      <c r="B192" t="s">
        <v>440</v>
      </c>
      <c r="C192" t="s">
        <v>13</v>
      </c>
      <c r="D192" t="s">
        <v>429</v>
      </c>
      <c r="E192" t="s">
        <v>430</v>
      </c>
      <c r="F192" t="s">
        <v>335</v>
      </c>
      <c r="G192" s="1">
        <v>0.16699999999999998</v>
      </c>
      <c r="H192" t="s">
        <v>229</v>
      </c>
      <c r="I192" t="s">
        <v>18</v>
      </c>
      <c r="J192" t="s">
        <v>431</v>
      </c>
      <c r="K192" t="s">
        <v>24</v>
      </c>
      <c r="L192" s="14">
        <f>IFERROR(VALUE(LEFT(tblMatriculas[[#This Row],[Clases]],FIND("/",tblMatriculas[[#This Row],[Clases]])-1)),"")</f>
        <v>5</v>
      </c>
      <c r="M192" s="14">
        <f>IFERROR(VALUE(MID(tblMatriculas[[#This Row],[Clases]],FIND("/",tblMatriculas[[#This Row],[Clases]])+1,5)),"")</f>
        <v>30</v>
      </c>
      <c r="N1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" s="14">
        <f>IF(OR(tblMatriculas[[#This Row],[Estado]]&lt;&gt;"activa",tblMatriculas[[#This Row],[Clases dictadas]]=""),"",MAX(0,tblMatriculas[[#This Row],[Clases dictadas]]-tblMatriculas[[#This Row],[Asistidas]]))</f>
        <v>0</v>
      </c>
      <c r="P192" s="1">
        <f>IF(OR(tblMatriculas[[#This Row],[Estado]]&lt;&gt;"activa",tblMatriculas[[#This Row],[Asistidas]]=""),"",tblMatriculas[[#This Row],[Asistencia]])</f>
        <v>0.16699999999999998</v>
      </c>
      <c r="Q192" t="b">
        <f>AND(tblMatriculas[[#This Row],[Estado]]="activa",ISNUMBER(tblMatriculas[[#This Row],[% asistencia]]),NOT(ISNUMBER(SEARCH(pPrueba,tblMatriculas[[#This Row],[Nombre]]))))</f>
        <v>1</v>
      </c>
      <c r="R1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" s="23" t="str" cm="1">
        <f t="array" ref="S1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" s="23" t="str" cm="1">
        <f t="array" ref="T1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" s="14" t="str" cm="1">
        <f t="array" ref="U1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" t="str" cm="1">
        <f t="array" ref="V1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" t="str" cm="1">
        <f t="array" ref="W1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" t="str">
        <f>IF(COUNTIFS('Base Estudiantes'!$C:$C,tblMatriculas[[#This Row],[Cédula]],'Base Estudiantes'!$I:$I,tblMatriculas[[#This Row],[Código]])&gt;0,"Sí","No")</f>
        <v>Sí</v>
      </c>
      <c r="Z192" s="23" cm="1">
        <f t="array" ref="Z192">_xlfn.XLOOKUP(tblMatriculas[[#This Row],[Cédula]]&amp;"|"&amp;tblMatriculas[[#This Row],[Código]],tblBase[Documento]&amp;"|"&amp;tblBase[Código grupo],tblBase[Fecha matrícula],"")</f>
        <v>46264</v>
      </c>
    </row>
    <row r="193" spans="1:26" x14ac:dyDescent="0.2">
      <c r="A193" t="s">
        <v>441</v>
      </c>
      <c r="B193" t="s">
        <v>442</v>
      </c>
      <c r="C193" t="s">
        <v>49</v>
      </c>
      <c r="D193" t="s">
        <v>429</v>
      </c>
      <c r="E193" t="s">
        <v>430</v>
      </c>
      <c r="F193" t="s">
        <v>335</v>
      </c>
      <c r="G193" s="1">
        <v>0</v>
      </c>
      <c r="H193" t="s">
        <v>254</v>
      </c>
      <c r="I193" t="s">
        <v>18</v>
      </c>
      <c r="J193" t="s">
        <v>431</v>
      </c>
      <c r="K193" t="s">
        <v>24</v>
      </c>
      <c r="L193" s="14">
        <f>IFERROR(VALUE(LEFT(tblMatriculas[[#This Row],[Clases]],FIND("/",tblMatriculas[[#This Row],[Clases]])-1)),"")</f>
        <v>0</v>
      </c>
      <c r="M193" s="14">
        <f>IFERROR(VALUE(MID(tblMatriculas[[#This Row],[Clases]],FIND("/",tblMatriculas[[#This Row],[Clases]])+1,5)),"")</f>
        <v>30</v>
      </c>
      <c r="N1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" s="14" t="str">
        <f>IF(OR(tblMatriculas[[#This Row],[Estado]]&lt;&gt;"activa",tblMatriculas[[#This Row],[Clases dictadas]]=""),"",MAX(0,tblMatriculas[[#This Row],[Clases dictadas]]-tblMatriculas[[#This Row],[Asistidas]]))</f>
        <v/>
      </c>
      <c r="P193" s="1" t="str">
        <f>IF(OR(tblMatriculas[[#This Row],[Estado]]&lt;&gt;"activa",tblMatriculas[[#This Row],[Asistidas]]=""),"",tblMatriculas[[#This Row],[Asistencia]])</f>
        <v/>
      </c>
      <c r="Q193" t="b">
        <f>AND(tblMatriculas[[#This Row],[Estado]]="activa",ISNUMBER(tblMatriculas[[#This Row],[% asistencia]]),NOT(ISNUMBER(SEARCH(pPrueba,tblMatriculas[[#This Row],[Nombre]]))))</f>
        <v>0</v>
      </c>
      <c r="R1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3" s="23" t="str" cm="1">
        <f t="array" ref="S1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" s="23" t="str" cm="1">
        <f t="array" ref="T1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" s="14" t="str" cm="1">
        <f t="array" ref="U1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" t="str" cm="1">
        <f t="array" ref="V1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" t="str" cm="1">
        <f t="array" ref="W1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" t="str">
        <f>IF(COUNTIFS('Base Estudiantes'!$C:$C,tblMatriculas[[#This Row],[Cédula]],'Base Estudiantes'!$I:$I,tblMatriculas[[#This Row],[Código]])&gt;0,"Sí","No")</f>
        <v>No</v>
      </c>
      <c r="Z193" s="23" t="str" cm="1">
        <f t="array" ref="Z193">_xlfn.XLOOKUP(tblMatriculas[[#This Row],[Cédula]]&amp;"|"&amp;tblMatriculas[[#This Row],[Código]],tblBase[Documento]&amp;"|"&amp;tblBase[Código grupo],tblBase[Fecha matrícula],"")</f>
        <v/>
      </c>
    </row>
    <row r="194" spans="1:26" x14ac:dyDescent="0.2">
      <c r="A194" t="s">
        <v>443</v>
      </c>
      <c r="B194" t="s">
        <v>444</v>
      </c>
      <c r="C194" t="s">
        <v>49</v>
      </c>
      <c r="D194" t="s">
        <v>429</v>
      </c>
      <c r="E194" t="s">
        <v>430</v>
      </c>
      <c r="F194" t="s">
        <v>335</v>
      </c>
      <c r="G194" s="1">
        <v>3.3000000000000002E-2</v>
      </c>
      <c r="H194" t="s">
        <v>225</v>
      </c>
      <c r="I194" t="s">
        <v>18</v>
      </c>
      <c r="J194" t="s">
        <v>431</v>
      </c>
      <c r="K194" t="s">
        <v>24</v>
      </c>
      <c r="L194" s="14">
        <f>IFERROR(VALUE(LEFT(tblMatriculas[[#This Row],[Clases]],FIND("/",tblMatriculas[[#This Row],[Clases]])-1)),"")</f>
        <v>1</v>
      </c>
      <c r="M194" s="14">
        <f>IFERROR(VALUE(MID(tblMatriculas[[#This Row],[Clases]],FIND("/",tblMatriculas[[#This Row],[Clases]])+1,5)),"")</f>
        <v>30</v>
      </c>
      <c r="N1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" s="14" t="str">
        <f>IF(OR(tblMatriculas[[#This Row],[Estado]]&lt;&gt;"activa",tblMatriculas[[#This Row],[Clases dictadas]]=""),"",MAX(0,tblMatriculas[[#This Row],[Clases dictadas]]-tblMatriculas[[#This Row],[Asistidas]]))</f>
        <v/>
      </c>
      <c r="P194" s="1" t="str">
        <f>IF(OR(tblMatriculas[[#This Row],[Estado]]&lt;&gt;"activa",tblMatriculas[[#This Row],[Asistidas]]=""),"",tblMatriculas[[#This Row],[Asistencia]])</f>
        <v/>
      </c>
      <c r="Q194" t="b">
        <f>AND(tblMatriculas[[#This Row],[Estado]]="activa",ISNUMBER(tblMatriculas[[#This Row],[% asistencia]]),NOT(ISNUMBER(SEARCH(pPrueba,tblMatriculas[[#This Row],[Nombre]]))))</f>
        <v>0</v>
      </c>
      <c r="R1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4" s="23" t="str" cm="1">
        <f t="array" ref="S1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" s="23" t="str" cm="1">
        <f t="array" ref="T1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" s="14" t="str" cm="1">
        <f t="array" ref="U1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" t="str" cm="1">
        <f t="array" ref="V1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" t="str" cm="1">
        <f t="array" ref="W1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4" t="str">
        <f>IF(COUNTIFS('Base Estudiantes'!$C:$C,tblMatriculas[[#This Row],[Cédula]],'Base Estudiantes'!$I:$I,tblMatriculas[[#This Row],[Código]])&gt;0,"Sí","No")</f>
        <v>No</v>
      </c>
      <c r="Z194" s="23" t="str" cm="1">
        <f t="array" ref="Z194">_xlfn.XLOOKUP(tblMatriculas[[#This Row],[Cédula]]&amp;"|"&amp;tblMatriculas[[#This Row],[Código]],tblBase[Documento]&amp;"|"&amp;tblBase[Código grupo],tblBase[Fecha matrícula],"")</f>
        <v/>
      </c>
    </row>
    <row r="195" spans="1:26" x14ac:dyDescent="0.2">
      <c r="A195" t="s">
        <v>445</v>
      </c>
      <c r="B195" t="s">
        <v>446</v>
      </c>
      <c r="C195" t="s">
        <v>13</v>
      </c>
      <c r="D195" t="s">
        <v>429</v>
      </c>
      <c r="E195" t="s">
        <v>430</v>
      </c>
      <c r="F195" t="s">
        <v>335</v>
      </c>
      <c r="G195" s="1">
        <v>0</v>
      </c>
      <c r="H195" t="s">
        <v>254</v>
      </c>
      <c r="I195" t="s">
        <v>18</v>
      </c>
      <c r="J195" t="s">
        <v>431</v>
      </c>
      <c r="K195" t="s">
        <v>24</v>
      </c>
      <c r="L195" s="14">
        <f>IFERROR(VALUE(LEFT(tblMatriculas[[#This Row],[Clases]],FIND("/",tblMatriculas[[#This Row],[Clases]])-1)),"")</f>
        <v>0</v>
      </c>
      <c r="M195" s="14">
        <f>IFERROR(VALUE(MID(tblMatriculas[[#This Row],[Clases]],FIND("/",tblMatriculas[[#This Row],[Clases]])+1,5)),"")</f>
        <v>30</v>
      </c>
      <c r="N1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5" s="14">
        <f>IF(OR(tblMatriculas[[#This Row],[Estado]]&lt;&gt;"activa",tblMatriculas[[#This Row],[Clases dictadas]]=""),"",MAX(0,tblMatriculas[[#This Row],[Clases dictadas]]-tblMatriculas[[#This Row],[Asistidas]]))</f>
        <v>5</v>
      </c>
      <c r="P195" s="1">
        <f>IF(OR(tblMatriculas[[#This Row],[Estado]]&lt;&gt;"activa",tblMatriculas[[#This Row],[Asistidas]]=""),"",tblMatriculas[[#This Row],[Asistencia]])</f>
        <v>0</v>
      </c>
      <c r="Q195" t="b">
        <f>AND(tblMatriculas[[#This Row],[Estado]]="activa",ISNUMBER(tblMatriculas[[#This Row],[% asistencia]]),NOT(ISNUMBER(SEARCH(pPrueba,tblMatriculas[[#This Row],[Nombre]]))))</f>
        <v>1</v>
      </c>
      <c r="R1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5" s="23" t="str" cm="1">
        <f t="array" ref="S1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" s="23" t="str" cm="1">
        <f t="array" ref="T1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" s="14" t="str" cm="1">
        <f t="array" ref="U1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" t="str" cm="1">
        <f t="array" ref="V1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" t="str" cm="1">
        <f t="array" ref="W1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5" t="str">
        <f>IF(COUNTIFS('Base Estudiantes'!$C:$C,tblMatriculas[[#This Row],[Cédula]],'Base Estudiantes'!$I:$I,tblMatriculas[[#This Row],[Código]])&gt;0,"Sí","No")</f>
        <v>Sí</v>
      </c>
      <c r="Z195" s="23" cm="1">
        <f t="array" ref="Z195">_xlfn.XLOOKUP(tblMatriculas[[#This Row],[Cédula]]&amp;"|"&amp;tblMatriculas[[#This Row],[Código]],tblBase[Documento]&amp;"|"&amp;tblBase[Código grupo],tblBase[Fecha matrícula],"")</f>
        <v>46264</v>
      </c>
    </row>
    <row r="196" spans="1:26" x14ac:dyDescent="0.2">
      <c r="A196" t="s">
        <v>447</v>
      </c>
      <c r="B196" t="s">
        <v>448</v>
      </c>
      <c r="C196" t="s">
        <v>13</v>
      </c>
      <c r="D196" t="s">
        <v>429</v>
      </c>
      <c r="E196" t="s">
        <v>430</v>
      </c>
      <c r="F196" t="s">
        <v>335</v>
      </c>
      <c r="G196" s="1">
        <v>0.16699999999999998</v>
      </c>
      <c r="H196" t="s">
        <v>229</v>
      </c>
      <c r="I196" t="s">
        <v>18</v>
      </c>
      <c r="J196" t="s">
        <v>431</v>
      </c>
      <c r="K196" t="s">
        <v>24</v>
      </c>
      <c r="L196" s="14">
        <f>IFERROR(VALUE(LEFT(tblMatriculas[[#This Row],[Clases]],FIND("/",tblMatriculas[[#This Row],[Clases]])-1)),"")</f>
        <v>5</v>
      </c>
      <c r="M196" s="14">
        <f>IFERROR(VALUE(MID(tblMatriculas[[#This Row],[Clases]],FIND("/",tblMatriculas[[#This Row],[Clases]])+1,5)),"")</f>
        <v>30</v>
      </c>
      <c r="N1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6" s="14">
        <f>IF(OR(tblMatriculas[[#This Row],[Estado]]&lt;&gt;"activa",tblMatriculas[[#This Row],[Clases dictadas]]=""),"",MAX(0,tblMatriculas[[#This Row],[Clases dictadas]]-tblMatriculas[[#This Row],[Asistidas]]))</f>
        <v>0</v>
      </c>
      <c r="P196" s="1">
        <f>IF(OR(tblMatriculas[[#This Row],[Estado]]&lt;&gt;"activa",tblMatriculas[[#This Row],[Asistidas]]=""),"",tblMatriculas[[#This Row],[Asistencia]])</f>
        <v>0.16699999999999998</v>
      </c>
      <c r="Q196" t="b">
        <f>AND(tblMatriculas[[#This Row],[Estado]]="activa",ISNUMBER(tblMatriculas[[#This Row],[% asistencia]]),NOT(ISNUMBER(SEARCH(pPrueba,tblMatriculas[[#This Row],[Nombre]]))))</f>
        <v>1</v>
      </c>
      <c r="R1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" s="23" t="str" cm="1">
        <f t="array" ref="S1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" s="23" t="str" cm="1">
        <f t="array" ref="T1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" s="14" t="str" cm="1">
        <f t="array" ref="U1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" t="str" cm="1">
        <f t="array" ref="V1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" t="str" cm="1">
        <f t="array" ref="W1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" t="str">
        <f>IF(COUNTIFS('Base Estudiantes'!$C:$C,tblMatriculas[[#This Row],[Cédula]],'Base Estudiantes'!$I:$I,tblMatriculas[[#This Row],[Código]])&gt;0,"Sí","No")</f>
        <v>Sí</v>
      </c>
      <c r="Z196" s="23" cm="1">
        <f t="array" ref="Z196">_xlfn.XLOOKUP(tblMatriculas[[#This Row],[Cédula]]&amp;"|"&amp;tblMatriculas[[#This Row],[Código]],tblBase[Documento]&amp;"|"&amp;tblBase[Código grupo],tblBase[Fecha matrícula],"")</f>
        <v>46264</v>
      </c>
    </row>
    <row r="197" spans="1:26" x14ac:dyDescent="0.2">
      <c r="A197" t="s">
        <v>449</v>
      </c>
      <c r="B197" t="s">
        <v>450</v>
      </c>
      <c r="C197" t="s">
        <v>13</v>
      </c>
      <c r="D197" t="s">
        <v>429</v>
      </c>
      <c r="E197" t="s">
        <v>430</v>
      </c>
      <c r="F197" t="s">
        <v>335</v>
      </c>
      <c r="G197" s="1">
        <v>0.13300000000000001</v>
      </c>
      <c r="H197" t="s">
        <v>112</v>
      </c>
      <c r="I197" t="s">
        <v>18</v>
      </c>
      <c r="J197" t="s">
        <v>431</v>
      </c>
      <c r="K197" t="s">
        <v>24</v>
      </c>
      <c r="L197" s="14">
        <f>IFERROR(VALUE(LEFT(tblMatriculas[[#This Row],[Clases]],FIND("/",tblMatriculas[[#This Row],[Clases]])-1)),"")</f>
        <v>4</v>
      </c>
      <c r="M197" s="14">
        <f>IFERROR(VALUE(MID(tblMatriculas[[#This Row],[Clases]],FIND("/",tblMatriculas[[#This Row],[Clases]])+1,5)),"")</f>
        <v>30</v>
      </c>
      <c r="N1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7" s="14">
        <f>IF(OR(tblMatriculas[[#This Row],[Estado]]&lt;&gt;"activa",tblMatriculas[[#This Row],[Clases dictadas]]=""),"",MAX(0,tblMatriculas[[#This Row],[Clases dictadas]]-tblMatriculas[[#This Row],[Asistidas]]))</f>
        <v>1</v>
      </c>
      <c r="P197" s="1">
        <f>IF(OR(tblMatriculas[[#This Row],[Estado]]&lt;&gt;"activa",tblMatriculas[[#This Row],[Asistidas]]=""),"",tblMatriculas[[#This Row],[Asistencia]])</f>
        <v>0.13300000000000001</v>
      </c>
      <c r="Q197" t="b">
        <f>AND(tblMatriculas[[#This Row],[Estado]]="activa",ISNUMBER(tblMatriculas[[#This Row],[% asistencia]]),NOT(ISNUMBER(SEARCH(pPrueba,tblMatriculas[[#This Row],[Nombre]]))))</f>
        <v>1</v>
      </c>
      <c r="R1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" s="23" t="str" cm="1">
        <f t="array" ref="S1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" s="23" t="str" cm="1">
        <f t="array" ref="T1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" s="14" t="str" cm="1">
        <f t="array" ref="U1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" t="str" cm="1">
        <f t="array" ref="V1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" t="str" cm="1">
        <f t="array" ref="W1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" t="str">
        <f>IF(COUNTIFS('Base Estudiantes'!$C:$C,tblMatriculas[[#This Row],[Cédula]],'Base Estudiantes'!$I:$I,tblMatriculas[[#This Row],[Código]])&gt;0,"Sí","No")</f>
        <v>Sí</v>
      </c>
      <c r="Z197" s="23" cm="1">
        <f t="array" ref="Z197">_xlfn.XLOOKUP(tblMatriculas[[#This Row],[Cédula]]&amp;"|"&amp;tblMatriculas[[#This Row],[Código]],tblBase[Documento]&amp;"|"&amp;tblBase[Código grupo],tblBase[Fecha matrícula],"")</f>
        <v>46264</v>
      </c>
    </row>
    <row r="198" spans="1:26" x14ac:dyDescent="0.2">
      <c r="A198" t="s">
        <v>451</v>
      </c>
      <c r="B198" t="s">
        <v>452</v>
      </c>
      <c r="C198" t="s">
        <v>13</v>
      </c>
      <c r="D198" t="s">
        <v>429</v>
      </c>
      <c r="E198" t="s">
        <v>430</v>
      </c>
      <c r="F198" t="s">
        <v>335</v>
      </c>
      <c r="G198" s="1">
        <v>0.1</v>
      </c>
      <c r="H198" t="s">
        <v>117</v>
      </c>
      <c r="I198" t="s">
        <v>18</v>
      </c>
      <c r="J198" t="s">
        <v>431</v>
      </c>
      <c r="K198" t="s">
        <v>24</v>
      </c>
      <c r="L198" s="14">
        <f>IFERROR(VALUE(LEFT(tblMatriculas[[#This Row],[Clases]],FIND("/",tblMatriculas[[#This Row],[Clases]])-1)),"")</f>
        <v>3</v>
      </c>
      <c r="M198" s="14">
        <f>IFERROR(VALUE(MID(tblMatriculas[[#This Row],[Clases]],FIND("/",tblMatriculas[[#This Row],[Clases]])+1,5)),"")</f>
        <v>30</v>
      </c>
      <c r="N1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8" s="14">
        <f>IF(OR(tblMatriculas[[#This Row],[Estado]]&lt;&gt;"activa",tblMatriculas[[#This Row],[Clases dictadas]]=""),"",MAX(0,tblMatriculas[[#This Row],[Clases dictadas]]-tblMatriculas[[#This Row],[Asistidas]]))</f>
        <v>2</v>
      </c>
      <c r="P198" s="1">
        <f>IF(OR(tblMatriculas[[#This Row],[Estado]]&lt;&gt;"activa",tblMatriculas[[#This Row],[Asistidas]]=""),"",tblMatriculas[[#This Row],[Asistencia]])</f>
        <v>0.1</v>
      </c>
      <c r="Q198" t="b">
        <f>AND(tblMatriculas[[#This Row],[Estado]]="activa",ISNUMBER(tblMatriculas[[#This Row],[% asistencia]]),NOT(ISNUMBER(SEARCH(pPrueba,tblMatriculas[[#This Row],[Nombre]]))))</f>
        <v>1</v>
      </c>
      <c r="R1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" s="23" t="str" cm="1">
        <f t="array" ref="S1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" s="23" t="str" cm="1">
        <f t="array" ref="T1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" s="14" t="str" cm="1">
        <f t="array" ref="U1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" t="str" cm="1">
        <f t="array" ref="V1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" t="str" cm="1">
        <f t="array" ref="W1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" t="str">
        <f>IF(COUNTIFS('Base Estudiantes'!$C:$C,tblMatriculas[[#This Row],[Cédula]],'Base Estudiantes'!$I:$I,tblMatriculas[[#This Row],[Código]])&gt;0,"Sí","No")</f>
        <v>Sí</v>
      </c>
      <c r="Z198" s="23" cm="1">
        <f t="array" ref="Z198">_xlfn.XLOOKUP(tblMatriculas[[#This Row],[Cédula]]&amp;"|"&amp;tblMatriculas[[#This Row],[Código]],tblBase[Documento]&amp;"|"&amp;tblBase[Código grupo],tblBase[Fecha matrícula],"")</f>
        <v>46264</v>
      </c>
    </row>
    <row r="199" spans="1:26" x14ac:dyDescent="0.2">
      <c r="A199" t="s">
        <v>453</v>
      </c>
      <c r="B199" t="s">
        <v>454</v>
      </c>
      <c r="C199" t="s">
        <v>13</v>
      </c>
      <c r="D199" t="s">
        <v>429</v>
      </c>
      <c r="E199" t="s">
        <v>430</v>
      </c>
      <c r="F199" t="s">
        <v>335</v>
      </c>
      <c r="G199" s="1">
        <v>0.16699999999999998</v>
      </c>
      <c r="H199" t="s">
        <v>229</v>
      </c>
      <c r="I199" t="s">
        <v>18</v>
      </c>
      <c r="J199" t="s">
        <v>431</v>
      </c>
      <c r="K199" t="s">
        <v>24</v>
      </c>
      <c r="L199" s="14">
        <f>IFERROR(VALUE(LEFT(tblMatriculas[[#This Row],[Clases]],FIND("/",tblMatriculas[[#This Row],[Clases]])-1)),"")</f>
        <v>5</v>
      </c>
      <c r="M199" s="14">
        <f>IFERROR(VALUE(MID(tblMatriculas[[#This Row],[Clases]],FIND("/",tblMatriculas[[#This Row],[Clases]])+1,5)),"")</f>
        <v>30</v>
      </c>
      <c r="N1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9" s="14">
        <f>IF(OR(tblMatriculas[[#This Row],[Estado]]&lt;&gt;"activa",tblMatriculas[[#This Row],[Clases dictadas]]=""),"",MAX(0,tblMatriculas[[#This Row],[Clases dictadas]]-tblMatriculas[[#This Row],[Asistidas]]))</f>
        <v>0</v>
      </c>
      <c r="P199" s="1">
        <f>IF(OR(tblMatriculas[[#This Row],[Estado]]&lt;&gt;"activa",tblMatriculas[[#This Row],[Asistidas]]=""),"",tblMatriculas[[#This Row],[Asistencia]])</f>
        <v>0.16699999999999998</v>
      </c>
      <c r="Q199" t="b">
        <f>AND(tblMatriculas[[#This Row],[Estado]]="activa",ISNUMBER(tblMatriculas[[#This Row],[% asistencia]]),NOT(ISNUMBER(SEARCH(pPrueba,tblMatriculas[[#This Row],[Nombre]]))))</f>
        <v>1</v>
      </c>
      <c r="R1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" s="23" t="str" cm="1">
        <f t="array" ref="S1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" s="23" t="str" cm="1">
        <f t="array" ref="T1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" s="14" t="str" cm="1">
        <f t="array" ref="U1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" t="str" cm="1">
        <f t="array" ref="V1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" t="str" cm="1">
        <f t="array" ref="W1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" t="str">
        <f>IF(COUNTIFS('Base Estudiantes'!$C:$C,tblMatriculas[[#This Row],[Cédula]],'Base Estudiantes'!$I:$I,tblMatriculas[[#This Row],[Código]])&gt;0,"Sí","No")</f>
        <v>Sí</v>
      </c>
      <c r="Z199" s="23" cm="1">
        <f t="array" ref="Z199">_xlfn.XLOOKUP(tblMatriculas[[#This Row],[Cédula]]&amp;"|"&amp;tblMatriculas[[#This Row],[Código]],tblBase[Documento]&amp;"|"&amp;tblBase[Código grupo],tblBase[Fecha matrícula],"")</f>
        <v>46264</v>
      </c>
    </row>
    <row r="200" spans="1:26" x14ac:dyDescent="0.2">
      <c r="A200" t="s">
        <v>455</v>
      </c>
      <c r="B200" t="s">
        <v>456</v>
      </c>
      <c r="C200" t="s">
        <v>13</v>
      </c>
      <c r="D200" t="s">
        <v>429</v>
      </c>
      <c r="E200" t="s">
        <v>430</v>
      </c>
      <c r="F200" t="s">
        <v>335</v>
      </c>
      <c r="G200" s="1">
        <v>0.16699999999999998</v>
      </c>
      <c r="H200" t="s">
        <v>229</v>
      </c>
      <c r="I200" t="s">
        <v>18</v>
      </c>
      <c r="J200" t="s">
        <v>431</v>
      </c>
      <c r="K200" t="s">
        <v>24</v>
      </c>
      <c r="L200" s="14">
        <f>IFERROR(VALUE(LEFT(tblMatriculas[[#This Row],[Clases]],FIND("/",tblMatriculas[[#This Row],[Clases]])-1)),"")</f>
        <v>5</v>
      </c>
      <c r="M200" s="14">
        <f>IFERROR(VALUE(MID(tblMatriculas[[#This Row],[Clases]],FIND("/",tblMatriculas[[#This Row],[Clases]])+1,5)),"")</f>
        <v>30</v>
      </c>
      <c r="N2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0" s="14">
        <f>IF(OR(tblMatriculas[[#This Row],[Estado]]&lt;&gt;"activa",tblMatriculas[[#This Row],[Clases dictadas]]=""),"",MAX(0,tblMatriculas[[#This Row],[Clases dictadas]]-tblMatriculas[[#This Row],[Asistidas]]))</f>
        <v>0</v>
      </c>
      <c r="P200" s="1">
        <f>IF(OR(tblMatriculas[[#This Row],[Estado]]&lt;&gt;"activa",tblMatriculas[[#This Row],[Asistidas]]=""),"",tblMatriculas[[#This Row],[Asistencia]])</f>
        <v>0.16699999999999998</v>
      </c>
      <c r="Q200" t="b">
        <f>AND(tblMatriculas[[#This Row],[Estado]]="activa",ISNUMBER(tblMatriculas[[#This Row],[% asistencia]]),NOT(ISNUMBER(SEARCH(pPrueba,tblMatriculas[[#This Row],[Nombre]]))))</f>
        <v>1</v>
      </c>
      <c r="R2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" s="23" t="str" cm="1">
        <f t="array" ref="S2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" s="23" t="str" cm="1">
        <f t="array" ref="T2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" s="14" t="str" cm="1">
        <f t="array" ref="U2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" t="str" cm="1">
        <f t="array" ref="V2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" t="str" cm="1">
        <f t="array" ref="W2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" t="str">
        <f>IF(COUNTIFS('Base Estudiantes'!$C:$C,tblMatriculas[[#This Row],[Cédula]],'Base Estudiantes'!$I:$I,tblMatriculas[[#This Row],[Código]])&gt;0,"Sí","No")</f>
        <v>Sí</v>
      </c>
      <c r="Z200" s="23" cm="1">
        <f t="array" ref="Z200">_xlfn.XLOOKUP(tblMatriculas[[#This Row],[Cédula]]&amp;"|"&amp;tblMatriculas[[#This Row],[Código]],tblBase[Documento]&amp;"|"&amp;tblBase[Código grupo],tblBase[Fecha matrícula],"")</f>
        <v>46264</v>
      </c>
    </row>
    <row r="201" spans="1:26" x14ac:dyDescent="0.2">
      <c r="A201" t="s">
        <v>457</v>
      </c>
      <c r="B201" t="s">
        <v>458</v>
      </c>
      <c r="C201" t="s">
        <v>13</v>
      </c>
      <c r="D201" t="s">
        <v>429</v>
      </c>
      <c r="E201" t="s">
        <v>430</v>
      </c>
      <c r="F201" t="s">
        <v>335</v>
      </c>
      <c r="G201" s="1">
        <v>0.16699999999999998</v>
      </c>
      <c r="H201" t="s">
        <v>229</v>
      </c>
      <c r="I201" t="s">
        <v>18</v>
      </c>
      <c r="J201" t="s">
        <v>431</v>
      </c>
      <c r="K201" t="s">
        <v>24</v>
      </c>
      <c r="L201" s="14">
        <f>IFERROR(VALUE(LEFT(tblMatriculas[[#This Row],[Clases]],FIND("/",tblMatriculas[[#This Row],[Clases]])-1)),"")</f>
        <v>5</v>
      </c>
      <c r="M201" s="14">
        <f>IFERROR(VALUE(MID(tblMatriculas[[#This Row],[Clases]],FIND("/",tblMatriculas[[#This Row],[Clases]])+1,5)),"")</f>
        <v>30</v>
      </c>
      <c r="N2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1" s="14">
        <f>IF(OR(tblMatriculas[[#This Row],[Estado]]&lt;&gt;"activa",tblMatriculas[[#This Row],[Clases dictadas]]=""),"",MAX(0,tblMatriculas[[#This Row],[Clases dictadas]]-tblMatriculas[[#This Row],[Asistidas]]))</f>
        <v>0</v>
      </c>
      <c r="P201" s="1">
        <f>IF(OR(tblMatriculas[[#This Row],[Estado]]&lt;&gt;"activa",tblMatriculas[[#This Row],[Asistidas]]=""),"",tblMatriculas[[#This Row],[Asistencia]])</f>
        <v>0.16699999999999998</v>
      </c>
      <c r="Q201" t="b">
        <f>AND(tblMatriculas[[#This Row],[Estado]]="activa",ISNUMBER(tblMatriculas[[#This Row],[% asistencia]]),NOT(ISNUMBER(SEARCH(pPrueba,tblMatriculas[[#This Row],[Nombre]]))))</f>
        <v>1</v>
      </c>
      <c r="R2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" s="23" t="str" cm="1">
        <f t="array" ref="S2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" s="23" t="str" cm="1">
        <f t="array" ref="T2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" s="14" t="str" cm="1">
        <f t="array" ref="U2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" t="str" cm="1">
        <f t="array" ref="V2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" t="str" cm="1">
        <f t="array" ref="W2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" t="str">
        <f>IF(COUNTIFS('Base Estudiantes'!$C:$C,tblMatriculas[[#This Row],[Cédula]],'Base Estudiantes'!$I:$I,tblMatriculas[[#This Row],[Código]])&gt;0,"Sí","No")</f>
        <v>Sí</v>
      </c>
      <c r="Z201" s="23" cm="1">
        <f t="array" ref="Z201">_xlfn.XLOOKUP(tblMatriculas[[#This Row],[Cédula]]&amp;"|"&amp;tblMatriculas[[#This Row],[Código]],tblBase[Documento]&amp;"|"&amp;tblBase[Código grupo],tblBase[Fecha matrícula],"")</f>
        <v>46264</v>
      </c>
    </row>
    <row r="202" spans="1:26" x14ac:dyDescent="0.2">
      <c r="A202" t="s">
        <v>459</v>
      </c>
      <c r="B202" t="s">
        <v>460</v>
      </c>
      <c r="C202" t="s">
        <v>13</v>
      </c>
      <c r="D202" t="s">
        <v>429</v>
      </c>
      <c r="E202" t="s">
        <v>430</v>
      </c>
      <c r="F202" t="s">
        <v>335</v>
      </c>
      <c r="G202" s="1">
        <v>0.16699999999999998</v>
      </c>
      <c r="H202" t="s">
        <v>229</v>
      </c>
      <c r="I202" t="s">
        <v>18</v>
      </c>
      <c r="J202" t="s">
        <v>431</v>
      </c>
      <c r="K202" t="s">
        <v>24</v>
      </c>
      <c r="L202" s="14">
        <f>IFERROR(VALUE(LEFT(tblMatriculas[[#This Row],[Clases]],FIND("/",tblMatriculas[[#This Row],[Clases]])-1)),"")</f>
        <v>5</v>
      </c>
      <c r="M202" s="14">
        <f>IFERROR(VALUE(MID(tblMatriculas[[#This Row],[Clases]],FIND("/",tblMatriculas[[#This Row],[Clases]])+1,5)),"")</f>
        <v>30</v>
      </c>
      <c r="N2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2" s="14">
        <f>IF(OR(tblMatriculas[[#This Row],[Estado]]&lt;&gt;"activa",tblMatriculas[[#This Row],[Clases dictadas]]=""),"",MAX(0,tblMatriculas[[#This Row],[Clases dictadas]]-tblMatriculas[[#This Row],[Asistidas]]))</f>
        <v>0</v>
      </c>
      <c r="P202" s="1">
        <f>IF(OR(tblMatriculas[[#This Row],[Estado]]&lt;&gt;"activa",tblMatriculas[[#This Row],[Asistidas]]=""),"",tblMatriculas[[#This Row],[Asistencia]])</f>
        <v>0.16699999999999998</v>
      </c>
      <c r="Q202" t="b">
        <f>AND(tblMatriculas[[#This Row],[Estado]]="activa",ISNUMBER(tblMatriculas[[#This Row],[% asistencia]]),NOT(ISNUMBER(SEARCH(pPrueba,tblMatriculas[[#This Row],[Nombre]]))))</f>
        <v>1</v>
      </c>
      <c r="R2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" s="23" t="str" cm="1">
        <f t="array" ref="S2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" s="23" t="str" cm="1">
        <f t="array" ref="T2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" s="14" t="str" cm="1">
        <f t="array" ref="U2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" t="str" cm="1">
        <f t="array" ref="V2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" t="str" cm="1">
        <f t="array" ref="W2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" t="str">
        <f>IF(COUNTIFS('Base Estudiantes'!$C:$C,tblMatriculas[[#This Row],[Cédula]],'Base Estudiantes'!$I:$I,tblMatriculas[[#This Row],[Código]])&gt;0,"Sí","No")</f>
        <v>Sí</v>
      </c>
      <c r="Z202" s="23" cm="1">
        <f t="array" ref="Z202">_xlfn.XLOOKUP(tblMatriculas[[#This Row],[Cédula]]&amp;"|"&amp;tblMatriculas[[#This Row],[Código]],tblBase[Documento]&amp;"|"&amp;tblBase[Código grupo],tblBase[Fecha matrícula],"")</f>
        <v>46264</v>
      </c>
    </row>
    <row r="203" spans="1:26" x14ac:dyDescent="0.2">
      <c r="A203" t="s">
        <v>461</v>
      </c>
      <c r="B203" t="s">
        <v>462</v>
      </c>
      <c r="C203" t="s">
        <v>13</v>
      </c>
      <c r="D203" t="s">
        <v>429</v>
      </c>
      <c r="E203" t="s">
        <v>430</v>
      </c>
      <c r="F203" t="s">
        <v>335</v>
      </c>
      <c r="G203" s="1">
        <v>0.13300000000000001</v>
      </c>
      <c r="H203" t="s">
        <v>112</v>
      </c>
      <c r="I203" t="s">
        <v>18</v>
      </c>
      <c r="J203" t="s">
        <v>431</v>
      </c>
      <c r="K203" t="s">
        <v>24</v>
      </c>
      <c r="L203" s="14">
        <f>IFERROR(VALUE(LEFT(tblMatriculas[[#This Row],[Clases]],FIND("/",tblMatriculas[[#This Row],[Clases]])-1)),"")</f>
        <v>4</v>
      </c>
      <c r="M203" s="14">
        <f>IFERROR(VALUE(MID(tblMatriculas[[#This Row],[Clases]],FIND("/",tblMatriculas[[#This Row],[Clases]])+1,5)),"")</f>
        <v>30</v>
      </c>
      <c r="N2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3" s="14">
        <f>IF(OR(tblMatriculas[[#This Row],[Estado]]&lt;&gt;"activa",tblMatriculas[[#This Row],[Clases dictadas]]=""),"",MAX(0,tblMatriculas[[#This Row],[Clases dictadas]]-tblMatriculas[[#This Row],[Asistidas]]))</f>
        <v>1</v>
      </c>
      <c r="P203" s="1">
        <f>IF(OR(tblMatriculas[[#This Row],[Estado]]&lt;&gt;"activa",tblMatriculas[[#This Row],[Asistidas]]=""),"",tblMatriculas[[#This Row],[Asistencia]])</f>
        <v>0.13300000000000001</v>
      </c>
      <c r="Q203" t="b">
        <f>AND(tblMatriculas[[#This Row],[Estado]]="activa",ISNUMBER(tblMatriculas[[#This Row],[% asistencia]]),NOT(ISNUMBER(SEARCH(pPrueba,tblMatriculas[[#This Row],[Nombre]]))))</f>
        <v>1</v>
      </c>
      <c r="R2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" s="23" t="str" cm="1">
        <f t="array" ref="S2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" s="23" t="str" cm="1">
        <f t="array" ref="T2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" s="14" t="str" cm="1">
        <f t="array" ref="U2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" t="str" cm="1">
        <f t="array" ref="V2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" t="str" cm="1">
        <f t="array" ref="W2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" t="str">
        <f>IF(COUNTIFS('Base Estudiantes'!$C:$C,tblMatriculas[[#This Row],[Cédula]],'Base Estudiantes'!$I:$I,tblMatriculas[[#This Row],[Código]])&gt;0,"Sí","No")</f>
        <v>Sí</v>
      </c>
      <c r="Z203" s="23" cm="1">
        <f t="array" ref="Z203">_xlfn.XLOOKUP(tblMatriculas[[#This Row],[Cédula]]&amp;"|"&amp;tblMatriculas[[#This Row],[Código]],tblBase[Documento]&amp;"|"&amp;tblBase[Código grupo],tblBase[Fecha matrícula],"")</f>
        <v>46264</v>
      </c>
    </row>
    <row r="204" spans="1:26" x14ac:dyDescent="0.2">
      <c r="A204" t="s">
        <v>463</v>
      </c>
      <c r="B204" t="s">
        <v>464</v>
      </c>
      <c r="C204" t="s">
        <v>13</v>
      </c>
      <c r="D204" t="s">
        <v>429</v>
      </c>
      <c r="E204" t="s">
        <v>430</v>
      </c>
      <c r="F204" t="s">
        <v>335</v>
      </c>
      <c r="G204" s="1">
        <v>0.16699999999999998</v>
      </c>
      <c r="H204" t="s">
        <v>229</v>
      </c>
      <c r="I204" t="s">
        <v>18</v>
      </c>
      <c r="J204" t="s">
        <v>431</v>
      </c>
      <c r="K204" t="s">
        <v>24</v>
      </c>
      <c r="L204" s="14">
        <f>IFERROR(VALUE(LEFT(tblMatriculas[[#This Row],[Clases]],FIND("/",tblMatriculas[[#This Row],[Clases]])-1)),"")</f>
        <v>5</v>
      </c>
      <c r="M204" s="14">
        <f>IFERROR(VALUE(MID(tblMatriculas[[#This Row],[Clases]],FIND("/",tblMatriculas[[#This Row],[Clases]])+1,5)),"")</f>
        <v>30</v>
      </c>
      <c r="N2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4" s="14">
        <f>IF(OR(tblMatriculas[[#This Row],[Estado]]&lt;&gt;"activa",tblMatriculas[[#This Row],[Clases dictadas]]=""),"",MAX(0,tblMatriculas[[#This Row],[Clases dictadas]]-tblMatriculas[[#This Row],[Asistidas]]))</f>
        <v>0</v>
      </c>
      <c r="P204" s="1">
        <f>IF(OR(tblMatriculas[[#This Row],[Estado]]&lt;&gt;"activa",tblMatriculas[[#This Row],[Asistidas]]=""),"",tblMatriculas[[#This Row],[Asistencia]])</f>
        <v>0.16699999999999998</v>
      </c>
      <c r="Q204" t="b">
        <f>AND(tblMatriculas[[#This Row],[Estado]]="activa",ISNUMBER(tblMatriculas[[#This Row],[% asistencia]]),NOT(ISNUMBER(SEARCH(pPrueba,tblMatriculas[[#This Row],[Nombre]]))))</f>
        <v>1</v>
      </c>
      <c r="R2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" s="23" t="str" cm="1">
        <f t="array" ref="S2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" s="23" t="str" cm="1">
        <f t="array" ref="T2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" s="14" t="str" cm="1">
        <f t="array" ref="U2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" t="str" cm="1">
        <f t="array" ref="V2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" t="str" cm="1">
        <f t="array" ref="W2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" t="str">
        <f>IF(COUNTIFS('Base Estudiantes'!$C:$C,tblMatriculas[[#This Row],[Cédula]],'Base Estudiantes'!$I:$I,tblMatriculas[[#This Row],[Código]])&gt;0,"Sí","No")</f>
        <v>Sí</v>
      </c>
      <c r="Z204" s="23" cm="1">
        <f t="array" ref="Z204">_xlfn.XLOOKUP(tblMatriculas[[#This Row],[Cédula]]&amp;"|"&amp;tblMatriculas[[#This Row],[Código]],tblBase[Documento]&amp;"|"&amp;tblBase[Código grupo],tblBase[Fecha matrícula],"")</f>
        <v>46264</v>
      </c>
    </row>
    <row r="205" spans="1:26" x14ac:dyDescent="0.2">
      <c r="A205" t="s">
        <v>465</v>
      </c>
      <c r="B205" t="s">
        <v>466</v>
      </c>
      <c r="C205" t="s">
        <v>13</v>
      </c>
      <c r="D205" t="s">
        <v>429</v>
      </c>
      <c r="E205" t="s">
        <v>430</v>
      </c>
      <c r="F205" t="s">
        <v>335</v>
      </c>
      <c r="G205" s="1">
        <v>0</v>
      </c>
      <c r="H205" t="s">
        <v>254</v>
      </c>
      <c r="I205" t="s">
        <v>18</v>
      </c>
      <c r="J205" t="s">
        <v>431</v>
      </c>
      <c r="K205" t="s">
        <v>24</v>
      </c>
      <c r="L205" s="14">
        <f>IFERROR(VALUE(LEFT(tblMatriculas[[#This Row],[Clases]],FIND("/",tblMatriculas[[#This Row],[Clases]])-1)),"")</f>
        <v>0</v>
      </c>
      <c r="M205" s="14">
        <f>IFERROR(VALUE(MID(tblMatriculas[[#This Row],[Clases]],FIND("/",tblMatriculas[[#This Row],[Clases]])+1,5)),"")</f>
        <v>30</v>
      </c>
      <c r="N2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5" s="14">
        <f>IF(OR(tblMatriculas[[#This Row],[Estado]]&lt;&gt;"activa",tblMatriculas[[#This Row],[Clases dictadas]]=""),"",MAX(0,tblMatriculas[[#This Row],[Clases dictadas]]-tblMatriculas[[#This Row],[Asistidas]]))</f>
        <v>5</v>
      </c>
      <c r="P205" s="1">
        <f>IF(OR(tblMatriculas[[#This Row],[Estado]]&lt;&gt;"activa",tblMatriculas[[#This Row],[Asistidas]]=""),"",tblMatriculas[[#This Row],[Asistencia]])</f>
        <v>0</v>
      </c>
      <c r="Q205" t="b">
        <f>AND(tblMatriculas[[#This Row],[Estado]]="activa",ISNUMBER(tblMatriculas[[#This Row],[% asistencia]]),NOT(ISNUMBER(SEARCH(pPrueba,tblMatriculas[[#This Row],[Nombre]]))))</f>
        <v>1</v>
      </c>
      <c r="R2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5" s="23" t="str" cm="1">
        <f t="array" ref="S2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" s="23" t="str" cm="1">
        <f t="array" ref="T2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" s="14" t="str" cm="1">
        <f t="array" ref="U2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" t="str" cm="1">
        <f t="array" ref="V2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" t="str" cm="1">
        <f t="array" ref="W2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5" t="str">
        <f>IF(COUNTIFS('Base Estudiantes'!$C:$C,tblMatriculas[[#This Row],[Cédula]],'Base Estudiantes'!$I:$I,tblMatriculas[[#This Row],[Código]])&gt;0,"Sí","No")</f>
        <v>Sí</v>
      </c>
      <c r="Z205" s="23" cm="1">
        <f t="array" ref="Z205">_xlfn.XLOOKUP(tblMatriculas[[#This Row],[Cédula]]&amp;"|"&amp;tblMatriculas[[#This Row],[Código]],tblBase[Documento]&amp;"|"&amp;tblBase[Código grupo],tblBase[Fecha matrícula],"")</f>
        <v>46264</v>
      </c>
    </row>
    <row r="206" spans="1:26" x14ac:dyDescent="0.2">
      <c r="A206" t="s">
        <v>467</v>
      </c>
      <c r="B206" t="s">
        <v>468</v>
      </c>
      <c r="C206" t="s">
        <v>13</v>
      </c>
      <c r="D206" t="s">
        <v>429</v>
      </c>
      <c r="E206" t="s">
        <v>430</v>
      </c>
      <c r="F206" t="s">
        <v>335</v>
      </c>
      <c r="G206" s="1">
        <v>0.16699999999999998</v>
      </c>
      <c r="H206" t="s">
        <v>229</v>
      </c>
      <c r="I206" t="s">
        <v>18</v>
      </c>
      <c r="J206" t="s">
        <v>431</v>
      </c>
      <c r="K206" t="s">
        <v>24</v>
      </c>
      <c r="L206" s="14">
        <f>IFERROR(VALUE(LEFT(tblMatriculas[[#This Row],[Clases]],FIND("/",tblMatriculas[[#This Row],[Clases]])-1)),"")</f>
        <v>5</v>
      </c>
      <c r="M206" s="14">
        <f>IFERROR(VALUE(MID(tblMatriculas[[#This Row],[Clases]],FIND("/",tblMatriculas[[#This Row],[Clases]])+1,5)),"")</f>
        <v>30</v>
      </c>
      <c r="N2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6" s="14">
        <f>IF(OR(tblMatriculas[[#This Row],[Estado]]&lt;&gt;"activa",tblMatriculas[[#This Row],[Clases dictadas]]=""),"",MAX(0,tblMatriculas[[#This Row],[Clases dictadas]]-tblMatriculas[[#This Row],[Asistidas]]))</f>
        <v>0</v>
      </c>
      <c r="P206" s="1">
        <f>IF(OR(tblMatriculas[[#This Row],[Estado]]&lt;&gt;"activa",tblMatriculas[[#This Row],[Asistidas]]=""),"",tblMatriculas[[#This Row],[Asistencia]])</f>
        <v>0.16699999999999998</v>
      </c>
      <c r="Q206" t="b">
        <f>AND(tblMatriculas[[#This Row],[Estado]]="activa",ISNUMBER(tblMatriculas[[#This Row],[% asistencia]]),NOT(ISNUMBER(SEARCH(pPrueba,tblMatriculas[[#This Row],[Nombre]]))))</f>
        <v>1</v>
      </c>
      <c r="R2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6" s="23" t="str" cm="1">
        <f t="array" ref="S2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" s="23" t="str" cm="1">
        <f t="array" ref="T2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" s="14" t="str" cm="1">
        <f t="array" ref="U2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" t="str" cm="1">
        <f t="array" ref="V2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" t="str" cm="1">
        <f t="array" ref="W2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6" t="str">
        <f>IF(COUNTIFS('Base Estudiantes'!$C:$C,tblMatriculas[[#This Row],[Cédula]],'Base Estudiantes'!$I:$I,tblMatriculas[[#This Row],[Código]])&gt;0,"Sí","No")</f>
        <v>Sí</v>
      </c>
      <c r="Z206" s="23" cm="1">
        <f t="array" ref="Z206">_xlfn.XLOOKUP(tblMatriculas[[#This Row],[Cédula]]&amp;"|"&amp;tblMatriculas[[#This Row],[Código]],tblBase[Documento]&amp;"|"&amp;tblBase[Código grupo],tblBase[Fecha matrícula],"")</f>
        <v>46264</v>
      </c>
    </row>
    <row r="207" spans="1:26" x14ac:dyDescent="0.2">
      <c r="A207" t="s">
        <v>469</v>
      </c>
      <c r="B207" t="s">
        <v>470</v>
      </c>
      <c r="C207" t="s">
        <v>13</v>
      </c>
      <c r="D207" t="s">
        <v>429</v>
      </c>
      <c r="E207" t="s">
        <v>430</v>
      </c>
      <c r="F207" t="s">
        <v>335</v>
      </c>
      <c r="G207" s="1">
        <v>0</v>
      </c>
      <c r="H207" t="s">
        <v>254</v>
      </c>
      <c r="I207" t="s">
        <v>18</v>
      </c>
      <c r="J207" t="s">
        <v>431</v>
      </c>
      <c r="K207" t="s">
        <v>24</v>
      </c>
      <c r="L207" s="14">
        <f>IFERROR(VALUE(LEFT(tblMatriculas[[#This Row],[Clases]],FIND("/",tblMatriculas[[#This Row],[Clases]])-1)),"")</f>
        <v>0</v>
      </c>
      <c r="M207" s="14">
        <f>IFERROR(VALUE(MID(tblMatriculas[[#This Row],[Clases]],FIND("/",tblMatriculas[[#This Row],[Clases]])+1,5)),"")</f>
        <v>30</v>
      </c>
      <c r="N2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7" s="14">
        <f>IF(OR(tblMatriculas[[#This Row],[Estado]]&lt;&gt;"activa",tblMatriculas[[#This Row],[Clases dictadas]]=""),"",MAX(0,tblMatriculas[[#This Row],[Clases dictadas]]-tblMatriculas[[#This Row],[Asistidas]]))</f>
        <v>5</v>
      </c>
      <c r="P207" s="1">
        <f>IF(OR(tblMatriculas[[#This Row],[Estado]]&lt;&gt;"activa",tblMatriculas[[#This Row],[Asistidas]]=""),"",tblMatriculas[[#This Row],[Asistencia]])</f>
        <v>0</v>
      </c>
      <c r="Q207" t="b">
        <f>AND(tblMatriculas[[#This Row],[Estado]]="activa",ISNUMBER(tblMatriculas[[#This Row],[% asistencia]]),NOT(ISNUMBER(SEARCH(pPrueba,tblMatriculas[[#This Row],[Nombre]]))))</f>
        <v>1</v>
      </c>
      <c r="R2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7" s="23" t="str" cm="1">
        <f t="array" ref="S2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" s="23" t="str" cm="1">
        <f t="array" ref="T2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" s="14" t="str" cm="1">
        <f t="array" ref="U2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" t="str" cm="1">
        <f t="array" ref="V2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" t="str" cm="1">
        <f t="array" ref="W2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7" t="str">
        <f>IF(COUNTIFS('Base Estudiantes'!$C:$C,tblMatriculas[[#This Row],[Cédula]],'Base Estudiantes'!$I:$I,tblMatriculas[[#This Row],[Código]])&gt;0,"Sí","No")</f>
        <v>Sí</v>
      </c>
      <c r="Z207" s="23" cm="1">
        <f t="array" ref="Z207">_xlfn.XLOOKUP(tblMatriculas[[#This Row],[Cédula]]&amp;"|"&amp;tblMatriculas[[#This Row],[Código]],tblBase[Documento]&amp;"|"&amp;tblBase[Código grupo],tblBase[Fecha matrícula],"")</f>
        <v>46264</v>
      </c>
    </row>
    <row r="208" spans="1:26" x14ac:dyDescent="0.2">
      <c r="A208" t="s">
        <v>471</v>
      </c>
      <c r="B208" t="s">
        <v>472</v>
      </c>
      <c r="C208" t="s">
        <v>13</v>
      </c>
      <c r="D208" t="s">
        <v>429</v>
      </c>
      <c r="E208" t="s">
        <v>430</v>
      </c>
      <c r="F208" t="s">
        <v>335</v>
      </c>
      <c r="G208" s="1">
        <v>0.16699999999999998</v>
      </c>
      <c r="H208" t="s">
        <v>229</v>
      </c>
      <c r="I208" t="s">
        <v>18</v>
      </c>
      <c r="J208" t="s">
        <v>431</v>
      </c>
      <c r="K208" t="s">
        <v>24</v>
      </c>
      <c r="L208" s="14">
        <f>IFERROR(VALUE(LEFT(tblMatriculas[[#This Row],[Clases]],FIND("/",tblMatriculas[[#This Row],[Clases]])-1)),"")</f>
        <v>5</v>
      </c>
      <c r="M208" s="14">
        <f>IFERROR(VALUE(MID(tblMatriculas[[#This Row],[Clases]],FIND("/",tblMatriculas[[#This Row],[Clases]])+1,5)),"")</f>
        <v>30</v>
      </c>
      <c r="N2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8" s="14">
        <f>IF(OR(tblMatriculas[[#This Row],[Estado]]&lt;&gt;"activa",tblMatriculas[[#This Row],[Clases dictadas]]=""),"",MAX(0,tblMatriculas[[#This Row],[Clases dictadas]]-tblMatriculas[[#This Row],[Asistidas]]))</f>
        <v>0</v>
      </c>
      <c r="P208" s="1">
        <f>IF(OR(tblMatriculas[[#This Row],[Estado]]&lt;&gt;"activa",tblMatriculas[[#This Row],[Asistidas]]=""),"",tblMatriculas[[#This Row],[Asistencia]])</f>
        <v>0.16699999999999998</v>
      </c>
      <c r="Q208" t="b">
        <f>AND(tblMatriculas[[#This Row],[Estado]]="activa",ISNUMBER(tblMatriculas[[#This Row],[% asistencia]]),NOT(ISNUMBER(SEARCH(pPrueba,tblMatriculas[[#This Row],[Nombre]]))))</f>
        <v>1</v>
      </c>
      <c r="R2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8" s="23" t="str" cm="1">
        <f t="array" ref="S2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" s="23" t="str" cm="1">
        <f t="array" ref="T2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" s="14" t="str" cm="1">
        <f t="array" ref="U2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" t="str" cm="1">
        <f t="array" ref="V2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" t="str" cm="1">
        <f t="array" ref="W2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8" t="str">
        <f>IF(COUNTIFS('Base Estudiantes'!$C:$C,tblMatriculas[[#This Row],[Cédula]],'Base Estudiantes'!$I:$I,tblMatriculas[[#This Row],[Código]])&gt;0,"Sí","No")</f>
        <v>Sí</v>
      </c>
      <c r="Z208" s="23" cm="1">
        <f t="array" ref="Z208">_xlfn.XLOOKUP(tblMatriculas[[#This Row],[Cédula]]&amp;"|"&amp;tblMatriculas[[#This Row],[Código]],tblBase[Documento]&amp;"|"&amp;tblBase[Código grupo],tblBase[Fecha matrícula],"")</f>
        <v>46264</v>
      </c>
    </row>
    <row r="209" spans="1:26" x14ac:dyDescent="0.2">
      <c r="A209" t="s">
        <v>473</v>
      </c>
      <c r="B209" t="s">
        <v>474</v>
      </c>
      <c r="C209" t="s">
        <v>13</v>
      </c>
      <c r="D209" t="s">
        <v>429</v>
      </c>
      <c r="E209" t="s">
        <v>430</v>
      </c>
      <c r="F209" t="s">
        <v>335</v>
      </c>
      <c r="G209" s="1">
        <v>0</v>
      </c>
      <c r="H209" t="s">
        <v>254</v>
      </c>
      <c r="I209" t="s">
        <v>18</v>
      </c>
      <c r="J209" t="s">
        <v>431</v>
      </c>
      <c r="K209" t="s">
        <v>24</v>
      </c>
      <c r="L209" s="14">
        <f>IFERROR(VALUE(LEFT(tblMatriculas[[#This Row],[Clases]],FIND("/",tblMatriculas[[#This Row],[Clases]])-1)),"")</f>
        <v>0</v>
      </c>
      <c r="M209" s="14">
        <f>IFERROR(VALUE(MID(tblMatriculas[[#This Row],[Clases]],FIND("/",tblMatriculas[[#This Row],[Clases]])+1,5)),"")</f>
        <v>30</v>
      </c>
      <c r="N2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9" s="14">
        <f>IF(OR(tblMatriculas[[#This Row],[Estado]]&lt;&gt;"activa",tblMatriculas[[#This Row],[Clases dictadas]]=""),"",MAX(0,tblMatriculas[[#This Row],[Clases dictadas]]-tblMatriculas[[#This Row],[Asistidas]]))</f>
        <v>5</v>
      </c>
      <c r="P209" s="1">
        <f>IF(OR(tblMatriculas[[#This Row],[Estado]]&lt;&gt;"activa",tblMatriculas[[#This Row],[Asistidas]]=""),"",tblMatriculas[[#This Row],[Asistencia]])</f>
        <v>0</v>
      </c>
      <c r="Q209" t="b">
        <f>AND(tblMatriculas[[#This Row],[Estado]]="activa",ISNUMBER(tblMatriculas[[#This Row],[% asistencia]]),NOT(ISNUMBER(SEARCH(pPrueba,tblMatriculas[[#This Row],[Nombre]]))))</f>
        <v>1</v>
      </c>
      <c r="R2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9" s="23" t="str" cm="1">
        <f t="array" ref="S2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" s="23" t="str" cm="1">
        <f t="array" ref="T2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" s="14" t="str" cm="1">
        <f t="array" ref="U2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" t="str" cm="1">
        <f t="array" ref="V2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" t="str" cm="1">
        <f t="array" ref="W2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9" t="str">
        <f>IF(COUNTIFS('Base Estudiantes'!$C:$C,tblMatriculas[[#This Row],[Cédula]],'Base Estudiantes'!$I:$I,tblMatriculas[[#This Row],[Código]])&gt;0,"Sí","No")</f>
        <v>Sí</v>
      </c>
      <c r="Z209" s="23" cm="1">
        <f t="array" ref="Z209">_xlfn.XLOOKUP(tblMatriculas[[#This Row],[Cédula]]&amp;"|"&amp;tblMatriculas[[#This Row],[Código]],tblBase[Documento]&amp;"|"&amp;tblBase[Código grupo],tblBase[Fecha matrícula],"")</f>
        <v>46264</v>
      </c>
    </row>
    <row r="210" spans="1:26" x14ac:dyDescent="0.2">
      <c r="A210" t="s">
        <v>475</v>
      </c>
      <c r="B210" t="s">
        <v>476</v>
      </c>
      <c r="C210" t="s">
        <v>13</v>
      </c>
      <c r="D210" t="s">
        <v>429</v>
      </c>
      <c r="E210" t="s">
        <v>430</v>
      </c>
      <c r="F210" t="s">
        <v>335</v>
      </c>
      <c r="G210" s="1">
        <v>0.13300000000000001</v>
      </c>
      <c r="H210" t="s">
        <v>112</v>
      </c>
      <c r="I210" t="s">
        <v>18</v>
      </c>
      <c r="J210" t="s">
        <v>431</v>
      </c>
      <c r="K210" t="s">
        <v>24</v>
      </c>
      <c r="L210" s="14">
        <f>IFERROR(VALUE(LEFT(tblMatriculas[[#This Row],[Clases]],FIND("/",tblMatriculas[[#This Row],[Clases]])-1)),"")</f>
        <v>4</v>
      </c>
      <c r="M210" s="14">
        <f>IFERROR(VALUE(MID(tblMatriculas[[#This Row],[Clases]],FIND("/",tblMatriculas[[#This Row],[Clases]])+1,5)),"")</f>
        <v>30</v>
      </c>
      <c r="N2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0" s="14">
        <f>IF(OR(tblMatriculas[[#This Row],[Estado]]&lt;&gt;"activa",tblMatriculas[[#This Row],[Clases dictadas]]=""),"",MAX(0,tblMatriculas[[#This Row],[Clases dictadas]]-tblMatriculas[[#This Row],[Asistidas]]))</f>
        <v>1</v>
      </c>
      <c r="P210" s="1">
        <f>IF(OR(tblMatriculas[[#This Row],[Estado]]&lt;&gt;"activa",tblMatriculas[[#This Row],[Asistidas]]=""),"",tblMatriculas[[#This Row],[Asistencia]])</f>
        <v>0.13300000000000001</v>
      </c>
      <c r="Q210" t="b">
        <f>AND(tblMatriculas[[#This Row],[Estado]]="activa",ISNUMBER(tblMatriculas[[#This Row],[% asistencia]]),NOT(ISNUMBER(SEARCH(pPrueba,tblMatriculas[[#This Row],[Nombre]]))))</f>
        <v>1</v>
      </c>
      <c r="R2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" s="23" t="str" cm="1">
        <f t="array" ref="S2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" s="23" t="str" cm="1">
        <f t="array" ref="T2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" s="14" t="str" cm="1">
        <f t="array" ref="U2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" t="str" cm="1">
        <f t="array" ref="V2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" t="str" cm="1">
        <f t="array" ref="W2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" t="str">
        <f>IF(COUNTIFS('Base Estudiantes'!$C:$C,tblMatriculas[[#This Row],[Cédula]],'Base Estudiantes'!$I:$I,tblMatriculas[[#This Row],[Código]])&gt;0,"Sí","No")</f>
        <v>Sí</v>
      </c>
      <c r="Z210" s="23" cm="1">
        <f t="array" ref="Z210">_xlfn.XLOOKUP(tblMatriculas[[#This Row],[Cédula]]&amp;"|"&amp;tblMatriculas[[#This Row],[Código]],tblBase[Documento]&amp;"|"&amp;tblBase[Código grupo],tblBase[Fecha matrícula],"")</f>
        <v>46264</v>
      </c>
    </row>
    <row r="211" spans="1:26" x14ac:dyDescent="0.2">
      <c r="A211" t="s">
        <v>477</v>
      </c>
      <c r="B211" t="s">
        <v>478</v>
      </c>
      <c r="C211" t="s">
        <v>13</v>
      </c>
      <c r="D211" t="s">
        <v>429</v>
      </c>
      <c r="E211" t="s">
        <v>430</v>
      </c>
      <c r="F211" t="s">
        <v>335</v>
      </c>
      <c r="G211" s="1">
        <v>0.16699999999999998</v>
      </c>
      <c r="H211" t="s">
        <v>229</v>
      </c>
      <c r="I211" t="s">
        <v>18</v>
      </c>
      <c r="J211" t="s">
        <v>431</v>
      </c>
      <c r="K211" t="s">
        <v>24</v>
      </c>
      <c r="L211" s="14">
        <f>IFERROR(VALUE(LEFT(tblMatriculas[[#This Row],[Clases]],FIND("/",tblMatriculas[[#This Row],[Clases]])-1)),"")</f>
        <v>5</v>
      </c>
      <c r="M211" s="14">
        <f>IFERROR(VALUE(MID(tblMatriculas[[#This Row],[Clases]],FIND("/",tblMatriculas[[#This Row],[Clases]])+1,5)),"")</f>
        <v>30</v>
      </c>
      <c r="N2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1" s="14">
        <f>IF(OR(tblMatriculas[[#This Row],[Estado]]&lt;&gt;"activa",tblMatriculas[[#This Row],[Clases dictadas]]=""),"",MAX(0,tblMatriculas[[#This Row],[Clases dictadas]]-tblMatriculas[[#This Row],[Asistidas]]))</f>
        <v>0</v>
      </c>
      <c r="P211" s="1">
        <f>IF(OR(tblMatriculas[[#This Row],[Estado]]&lt;&gt;"activa",tblMatriculas[[#This Row],[Asistidas]]=""),"",tblMatriculas[[#This Row],[Asistencia]])</f>
        <v>0.16699999999999998</v>
      </c>
      <c r="Q211" t="b">
        <f>AND(tblMatriculas[[#This Row],[Estado]]="activa",ISNUMBER(tblMatriculas[[#This Row],[% asistencia]]),NOT(ISNUMBER(SEARCH(pPrueba,tblMatriculas[[#This Row],[Nombre]]))))</f>
        <v>1</v>
      </c>
      <c r="R2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" s="23" t="str" cm="1">
        <f t="array" ref="S2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" s="23" t="str" cm="1">
        <f t="array" ref="T2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" s="14" t="str" cm="1">
        <f t="array" ref="U2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" t="str" cm="1">
        <f t="array" ref="V2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" t="str" cm="1">
        <f t="array" ref="W2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" t="str">
        <f>IF(COUNTIFS('Base Estudiantes'!$C:$C,tblMatriculas[[#This Row],[Cédula]],'Base Estudiantes'!$I:$I,tblMatriculas[[#This Row],[Código]])&gt;0,"Sí","No")</f>
        <v>Sí</v>
      </c>
      <c r="Z211" s="23" cm="1">
        <f t="array" ref="Z211">_xlfn.XLOOKUP(tblMatriculas[[#This Row],[Cédula]]&amp;"|"&amp;tblMatriculas[[#This Row],[Código]],tblBase[Documento]&amp;"|"&amp;tblBase[Código grupo],tblBase[Fecha matrícula],"")</f>
        <v>46264</v>
      </c>
    </row>
    <row r="212" spans="1:26" x14ac:dyDescent="0.2">
      <c r="A212" t="s">
        <v>479</v>
      </c>
      <c r="B212" t="s">
        <v>480</v>
      </c>
      <c r="C212" t="s">
        <v>13</v>
      </c>
      <c r="D212" t="s">
        <v>429</v>
      </c>
      <c r="E212" t="s">
        <v>430</v>
      </c>
      <c r="F212" t="s">
        <v>335</v>
      </c>
      <c r="G212" s="1">
        <v>0.1</v>
      </c>
      <c r="H212" t="s">
        <v>117</v>
      </c>
      <c r="I212" t="s">
        <v>18</v>
      </c>
      <c r="J212" t="s">
        <v>431</v>
      </c>
      <c r="K212" t="s">
        <v>24</v>
      </c>
      <c r="L212" s="14">
        <f>IFERROR(VALUE(LEFT(tblMatriculas[[#This Row],[Clases]],FIND("/",tblMatriculas[[#This Row],[Clases]])-1)),"")</f>
        <v>3</v>
      </c>
      <c r="M212" s="14">
        <f>IFERROR(VALUE(MID(tblMatriculas[[#This Row],[Clases]],FIND("/",tblMatriculas[[#This Row],[Clases]])+1,5)),"")</f>
        <v>30</v>
      </c>
      <c r="N2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2" s="14">
        <f>IF(OR(tblMatriculas[[#This Row],[Estado]]&lt;&gt;"activa",tblMatriculas[[#This Row],[Clases dictadas]]=""),"",MAX(0,tblMatriculas[[#This Row],[Clases dictadas]]-tblMatriculas[[#This Row],[Asistidas]]))</f>
        <v>2</v>
      </c>
      <c r="P212" s="1">
        <f>IF(OR(tblMatriculas[[#This Row],[Estado]]&lt;&gt;"activa",tblMatriculas[[#This Row],[Asistidas]]=""),"",tblMatriculas[[#This Row],[Asistencia]])</f>
        <v>0.1</v>
      </c>
      <c r="Q212" t="b">
        <f>AND(tblMatriculas[[#This Row],[Estado]]="activa",ISNUMBER(tblMatriculas[[#This Row],[% asistencia]]),NOT(ISNUMBER(SEARCH(pPrueba,tblMatriculas[[#This Row],[Nombre]]))))</f>
        <v>1</v>
      </c>
      <c r="R2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" s="23" t="str" cm="1">
        <f t="array" ref="S2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" s="23" t="str" cm="1">
        <f t="array" ref="T2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" s="14" t="str" cm="1">
        <f t="array" ref="U2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" t="str" cm="1">
        <f t="array" ref="V2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" t="str" cm="1">
        <f t="array" ref="W2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" t="str">
        <f>IF(COUNTIFS('Base Estudiantes'!$C:$C,tblMatriculas[[#This Row],[Cédula]],'Base Estudiantes'!$I:$I,tblMatriculas[[#This Row],[Código]])&gt;0,"Sí","No")</f>
        <v>Sí</v>
      </c>
      <c r="Z212" s="23" cm="1">
        <f t="array" ref="Z212">_xlfn.XLOOKUP(tblMatriculas[[#This Row],[Cédula]]&amp;"|"&amp;tblMatriculas[[#This Row],[Código]],tblBase[Documento]&amp;"|"&amp;tblBase[Código grupo],tblBase[Fecha matrícula],"")</f>
        <v>46264</v>
      </c>
    </row>
    <row r="213" spans="1:26" x14ac:dyDescent="0.2">
      <c r="A213" t="s">
        <v>481</v>
      </c>
      <c r="B213" t="s">
        <v>482</v>
      </c>
      <c r="C213" t="s">
        <v>13</v>
      </c>
      <c r="D213" t="s">
        <v>429</v>
      </c>
      <c r="E213" t="s">
        <v>430</v>
      </c>
      <c r="F213" t="s">
        <v>335</v>
      </c>
      <c r="G213" s="1">
        <v>0.16699999999999998</v>
      </c>
      <c r="H213" t="s">
        <v>229</v>
      </c>
      <c r="I213" t="s">
        <v>18</v>
      </c>
      <c r="J213" t="s">
        <v>431</v>
      </c>
      <c r="K213" t="s">
        <v>24</v>
      </c>
      <c r="L213" s="14">
        <f>IFERROR(VALUE(LEFT(tblMatriculas[[#This Row],[Clases]],FIND("/",tblMatriculas[[#This Row],[Clases]])-1)),"")</f>
        <v>5</v>
      </c>
      <c r="M213" s="14">
        <f>IFERROR(VALUE(MID(tblMatriculas[[#This Row],[Clases]],FIND("/",tblMatriculas[[#This Row],[Clases]])+1,5)),"")</f>
        <v>30</v>
      </c>
      <c r="N2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3" s="14">
        <f>IF(OR(tblMatriculas[[#This Row],[Estado]]&lt;&gt;"activa",tblMatriculas[[#This Row],[Clases dictadas]]=""),"",MAX(0,tblMatriculas[[#This Row],[Clases dictadas]]-tblMatriculas[[#This Row],[Asistidas]]))</f>
        <v>0</v>
      </c>
      <c r="P213" s="1">
        <f>IF(OR(tblMatriculas[[#This Row],[Estado]]&lt;&gt;"activa",tblMatriculas[[#This Row],[Asistidas]]=""),"",tblMatriculas[[#This Row],[Asistencia]])</f>
        <v>0.16699999999999998</v>
      </c>
      <c r="Q213" t="b">
        <f>AND(tblMatriculas[[#This Row],[Estado]]="activa",ISNUMBER(tblMatriculas[[#This Row],[% asistencia]]),NOT(ISNUMBER(SEARCH(pPrueba,tblMatriculas[[#This Row],[Nombre]]))))</f>
        <v>1</v>
      </c>
      <c r="R2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3" s="23" t="str" cm="1">
        <f t="array" ref="S2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3" s="23" t="str" cm="1">
        <f t="array" ref="T2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3" s="14" t="str" cm="1">
        <f t="array" ref="U2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3" t="str" cm="1">
        <f t="array" ref="V2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3" t="str" cm="1">
        <f t="array" ref="W2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3" t="str">
        <f>IF(COUNTIFS('Base Estudiantes'!$C:$C,tblMatriculas[[#This Row],[Cédula]],'Base Estudiantes'!$I:$I,tblMatriculas[[#This Row],[Código]])&gt;0,"Sí","No")</f>
        <v>Sí</v>
      </c>
      <c r="Z213" s="23" cm="1">
        <f t="array" ref="Z213">_xlfn.XLOOKUP(tblMatriculas[[#This Row],[Cédula]]&amp;"|"&amp;tblMatriculas[[#This Row],[Código]],tblBase[Documento]&amp;"|"&amp;tblBase[Código grupo],tblBase[Fecha matrícula],"")</f>
        <v>46264</v>
      </c>
    </row>
    <row r="214" spans="1:26" x14ac:dyDescent="0.2">
      <c r="A214" t="s">
        <v>483</v>
      </c>
      <c r="B214" t="s">
        <v>484</v>
      </c>
      <c r="C214" t="s">
        <v>13</v>
      </c>
      <c r="D214" t="s">
        <v>429</v>
      </c>
      <c r="E214" t="s">
        <v>430</v>
      </c>
      <c r="F214" t="s">
        <v>335</v>
      </c>
      <c r="G214" s="1">
        <v>0.16699999999999998</v>
      </c>
      <c r="H214" t="s">
        <v>229</v>
      </c>
      <c r="I214" t="s">
        <v>18</v>
      </c>
      <c r="J214" t="s">
        <v>431</v>
      </c>
      <c r="K214" t="s">
        <v>24</v>
      </c>
      <c r="L214" s="14">
        <f>IFERROR(VALUE(LEFT(tblMatriculas[[#This Row],[Clases]],FIND("/",tblMatriculas[[#This Row],[Clases]])-1)),"")</f>
        <v>5</v>
      </c>
      <c r="M214" s="14">
        <f>IFERROR(VALUE(MID(tblMatriculas[[#This Row],[Clases]],FIND("/",tblMatriculas[[#This Row],[Clases]])+1,5)),"")</f>
        <v>30</v>
      </c>
      <c r="N2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4" s="14">
        <f>IF(OR(tblMatriculas[[#This Row],[Estado]]&lt;&gt;"activa",tblMatriculas[[#This Row],[Clases dictadas]]=""),"",MAX(0,tblMatriculas[[#This Row],[Clases dictadas]]-tblMatriculas[[#This Row],[Asistidas]]))</f>
        <v>0</v>
      </c>
      <c r="P214" s="1">
        <f>IF(OR(tblMatriculas[[#This Row],[Estado]]&lt;&gt;"activa",tblMatriculas[[#This Row],[Asistidas]]=""),"",tblMatriculas[[#This Row],[Asistencia]])</f>
        <v>0.16699999999999998</v>
      </c>
      <c r="Q214" t="b">
        <f>AND(tblMatriculas[[#This Row],[Estado]]="activa",ISNUMBER(tblMatriculas[[#This Row],[% asistencia]]),NOT(ISNUMBER(SEARCH(pPrueba,tblMatriculas[[#This Row],[Nombre]]))))</f>
        <v>1</v>
      </c>
      <c r="R2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4" s="23" t="str" cm="1">
        <f t="array" ref="S2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4" s="23" t="str" cm="1">
        <f t="array" ref="T2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4" s="14" t="str" cm="1">
        <f t="array" ref="U2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4" t="str" cm="1">
        <f t="array" ref="V2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4" t="str" cm="1">
        <f t="array" ref="W2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4" t="str">
        <f>IF(COUNTIFS('Base Estudiantes'!$C:$C,tblMatriculas[[#This Row],[Cédula]],'Base Estudiantes'!$I:$I,tblMatriculas[[#This Row],[Código]])&gt;0,"Sí","No")</f>
        <v>Sí</v>
      </c>
      <c r="Z214" s="23" cm="1">
        <f t="array" ref="Z214">_xlfn.XLOOKUP(tblMatriculas[[#This Row],[Cédula]]&amp;"|"&amp;tblMatriculas[[#This Row],[Código]],tblBase[Documento]&amp;"|"&amp;tblBase[Código grupo],tblBase[Fecha matrícula],"")</f>
        <v>46264</v>
      </c>
    </row>
    <row r="215" spans="1:26" x14ac:dyDescent="0.2">
      <c r="A215" t="s">
        <v>485</v>
      </c>
      <c r="B215" t="s">
        <v>486</v>
      </c>
      <c r="C215" t="s">
        <v>13</v>
      </c>
      <c r="D215" t="s">
        <v>429</v>
      </c>
      <c r="E215" t="s">
        <v>430</v>
      </c>
      <c r="F215" t="s">
        <v>335</v>
      </c>
      <c r="G215" s="1">
        <v>0.13300000000000001</v>
      </c>
      <c r="H215" t="s">
        <v>112</v>
      </c>
      <c r="I215" t="s">
        <v>18</v>
      </c>
      <c r="J215" t="s">
        <v>431</v>
      </c>
      <c r="K215" t="s">
        <v>24</v>
      </c>
      <c r="L215" s="14">
        <f>IFERROR(VALUE(LEFT(tblMatriculas[[#This Row],[Clases]],FIND("/",tblMatriculas[[#This Row],[Clases]])-1)),"")</f>
        <v>4</v>
      </c>
      <c r="M215" s="14">
        <f>IFERROR(VALUE(MID(tblMatriculas[[#This Row],[Clases]],FIND("/",tblMatriculas[[#This Row],[Clases]])+1,5)),"")</f>
        <v>30</v>
      </c>
      <c r="N2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5" s="14">
        <f>IF(OR(tblMatriculas[[#This Row],[Estado]]&lt;&gt;"activa",tblMatriculas[[#This Row],[Clases dictadas]]=""),"",MAX(0,tblMatriculas[[#This Row],[Clases dictadas]]-tblMatriculas[[#This Row],[Asistidas]]))</f>
        <v>1</v>
      </c>
      <c r="P215" s="1">
        <f>IF(OR(tblMatriculas[[#This Row],[Estado]]&lt;&gt;"activa",tblMatriculas[[#This Row],[Asistidas]]=""),"",tblMatriculas[[#This Row],[Asistencia]])</f>
        <v>0.13300000000000001</v>
      </c>
      <c r="Q215" t="b">
        <f>AND(tblMatriculas[[#This Row],[Estado]]="activa",ISNUMBER(tblMatriculas[[#This Row],[% asistencia]]),NOT(ISNUMBER(SEARCH(pPrueba,tblMatriculas[[#This Row],[Nombre]]))))</f>
        <v>1</v>
      </c>
      <c r="R2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5" s="23" t="str" cm="1">
        <f t="array" ref="S2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5" s="23" t="str" cm="1">
        <f t="array" ref="T2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5" s="14" t="str" cm="1">
        <f t="array" ref="U2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5" t="str" cm="1">
        <f t="array" ref="V2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5" t="str" cm="1">
        <f t="array" ref="W2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5" t="str">
        <f>IF(COUNTIFS('Base Estudiantes'!$C:$C,tblMatriculas[[#This Row],[Cédula]],'Base Estudiantes'!$I:$I,tblMatriculas[[#This Row],[Código]])&gt;0,"Sí","No")</f>
        <v>Sí</v>
      </c>
      <c r="Z215" s="23" cm="1">
        <f t="array" ref="Z215">_xlfn.XLOOKUP(tblMatriculas[[#This Row],[Cédula]]&amp;"|"&amp;tblMatriculas[[#This Row],[Código]],tblBase[Documento]&amp;"|"&amp;tblBase[Código grupo],tblBase[Fecha matrícula],"")</f>
        <v>46264</v>
      </c>
    </row>
    <row r="216" spans="1:26" x14ac:dyDescent="0.2">
      <c r="A216" t="s">
        <v>487</v>
      </c>
      <c r="B216" t="s">
        <v>488</v>
      </c>
      <c r="C216" t="s">
        <v>13</v>
      </c>
      <c r="D216" t="s">
        <v>429</v>
      </c>
      <c r="E216" t="s">
        <v>430</v>
      </c>
      <c r="F216" t="s">
        <v>335</v>
      </c>
      <c r="G216" s="1">
        <v>0</v>
      </c>
      <c r="H216" t="s">
        <v>254</v>
      </c>
      <c r="I216" t="s">
        <v>18</v>
      </c>
      <c r="J216" t="s">
        <v>431</v>
      </c>
      <c r="K216" t="s">
        <v>24</v>
      </c>
      <c r="L216" s="14">
        <f>IFERROR(VALUE(LEFT(tblMatriculas[[#This Row],[Clases]],FIND("/",tblMatriculas[[#This Row],[Clases]])-1)),"")</f>
        <v>0</v>
      </c>
      <c r="M216" s="14">
        <f>IFERROR(VALUE(MID(tblMatriculas[[#This Row],[Clases]],FIND("/",tblMatriculas[[#This Row],[Clases]])+1,5)),"")</f>
        <v>30</v>
      </c>
      <c r="N2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6" s="14">
        <f>IF(OR(tblMatriculas[[#This Row],[Estado]]&lt;&gt;"activa",tblMatriculas[[#This Row],[Clases dictadas]]=""),"",MAX(0,tblMatriculas[[#This Row],[Clases dictadas]]-tblMatriculas[[#This Row],[Asistidas]]))</f>
        <v>5</v>
      </c>
      <c r="P216" s="1">
        <f>IF(OR(tblMatriculas[[#This Row],[Estado]]&lt;&gt;"activa",tblMatriculas[[#This Row],[Asistidas]]=""),"",tblMatriculas[[#This Row],[Asistencia]])</f>
        <v>0</v>
      </c>
      <c r="Q216" t="b">
        <f>AND(tblMatriculas[[#This Row],[Estado]]="activa",ISNUMBER(tblMatriculas[[#This Row],[% asistencia]]),NOT(ISNUMBER(SEARCH(pPrueba,tblMatriculas[[#This Row],[Nombre]]))))</f>
        <v>1</v>
      </c>
      <c r="R2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16" s="23" t="str" cm="1">
        <f t="array" ref="S2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6" s="23" t="str" cm="1">
        <f t="array" ref="T2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6" s="14" t="str" cm="1">
        <f t="array" ref="U2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6" t="str" cm="1">
        <f t="array" ref="V2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6" t="str" cm="1">
        <f t="array" ref="W2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16" t="str">
        <f>IF(COUNTIFS('Base Estudiantes'!$C:$C,tblMatriculas[[#This Row],[Cédula]],'Base Estudiantes'!$I:$I,tblMatriculas[[#This Row],[Código]])&gt;0,"Sí","No")</f>
        <v>Sí</v>
      </c>
      <c r="Z216" s="23" cm="1">
        <f t="array" ref="Z216">_xlfn.XLOOKUP(tblMatriculas[[#This Row],[Cédula]]&amp;"|"&amp;tblMatriculas[[#This Row],[Código]],tblBase[Documento]&amp;"|"&amp;tblBase[Código grupo],tblBase[Fecha matrícula],"")</f>
        <v>46264</v>
      </c>
    </row>
    <row r="217" spans="1:26" x14ac:dyDescent="0.2">
      <c r="A217" t="s">
        <v>489</v>
      </c>
      <c r="B217" t="s">
        <v>490</v>
      </c>
      <c r="C217" t="s">
        <v>13</v>
      </c>
      <c r="D217" t="s">
        <v>429</v>
      </c>
      <c r="E217" t="s">
        <v>430</v>
      </c>
      <c r="F217" t="s">
        <v>335</v>
      </c>
      <c r="G217" s="1">
        <v>0.16699999999999998</v>
      </c>
      <c r="H217" t="s">
        <v>229</v>
      </c>
      <c r="I217" t="s">
        <v>18</v>
      </c>
      <c r="J217" t="s">
        <v>431</v>
      </c>
      <c r="K217" t="s">
        <v>24</v>
      </c>
      <c r="L217" s="14">
        <f>IFERROR(VALUE(LEFT(tblMatriculas[[#This Row],[Clases]],FIND("/",tblMatriculas[[#This Row],[Clases]])-1)),"")</f>
        <v>5</v>
      </c>
      <c r="M217" s="14">
        <f>IFERROR(VALUE(MID(tblMatriculas[[#This Row],[Clases]],FIND("/",tblMatriculas[[#This Row],[Clases]])+1,5)),"")</f>
        <v>30</v>
      </c>
      <c r="N2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7" s="14">
        <f>IF(OR(tblMatriculas[[#This Row],[Estado]]&lt;&gt;"activa",tblMatriculas[[#This Row],[Clases dictadas]]=""),"",MAX(0,tblMatriculas[[#This Row],[Clases dictadas]]-tblMatriculas[[#This Row],[Asistidas]]))</f>
        <v>0</v>
      </c>
      <c r="P217" s="1">
        <f>IF(OR(tblMatriculas[[#This Row],[Estado]]&lt;&gt;"activa",tblMatriculas[[#This Row],[Asistidas]]=""),"",tblMatriculas[[#This Row],[Asistencia]])</f>
        <v>0.16699999999999998</v>
      </c>
      <c r="Q217" t="b">
        <f>AND(tblMatriculas[[#This Row],[Estado]]="activa",ISNUMBER(tblMatriculas[[#This Row],[% asistencia]]),NOT(ISNUMBER(SEARCH(pPrueba,tblMatriculas[[#This Row],[Nombre]]))))</f>
        <v>1</v>
      </c>
      <c r="R2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7" s="23" t="str" cm="1">
        <f t="array" ref="S2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7" s="23" t="str" cm="1">
        <f t="array" ref="T2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7" s="14" t="str" cm="1">
        <f t="array" ref="U2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7" t="str" cm="1">
        <f t="array" ref="V2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7" t="str" cm="1">
        <f t="array" ref="W2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7" t="str">
        <f>IF(COUNTIFS('Base Estudiantes'!$C:$C,tblMatriculas[[#This Row],[Cédula]],'Base Estudiantes'!$I:$I,tblMatriculas[[#This Row],[Código]])&gt;0,"Sí","No")</f>
        <v>Sí</v>
      </c>
      <c r="Z217" s="23" cm="1">
        <f t="array" ref="Z217">_xlfn.XLOOKUP(tblMatriculas[[#This Row],[Cédula]]&amp;"|"&amp;tblMatriculas[[#This Row],[Código]],tblBase[Documento]&amp;"|"&amp;tblBase[Código grupo],tblBase[Fecha matrícula],"")</f>
        <v>46264</v>
      </c>
    </row>
    <row r="218" spans="1:26" x14ac:dyDescent="0.2">
      <c r="A218" t="s">
        <v>491</v>
      </c>
      <c r="B218" t="s">
        <v>492</v>
      </c>
      <c r="C218" t="s">
        <v>13</v>
      </c>
      <c r="D218" t="s">
        <v>429</v>
      </c>
      <c r="E218" t="s">
        <v>430</v>
      </c>
      <c r="F218" t="s">
        <v>335</v>
      </c>
      <c r="G218" s="1">
        <v>0.16699999999999998</v>
      </c>
      <c r="H218" t="s">
        <v>229</v>
      </c>
      <c r="I218" t="s">
        <v>18</v>
      </c>
      <c r="J218" t="s">
        <v>431</v>
      </c>
      <c r="K218" t="s">
        <v>24</v>
      </c>
      <c r="L218" s="14">
        <f>IFERROR(VALUE(LEFT(tblMatriculas[[#This Row],[Clases]],FIND("/",tblMatriculas[[#This Row],[Clases]])-1)),"")</f>
        <v>5</v>
      </c>
      <c r="M218" s="14">
        <f>IFERROR(VALUE(MID(tblMatriculas[[#This Row],[Clases]],FIND("/",tblMatriculas[[#This Row],[Clases]])+1,5)),"")</f>
        <v>30</v>
      </c>
      <c r="N2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8" s="14">
        <f>IF(OR(tblMatriculas[[#This Row],[Estado]]&lt;&gt;"activa",tblMatriculas[[#This Row],[Clases dictadas]]=""),"",MAX(0,tblMatriculas[[#This Row],[Clases dictadas]]-tblMatriculas[[#This Row],[Asistidas]]))</f>
        <v>0</v>
      </c>
      <c r="P218" s="1">
        <f>IF(OR(tblMatriculas[[#This Row],[Estado]]&lt;&gt;"activa",tblMatriculas[[#This Row],[Asistidas]]=""),"",tblMatriculas[[#This Row],[Asistencia]])</f>
        <v>0.16699999999999998</v>
      </c>
      <c r="Q218" t="b">
        <f>AND(tblMatriculas[[#This Row],[Estado]]="activa",ISNUMBER(tblMatriculas[[#This Row],[% asistencia]]),NOT(ISNUMBER(SEARCH(pPrueba,tblMatriculas[[#This Row],[Nombre]]))))</f>
        <v>1</v>
      </c>
      <c r="R2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8" s="23" t="str" cm="1">
        <f t="array" ref="S2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8" s="23" t="str" cm="1">
        <f t="array" ref="T2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8" s="14" t="str" cm="1">
        <f t="array" ref="U2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8" t="str" cm="1">
        <f t="array" ref="V2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8" t="str" cm="1">
        <f t="array" ref="W2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8" t="str">
        <f>IF(COUNTIFS('Base Estudiantes'!$C:$C,tblMatriculas[[#This Row],[Cédula]],'Base Estudiantes'!$I:$I,tblMatriculas[[#This Row],[Código]])&gt;0,"Sí","No")</f>
        <v>Sí</v>
      </c>
      <c r="Z218" s="23" cm="1">
        <f t="array" ref="Z218">_xlfn.XLOOKUP(tblMatriculas[[#This Row],[Cédula]]&amp;"|"&amp;tblMatriculas[[#This Row],[Código]],tblBase[Documento]&amp;"|"&amp;tblBase[Código grupo],tblBase[Fecha matrícula],"")</f>
        <v>46264</v>
      </c>
    </row>
    <row r="219" spans="1:26" x14ac:dyDescent="0.2">
      <c r="A219" t="s">
        <v>493</v>
      </c>
      <c r="B219" t="s">
        <v>494</v>
      </c>
      <c r="C219" t="s">
        <v>13</v>
      </c>
      <c r="D219" t="s">
        <v>429</v>
      </c>
      <c r="E219" t="s">
        <v>430</v>
      </c>
      <c r="F219" t="s">
        <v>335</v>
      </c>
      <c r="G219" s="1">
        <v>0</v>
      </c>
      <c r="H219" t="s">
        <v>254</v>
      </c>
      <c r="I219" t="s">
        <v>18</v>
      </c>
      <c r="J219" t="s">
        <v>431</v>
      </c>
      <c r="K219" t="s">
        <v>24</v>
      </c>
      <c r="L219" s="14">
        <f>IFERROR(VALUE(LEFT(tblMatriculas[[#This Row],[Clases]],FIND("/",tblMatriculas[[#This Row],[Clases]])-1)),"")</f>
        <v>0</v>
      </c>
      <c r="M219" s="14">
        <f>IFERROR(VALUE(MID(tblMatriculas[[#This Row],[Clases]],FIND("/",tblMatriculas[[#This Row],[Clases]])+1,5)),"")</f>
        <v>30</v>
      </c>
      <c r="N2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19" s="14">
        <f>IF(OR(tblMatriculas[[#This Row],[Estado]]&lt;&gt;"activa",tblMatriculas[[#This Row],[Clases dictadas]]=""),"",MAX(0,tblMatriculas[[#This Row],[Clases dictadas]]-tblMatriculas[[#This Row],[Asistidas]]))</f>
        <v>5</v>
      </c>
      <c r="P219" s="1">
        <f>IF(OR(tblMatriculas[[#This Row],[Estado]]&lt;&gt;"activa",tblMatriculas[[#This Row],[Asistidas]]=""),"",tblMatriculas[[#This Row],[Asistencia]])</f>
        <v>0</v>
      </c>
      <c r="Q219" t="b">
        <f>AND(tblMatriculas[[#This Row],[Estado]]="activa",ISNUMBER(tblMatriculas[[#This Row],[% asistencia]]),NOT(ISNUMBER(SEARCH(pPrueba,tblMatriculas[[#This Row],[Nombre]]))))</f>
        <v>1</v>
      </c>
      <c r="R2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19" s="23" t="str" cm="1">
        <f t="array" ref="S2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9" s="23" t="str" cm="1">
        <f t="array" ref="T2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9" s="14" t="str" cm="1">
        <f t="array" ref="U2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9" t="str" cm="1">
        <f t="array" ref="V2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9" t="str" cm="1">
        <f t="array" ref="W2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19" t="str">
        <f>IF(COUNTIFS('Base Estudiantes'!$C:$C,tblMatriculas[[#This Row],[Cédula]],'Base Estudiantes'!$I:$I,tblMatriculas[[#This Row],[Código]])&gt;0,"Sí","No")</f>
        <v>Sí</v>
      </c>
      <c r="Z219" s="23" cm="1">
        <f t="array" ref="Z219">_xlfn.XLOOKUP(tblMatriculas[[#This Row],[Cédula]]&amp;"|"&amp;tblMatriculas[[#This Row],[Código]],tblBase[Documento]&amp;"|"&amp;tblBase[Código grupo],tblBase[Fecha matrícula],"")</f>
        <v>46264</v>
      </c>
    </row>
    <row r="220" spans="1:26" x14ac:dyDescent="0.2">
      <c r="A220" t="s">
        <v>495</v>
      </c>
      <c r="B220" t="s">
        <v>496</v>
      </c>
      <c r="C220" t="s">
        <v>13</v>
      </c>
      <c r="D220" t="s">
        <v>429</v>
      </c>
      <c r="E220" t="s">
        <v>430</v>
      </c>
      <c r="F220" t="s">
        <v>335</v>
      </c>
      <c r="G220" s="1">
        <v>0.16699999999999998</v>
      </c>
      <c r="H220" t="s">
        <v>229</v>
      </c>
      <c r="I220" t="s">
        <v>18</v>
      </c>
      <c r="J220" t="s">
        <v>431</v>
      </c>
      <c r="K220" t="s">
        <v>24</v>
      </c>
      <c r="L220" s="14">
        <f>IFERROR(VALUE(LEFT(tblMatriculas[[#This Row],[Clases]],FIND("/",tblMatriculas[[#This Row],[Clases]])-1)),"")</f>
        <v>5</v>
      </c>
      <c r="M220" s="14">
        <f>IFERROR(VALUE(MID(tblMatriculas[[#This Row],[Clases]],FIND("/",tblMatriculas[[#This Row],[Clases]])+1,5)),"")</f>
        <v>30</v>
      </c>
      <c r="N2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0" s="14">
        <f>IF(OR(tblMatriculas[[#This Row],[Estado]]&lt;&gt;"activa",tblMatriculas[[#This Row],[Clases dictadas]]=""),"",MAX(0,tblMatriculas[[#This Row],[Clases dictadas]]-tblMatriculas[[#This Row],[Asistidas]]))</f>
        <v>0</v>
      </c>
      <c r="P220" s="1">
        <f>IF(OR(tblMatriculas[[#This Row],[Estado]]&lt;&gt;"activa",tblMatriculas[[#This Row],[Asistidas]]=""),"",tblMatriculas[[#This Row],[Asistencia]])</f>
        <v>0.16699999999999998</v>
      </c>
      <c r="Q220" t="b">
        <f>AND(tblMatriculas[[#This Row],[Estado]]="activa",ISNUMBER(tblMatriculas[[#This Row],[% asistencia]]),NOT(ISNUMBER(SEARCH(pPrueba,tblMatriculas[[#This Row],[Nombre]]))))</f>
        <v>1</v>
      </c>
      <c r="R2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0" s="23" t="str" cm="1">
        <f t="array" ref="S2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0" s="23" t="str" cm="1">
        <f t="array" ref="T2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0" s="14" t="str" cm="1">
        <f t="array" ref="U2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0" t="str" cm="1">
        <f t="array" ref="V2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0" t="str" cm="1">
        <f t="array" ref="W2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0" t="str">
        <f>IF(COUNTIFS('Base Estudiantes'!$C:$C,tblMatriculas[[#This Row],[Cédula]],'Base Estudiantes'!$I:$I,tblMatriculas[[#This Row],[Código]])&gt;0,"Sí","No")</f>
        <v>Sí</v>
      </c>
      <c r="Z220" s="23" cm="1">
        <f t="array" ref="Z220">_xlfn.XLOOKUP(tblMatriculas[[#This Row],[Cédula]]&amp;"|"&amp;tblMatriculas[[#This Row],[Código]],tblBase[Documento]&amp;"|"&amp;tblBase[Código grupo],tblBase[Fecha matrícula],"")</f>
        <v>46264</v>
      </c>
    </row>
    <row r="221" spans="1:26" x14ac:dyDescent="0.2">
      <c r="A221" t="s">
        <v>497</v>
      </c>
      <c r="B221" t="s">
        <v>498</v>
      </c>
      <c r="C221" t="s">
        <v>13</v>
      </c>
      <c r="D221" t="s">
        <v>429</v>
      </c>
      <c r="E221" t="s">
        <v>430</v>
      </c>
      <c r="F221" t="s">
        <v>335</v>
      </c>
      <c r="G221" s="1">
        <v>0.13300000000000001</v>
      </c>
      <c r="H221" t="s">
        <v>112</v>
      </c>
      <c r="I221" t="s">
        <v>18</v>
      </c>
      <c r="J221" t="s">
        <v>431</v>
      </c>
      <c r="K221" t="s">
        <v>24</v>
      </c>
      <c r="L221" s="14">
        <f>IFERROR(VALUE(LEFT(tblMatriculas[[#This Row],[Clases]],FIND("/",tblMatriculas[[#This Row],[Clases]])-1)),"")</f>
        <v>4</v>
      </c>
      <c r="M221" s="14">
        <f>IFERROR(VALUE(MID(tblMatriculas[[#This Row],[Clases]],FIND("/",tblMatriculas[[#This Row],[Clases]])+1,5)),"")</f>
        <v>30</v>
      </c>
      <c r="N2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1" s="14">
        <f>IF(OR(tblMatriculas[[#This Row],[Estado]]&lt;&gt;"activa",tblMatriculas[[#This Row],[Clases dictadas]]=""),"",MAX(0,tblMatriculas[[#This Row],[Clases dictadas]]-tblMatriculas[[#This Row],[Asistidas]]))</f>
        <v>1</v>
      </c>
      <c r="P221" s="1">
        <f>IF(OR(tblMatriculas[[#This Row],[Estado]]&lt;&gt;"activa",tblMatriculas[[#This Row],[Asistidas]]=""),"",tblMatriculas[[#This Row],[Asistencia]])</f>
        <v>0.13300000000000001</v>
      </c>
      <c r="Q221" t="b">
        <f>AND(tblMatriculas[[#This Row],[Estado]]="activa",ISNUMBER(tblMatriculas[[#This Row],[% asistencia]]),NOT(ISNUMBER(SEARCH(pPrueba,tblMatriculas[[#This Row],[Nombre]]))))</f>
        <v>1</v>
      </c>
      <c r="R2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1" s="23" t="str" cm="1">
        <f t="array" ref="S2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1" s="23" t="str" cm="1">
        <f t="array" ref="T2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1" s="14" t="str" cm="1">
        <f t="array" ref="U2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1" t="str" cm="1">
        <f t="array" ref="V2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1" t="str" cm="1">
        <f t="array" ref="W2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1" t="str">
        <f>IF(COUNTIFS('Base Estudiantes'!$C:$C,tblMatriculas[[#This Row],[Cédula]],'Base Estudiantes'!$I:$I,tblMatriculas[[#This Row],[Código]])&gt;0,"Sí","No")</f>
        <v>Sí</v>
      </c>
      <c r="Z221" s="23" cm="1">
        <f t="array" ref="Z221">_xlfn.XLOOKUP(tblMatriculas[[#This Row],[Cédula]]&amp;"|"&amp;tblMatriculas[[#This Row],[Código]],tblBase[Documento]&amp;"|"&amp;tblBase[Código grupo],tblBase[Fecha matrícula],"")</f>
        <v>46264</v>
      </c>
    </row>
    <row r="222" spans="1:26" x14ac:dyDescent="0.2">
      <c r="A222" t="s">
        <v>499</v>
      </c>
      <c r="B222" t="s">
        <v>500</v>
      </c>
      <c r="C222" t="s">
        <v>13</v>
      </c>
      <c r="D222" t="s">
        <v>429</v>
      </c>
      <c r="E222" t="s">
        <v>430</v>
      </c>
      <c r="F222" t="s">
        <v>335</v>
      </c>
      <c r="G222" s="1">
        <v>0.16699999999999998</v>
      </c>
      <c r="H222" t="s">
        <v>229</v>
      </c>
      <c r="I222" t="s">
        <v>18</v>
      </c>
      <c r="J222" t="s">
        <v>431</v>
      </c>
      <c r="K222" t="s">
        <v>24</v>
      </c>
      <c r="L222" s="14">
        <f>IFERROR(VALUE(LEFT(tblMatriculas[[#This Row],[Clases]],FIND("/",tblMatriculas[[#This Row],[Clases]])-1)),"")</f>
        <v>5</v>
      </c>
      <c r="M222" s="14">
        <f>IFERROR(VALUE(MID(tblMatriculas[[#This Row],[Clases]],FIND("/",tblMatriculas[[#This Row],[Clases]])+1,5)),"")</f>
        <v>30</v>
      </c>
      <c r="N2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2" s="14">
        <f>IF(OR(tblMatriculas[[#This Row],[Estado]]&lt;&gt;"activa",tblMatriculas[[#This Row],[Clases dictadas]]=""),"",MAX(0,tblMatriculas[[#This Row],[Clases dictadas]]-tblMatriculas[[#This Row],[Asistidas]]))</f>
        <v>0</v>
      </c>
      <c r="P222" s="1">
        <f>IF(OR(tblMatriculas[[#This Row],[Estado]]&lt;&gt;"activa",tblMatriculas[[#This Row],[Asistidas]]=""),"",tblMatriculas[[#This Row],[Asistencia]])</f>
        <v>0.16699999999999998</v>
      </c>
      <c r="Q222" t="b">
        <f>AND(tblMatriculas[[#This Row],[Estado]]="activa",ISNUMBER(tblMatriculas[[#This Row],[% asistencia]]),NOT(ISNUMBER(SEARCH(pPrueba,tblMatriculas[[#This Row],[Nombre]]))))</f>
        <v>1</v>
      </c>
      <c r="R2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2" s="23" t="str" cm="1">
        <f t="array" ref="S2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2" s="23" t="str" cm="1">
        <f t="array" ref="T2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2" s="14" t="str" cm="1">
        <f t="array" ref="U2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2" t="str" cm="1">
        <f t="array" ref="V2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2" t="str" cm="1">
        <f t="array" ref="W2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2" t="str">
        <f>IF(COUNTIFS('Base Estudiantes'!$C:$C,tblMatriculas[[#This Row],[Cédula]],'Base Estudiantes'!$I:$I,tblMatriculas[[#This Row],[Código]])&gt;0,"Sí","No")</f>
        <v>Sí</v>
      </c>
      <c r="Z222" s="23" cm="1">
        <f t="array" ref="Z222">_xlfn.XLOOKUP(tblMatriculas[[#This Row],[Cédula]]&amp;"|"&amp;tblMatriculas[[#This Row],[Código]],tblBase[Documento]&amp;"|"&amp;tblBase[Código grupo],tblBase[Fecha matrícula],"")</f>
        <v>46264</v>
      </c>
    </row>
    <row r="223" spans="1:26" x14ac:dyDescent="0.2">
      <c r="A223" t="s">
        <v>501</v>
      </c>
      <c r="B223" t="s">
        <v>502</v>
      </c>
      <c r="C223" t="s">
        <v>13</v>
      </c>
      <c r="D223" t="s">
        <v>429</v>
      </c>
      <c r="E223" t="s">
        <v>430</v>
      </c>
      <c r="F223" t="s">
        <v>335</v>
      </c>
      <c r="G223" s="1">
        <v>0.16699999999999998</v>
      </c>
      <c r="H223" t="s">
        <v>229</v>
      </c>
      <c r="I223" t="s">
        <v>18</v>
      </c>
      <c r="J223" t="s">
        <v>431</v>
      </c>
      <c r="K223" t="s">
        <v>24</v>
      </c>
      <c r="L223" s="14">
        <f>IFERROR(VALUE(LEFT(tblMatriculas[[#This Row],[Clases]],FIND("/",tblMatriculas[[#This Row],[Clases]])-1)),"")</f>
        <v>5</v>
      </c>
      <c r="M223" s="14">
        <f>IFERROR(VALUE(MID(tblMatriculas[[#This Row],[Clases]],FIND("/",tblMatriculas[[#This Row],[Clases]])+1,5)),"")</f>
        <v>30</v>
      </c>
      <c r="N2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3" s="14">
        <f>IF(OR(tblMatriculas[[#This Row],[Estado]]&lt;&gt;"activa",tblMatriculas[[#This Row],[Clases dictadas]]=""),"",MAX(0,tblMatriculas[[#This Row],[Clases dictadas]]-tblMatriculas[[#This Row],[Asistidas]]))</f>
        <v>0</v>
      </c>
      <c r="P223" s="1">
        <f>IF(OR(tblMatriculas[[#This Row],[Estado]]&lt;&gt;"activa",tblMatriculas[[#This Row],[Asistidas]]=""),"",tblMatriculas[[#This Row],[Asistencia]])</f>
        <v>0.16699999999999998</v>
      </c>
      <c r="Q223" t="b">
        <f>AND(tblMatriculas[[#This Row],[Estado]]="activa",ISNUMBER(tblMatriculas[[#This Row],[% asistencia]]),NOT(ISNUMBER(SEARCH(pPrueba,tblMatriculas[[#This Row],[Nombre]]))))</f>
        <v>1</v>
      </c>
      <c r="R2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3" s="23" t="str" cm="1">
        <f t="array" ref="S2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3" s="23" t="str" cm="1">
        <f t="array" ref="T2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3" s="14" t="str" cm="1">
        <f t="array" ref="U2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3" t="str" cm="1">
        <f t="array" ref="V2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3" t="str" cm="1">
        <f t="array" ref="W2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3" t="str">
        <f>IF(COUNTIFS('Base Estudiantes'!$C:$C,tblMatriculas[[#This Row],[Cédula]],'Base Estudiantes'!$I:$I,tblMatriculas[[#This Row],[Código]])&gt;0,"Sí","No")</f>
        <v>Sí</v>
      </c>
      <c r="Z223" s="23" cm="1">
        <f t="array" ref="Z223">_xlfn.XLOOKUP(tblMatriculas[[#This Row],[Cédula]]&amp;"|"&amp;tblMatriculas[[#This Row],[Código]],tblBase[Documento]&amp;"|"&amp;tblBase[Código grupo],tblBase[Fecha matrícula],"")</f>
        <v>46264</v>
      </c>
    </row>
    <row r="224" spans="1:26" x14ac:dyDescent="0.2">
      <c r="A224" t="s">
        <v>503</v>
      </c>
      <c r="B224" t="s">
        <v>504</v>
      </c>
      <c r="C224" t="s">
        <v>13</v>
      </c>
      <c r="D224" t="s">
        <v>429</v>
      </c>
      <c r="E224" t="s">
        <v>430</v>
      </c>
      <c r="F224" t="s">
        <v>335</v>
      </c>
      <c r="G224" s="1">
        <v>0.16699999999999998</v>
      </c>
      <c r="H224" t="s">
        <v>229</v>
      </c>
      <c r="I224" t="s">
        <v>18</v>
      </c>
      <c r="J224" t="s">
        <v>431</v>
      </c>
      <c r="K224" t="s">
        <v>24</v>
      </c>
      <c r="L224" s="14">
        <f>IFERROR(VALUE(LEFT(tblMatriculas[[#This Row],[Clases]],FIND("/",tblMatriculas[[#This Row],[Clases]])-1)),"")</f>
        <v>5</v>
      </c>
      <c r="M224" s="14">
        <f>IFERROR(VALUE(MID(tblMatriculas[[#This Row],[Clases]],FIND("/",tblMatriculas[[#This Row],[Clases]])+1,5)),"")</f>
        <v>30</v>
      </c>
      <c r="N2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4" s="14">
        <f>IF(OR(tblMatriculas[[#This Row],[Estado]]&lt;&gt;"activa",tblMatriculas[[#This Row],[Clases dictadas]]=""),"",MAX(0,tblMatriculas[[#This Row],[Clases dictadas]]-tblMatriculas[[#This Row],[Asistidas]]))</f>
        <v>0</v>
      </c>
      <c r="P224" s="1">
        <f>IF(OR(tblMatriculas[[#This Row],[Estado]]&lt;&gt;"activa",tblMatriculas[[#This Row],[Asistidas]]=""),"",tblMatriculas[[#This Row],[Asistencia]])</f>
        <v>0.16699999999999998</v>
      </c>
      <c r="Q224" t="b">
        <f>AND(tblMatriculas[[#This Row],[Estado]]="activa",ISNUMBER(tblMatriculas[[#This Row],[% asistencia]]),NOT(ISNUMBER(SEARCH(pPrueba,tblMatriculas[[#This Row],[Nombre]]))))</f>
        <v>1</v>
      </c>
      <c r="R2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4" s="23" t="str" cm="1">
        <f t="array" ref="S2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4" s="23" t="str" cm="1">
        <f t="array" ref="T2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4" s="14" t="str" cm="1">
        <f t="array" ref="U2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4" t="str" cm="1">
        <f t="array" ref="V2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4" t="str" cm="1">
        <f t="array" ref="W2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4" t="str">
        <f>IF(COUNTIFS('Base Estudiantes'!$C:$C,tblMatriculas[[#This Row],[Cédula]],'Base Estudiantes'!$I:$I,tblMatriculas[[#This Row],[Código]])&gt;0,"Sí","No")</f>
        <v>Sí</v>
      </c>
      <c r="Z224" s="23" cm="1">
        <f t="array" ref="Z224">_xlfn.XLOOKUP(tblMatriculas[[#This Row],[Cédula]]&amp;"|"&amp;tblMatriculas[[#This Row],[Código]],tblBase[Documento]&amp;"|"&amp;tblBase[Código grupo],tblBase[Fecha matrícula],"")</f>
        <v>46264</v>
      </c>
    </row>
    <row r="225" spans="1:26" x14ac:dyDescent="0.2">
      <c r="A225" t="s">
        <v>505</v>
      </c>
      <c r="B225" t="s">
        <v>506</v>
      </c>
      <c r="C225" t="s">
        <v>13</v>
      </c>
      <c r="D225" t="s">
        <v>429</v>
      </c>
      <c r="E225" t="s">
        <v>430</v>
      </c>
      <c r="F225" t="s">
        <v>335</v>
      </c>
      <c r="G225" s="1">
        <v>0.16699999999999998</v>
      </c>
      <c r="H225" t="s">
        <v>229</v>
      </c>
      <c r="I225" t="s">
        <v>18</v>
      </c>
      <c r="J225" t="s">
        <v>431</v>
      </c>
      <c r="K225" t="s">
        <v>233</v>
      </c>
      <c r="L225" s="14">
        <f>IFERROR(VALUE(LEFT(tblMatriculas[[#This Row],[Clases]],FIND("/",tblMatriculas[[#This Row],[Clases]])-1)),"")</f>
        <v>5</v>
      </c>
      <c r="M225" s="14">
        <f>IFERROR(VALUE(MID(tblMatriculas[[#This Row],[Clases]],FIND("/",tblMatriculas[[#This Row],[Clases]])+1,5)),"")</f>
        <v>30</v>
      </c>
      <c r="N2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5" s="14">
        <f>IF(OR(tblMatriculas[[#This Row],[Estado]]&lt;&gt;"activa",tblMatriculas[[#This Row],[Clases dictadas]]=""),"",MAX(0,tblMatriculas[[#This Row],[Clases dictadas]]-tblMatriculas[[#This Row],[Asistidas]]))</f>
        <v>0</v>
      </c>
      <c r="P225" s="1">
        <f>IF(OR(tblMatriculas[[#This Row],[Estado]]&lt;&gt;"activa",tblMatriculas[[#This Row],[Asistidas]]=""),"",tblMatriculas[[#This Row],[Asistencia]])</f>
        <v>0.16699999999999998</v>
      </c>
      <c r="Q225" t="b">
        <f>AND(tblMatriculas[[#This Row],[Estado]]="activa",ISNUMBER(tblMatriculas[[#This Row],[% asistencia]]),NOT(ISNUMBER(SEARCH(pPrueba,tblMatriculas[[#This Row],[Nombre]]))))</f>
        <v>1</v>
      </c>
      <c r="R2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5" s="23" t="str" cm="1">
        <f t="array" ref="S2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5" s="23" t="str" cm="1">
        <f t="array" ref="T2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5" s="14" t="str" cm="1">
        <f t="array" ref="U2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5" t="str" cm="1">
        <f t="array" ref="V2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5" t="str" cm="1">
        <f t="array" ref="W2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5" t="str">
        <f>IF(COUNTIFS('Base Estudiantes'!$C:$C,tblMatriculas[[#This Row],[Cédula]],'Base Estudiantes'!$I:$I,tblMatriculas[[#This Row],[Código]])&gt;0,"Sí","No")</f>
        <v>Sí</v>
      </c>
      <c r="Z225" s="23" cm="1">
        <f t="array" ref="Z225">_xlfn.XLOOKUP(tblMatriculas[[#This Row],[Cédula]]&amp;"|"&amp;tblMatriculas[[#This Row],[Código]],tblBase[Documento]&amp;"|"&amp;tblBase[Código grupo],tblBase[Fecha matrícula],"")</f>
        <v>46264</v>
      </c>
    </row>
    <row r="226" spans="1:26" x14ac:dyDescent="0.2">
      <c r="A226" t="s">
        <v>507</v>
      </c>
      <c r="B226" t="s">
        <v>508</v>
      </c>
      <c r="C226" t="s">
        <v>13</v>
      </c>
      <c r="D226" t="s">
        <v>429</v>
      </c>
      <c r="E226" t="s">
        <v>430</v>
      </c>
      <c r="F226" t="s">
        <v>335</v>
      </c>
      <c r="G226" s="1">
        <v>0.16699999999999998</v>
      </c>
      <c r="H226" t="s">
        <v>229</v>
      </c>
      <c r="I226" t="s">
        <v>18</v>
      </c>
      <c r="J226" t="s">
        <v>431</v>
      </c>
      <c r="K226" t="s">
        <v>426</v>
      </c>
      <c r="L226" s="14">
        <f>IFERROR(VALUE(LEFT(tblMatriculas[[#This Row],[Clases]],FIND("/",tblMatriculas[[#This Row],[Clases]])-1)),"")</f>
        <v>5</v>
      </c>
      <c r="M226" s="14">
        <f>IFERROR(VALUE(MID(tblMatriculas[[#This Row],[Clases]],FIND("/",tblMatriculas[[#This Row],[Clases]])+1,5)),"")</f>
        <v>30</v>
      </c>
      <c r="N2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6" s="14">
        <f>IF(OR(tblMatriculas[[#This Row],[Estado]]&lt;&gt;"activa",tblMatriculas[[#This Row],[Clases dictadas]]=""),"",MAX(0,tblMatriculas[[#This Row],[Clases dictadas]]-tblMatriculas[[#This Row],[Asistidas]]))</f>
        <v>0</v>
      </c>
      <c r="P226" s="1">
        <f>IF(OR(tblMatriculas[[#This Row],[Estado]]&lt;&gt;"activa",tblMatriculas[[#This Row],[Asistidas]]=""),"",tblMatriculas[[#This Row],[Asistencia]])</f>
        <v>0.16699999999999998</v>
      </c>
      <c r="Q226" t="b">
        <f>AND(tblMatriculas[[#This Row],[Estado]]="activa",ISNUMBER(tblMatriculas[[#This Row],[% asistencia]]),NOT(ISNUMBER(SEARCH(pPrueba,tblMatriculas[[#This Row],[Nombre]]))))</f>
        <v>1</v>
      </c>
      <c r="R2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6" s="23" t="str" cm="1">
        <f t="array" ref="S2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6" s="23" t="str" cm="1">
        <f t="array" ref="T2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6" s="14" t="str" cm="1">
        <f t="array" ref="U2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6" t="str" cm="1">
        <f t="array" ref="V2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6" t="str" cm="1">
        <f t="array" ref="W2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6" t="str">
        <f>IF(COUNTIFS('Base Estudiantes'!$C:$C,tblMatriculas[[#This Row],[Cédula]],'Base Estudiantes'!$I:$I,tblMatriculas[[#This Row],[Código]])&gt;0,"Sí","No")</f>
        <v>Sí</v>
      </c>
      <c r="Z226" s="23" cm="1">
        <f t="array" ref="Z226">_xlfn.XLOOKUP(tblMatriculas[[#This Row],[Cédula]]&amp;"|"&amp;tblMatriculas[[#This Row],[Código]],tblBase[Documento]&amp;"|"&amp;tblBase[Código grupo],tblBase[Fecha matrícula],"")</f>
        <v>46264</v>
      </c>
    </row>
    <row r="227" spans="1:26" x14ac:dyDescent="0.2">
      <c r="A227" t="s">
        <v>509</v>
      </c>
      <c r="B227" t="s">
        <v>510</v>
      </c>
      <c r="C227" t="s">
        <v>13</v>
      </c>
      <c r="D227" t="s">
        <v>429</v>
      </c>
      <c r="E227" t="s">
        <v>430</v>
      </c>
      <c r="F227" t="s">
        <v>335</v>
      </c>
      <c r="G227" s="1">
        <v>0.16699999999999998</v>
      </c>
      <c r="H227" t="s">
        <v>229</v>
      </c>
      <c r="I227" t="s">
        <v>18</v>
      </c>
      <c r="J227" t="s">
        <v>431</v>
      </c>
      <c r="K227" t="s">
        <v>511</v>
      </c>
      <c r="L227" s="14">
        <f>IFERROR(VALUE(LEFT(tblMatriculas[[#This Row],[Clases]],FIND("/",tblMatriculas[[#This Row],[Clases]])-1)),"")</f>
        <v>5</v>
      </c>
      <c r="M227" s="14">
        <f>IFERROR(VALUE(MID(tblMatriculas[[#This Row],[Clases]],FIND("/",tblMatriculas[[#This Row],[Clases]])+1,5)),"")</f>
        <v>30</v>
      </c>
      <c r="N2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27" s="14">
        <f>IF(OR(tblMatriculas[[#This Row],[Estado]]&lt;&gt;"activa",tblMatriculas[[#This Row],[Clases dictadas]]=""),"",MAX(0,tblMatriculas[[#This Row],[Clases dictadas]]-tblMatriculas[[#This Row],[Asistidas]]))</f>
        <v>0</v>
      </c>
      <c r="P227" s="1">
        <f>IF(OR(tblMatriculas[[#This Row],[Estado]]&lt;&gt;"activa",tblMatriculas[[#This Row],[Asistidas]]=""),"",tblMatriculas[[#This Row],[Asistencia]])</f>
        <v>0.16699999999999998</v>
      </c>
      <c r="Q227" t="b">
        <f>AND(tblMatriculas[[#This Row],[Estado]]="activa",ISNUMBER(tblMatriculas[[#This Row],[% asistencia]]),NOT(ISNUMBER(SEARCH(pPrueba,tblMatriculas[[#This Row],[Nombre]]))))</f>
        <v>1</v>
      </c>
      <c r="R2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7" s="23" t="str" cm="1">
        <f t="array" ref="S2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7" s="23" t="str" cm="1">
        <f t="array" ref="T2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7" s="14" t="str" cm="1">
        <f t="array" ref="U2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7" t="str" cm="1">
        <f t="array" ref="V2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7" t="str" cm="1">
        <f t="array" ref="W2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7" t="str">
        <f>IF(COUNTIFS('Base Estudiantes'!$C:$C,tblMatriculas[[#This Row],[Cédula]],'Base Estudiantes'!$I:$I,tblMatriculas[[#This Row],[Código]])&gt;0,"Sí","No")</f>
        <v>Sí</v>
      </c>
      <c r="Z227" s="23" cm="1">
        <f t="array" ref="Z227">_xlfn.XLOOKUP(tblMatriculas[[#This Row],[Cédula]]&amp;"|"&amp;tblMatriculas[[#This Row],[Código]],tblBase[Documento]&amp;"|"&amp;tblBase[Código grupo],tblBase[Fecha matrícula],"")</f>
        <v>46264</v>
      </c>
    </row>
    <row r="228" spans="1:26" x14ac:dyDescent="0.2">
      <c r="A228" t="s">
        <v>378</v>
      </c>
      <c r="B228" t="s">
        <v>379</v>
      </c>
      <c r="C228" t="s">
        <v>13</v>
      </c>
      <c r="D228" t="s">
        <v>429</v>
      </c>
      <c r="E228" t="s">
        <v>430</v>
      </c>
      <c r="F228" t="s">
        <v>335</v>
      </c>
      <c r="G228" s="1">
        <v>0.1</v>
      </c>
      <c r="H228" t="s">
        <v>380</v>
      </c>
      <c r="I228" t="s">
        <v>18</v>
      </c>
      <c r="J228" t="s">
        <v>431</v>
      </c>
      <c r="K228" t="s">
        <v>24</v>
      </c>
      <c r="L228" s="14">
        <f>IFERROR(VALUE(LEFT(tblMatriculas[[#This Row],[Clases]],FIND("/",tblMatriculas[[#This Row],[Clases]])-1)),"")</f>
        <v>6</v>
      </c>
      <c r="M228" s="14">
        <f>IFERROR(VALUE(MID(tblMatriculas[[#This Row],[Clases]],FIND("/",tblMatriculas[[#This Row],[Clases]])+1,5)),"")</f>
        <v>60</v>
      </c>
      <c r="N2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228" s="14">
        <f>IF(OR(tblMatriculas[[#This Row],[Estado]]&lt;&gt;"activa",tblMatriculas[[#This Row],[Clases dictadas]]=""),"",MAX(0,tblMatriculas[[#This Row],[Clases dictadas]]-tblMatriculas[[#This Row],[Asistidas]]))</f>
        <v>4</v>
      </c>
      <c r="P228" s="1">
        <f>IF(OR(tblMatriculas[[#This Row],[Estado]]&lt;&gt;"activa",tblMatriculas[[#This Row],[Asistidas]]=""),"",tblMatriculas[[#This Row],[Asistencia]])</f>
        <v>0.1</v>
      </c>
      <c r="Q228" t="b">
        <f>AND(tblMatriculas[[#This Row],[Estado]]="activa",ISNUMBER(tblMatriculas[[#This Row],[% asistencia]]),NOT(ISNUMBER(SEARCH(pPrueba,tblMatriculas[[#This Row],[Nombre]]))))</f>
        <v>1</v>
      </c>
      <c r="R2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28" s="23" t="str" cm="1">
        <f t="array" ref="S2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8" s="23" t="str" cm="1">
        <f t="array" ref="T2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8" s="14" t="str" cm="1">
        <f t="array" ref="U2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8" t="str" cm="1">
        <f t="array" ref="V2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8" t="str" cm="1">
        <f t="array" ref="W2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28" t="str">
        <f>IF(COUNTIFS('Base Estudiantes'!$C:$C,tblMatriculas[[#This Row],[Cédula]],'Base Estudiantes'!$I:$I,tblMatriculas[[#This Row],[Código]])&gt;0,"Sí","No")</f>
        <v>Sí</v>
      </c>
      <c r="Z228" s="23" cm="1">
        <f t="array" ref="Z228">_xlfn.XLOOKUP(tblMatriculas[[#This Row],[Cédula]]&amp;"|"&amp;tblMatriculas[[#This Row],[Código]],tblBase[Documento]&amp;"|"&amp;tblBase[Código grupo],tblBase[Fecha matrícula],"")</f>
        <v>46269</v>
      </c>
    </row>
    <row r="229" spans="1:26" x14ac:dyDescent="0.2">
      <c r="A229" t="s">
        <v>512</v>
      </c>
      <c r="B229" t="s">
        <v>513</v>
      </c>
      <c r="C229" t="s">
        <v>13</v>
      </c>
      <c r="D229" t="s">
        <v>514</v>
      </c>
      <c r="E229" t="s">
        <v>515</v>
      </c>
      <c r="F229" t="s">
        <v>516</v>
      </c>
      <c r="G229" s="1">
        <v>6.7000000000000004E-2</v>
      </c>
      <c r="H229" t="s">
        <v>166</v>
      </c>
      <c r="I229" t="s">
        <v>18</v>
      </c>
      <c r="J229" t="s">
        <v>337</v>
      </c>
      <c r="K229" t="s">
        <v>114</v>
      </c>
      <c r="L229" s="14">
        <f>IFERROR(VALUE(LEFT(tblMatriculas[[#This Row],[Clases]],FIND("/",tblMatriculas[[#This Row],[Clases]])-1)),"")</f>
        <v>2</v>
      </c>
      <c r="M229" s="14">
        <f>IFERROR(VALUE(MID(tblMatriculas[[#This Row],[Clases]],FIND("/",tblMatriculas[[#This Row],[Clases]])+1,5)),"")</f>
        <v>30</v>
      </c>
      <c r="N2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29" s="14">
        <f>IF(OR(tblMatriculas[[#This Row],[Estado]]&lt;&gt;"activa",tblMatriculas[[#This Row],[Clases dictadas]]=""),"",MAX(0,tblMatriculas[[#This Row],[Clases dictadas]]-tblMatriculas[[#This Row],[Asistidas]]))</f>
        <v>0</v>
      </c>
      <c r="P229" s="1">
        <f>IF(OR(tblMatriculas[[#This Row],[Estado]]&lt;&gt;"activa",tblMatriculas[[#This Row],[Asistidas]]=""),"",tblMatriculas[[#This Row],[Asistencia]])</f>
        <v>6.7000000000000004E-2</v>
      </c>
      <c r="Q229" t="b">
        <f>AND(tblMatriculas[[#This Row],[Estado]]="activa",ISNUMBER(tblMatriculas[[#This Row],[% asistencia]]),NOT(ISNUMBER(SEARCH(pPrueba,tblMatriculas[[#This Row],[Nombre]]))))</f>
        <v>1</v>
      </c>
      <c r="R2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29" s="23" t="str" cm="1">
        <f t="array" ref="S2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29" s="23" t="str" cm="1">
        <f t="array" ref="T2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29" s="14" t="str" cm="1">
        <f t="array" ref="U2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29" t="str" cm="1">
        <f t="array" ref="V2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29" t="str" cm="1">
        <f t="array" ref="W2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2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29" t="str">
        <f>IF(COUNTIFS('Base Estudiantes'!$C:$C,tblMatriculas[[#This Row],[Cédula]],'Base Estudiantes'!$I:$I,tblMatriculas[[#This Row],[Código]])&gt;0,"Sí","No")</f>
        <v>Sí</v>
      </c>
      <c r="Z229" s="23" cm="1">
        <f t="array" ref="Z229">_xlfn.XLOOKUP(tblMatriculas[[#This Row],[Cédula]]&amp;"|"&amp;tblMatriculas[[#This Row],[Código]],tblBase[Documento]&amp;"|"&amp;tblBase[Código grupo],tblBase[Fecha matrícula],"")</f>
        <v>46263</v>
      </c>
    </row>
    <row r="230" spans="1:26" x14ac:dyDescent="0.2">
      <c r="A230" t="s">
        <v>517</v>
      </c>
      <c r="B230" t="s">
        <v>518</v>
      </c>
      <c r="C230" t="s">
        <v>13</v>
      </c>
      <c r="D230" t="s">
        <v>514</v>
      </c>
      <c r="E230" t="s">
        <v>515</v>
      </c>
      <c r="F230" t="s">
        <v>516</v>
      </c>
      <c r="G230" s="1">
        <v>6.7000000000000004E-2</v>
      </c>
      <c r="H230" t="s">
        <v>166</v>
      </c>
      <c r="I230" t="s">
        <v>18</v>
      </c>
      <c r="J230" t="s">
        <v>337</v>
      </c>
      <c r="K230" t="s">
        <v>114</v>
      </c>
      <c r="L230" s="14">
        <f>IFERROR(VALUE(LEFT(tblMatriculas[[#This Row],[Clases]],FIND("/",tblMatriculas[[#This Row],[Clases]])-1)),"")</f>
        <v>2</v>
      </c>
      <c r="M230" s="14">
        <f>IFERROR(VALUE(MID(tblMatriculas[[#This Row],[Clases]],FIND("/",tblMatriculas[[#This Row],[Clases]])+1,5)),"")</f>
        <v>30</v>
      </c>
      <c r="N2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0" s="14">
        <f>IF(OR(tblMatriculas[[#This Row],[Estado]]&lt;&gt;"activa",tblMatriculas[[#This Row],[Clases dictadas]]=""),"",MAX(0,tblMatriculas[[#This Row],[Clases dictadas]]-tblMatriculas[[#This Row],[Asistidas]]))</f>
        <v>0</v>
      </c>
      <c r="P230" s="1">
        <f>IF(OR(tblMatriculas[[#This Row],[Estado]]&lt;&gt;"activa",tblMatriculas[[#This Row],[Asistidas]]=""),"",tblMatriculas[[#This Row],[Asistencia]])</f>
        <v>6.7000000000000004E-2</v>
      </c>
      <c r="Q230" t="b">
        <f>AND(tblMatriculas[[#This Row],[Estado]]="activa",ISNUMBER(tblMatriculas[[#This Row],[% asistencia]]),NOT(ISNUMBER(SEARCH(pPrueba,tblMatriculas[[#This Row],[Nombre]]))))</f>
        <v>1</v>
      </c>
      <c r="R2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30" s="23" t="str" cm="1">
        <f t="array" ref="S2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0" s="23" t="str" cm="1">
        <f t="array" ref="T2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0" s="14" t="str" cm="1">
        <f t="array" ref="U2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0" t="str" cm="1">
        <f t="array" ref="V2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0" t="str" cm="1">
        <f t="array" ref="W2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30" t="str">
        <f>IF(COUNTIFS('Base Estudiantes'!$C:$C,tblMatriculas[[#This Row],[Cédula]],'Base Estudiantes'!$I:$I,tblMatriculas[[#This Row],[Código]])&gt;0,"Sí","No")</f>
        <v>Sí</v>
      </c>
      <c r="Z230" s="23" cm="1">
        <f t="array" ref="Z230">_xlfn.XLOOKUP(tblMatriculas[[#This Row],[Cédula]]&amp;"|"&amp;tblMatriculas[[#This Row],[Código]],tblBase[Documento]&amp;"|"&amp;tblBase[Código grupo],tblBase[Fecha matrícula],"")</f>
        <v>46263</v>
      </c>
    </row>
    <row r="231" spans="1:26" x14ac:dyDescent="0.2">
      <c r="A231" t="s">
        <v>519</v>
      </c>
      <c r="B231" t="s">
        <v>520</v>
      </c>
      <c r="C231" t="s">
        <v>13</v>
      </c>
      <c r="D231" t="s">
        <v>514</v>
      </c>
      <c r="E231" t="s">
        <v>515</v>
      </c>
      <c r="F231" t="s">
        <v>516</v>
      </c>
      <c r="G231" s="1">
        <v>6.7000000000000004E-2</v>
      </c>
      <c r="H231" t="s">
        <v>166</v>
      </c>
      <c r="I231" t="s">
        <v>18</v>
      </c>
      <c r="J231" t="s">
        <v>337</v>
      </c>
      <c r="K231" t="s">
        <v>521</v>
      </c>
      <c r="L231" s="14">
        <f>IFERROR(VALUE(LEFT(tblMatriculas[[#This Row],[Clases]],FIND("/",tblMatriculas[[#This Row],[Clases]])-1)),"")</f>
        <v>2</v>
      </c>
      <c r="M231" s="14">
        <f>IFERROR(VALUE(MID(tblMatriculas[[#This Row],[Clases]],FIND("/",tblMatriculas[[#This Row],[Clases]])+1,5)),"")</f>
        <v>30</v>
      </c>
      <c r="N2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1" s="14">
        <f>IF(OR(tblMatriculas[[#This Row],[Estado]]&lt;&gt;"activa",tblMatriculas[[#This Row],[Clases dictadas]]=""),"",MAX(0,tblMatriculas[[#This Row],[Clases dictadas]]-tblMatriculas[[#This Row],[Asistidas]]))</f>
        <v>0</v>
      </c>
      <c r="P231" s="1">
        <f>IF(OR(tblMatriculas[[#This Row],[Estado]]&lt;&gt;"activa",tblMatriculas[[#This Row],[Asistidas]]=""),"",tblMatriculas[[#This Row],[Asistencia]])</f>
        <v>6.7000000000000004E-2</v>
      </c>
      <c r="Q231" t="b">
        <f>AND(tblMatriculas[[#This Row],[Estado]]="activa",ISNUMBER(tblMatriculas[[#This Row],[% asistencia]]),NOT(ISNUMBER(SEARCH(pPrueba,tblMatriculas[[#This Row],[Nombre]]))))</f>
        <v>1</v>
      </c>
      <c r="R2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31" s="23" t="str" cm="1">
        <f t="array" ref="S2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1" s="23" t="str" cm="1">
        <f t="array" ref="T2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1" s="14" t="str" cm="1">
        <f t="array" ref="U2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1" t="str" cm="1">
        <f t="array" ref="V2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1" t="str" cm="1">
        <f t="array" ref="W2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3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31" t="str">
        <f>IF(COUNTIFS('Base Estudiantes'!$C:$C,tblMatriculas[[#This Row],[Cédula]],'Base Estudiantes'!$I:$I,tblMatriculas[[#This Row],[Código]])&gt;0,"Sí","No")</f>
        <v>Sí</v>
      </c>
      <c r="Z231" s="23" cm="1">
        <f t="array" ref="Z231">_xlfn.XLOOKUP(tblMatriculas[[#This Row],[Cédula]]&amp;"|"&amp;tblMatriculas[[#This Row],[Código]],tblBase[Documento]&amp;"|"&amp;tblBase[Código grupo],tblBase[Fecha matrícula],"")</f>
        <v>46264</v>
      </c>
    </row>
    <row r="232" spans="1:26" x14ac:dyDescent="0.2">
      <c r="A232" t="s">
        <v>522</v>
      </c>
      <c r="B232" t="s">
        <v>523</v>
      </c>
      <c r="C232" t="s">
        <v>13</v>
      </c>
      <c r="D232" t="s">
        <v>514</v>
      </c>
      <c r="E232" t="s">
        <v>515</v>
      </c>
      <c r="F232" t="s">
        <v>516</v>
      </c>
      <c r="G232" s="1">
        <v>3.3000000000000002E-2</v>
      </c>
      <c r="H232" t="s">
        <v>225</v>
      </c>
      <c r="I232" t="s">
        <v>18</v>
      </c>
      <c r="J232" t="s">
        <v>337</v>
      </c>
      <c r="K232" t="s">
        <v>521</v>
      </c>
      <c r="L232" s="14">
        <f>IFERROR(VALUE(LEFT(tblMatriculas[[#This Row],[Clases]],FIND("/",tblMatriculas[[#This Row],[Clases]])-1)),"")</f>
        <v>1</v>
      </c>
      <c r="M232" s="14">
        <f>IFERROR(VALUE(MID(tblMatriculas[[#This Row],[Clases]],FIND("/",tblMatriculas[[#This Row],[Clases]])+1,5)),"")</f>
        <v>30</v>
      </c>
      <c r="N2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2" s="14">
        <f>IF(OR(tblMatriculas[[#This Row],[Estado]]&lt;&gt;"activa",tblMatriculas[[#This Row],[Clases dictadas]]=""),"",MAX(0,tblMatriculas[[#This Row],[Clases dictadas]]-tblMatriculas[[#This Row],[Asistidas]]))</f>
        <v>1</v>
      </c>
      <c r="P232" s="1">
        <f>IF(OR(tblMatriculas[[#This Row],[Estado]]&lt;&gt;"activa",tblMatriculas[[#This Row],[Asistidas]]=""),"",tblMatriculas[[#This Row],[Asistencia]])</f>
        <v>3.3000000000000002E-2</v>
      </c>
      <c r="Q232" t="b">
        <f>AND(tblMatriculas[[#This Row],[Estado]]="activa",ISNUMBER(tblMatriculas[[#This Row],[% asistencia]]),NOT(ISNUMBER(SEARCH(pPrueba,tblMatriculas[[#This Row],[Nombre]]))))</f>
        <v>1</v>
      </c>
      <c r="R2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32" s="23" t="str" cm="1">
        <f t="array" ref="S2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2" s="23" t="str" cm="1">
        <f t="array" ref="T2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2" s="14" t="str" cm="1">
        <f t="array" ref="U2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2" t="str" cm="1">
        <f t="array" ref="V2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2" t="str" cm="1">
        <f t="array" ref="W2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32" t="str">
        <f>IF(COUNTIFS('Base Estudiantes'!$C:$C,tblMatriculas[[#This Row],[Cédula]],'Base Estudiantes'!$I:$I,tblMatriculas[[#This Row],[Código]])&gt;0,"Sí","No")</f>
        <v>Sí</v>
      </c>
      <c r="Z232" s="23" cm="1">
        <f t="array" ref="Z232">_xlfn.XLOOKUP(tblMatriculas[[#This Row],[Cédula]]&amp;"|"&amp;tblMatriculas[[#This Row],[Código]],tblBase[Documento]&amp;"|"&amp;tblBase[Código grupo],tblBase[Fecha matrícula],"")</f>
        <v>46264</v>
      </c>
    </row>
    <row r="233" spans="1:26" x14ac:dyDescent="0.2">
      <c r="A233" t="s">
        <v>524</v>
      </c>
      <c r="B233" t="s">
        <v>525</v>
      </c>
      <c r="C233" t="s">
        <v>13</v>
      </c>
      <c r="D233" t="s">
        <v>514</v>
      </c>
      <c r="E233" t="s">
        <v>515</v>
      </c>
      <c r="F233" t="s">
        <v>516</v>
      </c>
      <c r="G233" s="1">
        <v>3.3000000000000002E-2</v>
      </c>
      <c r="H233" t="s">
        <v>225</v>
      </c>
      <c r="I233" t="s">
        <v>18</v>
      </c>
      <c r="J233" t="s">
        <v>337</v>
      </c>
      <c r="K233" t="s">
        <v>24</v>
      </c>
      <c r="L233" s="14">
        <f>IFERROR(VALUE(LEFT(tblMatriculas[[#This Row],[Clases]],FIND("/",tblMatriculas[[#This Row],[Clases]])-1)),"")</f>
        <v>1</v>
      </c>
      <c r="M233" s="14">
        <f>IFERROR(VALUE(MID(tblMatriculas[[#This Row],[Clases]],FIND("/",tblMatriculas[[#This Row],[Clases]])+1,5)),"")</f>
        <v>30</v>
      </c>
      <c r="N2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3" s="14">
        <f>IF(OR(tblMatriculas[[#This Row],[Estado]]&lt;&gt;"activa",tblMatriculas[[#This Row],[Clases dictadas]]=""),"",MAX(0,tblMatriculas[[#This Row],[Clases dictadas]]-tblMatriculas[[#This Row],[Asistidas]]))</f>
        <v>1</v>
      </c>
      <c r="P233" s="1">
        <f>IF(OR(tblMatriculas[[#This Row],[Estado]]&lt;&gt;"activa",tblMatriculas[[#This Row],[Asistidas]]=""),"",tblMatriculas[[#This Row],[Asistencia]])</f>
        <v>3.3000000000000002E-2</v>
      </c>
      <c r="Q233" t="b">
        <f>AND(tblMatriculas[[#This Row],[Estado]]="activa",ISNUMBER(tblMatriculas[[#This Row],[% asistencia]]),NOT(ISNUMBER(SEARCH(pPrueba,tblMatriculas[[#This Row],[Nombre]]))))</f>
        <v>1</v>
      </c>
      <c r="R2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33" s="23" t="str" cm="1">
        <f t="array" ref="S2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3" s="23" t="str" cm="1">
        <f t="array" ref="T2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3" s="14" t="str" cm="1">
        <f t="array" ref="U2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3" t="str" cm="1">
        <f t="array" ref="V2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3" t="str" cm="1">
        <f t="array" ref="W2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3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33" t="str">
        <f>IF(COUNTIFS('Base Estudiantes'!$C:$C,tblMatriculas[[#This Row],[Cédula]],'Base Estudiantes'!$I:$I,tblMatriculas[[#This Row],[Código]])&gt;0,"Sí","No")</f>
        <v>Sí</v>
      </c>
      <c r="Z233" s="23" cm="1">
        <f t="array" ref="Z233">_xlfn.XLOOKUP(tblMatriculas[[#This Row],[Cédula]]&amp;"|"&amp;tblMatriculas[[#This Row],[Código]],tblBase[Documento]&amp;"|"&amp;tblBase[Código grupo],tblBase[Fecha matrícula],"")</f>
        <v>46264</v>
      </c>
    </row>
    <row r="234" spans="1:26" x14ac:dyDescent="0.2">
      <c r="A234" t="s">
        <v>526</v>
      </c>
      <c r="B234" t="s">
        <v>527</v>
      </c>
      <c r="C234" t="s">
        <v>13</v>
      </c>
      <c r="D234" t="s">
        <v>514</v>
      </c>
      <c r="E234" t="s">
        <v>515</v>
      </c>
      <c r="F234" t="s">
        <v>516</v>
      </c>
      <c r="G234" s="1">
        <v>3.3000000000000002E-2</v>
      </c>
      <c r="H234" t="s">
        <v>225</v>
      </c>
      <c r="I234" t="s">
        <v>18</v>
      </c>
      <c r="J234" t="s">
        <v>337</v>
      </c>
      <c r="K234" t="s">
        <v>24</v>
      </c>
      <c r="L234" s="14">
        <f>IFERROR(VALUE(LEFT(tblMatriculas[[#This Row],[Clases]],FIND("/",tblMatriculas[[#This Row],[Clases]])-1)),"")</f>
        <v>1</v>
      </c>
      <c r="M234" s="14">
        <f>IFERROR(VALUE(MID(tblMatriculas[[#This Row],[Clases]],FIND("/",tblMatriculas[[#This Row],[Clases]])+1,5)),"")</f>
        <v>30</v>
      </c>
      <c r="N2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4" s="14">
        <f>IF(OR(tblMatriculas[[#This Row],[Estado]]&lt;&gt;"activa",tblMatriculas[[#This Row],[Clases dictadas]]=""),"",MAX(0,tblMatriculas[[#This Row],[Clases dictadas]]-tblMatriculas[[#This Row],[Asistidas]]))</f>
        <v>1</v>
      </c>
      <c r="P234" s="1">
        <f>IF(OR(tblMatriculas[[#This Row],[Estado]]&lt;&gt;"activa",tblMatriculas[[#This Row],[Asistidas]]=""),"",tblMatriculas[[#This Row],[Asistencia]])</f>
        <v>3.3000000000000002E-2</v>
      </c>
      <c r="Q234" t="b">
        <f>AND(tblMatriculas[[#This Row],[Estado]]="activa",ISNUMBER(tblMatriculas[[#This Row],[% asistencia]]),NOT(ISNUMBER(SEARCH(pPrueba,tblMatriculas[[#This Row],[Nombre]]))))</f>
        <v>1</v>
      </c>
      <c r="R2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34" s="23" t="str" cm="1">
        <f t="array" ref="S2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4" s="23" t="str" cm="1">
        <f t="array" ref="T2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4" s="14" t="str" cm="1">
        <f t="array" ref="U2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4" t="str" cm="1">
        <f t="array" ref="V2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4" t="str" cm="1">
        <f t="array" ref="W2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34" t="str">
        <f>IF(COUNTIFS('Base Estudiantes'!$C:$C,tblMatriculas[[#This Row],[Cédula]],'Base Estudiantes'!$I:$I,tblMatriculas[[#This Row],[Código]])&gt;0,"Sí","No")</f>
        <v>Sí</v>
      </c>
      <c r="Z234" s="23" cm="1">
        <f t="array" ref="Z234">_xlfn.XLOOKUP(tblMatriculas[[#This Row],[Cédula]]&amp;"|"&amp;tblMatriculas[[#This Row],[Código]],tblBase[Documento]&amp;"|"&amp;tblBase[Código grupo],tblBase[Fecha matrícula],"")</f>
        <v>46264</v>
      </c>
    </row>
    <row r="235" spans="1:26" x14ac:dyDescent="0.2">
      <c r="A235" t="s">
        <v>528</v>
      </c>
      <c r="B235" t="s">
        <v>529</v>
      </c>
      <c r="C235" t="s">
        <v>13</v>
      </c>
      <c r="D235" t="s">
        <v>514</v>
      </c>
      <c r="E235" t="s">
        <v>515</v>
      </c>
      <c r="F235" t="s">
        <v>516</v>
      </c>
      <c r="G235" s="1">
        <v>0</v>
      </c>
      <c r="H235" t="s">
        <v>254</v>
      </c>
      <c r="I235" t="s">
        <v>18</v>
      </c>
      <c r="J235" t="s">
        <v>337</v>
      </c>
      <c r="K235" t="s">
        <v>24</v>
      </c>
      <c r="L235" s="14">
        <f>IFERROR(VALUE(LEFT(tblMatriculas[[#This Row],[Clases]],FIND("/",tblMatriculas[[#This Row],[Clases]])-1)),"")</f>
        <v>0</v>
      </c>
      <c r="M235" s="14">
        <f>IFERROR(VALUE(MID(tblMatriculas[[#This Row],[Clases]],FIND("/",tblMatriculas[[#This Row],[Clases]])+1,5)),"")</f>
        <v>30</v>
      </c>
      <c r="N2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5" s="14">
        <f>IF(OR(tblMatriculas[[#This Row],[Estado]]&lt;&gt;"activa",tblMatriculas[[#This Row],[Clases dictadas]]=""),"",MAX(0,tblMatriculas[[#This Row],[Clases dictadas]]-tblMatriculas[[#This Row],[Asistidas]]))</f>
        <v>2</v>
      </c>
      <c r="P235" s="1">
        <f>IF(OR(tblMatriculas[[#This Row],[Estado]]&lt;&gt;"activa",tblMatriculas[[#This Row],[Asistidas]]=""),"",tblMatriculas[[#This Row],[Asistencia]])</f>
        <v>0</v>
      </c>
      <c r="Q235" t="b">
        <f>AND(tblMatriculas[[#This Row],[Estado]]="activa",ISNUMBER(tblMatriculas[[#This Row],[% asistencia]]),NOT(ISNUMBER(SEARCH(pPrueba,tblMatriculas[[#This Row],[Nombre]]))))</f>
        <v>1</v>
      </c>
      <c r="R2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35" s="23" t="str" cm="1">
        <f t="array" ref="S2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5" s="23" t="str" cm="1">
        <f t="array" ref="T2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5" s="14" t="str" cm="1">
        <f t="array" ref="U2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5" t="str" cm="1">
        <f t="array" ref="V2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5" t="str" cm="1">
        <f t="array" ref="W2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35" t="str">
        <f>IF(COUNTIFS('Base Estudiantes'!$C:$C,tblMatriculas[[#This Row],[Cédula]],'Base Estudiantes'!$I:$I,tblMatriculas[[#This Row],[Código]])&gt;0,"Sí","No")</f>
        <v>Sí</v>
      </c>
      <c r="Z235" s="23" cm="1">
        <f t="array" ref="Z235">_xlfn.XLOOKUP(tblMatriculas[[#This Row],[Cédula]]&amp;"|"&amp;tblMatriculas[[#This Row],[Código]],tblBase[Documento]&amp;"|"&amp;tblBase[Código grupo],tblBase[Fecha matrícula],"")</f>
        <v>46264</v>
      </c>
    </row>
    <row r="236" spans="1:26" x14ac:dyDescent="0.2">
      <c r="A236" t="s">
        <v>530</v>
      </c>
      <c r="B236" t="s">
        <v>531</v>
      </c>
      <c r="C236" t="s">
        <v>13</v>
      </c>
      <c r="D236" t="s">
        <v>514</v>
      </c>
      <c r="E236" t="s">
        <v>515</v>
      </c>
      <c r="F236" t="s">
        <v>516</v>
      </c>
      <c r="G236" s="1">
        <v>6.7000000000000004E-2</v>
      </c>
      <c r="H236" t="s">
        <v>166</v>
      </c>
      <c r="I236" t="s">
        <v>18</v>
      </c>
      <c r="J236" t="s">
        <v>337</v>
      </c>
      <c r="K236" t="s">
        <v>24</v>
      </c>
      <c r="L236" s="14">
        <f>IFERROR(VALUE(LEFT(tblMatriculas[[#This Row],[Clases]],FIND("/",tblMatriculas[[#This Row],[Clases]])-1)),"")</f>
        <v>2</v>
      </c>
      <c r="M236" s="14">
        <f>IFERROR(VALUE(MID(tblMatriculas[[#This Row],[Clases]],FIND("/",tblMatriculas[[#This Row],[Clases]])+1,5)),"")</f>
        <v>30</v>
      </c>
      <c r="N2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6" s="14">
        <f>IF(OR(tblMatriculas[[#This Row],[Estado]]&lt;&gt;"activa",tblMatriculas[[#This Row],[Clases dictadas]]=""),"",MAX(0,tblMatriculas[[#This Row],[Clases dictadas]]-tblMatriculas[[#This Row],[Asistidas]]))</f>
        <v>0</v>
      </c>
      <c r="P236" s="1">
        <f>IF(OR(tblMatriculas[[#This Row],[Estado]]&lt;&gt;"activa",tblMatriculas[[#This Row],[Asistidas]]=""),"",tblMatriculas[[#This Row],[Asistencia]])</f>
        <v>6.7000000000000004E-2</v>
      </c>
      <c r="Q236" t="b">
        <f>AND(tblMatriculas[[#This Row],[Estado]]="activa",ISNUMBER(tblMatriculas[[#This Row],[% asistencia]]),NOT(ISNUMBER(SEARCH(pPrueba,tblMatriculas[[#This Row],[Nombre]]))))</f>
        <v>1</v>
      </c>
      <c r="R2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36" s="23" t="str" cm="1">
        <f t="array" ref="S2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6" s="23" t="str" cm="1">
        <f t="array" ref="T2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6" s="14" t="str" cm="1">
        <f t="array" ref="U2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6" t="str" cm="1">
        <f t="array" ref="V2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6" t="str" cm="1">
        <f t="array" ref="W2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3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36" t="str">
        <f>IF(COUNTIFS('Base Estudiantes'!$C:$C,tblMatriculas[[#This Row],[Cédula]],'Base Estudiantes'!$I:$I,tblMatriculas[[#This Row],[Código]])&gt;0,"Sí","No")</f>
        <v>Sí</v>
      </c>
      <c r="Z236" s="23" cm="1">
        <f t="array" ref="Z236">_xlfn.XLOOKUP(tblMatriculas[[#This Row],[Cédula]]&amp;"|"&amp;tblMatriculas[[#This Row],[Código]],tblBase[Documento]&amp;"|"&amp;tblBase[Código grupo],tblBase[Fecha matrícula],"")</f>
        <v>46264</v>
      </c>
    </row>
    <row r="237" spans="1:26" x14ac:dyDescent="0.2">
      <c r="A237" t="s">
        <v>532</v>
      </c>
      <c r="B237" t="s">
        <v>533</v>
      </c>
      <c r="C237" t="s">
        <v>13</v>
      </c>
      <c r="D237" t="s">
        <v>514</v>
      </c>
      <c r="E237" t="s">
        <v>515</v>
      </c>
      <c r="F237" t="s">
        <v>516</v>
      </c>
      <c r="G237" s="1">
        <v>0</v>
      </c>
      <c r="H237" t="s">
        <v>254</v>
      </c>
      <c r="I237" t="s">
        <v>18</v>
      </c>
      <c r="J237" t="s">
        <v>337</v>
      </c>
      <c r="K237" t="s">
        <v>24</v>
      </c>
      <c r="L237" s="14">
        <f>IFERROR(VALUE(LEFT(tblMatriculas[[#This Row],[Clases]],FIND("/",tblMatriculas[[#This Row],[Clases]])-1)),"")</f>
        <v>0</v>
      </c>
      <c r="M237" s="14">
        <f>IFERROR(VALUE(MID(tblMatriculas[[#This Row],[Clases]],FIND("/",tblMatriculas[[#This Row],[Clases]])+1,5)),"")</f>
        <v>30</v>
      </c>
      <c r="N2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7" s="14">
        <f>IF(OR(tblMatriculas[[#This Row],[Estado]]&lt;&gt;"activa",tblMatriculas[[#This Row],[Clases dictadas]]=""),"",MAX(0,tblMatriculas[[#This Row],[Clases dictadas]]-tblMatriculas[[#This Row],[Asistidas]]))</f>
        <v>2</v>
      </c>
      <c r="P237" s="1">
        <f>IF(OR(tblMatriculas[[#This Row],[Estado]]&lt;&gt;"activa",tblMatriculas[[#This Row],[Asistidas]]=""),"",tblMatriculas[[#This Row],[Asistencia]])</f>
        <v>0</v>
      </c>
      <c r="Q237" t="b">
        <f>AND(tblMatriculas[[#This Row],[Estado]]="activa",ISNUMBER(tblMatriculas[[#This Row],[% asistencia]]),NOT(ISNUMBER(SEARCH(pPrueba,tblMatriculas[[#This Row],[Nombre]]))))</f>
        <v>1</v>
      </c>
      <c r="R2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37" s="23" t="str" cm="1">
        <f t="array" ref="S2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7" s="23" t="str" cm="1">
        <f t="array" ref="T2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7" s="14" t="str" cm="1">
        <f t="array" ref="U2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7" t="str" cm="1">
        <f t="array" ref="V2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7" t="str" cm="1">
        <f t="array" ref="W2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37" t="str">
        <f>IF(COUNTIFS('Base Estudiantes'!$C:$C,tblMatriculas[[#This Row],[Cédula]],'Base Estudiantes'!$I:$I,tblMatriculas[[#This Row],[Código]])&gt;0,"Sí","No")</f>
        <v>Sí</v>
      </c>
      <c r="Z237" s="23" cm="1">
        <f t="array" ref="Z237">_xlfn.XLOOKUP(tblMatriculas[[#This Row],[Cédula]]&amp;"|"&amp;tblMatriculas[[#This Row],[Código]],tblBase[Documento]&amp;"|"&amp;tblBase[Código grupo],tblBase[Fecha matrícula],"")</f>
        <v>46264</v>
      </c>
    </row>
    <row r="238" spans="1:26" x14ac:dyDescent="0.2">
      <c r="A238" t="s">
        <v>534</v>
      </c>
      <c r="B238" t="s">
        <v>535</v>
      </c>
      <c r="C238" t="s">
        <v>13</v>
      </c>
      <c r="D238" t="s">
        <v>514</v>
      </c>
      <c r="E238" t="s">
        <v>515</v>
      </c>
      <c r="F238" t="s">
        <v>516</v>
      </c>
      <c r="G238" s="1">
        <v>6.7000000000000004E-2</v>
      </c>
      <c r="H238" t="s">
        <v>166</v>
      </c>
      <c r="I238" t="s">
        <v>18</v>
      </c>
      <c r="J238" t="s">
        <v>337</v>
      </c>
      <c r="K238" t="s">
        <v>24</v>
      </c>
      <c r="L238" s="14">
        <f>IFERROR(VALUE(LEFT(tblMatriculas[[#This Row],[Clases]],FIND("/",tblMatriculas[[#This Row],[Clases]])-1)),"")</f>
        <v>2</v>
      </c>
      <c r="M238" s="14">
        <f>IFERROR(VALUE(MID(tblMatriculas[[#This Row],[Clases]],FIND("/",tblMatriculas[[#This Row],[Clases]])+1,5)),"")</f>
        <v>30</v>
      </c>
      <c r="N2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8" s="14">
        <f>IF(OR(tblMatriculas[[#This Row],[Estado]]&lt;&gt;"activa",tblMatriculas[[#This Row],[Clases dictadas]]=""),"",MAX(0,tblMatriculas[[#This Row],[Clases dictadas]]-tblMatriculas[[#This Row],[Asistidas]]))</f>
        <v>0</v>
      </c>
      <c r="P238" s="1">
        <f>IF(OR(tblMatriculas[[#This Row],[Estado]]&lt;&gt;"activa",tblMatriculas[[#This Row],[Asistidas]]=""),"",tblMatriculas[[#This Row],[Asistencia]])</f>
        <v>6.7000000000000004E-2</v>
      </c>
      <c r="Q238" t="b">
        <f>AND(tblMatriculas[[#This Row],[Estado]]="activa",ISNUMBER(tblMatriculas[[#This Row],[% asistencia]]),NOT(ISNUMBER(SEARCH(pPrueba,tblMatriculas[[#This Row],[Nombre]]))))</f>
        <v>1</v>
      </c>
      <c r="R2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38" s="23" t="str" cm="1">
        <f t="array" ref="S2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8" s="23" t="str" cm="1">
        <f t="array" ref="T2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8" s="14" t="str" cm="1">
        <f t="array" ref="U2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8" t="str" cm="1">
        <f t="array" ref="V2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8" t="str" cm="1">
        <f t="array" ref="W2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3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38" t="str">
        <f>IF(COUNTIFS('Base Estudiantes'!$C:$C,tblMatriculas[[#This Row],[Cédula]],'Base Estudiantes'!$I:$I,tblMatriculas[[#This Row],[Código]])&gt;0,"Sí","No")</f>
        <v>Sí</v>
      </c>
      <c r="Z238" s="23" cm="1">
        <f t="array" ref="Z238">_xlfn.XLOOKUP(tblMatriculas[[#This Row],[Cédula]]&amp;"|"&amp;tblMatriculas[[#This Row],[Código]],tblBase[Documento]&amp;"|"&amp;tblBase[Código grupo],tblBase[Fecha matrícula],"")</f>
        <v>46264</v>
      </c>
    </row>
    <row r="239" spans="1:26" x14ac:dyDescent="0.2">
      <c r="A239" t="s">
        <v>536</v>
      </c>
      <c r="B239" t="s">
        <v>537</v>
      </c>
      <c r="C239" t="s">
        <v>13</v>
      </c>
      <c r="D239" t="s">
        <v>514</v>
      </c>
      <c r="E239" t="s">
        <v>515</v>
      </c>
      <c r="F239" t="s">
        <v>516</v>
      </c>
      <c r="G239" s="1">
        <v>6.7000000000000004E-2</v>
      </c>
      <c r="H239" t="s">
        <v>166</v>
      </c>
      <c r="I239" t="s">
        <v>18</v>
      </c>
      <c r="J239" t="s">
        <v>337</v>
      </c>
      <c r="K239" t="s">
        <v>24</v>
      </c>
      <c r="L239" s="14">
        <f>IFERROR(VALUE(LEFT(tblMatriculas[[#This Row],[Clases]],FIND("/",tblMatriculas[[#This Row],[Clases]])-1)),"")</f>
        <v>2</v>
      </c>
      <c r="M239" s="14">
        <f>IFERROR(VALUE(MID(tblMatriculas[[#This Row],[Clases]],FIND("/",tblMatriculas[[#This Row],[Clases]])+1,5)),"")</f>
        <v>30</v>
      </c>
      <c r="N2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39" s="14">
        <f>IF(OR(tblMatriculas[[#This Row],[Estado]]&lt;&gt;"activa",tblMatriculas[[#This Row],[Clases dictadas]]=""),"",MAX(0,tblMatriculas[[#This Row],[Clases dictadas]]-tblMatriculas[[#This Row],[Asistidas]]))</f>
        <v>0</v>
      </c>
      <c r="P239" s="1">
        <f>IF(OR(tblMatriculas[[#This Row],[Estado]]&lt;&gt;"activa",tblMatriculas[[#This Row],[Asistidas]]=""),"",tblMatriculas[[#This Row],[Asistencia]])</f>
        <v>6.7000000000000004E-2</v>
      </c>
      <c r="Q239" t="b">
        <f>AND(tblMatriculas[[#This Row],[Estado]]="activa",ISNUMBER(tblMatriculas[[#This Row],[% asistencia]]),NOT(ISNUMBER(SEARCH(pPrueba,tblMatriculas[[#This Row],[Nombre]]))))</f>
        <v>1</v>
      </c>
      <c r="R2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39" s="23" t="str" cm="1">
        <f t="array" ref="S2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39" s="23" t="str" cm="1">
        <f t="array" ref="T2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39" s="14" t="str" cm="1">
        <f t="array" ref="U2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39" t="str" cm="1">
        <f t="array" ref="V2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39" t="str" cm="1">
        <f t="array" ref="W2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39" t="str">
        <f>IF(COUNTIFS('Base Estudiantes'!$C:$C,tblMatriculas[[#This Row],[Cédula]],'Base Estudiantes'!$I:$I,tblMatriculas[[#This Row],[Código]])&gt;0,"Sí","No")</f>
        <v>Sí</v>
      </c>
      <c r="Z239" s="23" cm="1">
        <f t="array" ref="Z239">_xlfn.XLOOKUP(tblMatriculas[[#This Row],[Cédula]]&amp;"|"&amp;tblMatriculas[[#This Row],[Código]],tblBase[Documento]&amp;"|"&amp;tblBase[Código grupo],tblBase[Fecha matrícula],"")</f>
        <v>46264</v>
      </c>
    </row>
    <row r="240" spans="1:26" x14ac:dyDescent="0.2">
      <c r="A240" t="s">
        <v>538</v>
      </c>
      <c r="B240" t="s">
        <v>539</v>
      </c>
      <c r="C240" t="s">
        <v>13</v>
      </c>
      <c r="D240" t="s">
        <v>514</v>
      </c>
      <c r="E240" t="s">
        <v>515</v>
      </c>
      <c r="F240" t="s">
        <v>516</v>
      </c>
      <c r="G240" s="1">
        <v>6.7000000000000004E-2</v>
      </c>
      <c r="H240" t="s">
        <v>166</v>
      </c>
      <c r="I240" t="s">
        <v>18</v>
      </c>
      <c r="J240" t="s">
        <v>337</v>
      </c>
      <c r="K240" t="s">
        <v>24</v>
      </c>
      <c r="L240" s="14">
        <f>IFERROR(VALUE(LEFT(tblMatriculas[[#This Row],[Clases]],FIND("/",tblMatriculas[[#This Row],[Clases]])-1)),"")</f>
        <v>2</v>
      </c>
      <c r="M240" s="14">
        <f>IFERROR(VALUE(MID(tblMatriculas[[#This Row],[Clases]],FIND("/",tblMatriculas[[#This Row],[Clases]])+1,5)),"")</f>
        <v>30</v>
      </c>
      <c r="N2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0" s="14">
        <f>IF(OR(tblMatriculas[[#This Row],[Estado]]&lt;&gt;"activa",tblMatriculas[[#This Row],[Clases dictadas]]=""),"",MAX(0,tblMatriculas[[#This Row],[Clases dictadas]]-tblMatriculas[[#This Row],[Asistidas]]))</f>
        <v>0</v>
      </c>
      <c r="P240" s="1">
        <f>IF(OR(tblMatriculas[[#This Row],[Estado]]&lt;&gt;"activa",tblMatriculas[[#This Row],[Asistidas]]=""),"",tblMatriculas[[#This Row],[Asistencia]])</f>
        <v>6.7000000000000004E-2</v>
      </c>
      <c r="Q240" t="b">
        <f>AND(tblMatriculas[[#This Row],[Estado]]="activa",ISNUMBER(tblMatriculas[[#This Row],[% asistencia]]),NOT(ISNUMBER(SEARCH(pPrueba,tblMatriculas[[#This Row],[Nombre]]))))</f>
        <v>1</v>
      </c>
      <c r="R2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0" s="23" t="str" cm="1">
        <f t="array" ref="S2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0" s="23" t="str" cm="1">
        <f t="array" ref="T2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0" s="14" t="str" cm="1">
        <f t="array" ref="U2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0" t="str" cm="1">
        <f t="array" ref="V2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0" t="str" cm="1">
        <f t="array" ref="W2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0" t="str">
        <f>IF(COUNTIFS('Base Estudiantes'!$C:$C,tblMatriculas[[#This Row],[Cédula]],'Base Estudiantes'!$I:$I,tblMatriculas[[#This Row],[Código]])&gt;0,"Sí","No")</f>
        <v>Sí</v>
      </c>
      <c r="Z240" s="23" cm="1">
        <f t="array" ref="Z240">_xlfn.XLOOKUP(tblMatriculas[[#This Row],[Cédula]]&amp;"|"&amp;tblMatriculas[[#This Row],[Código]],tblBase[Documento]&amp;"|"&amp;tblBase[Código grupo],tblBase[Fecha matrícula],"")</f>
        <v>46264</v>
      </c>
    </row>
    <row r="241" spans="1:26" x14ac:dyDescent="0.2">
      <c r="A241" t="s">
        <v>540</v>
      </c>
      <c r="B241" t="s">
        <v>541</v>
      </c>
      <c r="C241" t="s">
        <v>13</v>
      </c>
      <c r="D241" t="s">
        <v>514</v>
      </c>
      <c r="E241" t="s">
        <v>515</v>
      </c>
      <c r="F241" t="s">
        <v>516</v>
      </c>
      <c r="G241" s="1">
        <v>6.7000000000000004E-2</v>
      </c>
      <c r="H241" t="s">
        <v>166</v>
      </c>
      <c r="I241" t="s">
        <v>18</v>
      </c>
      <c r="J241" t="s">
        <v>337</v>
      </c>
      <c r="K241" t="s">
        <v>24</v>
      </c>
      <c r="L241" s="14">
        <f>IFERROR(VALUE(LEFT(tblMatriculas[[#This Row],[Clases]],FIND("/",tblMatriculas[[#This Row],[Clases]])-1)),"")</f>
        <v>2</v>
      </c>
      <c r="M241" s="14">
        <f>IFERROR(VALUE(MID(tblMatriculas[[#This Row],[Clases]],FIND("/",tblMatriculas[[#This Row],[Clases]])+1,5)),"")</f>
        <v>30</v>
      </c>
      <c r="N2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1" s="14">
        <f>IF(OR(tblMatriculas[[#This Row],[Estado]]&lt;&gt;"activa",tblMatriculas[[#This Row],[Clases dictadas]]=""),"",MAX(0,tblMatriculas[[#This Row],[Clases dictadas]]-tblMatriculas[[#This Row],[Asistidas]]))</f>
        <v>0</v>
      </c>
      <c r="P241" s="1">
        <f>IF(OR(tblMatriculas[[#This Row],[Estado]]&lt;&gt;"activa",tblMatriculas[[#This Row],[Asistidas]]=""),"",tblMatriculas[[#This Row],[Asistencia]])</f>
        <v>6.7000000000000004E-2</v>
      </c>
      <c r="Q241" t="b">
        <f>AND(tblMatriculas[[#This Row],[Estado]]="activa",ISNUMBER(tblMatriculas[[#This Row],[% asistencia]]),NOT(ISNUMBER(SEARCH(pPrueba,tblMatriculas[[#This Row],[Nombre]]))))</f>
        <v>1</v>
      </c>
      <c r="R2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1" s="23" t="str" cm="1">
        <f t="array" ref="S2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1" s="23" t="str" cm="1">
        <f t="array" ref="T2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1" s="14" t="str" cm="1">
        <f t="array" ref="U2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1" t="str" cm="1">
        <f t="array" ref="V2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1" t="str" cm="1">
        <f t="array" ref="W2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1" t="str">
        <f>IF(COUNTIFS('Base Estudiantes'!$C:$C,tblMatriculas[[#This Row],[Cédula]],'Base Estudiantes'!$I:$I,tblMatriculas[[#This Row],[Código]])&gt;0,"Sí","No")</f>
        <v>Sí</v>
      </c>
      <c r="Z241" s="23" cm="1">
        <f t="array" ref="Z241">_xlfn.XLOOKUP(tblMatriculas[[#This Row],[Cédula]]&amp;"|"&amp;tblMatriculas[[#This Row],[Código]],tblBase[Documento]&amp;"|"&amp;tblBase[Código grupo],tblBase[Fecha matrícula],"")</f>
        <v>46264</v>
      </c>
    </row>
    <row r="242" spans="1:26" x14ac:dyDescent="0.2">
      <c r="A242" t="s">
        <v>542</v>
      </c>
      <c r="B242" t="s">
        <v>543</v>
      </c>
      <c r="C242" t="s">
        <v>13</v>
      </c>
      <c r="D242" t="s">
        <v>514</v>
      </c>
      <c r="E242" t="s">
        <v>515</v>
      </c>
      <c r="F242" t="s">
        <v>516</v>
      </c>
      <c r="G242" s="1">
        <v>6.7000000000000004E-2</v>
      </c>
      <c r="H242" t="s">
        <v>166</v>
      </c>
      <c r="I242" t="s">
        <v>18</v>
      </c>
      <c r="J242" t="s">
        <v>337</v>
      </c>
      <c r="K242" t="s">
        <v>24</v>
      </c>
      <c r="L242" s="14">
        <f>IFERROR(VALUE(LEFT(tblMatriculas[[#This Row],[Clases]],FIND("/",tblMatriculas[[#This Row],[Clases]])-1)),"")</f>
        <v>2</v>
      </c>
      <c r="M242" s="14">
        <f>IFERROR(VALUE(MID(tblMatriculas[[#This Row],[Clases]],FIND("/",tblMatriculas[[#This Row],[Clases]])+1,5)),"")</f>
        <v>30</v>
      </c>
      <c r="N2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2" s="14">
        <f>IF(OR(tblMatriculas[[#This Row],[Estado]]&lt;&gt;"activa",tblMatriculas[[#This Row],[Clases dictadas]]=""),"",MAX(0,tblMatriculas[[#This Row],[Clases dictadas]]-tblMatriculas[[#This Row],[Asistidas]]))</f>
        <v>0</v>
      </c>
      <c r="P242" s="1">
        <f>IF(OR(tblMatriculas[[#This Row],[Estado]]&lt;&gt;"activa",tblMatriculas[[#This Row],[Asistidas]]=""),"",tblMatriculas[[#This Row],[Asistencia]])</f>
        <v>6.7000000000000004E-2</v>
      </c>
      <c r="Q242" t="b">
        <f>AND(tblMatriculas[[#This Row],[Estado]]="activa",ISNUMBER(tblMatriculas[[#This Row],[% asistencia]]),NOT(ISNUMBER(SEARCH(pPrueba,tblMatriculas[[#This Row],[Nombre]]))))</f>
        <v>1</v>
      </c>
      <c r="R2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2" s="23" t="str" cm="1">
        <f t="array" ref="S2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2" s="23" t="str" cm="1">
        <f t="array" ref="T2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2" s="14" t="str" cm="1">
        <f t="array" ref="U2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2" t="str" cm="1">
        <f t="array" ref="V2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2" t="str" cm="1">
        <f t="array" ref="W2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2" t="str">
        <f>IF(COUNTIFS('Base Estudiantes'!$C:$C,tblMatriculas[[#This Row],[Cédula]],'Base Estudiantes'!$I:$I,tblMatriculas[[#This Row],[Código]])&gt;0,"Sí","No")</f>
        <v>Sí</v>
      </c>
      <c r="Z242" s="23" cm="1">
        <f t="array" ref="Z242">_xlfn.XLOOKUP(tblMatriculas[[#This Row],[Cédula]]&amp;"|"&amp;tblMatriculas[[#This Row],[Código]],tblBase[Documento]&amp;"|"&amp;tblBase[Código grupo],tblBase[Fecha matrícula],"")</f>
        <v>46264</v>
      </c>
    </row>
    <row r="243" spans="1:26" x14ac:dyDescent="0.2">
      <c r="A243" t="s">
        <v>544</v>
      </c>
      <c r="B243" t="s">
        <v>545</v>
      </c>
      <c r="C243" t="s">
        <v>13</v>
      </c>
      <c r="D243" t="s">
        <v>514</v>
      </c>
      <c r="E243" t="s">
        <v>515</v>
      </c>
      <c r="F243" t="s">
        <v>516</v>
      </c>
      <c r="G243" s="1">
        <v>0</v>
      </c>
      <c r="H243" t="s">
        <v>254</v>
      </c>
      <c r="I243" t="s">
        <v>18</v>
      </c>
      <c r="J243" t="s">
        <v>337</v>
      </c>
      <c r="K243" t="s">
        <v>24</v>
      </c>
      <c r="L243" s="14">
        <f>IFERROR(VALUE(LEFT(tblMatriculas[[#This Row],[Clases]],FIND("/",tblMatriculas[[#This Row],[Clases]])-1)),"")</f>
        <v>0</v>
      </c>
      <c r="M243" s="14">
        <f>IFERROR(VALUE(MID(tblMatriculas[[#This Row],[Clases]],FIND("/",tblMatriculas[[#This Row],[Clases]])+1,5)),"")</f>
        <v>30</v>
      </c>
      <c r="N2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3" s="14">
        <f>IF(OR(tblMatriculas[[#This Row],[Estado]]&lt;&gt;"activa",tblMatriculas[[#This Row],[Clases dictadas]]=""),"",MAX(0,tblMatriculas[[#This Row],[Clases dictadas]]-tblMatriculas[[#This Row],[Asistidas]]))</f>
        <v>2</v>
      </c>
      <c r="P243" s="1">
        <f>IF(OR(tblMatriculas[[#This Row],[Estado]]&lt;&gt;"activa",tblMatriculas[[#This Row],[Asistidas]]=""),"",tblMatriculas[[#This Row],[Asistencia]])</f>
        <v>0</v>
      </c>
      <c r="Q243" t="b">
        <f>AND(tblMatriculas[[#This Row],[Estado]]="activa",ISNUMBER(tblMatriculas[[#This Row],[% asistencia]]),NOT(ISNUMBER(SEARCH(pPrueba,tblMatriculas[[#This Row],[Nombre]]))))</f>
        <v>1</v>
      </c>
      <c r="R2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43" s="23" t="str" cm="1">
        <f t="array" ref="S2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3" s="23" t="str" cm="1">
        <f t="array" ref="T2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3" s="14" t="str" cm="1">
        <f t="array" ref="U2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3" t="str" cm="1">
        <f t="array" ref="V2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3" t="str" cm="1">
        <f t="array" ref="W2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4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43" t="str">
        <f>IF(COUNTIFS('Base Estudiantes'!$C:$C,tblMatriculas[[#This Row],[Cédula]],'Base Estudiantes'!$I:$I,tblMatriculas[[#This Row],[Código]])&gt;0,"Sí","No")</f>
        <v>Sí</v>
      </c>
      <c r="Z243" s="23" cm="1">
        <f t="array" ref="Z243">_xlfn.XLOOKUP(tblMatriculas[[#This Row],[Cédula]]&amp;"|"&amp;tblMatriculas[[#This Row],[Código]],tblBase[Documento]&amp;"|"&amp;tblBase[Código grupo],tblBase[Fecha matrícula],"")</f>
        <v>46264</v>
      </c>
    </row>
    <row r="244" spans="1:26" x14ac:dyDescent="0.2">
      <c r="A244" t="s">
        <v>546</v>
      </c>
      <c r="B244" t="s">
        <v>547</v>
      </c>
      <c r="C244" t="s">
        <v>13</v>
      </c>
      <c r="D244" t="s">
        <v>514</v>
      </c>
      <c r="E244" t="s">
        <v>515</v>
      </c>
      <c r="F244" t="s">
        <v>516</v>
      </c>
      <c r="G244" s="1">
        <v>6.7000000000000004E-2</v>
      </c>
      <c r="H244" t="s">
        <v>166</v>
      </c>
      <c r="I244" t="s">
        <v>18</v>
      </c>
      <c r="J244" t="s">
        <v>337</v>
      </c>
      <c r="K244" t="s">
        <v>24</v>
      </c>
      <c r="L244" s="14">
        <f>IFERROR(VALUE(LEFT(tblMatriculas[[#This Row],[Clases]],FIND("/",tblMatriculas[[#This Row],[Clases]])-1)),"")</f>
        <v>2</v>
      </c>
      <c r="M244" s="14">
        <f>IFERROR(VALUE(MID(tblMatriculas[[#This Row],[Clases]],FIND("/",tblMatriculas[[#This Row],[Clases]])+1,5)),"")</f>
        <v>30</v>
      </c>
      <c r="N2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4" s="14">
        <f>IF(OR(tblMatriculas[[#This Row],[Estado]]&lt;&gt;"activa",tblMatriculas[[#This Row],[Clases dictadas]]=""),"",MAX(0,tblMatriculas[[#This Row],[Clases dictadas]]-tblMatriculas[[#This Row],[Asistidas]]))</f>
        <v>0</v>
      </c>
      <c r="P244" s="1">
        <f>IF(OR(tblMatriculas[[#This Row],[Estado]]&lt;&gt;"activa",tblMatriculas[[#This Row],[Asistidas]]=""),"",tblMatriculas[[#This Row],[Asistencia]])</f>
        <v>6.7000000000000004E-2</v>
      </c>
      <c r="Q244" t="b">
        <f>AND(tblMatriculas[[#This Row],[Estado]]="activa",ISNUMBER(tblMatriculas[[#This Row],[% asistencia]]),NOT(ISNUMBER(SEARCH(pPrueba,tblMatriculas[[#This Row],[Nombre]]))))</f>
        <v>1</v>
      </c>
      <c r="R2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4" s="23" t="str" cm="1">
        <f t="array" ref="S2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4" s="23" t="str" cm="1">
        <f t="array" ref="T2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4" s="14" t="str" cm="1">
        <f t="array" ref="U2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4" t="str" cm="1">
        <f t="array" ref="V2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4" t="str" cm="1">
        <f t="array" ref="W2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4" t="str">
        <f>IF(COUNTIFS('Base Estudiantes'!$C:$C,tblMatriculas[[#This Row],[Cédula]],'Base Estudiantes'!$I:$I,tblMatriculas[[#This Row],[Código]])&gt;0,"Sí","No")</f>
        <v>Sí</v>
      </c>
      <c r="Z244" s="23" cm="1">
        <f t="array" ref="Z244">_xlfn.XLOOKUP(tblMatriculas[[#This Row],[Cédula]]&amp;"|"&amp;tblMatriculas[[#This Row],[Código]],tblBase[Documento]&amp;"|"&amp;tblBase[Código grupo],tblBase[Fecha matrícula],"")</f>
        <v>46264</v>
      </c>
    </row>
    <row r="245" spans="1:26" x14ac:dyDescent="0.2">
      <c r="A245" t="s">
        <v>548</v>
      </c>
      <c r="B245" t="s">
        <v>549</v>
      </c>
      <c r="C245" t="s">
        <v>13</v>
      </c>
      <c r="D245" t="s">
        <v>514</v>
      </c>
      <c r="E245" t="s">
        <v>515</v>
      </c>
      <c r="F245" t="s">
        <v>516</v>
      </c>
      <c r="G245" s="1">
        <v>6.7000000000000004E-2</v>
      </c>
      <c r="H245" t="s">
        <v>166</v>
      </c>
      <c r="I245" t="s">
        <v>18</v>
      </c>
      <c r="J245" t="s">
        <v>337</v>
      </c>
      <c r="K245" t="s">
        <v>24</v>
      </c>
      <c r="L245" s="14">
        <f>IFERROR(VALUE(LEFT(tblMatriculas[[#This Row],[Clases]],FIND("/",tblMatriculas[[#This Row],[Clases]])-1)),"")</f>
        <v>2</v>
      </c>
      <c r="M245" s="14">
        <f>IFERROR(VALUE(MID(tblMatriculas[[#This Row],[Clases]],FIND("/",tblMatriculas[[#This Row],[Clases]])+1,5)),"")</f>
        <v>30</v>
      </c>
      <c r="N2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5" s="14">
        <f>IF(OR(tblMatriculas[[#This Row],[Estado]]&lt;&gt;"activa",tblMatriculas[[#This Row],[Clases dictadas]]=""),"",MAX(0,tblMatriculas[[#This Row],[Clases dictadas]]-tblMatriculas[[#This Row],[Asistidas]]))</f>
        <v>0</v>
      </c>
      <c r="P245" s="1">
        <f>IF(OR(tblMatriculas[[#This Row],[Estado]]&lt;&gt;"activa",tblMatriculas[[#This Row],[Asistidas]]=""),"",tblMatriculas[[#This Row],[Asistencia]])</f>
        <v>6.7000000000000004E-2</v>
      </c>
      <c r="Q245" t="b">
        <f>AND(tblMatriculas[[#This Row],[Estado]]="activa",ISNUMBER(tblMatriculas[[#This Row],[% asistencia]]),NOT(ISNUMBER(SEARCH(pPrueba,tblMatriculas[[#This Row],[Nombre]]))))</f>
        <v>1</v>
      </c>
      <c r="R2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5" s="23" t="str" cm="1">
        <f t="array" ref="S2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5" s="23" t="str" cm="1">
        <f t="array" ref="T2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5" s="14" t="str" cm="1">
        <f t="array" ref="U2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5" t="str" cm="1">
        <f t="array" ref="V2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5" t="str" cm="1">
        <f t="array" ref="W2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5" t="str">
        <f>IF(COUNTIFS('Base Estudiantes'!$C:$C,tblMatriculas[[#This Row],[Cédula]],'Base Estudiantes'!$I:$I,tblMatriculas[[#This Row],[Código]])&gt;0,"Sí","No")</f>
        <v>Sí</v>
      </c>
      <c r="Z245" s="23" cm="1">
        <f t="array" ref="Z245">_xlfn.XLOOKUP(tblMatriculas[[#This Row],[Cédula]]&amp;"|"&amp;tblMatriculas[[#This Row],[Código]],tblBase[Documento]&amp;"|"&amp;tblBase[Código grupo],tblBase[Fecha matrícula],"")</f>
        <v>46264</v>
      </c>
    </row>
    <row r="246" spans="1:26" x14ac:dyDescent="0.2">
      <c r="A246" t="s">
        <v>550</v>
      </c>
      <c r="B246" t="s">
        <v>551</v>
      </c>
      <c r="C246" t="s">
        <v>13</v>
      </c>
      <c r="D246" t="s">
        <v>514</v>
      </c>
      <c r="E246" t="s">
        <v>515</v>
      </c>
      <c r="F246" t="s">
        <v>516</v>
      </c>
      <c r="G246" s="1">
        <v>0</v>
      </c>
      <c r="H246" t="s">
        <v>254</v>
      </c>
      <c r="I246" t="s">
        <v>18</v>
      </c>
      <c r="J246" t="s">
        <v>337</v>
      </c>
      <c r="K246" t="s">
        <v>24</v>
      </c>
      <c r="L246" s="14">
        <f>IFERROR(VALUE(LEFT(tblMatriculas[[#This Row],[Clases]],FIND("/",tblMatriculas[[#This Row],[Clases]])-1)),"")</f>
        <v>0</v>
      </c>
      <c r="M246" s="14">
        <f>IFERROR(VALUE(MID(tblMatriculas[[#This Row],[Clases]],FIND("/",tblMatriculas[[#This Row],[Clases]])+1,5)),"")</f>
        <v>30</v>
      </c>
      <c r="N2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6" s="14">
        <f>IF(OR(tblMatriculas[[#This Row],[Estado]]&lt;&gt;"activa",tblMatriculas[[#This Row],[Clases dictadas]]=""),"",MAX(0,tblMatriculas[[#This Row],[Clases dictadas]]-tblMatriculas[[#This Row],[Asistidas]]))</f>
        <v>2</v>
      </c>
      <c r="P246" s="1">
        <f>IF(OR(tblMatriculas[[#This Row],[Estado]]&lt;&gt;"activa",tblMatriculas[[#This Row],[Asistidas]]=""),"",tblMatriculas[[#This Row],[Asistencia]])</f>
        <v>0</v>
      </c>
      <c r="Q246" t="b">
        <f>AND(tblMatriculas[[#This Row],[Estado]]="activa",ISNUMBER(tblMatriculas[[#This Row],[% asistencia]]),NOT(ISNUMBER(SEARCH(pPrueba,tblMatriculas[[#This Row],[Nombre]]))))</f>
        <v>1</v>
      </c>
      <c r="R2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46" s="23" t="str" cm="1">
        <f t="array" ref="S2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6" s="23" t="str" cm="1">
        <f t="array" ref="T2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6" s="14" t="str" cm="1">
        <f t="array" ref="U2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6" t="str" cm="1">
        <f t="array" ref="V2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6" t="str" cm="1">
        <f t="array" ref="W2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46" t="str">
        <f>IF(COUNTIFS('Base Estudiantes'!$C:$C,tblMatriculas[[#This Row],[Cédula]],'Base Estudiantes'!$I:$I,tblMatriculas[[#This Row],[Código]])&gt;0,"Sí","No")</f>
        <v>Sí</v>
      </c>
      <c r="Z246" s="23" cm="1">
        <f t="array" ref="Z246">_xlfn.XLOOKUP(tblMatriculas[[#This Row],[Cédula]]&amp;"|"&amp;tblMatriculas[[#This Row],[Código]],tblBase[Documento]&amp;"|"&amp;tblBase[Código grupo],tblBase[Fecha matrícula],"")</f>
        <v>46264</v>
      </c>
    </row>
    <row r="247" spans="1:26" x14ac:dyDescent="0.2">
      <c r="A247" t="s">
        <v>552</v>
      </c>
      <c r="B247" t="s">
        <v>553</v>
      </c>
      <c r="C247" t="s">
        <v>13</v>
      </c>
      <c r="D247" t="s">
        <v>514</v>
      </c>
      <c r="E247" t="s">
        <v>515</v>
      </c>
      <c r="F247" t="s">
        <v>516</v>
      </c>
      <c r="G247" s="1">
        <v>6.7000000000000004E-2</v>
      </c>
      <c r="H247" t="s">
        <v>166</v>
      </c>
      <c r="I247" t="s">
        <v>18</v>
      </c>
      <c r="J247" t="s">
        <v>337</v>
      </c>
      <c r="K247" t="s">
        <v>24</v>
      </c>
      <c r="L247" s="14">
        <f>IFERROR(VALUE(LEFT(tblMatriculas[[#This Row],[Clases]],FIND("/",tblMatriculas[[#This Row],[Clases]])-1)),"")</f>
        <v>2</v>
      </c>
      <c r="M247" s="14">
        <f>IFERROR(VALUE(MID(tblMatriculas[[#This Row],[Clases]],FIND("/",tblMatriculas[[#This Row],[Clases]])+1,5)),"")</f>
        <v>30</v>
      </c>
      <c r="N2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7" s="14">
        <f>IF(OR(tblMatriculas[[#This Row],[Estado]]&lt;&gt;"activa",tblMatriculas[[#This Row],[Clases dictadas]]=""),"",MAX(0,tblMatriculas[[#This Row],[Clases dictadas]]-tblMatriculas[[#This Row],[Asistidas]]))</f>
        <v>0</v>
      </c>
      <c r="P247" s="1">
        <f>IF(OR(tblMatriculas[[#This Row],[Estado]]&lt;&gt;"activa",tblMatriculas[[#This Row],[Asistidas]]=""),"",tblMatriculas[[#This Row],[Asistencia]])</f>
        <v>6.7000000000000004E-2</v>
      </c>
      <c r="Q247" t="b">
        <f>AND(tblMatriculas[[#This Row],[Estado]]="activa",ISNUMBER(tblMatriculas[[#This Row],[% asistencia]]),NOT(ISNUMBER(SEARCH(pPrueba,tblMatriculas[[#This Row],[Nombre]]))))</f>
        <v>1</v>
      </c>
      <c r="R2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7" s="23" t="str" cm="1">
        <f t="array" ref="S2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7" s="23" t="str" cm="1">
        <f t="array" ref="T2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7" s="14" t="str" cm="1">
        <f t="array" ref="U2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7" t="str" cm="1">
        <f t="array" ref="V2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7" t="str" cm="1">
        <f t="array" ref="W2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7" t="str">
        <f>IF(COUNTIFS('Base Estudiantes'!$C:$C,tblMatriculas[[#This Row],[Cédula]],'Base Estudiantes'!$I:$I,tblMatriculas[[#This Row],[Código]])&gt;0,"Sí","No")</f>
        <v>Sí</v>
      </c>
      <c r="Z247" s="23" cm="1">
        <f t="array" ref="Z247">_xlfn.XLOOKUP(tblMatriculas[[#This Row],[Cédula]]&amp;"|"&amp;tblMatriculas[[#This Row],[Código]],tblBase[Documento]&amp;"|"&amp;tblBase[Código grupo],tblBase[Fecha matrícula],"")</f>
        <v>46264</v>
      </c>
    </row>
    <row r="248" spans="1:26" x14ac:dyDescent="0.2">
      <c r="A248" t="s">
        <v>554</v>
      </c>
      <c r="B248" t="s">
        <v>555</v>
      </c>
      <c r="C248" t="s">
        <v>13</v>
      </c>
      <c r="D248" t="s">
        <v>514</v>
      </c>
      <c r="E248" t="s">
        <v>515</v>
      </c>
      <c r="F248" t="s">
        <v>516</v>
      </c>
      <c r="G248" s="1">
        <v>6.7000000000000004E-2</v>
      </c>
      <c r="H248" t="s">
        <v>166</v>
      </c>
      <c r="I248" t="s">
        <v>18</v>
      </c>
      <c r="J248" t="s">
        <v>337</v>
      </c>
      <c r="K248" t="s">
        <v>120</v>
      </c>
      <c r="L248" s="14">
        <f>IFERROR(VALUE(LEFT(tblMatriculas[[#This Row],[Clases]],FIND("/",tblMatriculas[[#This Row],[Clases]])-1)),"")</f>
        <v>2</v>
      </c>
      <c r="M248" s="14">
        <f>IFERROR(VALUE(MID(tblMatriculas[[#This Row],[Clases]],FIND("/",tblMatriculas[[#This Row],[Clases]])+1,5)),"")</f>
        <v>30</v>
      </c>
      <c r="N2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8" s="14">
        <f>IF(OR(tblMatriculas[[#This Row],[Estado]]&lt;&gt;"activa",tblMatriculas[[#This Row],[Clases dictadas]]=""),"",MAX(0,tblMatriculas[[#This Row],[Clases dictadas]]-tblMatriculas[[#This Row],[Asistidas]]))</f>
        <v>0</v>
      </c>
      <c r="P248" s="1">
        <f>IF(OR(tblMatriculas[[#This Row],[Estado]]&lt;&gt;"activa",tblMatriculas[[#This Row],[Asistidas]]=""),"",tblMatriculas[[#This Row],[Asistencia]])</f>
        <v>6.7000000000000004E-2</v>
      </c>
      <c r="Q248" t="b">
        <f>AND(tblMatriculas[[#This Row],[Estado]]="activa",ISNUMBER(tblMatriculas[[#This Row],[% asistencia]]),NOT(ISNUMBER(SEARCH(pPrueba,tblMatriculas[[#This Row],[Nombre]]))))</f>
        <v>1</v>
      </c>
      <c r="R2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8" s="23" t="str" cm="1">
        <f t="array" ref="S2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8" s="23" t="str" cm="1">
        <f t="array" ref="T2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8" s="14" t="str" cm="1">
        <f t="array" ref="U2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8" t="str" cm="1">
        <f t="array" ref="V2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8" t="str" cm="1">
        <f t="array" ref="W2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8" t="str">
        <f>IF(COUNTIFS('Base Estudiantes'!$C:$C,tblMatriculas[[#This Row],[Cédula]],'Base Estudiantes'!$I:$I,tblMatriculas[[#This Row],[Código]])&gt;0,"Sí","No")</f>
        <v>Sí</v>
      </c>
      <c r="Z248" s="23" cm="1">
        <f t="array" ref="Z248">_xlfn.XLOOKUP(tblMatriculas[[#This Row],[Cédula]]&amp;"|"&amp;tblMatriculas[[#This Row],[Código]],tblBase[Documento]&amp;"|"&amp;tblBase[Código grupo],tblBase[Fecha matrícula],"")</f>
        <v>46264</v>
      </c>
    </row>
    <row r="249" spans="1:26" x14ac:dyDescent="0.2">
      <c r="A249" t="s">
        <v>556</v>
      </c>
      <c r="B249" t="s">
        <v>557</v>
      </c>
      <c r="C249" t="s">
        <v>13</v>
      </c>
      <c r="D249" t="s">
        <v>514</v>
      </c>
      <c r="E249" t="s">
        <v>515</v>
      </c>
      <c r="F249" t="s">
        <v>516</v>
      </c>
      <c r="G249" s="1">
        <v>6.7000000000000004E-2</v>
      </c>
      <c r="H249" t="s">
        <v>166</v>
      </c>
      <c r="I249" t="s">
        <v>18</v>
      </c>
      <c r="J249" t="s">
        <v>337</v>
      </c>
      <c r="K249" t="s">
        <v>24</v>
      </c>
      <c r="L249" s="14">
        <f>IFERROR(VALUE(LEFT(tblMatriculas[[#This Row],[Clases]],FIND("/",tblMatriculas[[#This Row],[Clases]])-1)),"")</f>
        <v>2</v>
      </c>
      <c r="M249" s="14">
        <f>IFERROR(VALUE(MID(tblMatriculas[[#This Row],[Clases]],FIND("/",tblMatriculas[[#This Row],[Clases]])+1,5)),"")</f>
        <v>30</v>
      </c>
      <c r="N2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49" s="14">
        <f>IF(OR(tblMatriculas[[#This Row],[Estado]]&lt;&gt;"activa",tblMatriculas[[#This Row],[Clases dictadas]]=""),"",MAX(0,tblMatriculas[[#This Row],[Clases dictadas]]-tblMatriculas[[#This Row],[Asistidas]]))</f>
        <v>0</v>
      </c>
      <c r="P249" s="1">
        <f>IF(OR(tblMatriculas[[#This Row],[Estado]]&lt;&gt;"activa",tblMatriculas[[#This Row],[Asistidas]]=""),"",tblMatriculas[[#This Row],[Asistencia]])</f>
        <v>6.7000000000000004E-2</v>
      </c>
      <c r="Q249" t="b">
        <f>AND(tblMatriculas[[#This Row],[Estado]]="activa",ISNUMBER(tblMatriculas[[#This Row],[% asistencia]]),NOT(ISNUMBER(SEARCH(pPrueba,tblMatriculas[[#This Row],[Nombre]]))))</f>
        <v>1</v>
      </c>
      <c r="R2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49" s="23" t="str" cm="1">
        <f t="array" ref="S2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49" s="23" t="str" cm="1">
        <f t="array" ref="T2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49" s="14" t="str" cm="1">
        <f t="array" ref="U2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49" t="str" cm="1">
        <f t="array" ref="V2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49" t="str" cm="1">
        <f t="array" ref="W2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49" t="str">
        <f>IF(COUNTIFS('Base Estudiantes'!$C:$C,tblMatriculas[[#This Row],[Cédula]],'Base Estudiantes'!$I:$I,tblMatriculas[[#This Row],[Código]])&gt;0,"Sí","No")</f>
        <v>Sí</v>
      </c>
      <c r="Z249" s="23" cm="1">
        <f t="array" ref="Z249">_xlfn.XLOOKUP(tblMatriculas[[#This Row],[Cédula]]&amp;"|"&amp;tblMatriculas[[#This Row],[Código]],tblBase[Documento]&amp;"|"&amp;tblBase[Código grupo],tblBase[Fecha matrícula],"")</f>
        <v>46264</v>
      </c>
    </row>
    <row r="250" spans="1:26" x14ac:dyDescent="0.2">
      <c r="A250" t="s">
        <v>558</v>
      </c>
      <c r="B250" t="s">
        <v>559</v>
      </c>
      <c r="C250" t="s">
        <v>13</v>
      </c>
      <c r="D250" t="s">
        <v>514</v>
      </c>
      <c r="E250" t="s">
        <v>515</v>
      </c>
      <c r="F250" t="s">
        <v>516</v>
      </c>
      <c r="G250" s="1">
        <v>6.7000000000000004E-2</v>
      </c>
      <c r="H250" t="s">
        <v>166</v>
      </c>
      <c r="I250" t="s">
        <v>18</v>
      </c>
      <c r="J250" t="s">
        <v>337</v>
      </c>
      <c r="K250" t="s">
        <v>24</v>
      </c>
      <c r="L250" s="14">
        <f>IFERROR(VALUE(LEFT(tblMatriculas[[#This Row],[Clases]],FIND("/",tblMatriculas[[#This Row],[Clases]])-1)),"")</f>
        <v>2</v>
      </c>
      <c r="M250" s="14">
        <f>IFERROR(VALUE(MID(tblMatriculas[[#This Row],[Clases]],FIND("/",tblMatriculas[[#This Row],[Clases]])+1,5)),"")</f>
        <v>30</v>
      </c>
      <c r="N2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0" s="14">
        <f>IF(OR(tblMatriculas[[#This Row],[Estado]]&lt;&gt;"activa",tblMatriculas[[#This Row],[Clases dictadas]]=""),"",MAX(0,tblMatriculas[[#This Row],[Clases dictadas]]-tblMatriculas[[#This Row],[Asistidas]]))</f>
        <v>0</v>
      </c>
      <c r="P250" s="1">
        <f>IF(OR(tblMatriculas[[#This Row],[Estado]]&lt;&gt;"activa",tblMatriculas[[#This Row],[Asistidas]]=""),"",tblMatriculas[[#This Row],[Asistencia]])</f>
        <v>6.7000000000000004E-2</v>
      </c>
      <c r="Q250" t="b">
        <f>AND(tblMatriculas[[#This Row],[Estado]]="activa",ISNUMBER(tblMatriculas[[#This Row],[% asistencia]]),NOT(ISNUMBER(SEARCH(pPrueba,tblMatriculas[[#This Row],[Nombre]]))))</f>
        <v>1</v>
      </c>
      <c r="R2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0" s="23" t="str" cm="1">
        <f t="array" ref="S2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0" s="23" t="str" cm="1">
        <f t="array" ref="T2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0" s="14" t="str" cm="1">
        <f t="array" ref="U2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0" t="str" cm="1">
        <f t="array" ref="V2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0" t="str" cm="1">
        <f t="array" ref="W2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0" t="str">
        <f>IF(COUNTIFS('Base Estudiantes'!$C:$C,tblMatriculas[[#This Row],[Cédula]],'Base Estudiantes'!$I:$I,tblMatriculas[[#This Row],[Código]])&gt;0,"Sí","No")</f>
        <v>Sí</v>
      </c>
      <c r="Z250" s="23" cm="1">
        <f t="array" ref="Z250">_xlfn.XLOOKUP(tblMatriculas[[#This Row],[Cédula]]&amp;"|"&amp;tblMatriculas[[#This Row],[Código]],tblBase[Documento]&amp;"|"&amp;tblBase[Código grupo],tblBase[Fecha matrícula],"")</f>
        <v>46264</v>
      </c>
    </row>
    <row r="251" spans="1:26" x14ac:dyDescent="0.2">
      <c r="A251" t="s">
        <v>560</v>
      </c>
      <c r="B251" t="s">
        <v>561</v>
      </c>
      <c r="C251" t="s">
        <v>13</v>
      </c>
      <c r="D251" t="s">
        <v>514</v>
      </c>
      <c r="E251" t="s">
        <v>515</v>
      </c>
      <c r="F251" t="s">
        <v>516</v>
      </c>
      <c r="G251" s="1">
        <v>3.3000000000000002E-2</v>
      </c>
      <c r="H251" t="s">
        <v>225</v>
      </c>
      <c r="I251" t="s">
        <v>18</v>
      </c>
      <c r="J251" t="s">
        <v>337</v>
      </c>
      <c r="K251" t="s">
        <v>24</v>
      </c>
      <c r="L251" s="14">
        <f>IFERROR(VALUE(LEFT(tblMatriculas[[#This Row],[Clases]],FIND("/",tblMatriculas[[#This Row],[Clases]])-1)),"")</f>
        <v>1</v>
      </c>
      <c r="M251" s="14">
        <f>IFERROR(VALUE(MID(tblMatriculas[[#This Row],[Clases]],FIND("/",tblMatriculas[[#This Row],[Clases]])+1,5)),"")</f>
        <v>30</v>
      </c>
      <c r="N2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1" s="14">
        <f>IF(OR(tblMatriculas[[#This Row],[Estado]]&lt;&gt;"activa",tblMatriculas[[#This Row],[Clases dictadas]]=""),"",MAX(0,tblMatriculas[[#This Row],[Clases dictadas]]-tblMatriculas[[#This Row],[Asistidas]]))</f>
        <v>1</v>
      </c>
      <c r="P251" s="1">
        <f>IF(OR(tblMatriculas[[#This Row],[Estado]]&lt;&gt;"activa",tblMatriculas[[#This Row],[Asistidas]]=""),"",tblMatriculas[[#This Row],[Asistencia]])</f>
        <v>3.3000000000000002E-2</v>
      </c>
      <c r="Q251" t="b">
        <f>AND(tblMatriculas[[#This Row],[Estado]]="activa",ISNUMBER(tblMatriculas[[#This Row],[% asistencia]]),NOT(ISNUMBER(SEARCH(pPrueba,tblMatriculas[[#This Row],[Nombre]]))))</f>
        <v>1</v>
      </c>
      <c r="R2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51" s="23" t="str" cm="1">
        <f t="array" ref="S2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1" s="23" t="str" cm="1">
        <f t="array" ref="T2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1" s="14" t="str" cm="1">
        <f t="array" ref="U2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1" t="str" cm="1">
        <f t="array" ref="V2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1" t="str" cm="1">
        <f t="array" ref="W2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51" t="str">
        <f>IF(COUNTIFS('Base Estudiantes'!$C:$C,tblMatriculas[[#This Row],[Cédula]],'Base Estudiantes'!$I:$I,tblMatriculas[[#This Row],[Código]])&gt;0,"Sí","No")</f>
        <v>Sí</v>
      </c>
      <c r="Z251" s="23" cm="1">
        <f t="array" ref="Z251">_xlfn.XLOOKUP(tblMatriculas[[#This Row],[Cédula]]&amp;"|"&amp;tblMatriculas[[#This Row],[Código]],tblBase[Documento]&amp;"|"&amp;tblBase[Código grupo],tblBase[Fecha matrícula],"")</f>
        <v>46264</v>
      </c>
    </row>
    <row r="252" spans="1:26" x14ac:dyDescent="0.2">
      <c r="A252" t="s">
        <v>562</v>
      </c>
      <c r="B252" t="s">
        <v>563</v>
      </c>
      <c r="C252" t="s">
        <v>13</v>
      </c>
      <c r="D252" t="s">
        <v>514</v>
      </c>
      <c r="E252" t="s">
        <v>515</v>
      </c>
      <c r="F252" t="s">
        <v>516</v>
      </c>
      <c r="G252" s="1">
        <v>0</v>
      </c>
      <c r="H252" t="s">
        <v>254</v>
      </c>
      <c r="I252" t="s">
        <v>18</v>
      </c>
      <c r="J252" t="s">
        <v>337</v>
      </c>
      <c r="K252" t="s">
        <v>24</v>
      </c>
      <c r="L252" s="14">
        <f>IFERROR(VALUE(LEFT(tblMatriculas[[#This Row],[Clases]],FIND("/",tblMatriculas[[#This Row],[Clases]])-1)),"")</f>
        <v>0</v>
      </c>
      <c r="M252" s="14">
        <f>IFERROR(VALUE(MID(tblMatriculas[[#This Row],[Clases]],FIND("/",tblMatriculas[[#This Row],[Clases]])+1,5)),"")</f>
        <v>30</v>
      </c>
      <c r="N2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2" s="14">
        <f>IF(OR(tblMatriculas[[#This Row],[Estado]]&lt;&gt;"activa",tblMatriculas[[#This Row],[Clases dictadas]]=""),"",MAX(0,tblMatriculas[[#This Row],[Clases dictadas]]-tblMatriculas[[#This Row],[Asistidas]]))</f>
        <v>2</v>
      </c>
      <c r="P252" s="1">
        <f>IF(OR(tblMatriculas[[#This Row],[Estado]]&lt;&gt;"activa",tblMatriculas[[#This Row],[Asistidas]]=""),"",tblMatriculas[[#This Row],[Asistencia]])</f>
        <v>0</v>
      </c>
      <c r="Q252" t="b">
        <f>AND(tblMatriculas[[#This Row],[Estado]]="activa",ISNUMBER(tblMatriculas[[#This Row],[% asistencia]]),NOT(ISNUMBER(SEARCH(pPrueba,tblMatriculas[[#This Row],[Nombre]]))))</f>
        <v>1</v>
      </c>
      <c r="R2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52" s="23" t="str" cm="1">
        <f t="array" ref="S2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2" s="23" t="str" cm="1">
        <f t="array" ref="T2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2" s="14" t="str" cm="1">
        <f t="array" ref="U2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2" t="str" cm="1">
        <f t="array" ref="V2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2" t="str" cm="1">
        <f t="array" ref="W2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52" t="str">
        <f>IF(COUNTIFS('Base Estudiantes'!$C:$C,tblMatriculas[[#This Row],[Cédula]],'Base Estudiantes'!$I:$I,tblMatriculas[[#This Row],[Código]])&gt;0,"Sí","No")</f>
        <v>Sí</v>
      </c>
      <c r="Z252" s="23" cm="1">
        <f t="array" ref="Z252">_xlfn.XLOOKUP(tblMatriculas[[#This Row],[Cédula]]&amp;"|"&amp;tblMatriculas[[#This Row],[Código]],tblBase[Documento]&amp;"|"&amp;tblBase[Código grupo],tblBase[Fecha matrícula],"")</f>
        <v>46264</v>
      </c>
    </row>
    <row r="253" spans="1:26" x14ac:dyDescent="0.2">
      <c r="A253" t="s">
        <v>564</v>
      </c>
      <c r="B253" t="s">
        <v>565</v>
      </c>
      <c r="C253" t="s">
        <v>13</v>
      </c>
      <c r="D253" t="s">
        <v>514</v>
      </c>
      <c r="E253" t="s">
        <v>515</v>
      </c>
      <c r="F253" t="s">
        <v>516</v>
      </c>
      <c r="G253" s="1">
        <v>3.3000000000000002E-2</v>
      </c>
      <c r="H253" t="s">
        <v>225</v>
      </c>
      <c r="I253" t="s">
        <v>18</v>
      </c>
      <c r="J253" t="s">
        <v>337</v>
      </c>
      <c r="K253" t="s">
        <v>24</v>
      </c>
      <c r="L253" s="14">
        <f>IFERROR(VALUE(LEFT(tblMatriculas[[#This Row],[Clases]],FIND("/",tblMatriculas[[#This Row],[Clases]])-1)),"")</f>
        <v>1</v>
      </c>
      <c r="M253" s="14">
        <f>IFERROR(VALUE(MID(tblMatriculas[[#This Row],[Clases]],FIND("/",tblMatriculas[[#This Row],[Clases]])+1,5)),"")</f>
        <v>30</v>
      </c>
      <c r="N2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3" s="14">
        <f>IF(OR(tblMatriculas[[#This Row],[Estado]]&lt;&gt;"activa",tblMatriculas[[#This Row],[Clases dictadas]]=""),"",MAX(0,tblMatriculas[[#This Row],[Clases dictadas]]-tblMatriculas[[#This Row],[Asistidas]]))</f>
        <v>1</v>
      </c>
      <c r="P253" s="1">
        <f>IF(OR(tblMatriculas[[#This Row],[Estado]]&lt;&gt;"activa",tblMatriculas[[#This Row],[Asistidas]]=""),"",tblMatriculas[[#This Row],[Asistencia]])</f>
        <v>3.3000000000000002E-2</v>
      </c>
      <c r="Q253" t="b">
        <f>AND(tblMatriculas[[#This Row],[Estado]]="activa",ISNUMBER(tblMatriculas[[#This Row],[% asistencia]]),NOT(ISNUMBER(SEARCH(pPrueba,tblMatriculas[[#This Row],[Nombre]]))))</f>
        <v>1</v>
      </c>
      <c r="R2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53" s="23" t="str" cm="1">
        <f t="array" ref="S2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3" s="23" t="str" cm="1">
        <f t="array" ref="T2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3" s="14" t="str" cm="1">
        <f t="array" ref="U2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3" t="str" cm="1">
        <f t="array" ref="V2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3" t="str" cm="1">
        <f t="array" ref="W2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53" t="str">
        <f>IF(COUNTIFS('Base Estudiantes'!$C:$C,tblMatriculas[[#This Row],[Cédula]],'Base Estudiantes'!$I:$I,tblMatriculas[[#This Row],[Código]])&gt;0,"Sí","No")</f>
        <v>Sí</v>
      </c>
      <c r="Z253" s="23" cm="1">
        <f t="array" ref="Z253">_xlfn.XLOOKUP(tblMatriculas[[#This Row],[Cédula]]&amp;"|"&amp;tblMatriculas[[#This Row],[Código]],tblBase[Documento]&amp;"|"&amp;tblBase[Código grupo],tblBase[Fecha matrícula],"")</f>
        <v>46264</v>
      </c>
    </row>
    <row r="254" spans="1:26" x14ac:dyDescent="0.2">
      <c r="A254" t="s">
        <v>566</v>
      </c>
      <c r="B254" t="s">
        <v>567</v>
      </c>
      <c r="C254" t="s">
        <v>13</v>
      </c>
      <c r="D254" t="s">
        <v>514</v>
      </c>
      <c r="E254" t="s">
        <v>515</v>
      </c>
      <c r="F254" t="s">
        <v>516</v>
      </c>
      <c r="G254" s="1">
        <v>6.7000000000000004E-2</v>
      </c>
      <c r="H254" t="s">
        <v>166</v>
      </c>
      <c r="I254" t="s">
        <v>18</v>
      </c>
      <c r="J254" t="s">
        <v>337</v>
      </c>
      <c r="K254" t="s">
        <v>24</v>
      </c>
      <c r="L254" s="14">
        <f>IFERROR(VALUE(LEFT(tblMatriculas[[#This Row],[Clases]],FIND("/",tblMatriculas[[#This Row],[Clases]])-1)),"")</f>
        <v>2</v>
      </c>
      <c r="M254" s="14">
        <f>IFERROR(VALUE(MID(tblMatriculas[[#This Row],[Clases]],FIND("/",tblMatriculas[[#This Row],[Clases]])+1,5)),"")</f>
        <v>30</v>
      </c>
      <c r="N2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4" s="14">
        <f>IF(OR(tblMatriculas[[#This Row],[Estado]]&lt;&gt;"activa",tblMatriculas[[#This Row],[Clases dictadas]]=""),"",MAX(0,tblMatriculas[[#This Row],[Clases dictadas]]-tblMatriculas[[#This Row],[Asistidas]]))</f>
        <v>0</v>
      </c>
      <c r="P254" s="1">
        <f>IF(OR(tblMatriculas[[#This Row],[Estado]]&lt;&gt;"activa",tblMatriculas[[#This Row],[Asistidas]]=""),"",tblMatriculas[[#This Row],[Asistencia]])</f>
        <v>6.7000000000000004E-2</v>
      </c>
      <c r="Q254" t="b">
        <f>AND(tblMatriculas[[#This Row],[Estado]]="activa",ISNUMBER(tblMatriculas[[#This Row],[% asistencia]]),NOT(ISNUMBER(SEARCH(pPrueba,tblMatriculas[[#This Row],[Nombre]]))))</f>
        <v>1</v>
      </c>
      <c r="R2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4" s="23" t="str" cm="1">
        <f t="array" ref="S2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4" s="23" t="str" cm="1">
        <f t="array" ref="T2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4" s="14" t="str" cm="1">
        <f t="array" ref="U2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4" t="str" cm="1">
        <f t="array" ref="V2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4" t="str" cm="1">
        <f t="array" ref="W2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4" t="str">
        <f>IF(COUNTIFS('Base Estudiantes'!$C:$C,tblMatriculas[[#This Row],[Cédula]],'Base Estudiantes'!$I:$I,tblMatriculas[[#This Row],[Código]])&gt;0,"Sí","No")</f>
        <v>Sí</v>
      </c>
      <c r="Z254" s="23" cm="1">
        <f t="array" ref="Z254">_xlfn.XLOOKUP(tblMatriculas[[#This Row],[Cédula]]&amp;"|"&amp;tblMatriculas[[#This Row],[Código]],tblBase[Documento]&amp;"|"&amp;tblBase[Código grupo],tblBase[Fecha matrícula],"")</f>
        <v>46264</v>
      </c>
    </row>
    <row r="255" spans="1:26" x14ac:dyDescent="0.2">
      <c r="A255" t="s">
        <v>568</v>
      </c>
      <c r="B255" t="s">
        <v>569</v>
      </c>
      <c r="C255" t="s">
        <v>13</v>
      </c>
      <c r="D255" t="s">
        <v>514</v>
      </c>
      <c r="E255" t="s">
        <v>515</v>
      </c>
      <c r="F255" t="s">
        <v>516</v>
      </c>
      <c r="G255" s="1">
        <v>6.7000000000000004E-2</v>
      </c>
      <c r="H255" t="s">
        <v>166</v>
      </c>
      <c r="I255" t="s">
        <v>18</v>
      </c>
      <c r="J255" t="s">
        <v>337</v>
      </c>
      <c r="K255" t="s">
        <v>24</v>
      </c>
      <c r="L255" s="14">
        <f>IFERROR(VALUE(LEFT(tblMatriculas[[#This Row],[Clases]],FIND("/",tblMatriculas[[#This Row],[Clases]])-1)),"")</f>
        <v>2</v>
      </c>
      <c r="M255" s="14">
        <f>IFERROR(VALUE(MID(tblMatriculas[[#This Row],[Clases]],FIND("/",tblMatriculas[[#This Row],[Clases]])+1,5)),"")</f>
        <v>30</v>
      </c>
      <c r="N2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5" s="14">
        <f>IF(OR(tblMatriculas[[#This Row],[Estado]]&lt;&gt;"activa",tblMatriculas[[#This Row],[Clases dictadas]]=""),"",MAX(0,tblMatriculas[[#This Row],[Clases dictadas]]-tblMatriculas[[#This Row],[Asistidas]]))</f>
        <v>0</v>
      </c>
      <c r="P255" s="1">
        <f>IF(OR(tblMatriculas[[#This Row],[Estado]]&lt;&gt;"activa",tblMatriculas[[#This Row],[Asistidas]]=""),"",tblMatriculas[[#This Row],[Asistencia]])</f>
        <v>6.7000000000000004E-2</v>
      </c>
      <c r="Q255" t="b">
        <f>AND(tblMatriculas[[#This Row],[Estado]]="activa",ISNUMBER(tblMatriculas[[#This Row],[% asistencia]]),NOT(ISNUMBER(SEARCH(pPrueba,tblMatriculas[[#This Row],[Nombre]]))))</f>
        <v>1</v>
      </c>
      <c r="R2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5" s="23" t="str" cm="1">
        <f t="array" ref="S2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5" s="23" t="str" cm="1">
        <f t="array" ref="T2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5" s="14" t="str" cm="1">
        <f t="array" ref="U2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5" t="str" cm="1">
        <f t="array" ref="V2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5" t="str" cm="1">
        <f t="array" ref="W2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5" t="str">
        <f>IF(COUNTIFS('Base Estudiantes'!$C:$C,tblMatriculas[[#This Row],[Cédula]],'Base Estudiantes'!$I:$I,tblMatriculas[[#This Row],[Código]])&gt;0,"Sí","No")</f>
        <v>Sí</v>
      </c>
      <c r="Z255" s="23" cm="1">
        <f t="array" ref="Z255">_xlfn.XLOOKUP(tblMatriculas[[#This Row],[Cédula]]&amp;"|"&amp;tblMatriculas[[#This Row],[Código]],tblBase[Documento]&amp;"|"&amp;tblBase[Código grupo],tblBase[Fecha matrícula],"")</f>
        <v>46264</v>
      </c>
    </row>
    <row r="256" spans="1:26" x14ac:dyDescent="0.2">
      <c r="A256" t="s">
        <v>570</v>
      </c>
      <c r="B256" t="s">
        <v>571</v>
      </c>
      <c r="C256" t="s">
        <v>13</v>
      </c>
      <c r="D256" t="s">
        <v>514</v>
      </c>
      <c r="E256" t="s">
        <v>515</v>
      </c>
      <c r="F256" t="s">
        <v>516</v>
      </c>
      <c r="G256" s="1">
        <v>6.7000000000000004E-2</v>
      </c>
      <c r="H256" t="s">
        <v>166</v>
      </c>
      <c r="I256" t="s">
        <v>18</v>
      </c>
      <c r="J256" t="s">
        <v>337</v>
      </c>
      <c r="K256" t="s">
        <v>24</v>
      </c>
      <c r="L256" s="14">
        <f>IFERROR(VALUE(LEFT(tblMatriculas[[#This Row],[Clases]],FIND("/",tblMatriculas[[#This Row],[Clases]])-1)),"")</f>
        <v>2</v>
      </c>
      <c r="M256" s="14">
        <f>IFERROR(VALUE(MID(tblMatriculas[[#This Row],[Clases]],FIND("/",tblMatriculas[[#This Row],[Clases]])+1,5)),"")</f>
        <v>30</v>
      </c>
      <c r="N2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6" s="14">
        <f>IF(OR(tblMatriculas[[#This Row],[Estado]]&lt;&gt;"activa",tblMatriculas[[#This Row],[Clases dictadas]]=""),"",MAX(0,tblMatriculas[[#This Row],[Clases dictadas]]-tblMatriculas[[#This Row],[Asistidas]]))</f>
        <v>0</v>
      </c>
      <c r="P256" s="1">
        <f>IF(OR(tblMatriculas[[#This Row],[Estado]]&lt;&gt;"activa",tblMatriculas[[#This Row],[Asistidas]]=""),"",tblMatriculas[[#This Row],[Asistencia]])</f>
        <v>6.7000000000000004E-2</v>
      </c>
      <c r="Q256" t="b">
        <f>AND(tblMatriculas[[#This Row],[Estado]]="activa",ISNUMBER(tblMatriculas[[#This Row],[% asistencia]]),NOT(ISNUMBER(SEARCH(pPrueba,tblMatriculas[[#This Row],[Nombre]]))))</f>
        <v>1</v>
      </c>
      <c r="R2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6" s="23" t="str" cm="1">
        <f t="array" ref="S2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6" s="23" t="str" cm="1">
        <f t="array" ref="T2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6" s="14" t="str" cm="1">
        <f t="array" ref="U2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6" t="str" cm="1">
        <f t="array" ref="V2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6" t="str" cm="1">
        <f t="array" ref="W2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6" t="str">
        <f>IF(COUNTIFS('Base Estudiantes'!$C:$C,tblMatriculas[[#This Row],[Cédula]],'Base Estudiantes'!$I:$I,tblMatriculas[[#This Row],[Código]])&gt;0,"Sí","No")</f>
        <v>Sí</v>
      </c>
      <c r="Z256" s="23" cm="1">
        <f t="array" ref="Z256">_xlfn.XLOOKUP(tblMatriculas[[#This Row],[Cédula]]&amp;"|"&amp;tblMatriculas[[#This Row],[Código]],tblBase[Documento]&amp;"|"&amp;tblBase[Código grupo],tblBase[Fecha matrícula],"")</f>
        <v>46264</v>
      </c>
    </row>
    <row r="257" spans="1:26" x14ac:dyDescent="0.2">
      <c r="A257" t="s">
        <v>572</v>
      </c>
      <c r="B257" t="s">
        <v>573</v>
      </c>
      <c r="C257" t="s">
        <v>13</v>
      </c>
      <c r="D257" t="s">
        <v>514</v>
      </c>
      <c r="E257" t="s">
        <v>515</v>
      </c>
      <c r="F257" t="s">
        <v>516</v>
      </c>
      <c r="G257" s="1">
        <v>6.7000000000000004E-2</v>
      </c>
      <c r="H257" t="s">
        <v>166</v>
      </c>
      <c r="I257" t="s">
        <v>18</v>
      </c>
      <c r="J257" t="s">
        <v>337</v>
      </c>
      <c r="K257" t="s">
        <v>120</v>
      </c>
      <c r="L257" s="14">
        <f>IFERROR(VALUE(LEFT(tblMatriculas[[#This Row],[Clases]],FIND("/",tblMatriculas[[#This Row],[Clases]])-1)),"")</f>
        <v>2</v>
      </c>
      <c r="M257" s="14">
        <f>IFERROR(VALUE(MID(tblMatriculas[[#This Row],[Clases]],FIND("/",tblMatriculas[[#This Row],[Clases]])+1,5)),"")</f>
        <v>30</v>
      </c>
      <c r="N2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7" s="14">
        <f>IF(OR(tblMatriculas[[#This Row],[Estado]]&lt;&gt;"activa",tblMatriculas[[#This Row],[Clases dictadas]]=""),"",MAX(0,tblMatriculas[[#This Row],[Clases dictadas]]-tblMatriculas[[#This Row],[Asistidas]]))</f>
        <v>0</v>
      </c>
      <c r="P257" s="1">
        <f>IF(OR(tblMatriculas[[#This Row],[Estado]]&lt;&gt;"activa",tblMatriculas[[#This Row],[Asistidas]]=""),"",tblMatriculas[[#This Row],[Asistencia]])</f>
        <v>6.7000000000000004E-2</v>
      </c>
      <c r="Q257" t="b">
        <f>AND(tblMatriculas[[#This Row],[Estado]]="activa",ISNUMBER(tblMatriculas[[#This Row],[% asistencia]]),NOT(ISNUMBER(SEARCH(pPrueba,tblMatriculas[[#This Row],[Nombre]]))))</f>
        <v>1</v>
      </c>
      <c r="R2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57" s="23" t="str" cm="1">
        <f t="array" ref="S2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7" s="23" t="str" cm="1">
        <f t="array" ref="T2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7" s="14" t="str" cm="1">
        <f t="array" ref="U2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7" t="str" cm="1">
        <f t="array" ref="V2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7" t="str" cm="1">
        <f t="array" ref="W2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57" t="str">
        <f>IF(COUNTIFS('Base Estudiantes'!$C:$C,tblMatriculas[[#This Row],[Cédula]],'Base Estudiantes'!$I:$I,tblMatriculas[[#This Row],[Código]])&gt;0,"Sí","No")</f>
        <v>Sí</v>
      </c>
      <c r="Z257" s="23" cm="1">
        <f t="array" ref="Z257">_xlfn.XLOOKUP(tblMatriculas[[#This Row],[Cédula]]&amp;"|"&amp;tblMatriculas[[#This Row],[Código]],tblBase[Documento]&amp;"|"&amp;tblBase[Código grupo],tblBase[Fecha matrícula],"")</f>
        <v>46264</v>
      </c>
    </row>
    <row r="258" spans="1:26" x14ac:dyDescent="0.2">
      <c r="A258" t="s">
        <v>574</v>
      </c>
      <c r="B258" t="s">
        <v>575</v>
      </c>
      <c r="C258" t="s">
        <v>13</v>
      </c>
      <c r="D258" t="s">
        <v>514</v>
      </c>
      <c r="E258" t="s">
        <v>515</v>
      </c>
      <c r="F258" t="s">
        <v>516</v>
      </c>
      <c r="G258" s="1">
        <v>3.3000000000000002E-2</v>
      </c>
      <c r="H258" t="s">
        <v>225</v>
      </c>
      <c r="I258" t="s">
        <v>18</v>
      </c>
      <c r="J258" t="s">
        <v>337</v>
      </c>
      <c r="K258" t="s">
        <v>419</v>
      </c>
      <c r="L258" s="14">
        <f>IFERROR(VALUE(LEFT(tblMatriculas[[#This Row],[Clases]],FIND("/",tblMatriculas[[#This Row],[Clases]])-1)),"")</f>
        <v>1</v>
      </c>
      <c r="M258" s="14">
        <f>IFERROR(VALUE(MID(tblMatriculas[[#This Row],[Clases]],FIND("/",tblMatriculas[[#This Row],[Clases]])+1,5)),"")</f>
        <v>30</v>
      </c>
      <c r="N2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58" s="14">
        <f>IF(OR(tblMatriculas[[#This Row],[Estado]]&lt;&gt;"activa",tblMatriculas[[#This Row],[Clases dictadas]]=""),"",MAX(0,tblMatriculas[[#This Row],[Clases dictadas]]-tblMatriculas[[#This Row],[Asistidas]]))</f>
        <v>1</v>
      </c>
      <c r="P258" s="1">
        <f>IF(OR(tblMatriculas[[#This Row],[Estado]]&lt;&gt;"activa",tblMatriculas[[#This Row],[Asistidas]]=""),"",tblMatriculas[[#This Row],[Asistencia]])</f>
        <v>3.3000000000000002E-2</v>
      </c>
      <c r="Q258" t="b">
        <f>AND(tblMatriculas[[#This Row],[Estado]]="activa",ISNUMBER(tblMatriculas[[#This Row],[% asistencia]]),NOT(ISNUMBER(SEARCH(pPrueba,tblMatriculas[[#This Row],[Nombre]]))))</f>
        <v>1</v>
      </c>
      <c r="R2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58" s="23" t="str" cm="1">
        <f t="array" ref="S2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8" s="23" t="str" cm="1">
        <f t="array" ref="T2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8" s="14" t="str" cm="1">
        <f t="array" ref="U2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8" t="str" cm="1">
        <f t="array" ref="V2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8" t="str" cm="1">
        <f t="array" ref="W2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58" t="str">
        <f>IF(COUNTIFS('Base Estudiantes'!$C:$C,tblMatriculas[[#This Row],[Cédula]],'Base Estudiantes'!$I:$I,tblMatriculas[[#This Row],[Código]])&gt;0,"Sí","No")</f>
        <v>Sí</v>
      </c>
      <c r="Z258" s="23" cm="1">
        <f t="array" ref="Z258">_xlfn.XLOOKUP(tblMatriculas[[#This Row],[Cédula]]&amp;"|"&amp;tblMatriculas[[#This Row],[Código]],tblBase[Documento]&amp;"|"&amp;tblBase[Código grupo],tblBase[Fecha matrícula],"")</f>
        <v>46264</v>
      </c>
    </row>
    <row r="259" spans="1:26" x14ac:dyDescent="0.2">
      <c r="A259" t="s">
        <v>576</v>
      </c>
      <c r="B259" t="s">
        <v>577</v>
      </c>
      <c r="C259" t="s">
        <v>13</v>
      </c>
      <c r="D259" t="s">
        <v>514</v>
      </c>
      <c r="E259" t="s">
        <v>515</v>
      </c>
      <c r="F259" t="s">
        <v>516</v>
      </c>
      <c r="G259" s="1">
        <v>1.7000000000000001E-2</v>
      </c>
      <c r="H259" t="s">
        <v>578</v>
      </c>
      <c r="I259" t="s">
        <v>18</v>
      </c>
      <c r="J259" t="s">
        <v>337</v>
      </c>
      <c r="K259" t="s">
        <v>426</v>
      </c>
      <c r="L259" s="14">
        <f>IFERROR(VALUE(LEFT(tblMatriculas[[#This Row],[Clases]],FIND("/",tblMatriculas[[#This Row],[Clases]])-1)),"")</f>
        <v>1</v>
      </c>
      <c r="M259" s="14">
        <f>IFERROR(VALUE(MID(tblMatriculas[[#This Row],[Clases]],FIND("/",tblMatriculas[[#This Row],[Clases]])+1,5)),"")</f>
        <v>60</v>
      </c>
      <c r="N2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59" s="14">
        <f>IF(OR(tblMatriculas[[#This Row],[Estado]]&lt;&gt;"activa",tblMatriculas[[#This Row],[Clases dictadas]]=""),"",MAX(0,tblMatriculas[[#This Row],[Clases dictadas]]-tblMatriculas[[#This Row],[Asistidas]]))</f>
        <v>5</v>
      </c>
      <c r="P259" s="1">
        <f>IF(OR(tblMatriculas[[#This Row],[Estado]]&lt;&gt;"activa",tblMatriculas[[#This Row],[Asistidas]]=""),"",tblMatriculas[[#This Row],[Asistencia]])</f>
        <v>1.7000000000000001E-2</v>
      </c>
      <c r="Q259" t="b">
        <f>AND(tblMatriculas[[#This Row],[Estado]]="activa",ISNUMBER(tblMatriculas[[#This Row],[% asistencia]]),NOT(ISNUMBER(SEARCH(pPrueba,tblMatriculas[[#This Row],[Nombre]]))))</f>
        <v>1</v>
      </c>
      <c r="R2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59" s="23" t="str" cm="1">
        <f t="array" ref="S2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59" s="23" t="str" cm="1">
        <f t="array" ref="T2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59" s="14" t="str" cm="1">
        <f t="array" ref="U2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59" t="str" cm="1">
        <f t="array" ref="V2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59" t="str" cm="1">
        <f t="array" ref="W2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59" t="str">
        <f>IF(COUNTIFS('Base Estudiantes'!$C:$C,tblMatriculas[[#This Row],[Cédula]],'Base Estudiantes'!$I:$I,tblMatriculas[[#This Row],[Código]])&gt;0,"Sí","No")</f>
        <v>Sí</v>
      </c>
      <c r="Z259" s="23" cm="1">
        <f t="array" ref="Z259">_xlfn.XLOOKUP(tblMatriculas[[#This Row],[Cédula]]&amp;"|"&amp;tblMatriculas[[#This Row],[Código]],tblBase[Documento]&amp;"|"&amp;tblBase[Código grupo],tblBase[Fecha matrícula],"")</f>
        <v>46264</v>
      </c>
    </row>
    <row r="260" spans="1:26" x14ac:dyDescent="0.2">
      <c r="A260" t="s">
        <v>579</v>
      </c>
      <c r="B260" t="s">
        <v>580</v>
      </c>
      <c r="C260" t="s">
        <v>13</v>
      </c>
      <c r="D260" t="s">
        <v>581</v>
      </c>
      <c r="E260" t="s">
        <v>582</v>
      </c>
      <c r="F260" t="s">
        <v>516</v>
      </c>
      <c r="G260" s="1">
        <v>6.7000000000000004E-2</v>
      </c>
      <c r="H260" t="s">
        <v>166</v>
      </c>
      <c r="I260" t="s">
        <v>18</v>
      </c>
      <c r="J260" t="s">
        <v>113</v>
      </c>
      <c r="K260" t="s">
        <v>24</v>
      </c>
      <c r="L260" s="14">
        <f>IFERROR(VALUE(LEFT(tblMatriculas[[#This Row],[Clases]],FIND("/",tblMatriculas[[#This Row],[Clases]])-1)),"")</f>
        <v>2</v>
      </c>
      <c r="M260" s="14">
        <f>IFERROR(VALUE(MID(tblMatriculas[[#This Row],[Clases]],FIND("/",tblMatriculas[[#This Row],[Clases]])+1,5)),"")</f>
        <v>30</v>
      </c>
      <c r="N2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0" s="14">
        <f>IF(OR(tblMatriculas[[#This Row],[Estado]]&lt;&gt;"activa",tblMatriculas[[#This Row],[Clases dictadas]]=""),"",MAX(0,tblMatriculas[[#This Row],[Clases dictadas]]-tblMatriculas[[#This Row],[Asistidas]]))</f>
        <v>0</v>
      </c>
      <c r="P260" s="1">
        <f>IF(OR(tblMatriculas[[#This Row],[Estado]]&lt;&gt;"activa",tblMatriculas[[#This Row],[Asistidas]]=""),"",tblMatriculas[[#This Row],[Asistencia]])</f>
        <v>6.7000000000000004E-2</v>
      </c>
      <c r="Q260" t="b">
        <f>AND(tblMatriculas[[#This Row],[Estado]]="activa",ISNUMBER(tblMatriculas[[#This Row],[% asistencia]]),NOT(ISNUMBER(SEARCH(pPrueba,tblMatriculas[[#This Row],[Nombre]]))))</f>
        <v>1</v>
      </c>
      <c r="R2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0" s="23" t="str" cm="1">
        <f t="array" ref="S2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0" s="23" t="str" cm="1">
        <f t="array" ref="T2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0" s="14" t="str" cm="1">
        <f t="array" ref="U2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0" t="str" cm="1">
        <f t="array" ref="V2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0" t="str" cm="1">
        <f t="array" ref="W2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0" t="str">
        <f>IF(COUNTIFS('Base Estudiantes'!$C:$C,tblMatriculas[[#This Row],[Cédula]],'Base Estudiantes'!$I:$I,tblMatriculas[[#This Row],[Código]])&gt;0,"Sí","No")</f>
        <v>Sí</v>
      </c>
      <c r="Z260" s="23" cm="1">
        <f t="array" ref="Z260">_xlfn.XLOOKUP(tblMatriculas[[#This Row],[Cédula]]&amp;"|"&amp;tblMatriculas[[#This Row],[Código]],tblBase[Documento]&amp;"|"&amp;tblBase[Código grupo],tblBase[Fecha matrícula],"")</f>
        <v>46264</v>
      </c>
    </row>
    <row r="261" spans="1:26" x14ac:dyDescent="0.2">
      <c r="A261" t="s">
        <v>583</v>
      </c>
      <c r="B261" t="s">
        <v>584</v>
      </c>
      <c r="C261" t="s">
        <v>13</v>
      </c>
      <c r="D261" t="s">
        <v>581</v>
      </c>
      <c r="E261" t="s">
        <v>582</v>
      </c>
      <c r="F261" t="s">
        <v>516</v>
      </c>
      <c r="G261" s="1">
        <v>6.7000000000000004E-2</v>
      </c>
      <c r="H261" t="s">
        <v>166</v>
      </c>
      <c r="I261" t="s">
        <v>18</v>
      </c>
      <c r="J261" t="s">
        <v>113</v>
      </c>
      <c r="K261" t="s">
        <v>24</v>
      </c>
      <c r="L261" s="14">
        <f>IFERROR(VALUE(LEFT(tblMatriculas[[#This Row],[Clases]],FIND("/",tblMatriculas[[#This Row],[Clases]])-1)),"")</f>
        <v>2</v>
      </c>
      <c r="M261" s="14">
        <f>IFERROR(VALUE(MID(tblMatriculas[[#This Row],[Clases]],FIND("/",tblMatriculas[[#This Row],[Clases]])+1,5)),"")</f>
        <v>30</v>
      </c>
      <c r="N2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1" s="14">
        <f>IF(OR(tblMatriculas[[#This Row],[Estado]]&lt;&gt;"activa",tblMatriculas[[#This Row],[Clases dictadas]]=""),"",MAX(0,tblMatriculas[[#This Row],[Clases dictadas]]-tblMatriculas[[#This Row],[Asistidas]]))</f>
        <v>0</v>
      </c>
      <c r="P261" s="1">
        <f>IF(OR(tblMatriculas[[#This Row],[Estado]]&lt;&gt;"activa",tblMatriculas[[#This Row],[Asistidas]]=""),"",tblMatriculas[[#This Row],[Asistencia]])</f>
        <v>6.7000000000000004E-2</v>
      </c>
      <c r="Q261" t="b">
        <f>AND(tblMatriculas[[#This Row],[Estado]]="activa",ISNUMBER(tblMatriculas[[#This Row],[% asistencia]]),NOT(ISNUMBER(SEARCH(pPrueba,tblMatriculas[[#This Row],[Nombre]]))))</f>
        <v>1</v>
      </c>
      <c r="R2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1" s="23" t="str" cm="1">
        <f t="array" ref="S2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1" s="23" t="str" cm="1">
        <f t="array" ref="T2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1" s="14" t="str" cm="1">
        <f t="array" ref="U2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1" t="str" cm="1">
        <f t="array" ref="V2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1" t="str" cm="1">
        <f t="array" ref="W2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1" t="str">
        <f>IF(COUNTIFS('Base Estudiantes'!$C:$C,tblMatriculas[[#This Row],[Cédula]],'Base Estudiantes'!$I:$I,tblMatriculas[[#This Row],[Código]])&gt;0,"Sí","No")</f>
        <v>Sí</v>
      </c>
      <c r="Z261" s="23" cm="1">
        <f t="array" ref="Z261">_xlfn.XLOOKUP(tblMatriculas[[#This Row],[Cédula]]&amp;"|"&amp;tblMatriculas[[#This Row],[Código]],tblBase[Documento]&amp;"|"&amp;tblBase[Código grupo],tblBase[Fecha matrícula],"")</f>
        <v>46264</v>
      </c>
    </row>
    <row r="262" spans="1:26" x14ac:dyDescent="0.2">
      <c r="A262" t="s">
        <v>585</v>
      </c>
      <c r="B262" t="s">
        <v>586</v>
      </c>
      <c r="C262" t="s">
        <v>13</v>
      </c>
      <c r="D262" t="s">
        <v>581</v>
      </c>
      <c r="E262" t="s">
        <v>582</v>
      </c>
      <c r="F262" t="s">
        <v>516</v>
      </c>
      <c r="G262" s="1">
        <v>6.7000000000000004E-2</v>
      </c>
      <c r="H262" t="s">
        <v>166</v>
      </c>
      <c r="I262" t="s">
        <v>18</v>
      </c>
      <c r="J262" t="s">
        <v>113</v>
      </c>
      <c r="K262" t="s">
        <v>24</v>
      </c>
      <c r="L262" s="14">
        <f>IFERROR(VALUE(LEFT(tblMatriculas[[#This Row],[Clases]],FIND("/",tblMatriculas[[#This Row],[Clases]])-1)),"")</f>
        <v>2</v>
      </c>
      <c r="M262" s="14">
        <f>IFERROR(VALUE(MID(tblMatriculas[[#This Row],[Clases]],FIND("/",tblMatriculas[[#This Row],[Clases]])+1,5)),"")</f>
        <v>30</v>
      </c>
      <c r="N2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2" s="14">
        <f>IF(OR(tblMatriculas[[#This Row],[Estado]]&lt;&gt;"activa",tblMatriculas[[#This Row],[Clases dictadas]]=""),"",MAX(0,tblMatriculas[[#This Row],[Clases dictadas]]-tblMatriculas[[#This Row],[Asistidas]]))</f>
        <v>0</v>
      </c>
      <c r="P262" s="1">
        <f>IF(OR(tblMatriculas[[#This Row],[Estado]]&lt;&gt;"activa",tblMatriculas[[#This Row],[Asistidas]]=""),"",tblMatriculas[[#This Row],[Asistencia]])</f>
        <v>6.7000000000000004E-2</v>
      </c>
      <c r="Q262" t="b">
        <f>AND(tblMatriculas[[#This Row],[Estado]]="activa",ISNUMBER(tblMatriculas[[#This Row],[% asistencia]]),NOT(ISNUMBER(SEARCH(pPrueba,tblMatriculas[[#This Row],[Nombre]]))))</f>
        <v>1</v>
      </c>
      <c r="R2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2" s="23" t="str" cm="1">
        <f t="array" ref="S2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2" s="23" t="str" cm="1">
        <f t="array" ref="T2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2" s="14" t="str" cm="1">
        <f t="array" ref="U2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2" t="str" cm="1">
        <f t="array" ref="V2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2" t="str" cm="1">
        <f t="array" ref="W2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2" t="str">
        <f>IF(COUNTIFS('Base Estudiantes'!$C:$C,tblMatriculas[[#This Row],[Cédula]],'Base Estudiantes'!$I:$I,tblMatriculas[[#This Row],[Código]])&gt;0,"Sí","No")</f>
        <v>Sí</v>
      </c>
      <c r="Z262" s="23" cm="1">
        <f t="array" ref="Z262">_xlfn.XLOOKUP(tblMatriculas[[#This Row],[Cédula]]&amp;"|"&amp;tblMatriculas[[#This Row],[Código]],tblBase[Documento]&amp;"|"&amp;tblBase[Código grupo],tblBase[Fecha matrícula],"")</f>
        <v>46264</v>
      </c>
    </row>
    <row r="263" spans="1:26" x14ac:dyDescent="0.2">
      <c r="A263" t="s">
        <v>587</v>
      </c>
      <c r="B263" t="s">
        <v>588</v>
      </c>
      <c r="C263" t="s">
        <v>13</v>
      </c>
      <c r="D263" t="s">
        <v>581</v>
      </c>
      <c r="E263" t="s">
        <v>582</v>
      </c>
      <c r="F263" t="s">
        <v>516</v>
      </c>
      <c r="G263" s="1">
        <v>6.7000000000000004E-2</v>
      </c>
      <c r="H263" t="s">
        <v>166</v>
      </c>
      <c r="I263" t="s">
        <v>18</v>
      </c>
      <c r="J263" t="s">
        <v>113</v>
      </c>
      <c r="K263" t="s">
        <v>24</v>
      </c>
      <c r="L263" s="14">
        <f>IFERROR(VALUE(LEFT(tblMatriculas[[#This Row],[Clases]],FIND("/",tblMatriculas[[#This Row],[Clases]])-1)),"")</f>
        <v>2</v>
      </c>
      <c r="M263" s="14">
        <f>IFERROR(VALUE(MID(tblMatriculas[[#This Row],[Clases]],FIND("/",tblMatriculas[[#This Row],[Clases]])+1,5)),"")</f>
        <v>30</v>
      </c>
      <c r="N2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3" s="14">
        <f>IF(OR(tblMatriculas[[#This Row],[Estado]]&lt;&gt;"activa",tblMatriculas[[#This Row],[Clases dictadas]]=""),"",MAX(0,tblMatriculas[[#This Row],[Clases dictadas]]-tblMatriculas[[#This Row],[Asistidas]]))</f>
        <v>0</v>
      </c>
      <c r="P263" s="1">
        <f>IF(OR(tblMatriculas[[#This Row],[Estado]]&lt;&gt;"activa",tblMatriculas[[#This Row],[Asistidas]]=""),"",tblMatriculas[[#This Row],[Asistencia]])</f>
        <v>6.7000000000000004E-2</v>
      </c>
      <c r="Q263" t="b">
        <f>AND(tblMatriculas[[#This Row],[Estado]]="activa",ISNUMBER(tblMatriculas[[#This Row],[% asistencia]]),NOT(ISNUMBER(SEARCH(pPrueba,tblMatriculas[[#This Row],[Nombre]]))))</f>
        <v>1</v>
      </c>
      <c r="R2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3" s="23" t="str" cm="1">
        <f t="array" ref="S2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3" s="23" t="str" cm="1">
        <f t="array" ref="T2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3" s="14" t="str" cm="1">
        <f t="array" ref="U2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3" t="str" cm="1">
        <f t="array" ref="V2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3" t="str" cm="1">
        <f t="array" ref="W2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3" t="str">
        <f>IF(COUNTIFS('Base Estudiantes'!$C:$C,tblMatriculas[[#This Row],[Cédula]],'Base Estudiantes'!$I:$I,tblMatriculas[[#This Row],[Código]])&gt;0,"Sí","No")</f>
        <v>Sí</v>
      </c>
      <c r="Z263" s="23" cm="1">
        <f t="array" ref="Z263">_xlfn.XLOOKUP(tblMatriculas[[#This Row],[Cédula]]&amp;"|"&amp;tblMatriculas[[#This Row],[Código]],tblBase[Documento]&amp;"|"&amp;tblBase[Código grupo],tblBase[Fecha matrícula],"")</f>
        <v>46264</v>
      </c>
    </row>
    <row r="264" spans="1:26" x14ac:dyDescent="0.2">
      <c r="A264" t="s">
        <v>589</v>
      </c>
      <c r="B264" t="s">
        <v>590</v>
      </c>
      <c r="C264" t="s">
        <v>13</v>
      </c>
      <c r="D264" t="s">
        <v>581</v>
      </c>
      <c r="E264" t="s">
        <v>582</v>
      </c>
      <c r="F264" t="s">
        <v>516</v>
      </c>
      <c r="G264" s="1">
        <v>3.3000000000000002E-2</v>
      </c>
      <c r="H264" t="s">
        <v>225</v>
      </c>
      <c r="I264" t="s">
        <v>18</v>
      </c>
      <c r="J264" t="s">
        <v>113</v>
      </c>
      <c r="K264" t="s">
        <v>24</v>
      </c>
      <c r="L264" s="14">
        <f>IFERROR(VALUE(LEFT(tblMatriculas[[#This Row],[Clases]],FIND("/",tblMatriculas[[#This Row],[Clases]])-1)),"")</f>
        <v>1</v>
      </c>
      <c r="M264" s="14">
        <f>IFERROR(VALUE(MID(tblMatriculas[[#This Row],[Clases]],FIND("/",tblMatriculas[[#This Row],[Clases]])+1,5)),"")</f>
        <v>30</v>
      </c>
      <c r="N2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4" s="14">
        <f>IF(OR(tblMatriculas[[#This Row],[Estado]]&lt;&gt;"activa",tblMatriculas[[#This Row],[Clases dictadas]]=""),"",MAX(0,tblMatriculas[[#This Row],[Clases dictadas]]-tblMatriculas[[#This Row],[Asistidas]]))</f>
        <v>1</v>
      </c>
      <c r="P264" s="1">
        <f>IF(OR(tblMatriculas[[#This Row],[Estado]]&lt;&gt;"activa",tblMatriculas[[#This Row],[Asistidas]]=""),"",tblMatriculas[[#This Row],[Asistencia]])</f>
        <v>3.3000000000000002E-2</v>
      </c>
      <c r="Q264" t="b">
        <f>AND(tblMatriculas[[#This Row],[Estado]]="activa",ISNUMBER(tblMatriculas[[#This Row],[% asistencia]]),NOT(ISNUMBER(SEARCH(pPrueba,tblMatriculas[[#This Row],[Nombre]]))))</f>
        <v>1</v>
      </c>
      <c r="R2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64" s="23" t="str" cm="1">
        <f t="array" ref="S2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4" s="23" t="str" cm="1">
        <f t="array" ref="T2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4" s="14" t="str" cm="1">
        <f t="array" ref="U2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4" t="str" cm="1">
        <f t="array" ref="V2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4" t="str" cm="1">
        <f t="array" ref="W2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64" t="str">
        <f>IF(COUNTIFS('Base Estudiantes'!$C:$C,tblMatriculas[[#This Row],[Cédula]],'Base Estudiantes'!$I:$I,tblMatriculas[[#This Row],[Código]])&gt;0,"Sí","No")</f>
        <v>Sí</v>
      </c>
      <c r="Z264" s="23" cm="1">
        <f t="array" ref="Z264">_xlfn.XLOOKUP(tblMatriculas[[#This Row],[Cédula]]&amp;"|"&amp;tblMatriculas[[#This Row],[Código]],tblBase[Documento]&amp;"|"&amp;tblBase[Código grupo],tblBase[Fecha matrícula],"")</f>
        <v>46264</v>
      </c>
    </row>
    <row r="265" spans="1:26" x14ac:dyDescent="0.2">
      <c r="A265" t="s">
        <v>591</v>
      </c>
      <c r="B265" t="s">
        <v>592</v>
      </c>
      <c r="C265" t="s">
        <v>13</v>
      </c>
      <c r="D265" t="s">
        <v>581</v>
      </c>
      <c r="E265" t="s">
        <v>582</v>
      </c>
      <c r="F265" t="s">
        <v>516</v>
      </c>
      <c r="G265" s="1">
        <v>3.3000000000000002E-2</v>
      </c>
      <c r="H265" t="s">
        <v>225</v>
      </c>
      <c r="I265" t="s">
        <v>18</v>
      </c>
      <c r="J265" t="s">
        <v>113</v>
      </c>
      <c r="K265" t="s">
        <v>24</v>
      </c>
      <c r="L265" s="14">
        <f>IFERROR(VALUE(LEFT(tblMatriculas[[#This Row],[Clases]],FIND("/",tblMatriculas[[#This Row],[Clases]])-1)),"")</f>
        <v>1</v>
      </c>
      <c r="M265" s="14">
        <f>IFERROR(VALUE(MID(tblMatriculas[[#This Row],[Clases]],FIND("/",tblMatriculas[[#This Row],[Clases]])+1,5)),"")</f>
        <v>30</v>
      </c>
      <c r="N2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5" s="14">
        <f>IF(OR(tblMatriculas[[#This Row],[Estado]]&lt;&gt;"activa",tblMatriculas[[#This Row],[Clases dictadas]]=""),"",MAX(0,tblMatriculas[[#This Row],[Clases dictadas]]-tblMatriculas[[#This Row],[Asistidas]]))</f>
        <v>1</v>
      </c>
      <c r="P265" s="1">
        <f>IF(OR(tblMatriculas[[#This Row],[Estado]]&lt;&gt;"activa",tblMatriculas[[#This Row],[Asistidas]]=""),"",tblMatriculas[[#This Row],[Asistencia]])</f>
        <v>3.3000000000000002E-2</v>
      </c>
      <c r="Q265" t="b">
        <f>AND(tblMatriculas[[#This Row],[Estado]]="activa",ISNUMBER(tblMatriculas[[#This Row],[% asistencia]]),NOT(ISNUMBER(SEARCH(pPrueba,tblMatriculas[[#This Row],[Nombre]]))))</f>
        <v>1</v>
      </c>
      <c r="R2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65" s="23" t="str" cm="1">
        <f t="array" ref="S2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5" s="23" t="str" cm="1">
        <f t="array" ref="T2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5" s="14" t="str" cm="1">
        <f t="array" ref="U2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5" t="str" cm="1">
        <f t="array" ref="V2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5" t="str" cm="1">
        <f t="array" ref="W2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65" t="str">
        <f>IF(COUNTIFS('Base Estudiantes'!$C:$C,tblMatriculas[[#This Row],[Cédula]],'Base Estudiantes'!$I:$I,tblMatriculas[[#This Row],[Código]])&gt;0,"Sí","No")</f>
        <v>Sí</v>
      </c>
      <c r="Z265" s="23" cm="1">
        <f t="array" ref="Z265">_xlfn.XLOOKUP(tblMatriculas[[#This Row],[Cédula]]&amp;"|"&amp;tblMatriculas[[#This Row],[Código]],tblBase[Documento]&amp;"|"&amp;tblBase[Código grupo],tblBase[Fecha matrícula],"")</f>
        <v>46264</v>
      </c>
    </row>
    <row r="266" spans="1:26" x14ac:dyDescent="0.2">
      <c r="A266" t="s">
        <v>593</v>
      </c>
      <c r="B266" t="s">
        <v>594</v>
      </c>
      <c r="C266" t="s">
        <v>13</v>
      </c>
      <c r="D266" t="s">
        <v>581</v>
      </c>
      <c r="E266" t="s">
        <v>582</v>
      </c>
      <c r="F266" t="s">
        <v>516</v>
      </c>
      <c r="G266" s="1">
        <v>3.3000000000000002E-2</v>
      </c>
      <c r="H266" t="s">
        <v>225</v>
      </c>
      <c r="I266" t="s">
        <v>18</v>
      </c>
      <c r="J266" t="s">
        <v>113</v>
      </c>
      <c r="K266" t="s">
        <v>24</v>
      </c>
      <c r="L266" s="14">
        <f>IFERROR(VALUE(LEFT(tblMatriculas[[#This Row],[Clases]],FIND("/",tblMatriculas[[#This Row],[Clases]])-1)),"")</f>
        <v>1</v>
      </c>
      <c r="M266" s="14">
        <f>IFERROR(VALUE(MID(tblMatriculas[[#This Row],[Clases]],FIND("/",tblMatriculas[[#This Row],[Clases]])+1,5)),"")</f>
        <v>30</v>
      </c>
      <c r="N2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6" s="14">
        <f>IF(OR(tblMatriculas[[#This Row],[Estado]]&lt;&gt;"activa",tblMatriculas[[#This Row],[Clases dictadas]]=""),"",MAX(0,tblMatriculas[[#This Row],[Clases dictadas]]-tblMatriculas[[#This Row],[Asistidas]]))</f>
        <v>1</v>
      </c>
      <c r="P266" s="1">
        <f>IF(OR(tblMatriculas[[#This Row],[Estado]]&lt;&gt;"activa",tblMatriculas[[#This Row],[Asistidas]]=""),"",tblMatriculas[[#This Row],[Asistencia]])</f>
        <v>3.3000000000000002E-2</v>
      </c>
      <c r="Q266" t="b">
        <f>AND(tblMatriculas[[#This Row],[Estado]]="activa",ISNUMBER(tblMatriculas[[#This Row],[% asistencia]]),NOT(ISNUMBER(SEARCH(pPrueba,tblMatriculas[[#This Row],[Nombre]]))))</f>
        <v>1</v>
      </c>
      <c r="R2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66" s="23" t="str" cm="1">
        <f t="array" ref="S2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6" s="23" t="str" cm="1">
        <f t="array" ref="T2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6" s="14" t="str" cm="1">
        <f t="array" ref="U2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6" t="str" cm="1">
        <f t="array" ref="V2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6" t="str" cm="1">
        <f t="array" ref="W2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66" t="str">
        <f>IF(COUNTIFS('Base Estudiantes'!$C:$C,tblMatriculas[[#This Row],[Cédula]],'Base Estudiantes'!$I:$I,tblMatriculas[[#This Row],[Código]])&gt;0,"Sí","No")</f>
        <v>Sí</v>
      </c>
      <c r="Z266" s="23" cm="1">
        <f t="array" ref="Z266">_xlfn.XLOOKUP(tblMatriculas[[#This Row],[Cédula]]&amp;"|"&amp;tblMatriculas[[#This Row],[Código]],tblBase[Documento]&amp;"|"&amp;tblBase[Código grupo],tblBase[Fecha matrícula],"")</f>
        <v>46264</v>
      </c>
    </row>
    <row r="267" spans="1:26" x14ac:dyDescent="0.2">
      <c r="A267" t="s">
        <v>595</v>
      </c>
      <c r="B267" t="s">
        <v>596</v>
      </c>
      <c r="C267" t="s">
        <v>13</v>
      </c>
      <c r="D267" t="s">
        <v>581</v>
      </c>
      <c r="E267" t="s">
        <v>582</v>
      </c>
      <c r="F267" t="s">
        <v>516</v>
      </c>
      <c r="G267" s="1">
        <v>6.7000000000000004E-2</v>
      </c>
      <c r="H267" t="s">
        <v>166</v>
      </c>
      <c r="I267" t="s">
        <v>18</v>
      </c>
      <c r="J267" t="s">
        <v>113</v>
      </c>
      <c r="K267" t="s">
        <v>24</v>
      </c>
      <c r="L267" s="14">
        <f>IFERROR(VALUE(LEFT(tblMatriculas[[#This Row],[Clases]],FIND("/",tblMatriculas[[#This Row],[Clases]])-1)),"")</f>
        <v>2</v>
      </c>
      <c r="M267" s="14">
        <f>IFERROR(VALUE(MID(tblMatriculas[[#This Row],[Clases]],FIND("/",tblMatriculas[[#This Row],[Clases]])+1,5)),"")</f>
        <v>30</v>
      </c>
      <c r="N2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7" s="14">
        <f>IF(OR(tblMatriculas[[#This Row],[Estado]]&lt;&gt;"activa",tblMatriculas[[#This Row],[Clases dictadas]]=""),"",MAX(0,tblMatriculas[[#This Row],[Clases dictadas]]-tblMatriculas[[#This Row],[Asistidas]]))</f>
        <v>0</v>
      </c>
      <c r="P267" s="1">
        <f>IF(OR(tblMatriculas[[#This Row],[Estado]]&lt;&gt;"activa",tblMatriculas[[#This Row],[Asistidas]]=""),"",tblMatriculas[[#This Row],[Asistencia]])</f>
        <v>6.7000000000000004E-2</v>
      </c>
      <c r="Q267" t="b">
        <f>AND(tblMatriculas[[#This Row],[Estado]]="activa",ISNUMBER(tblMatriculas[[#This Row],[% asistencia]]),NOT(ISNUMBER(SEARCH(pPrueba,tblMatriculas[[#This Row],[Nombre]]))))</f>
        <v>1</v>
      </c>
      <c r="R2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7" s="23" t="str" cm="1">
        <f t="array" ref="S2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7" s="23" t="str" cm="1">
        <f t="array" ref="T2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7" s="14" t="str" cm="1">
        <f t="array" ref="U2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7" t="str" cm="1">
        <f t="array" ref="V2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7" t="str" cm="1">
        <f t="array" ref="W2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7" t="str">
        <f>IF(COUNTIFS('Base Estudiantes'!$C:$C,tblMatriculas[[#This Row],[Cédula]],'Base Estudiantes'!$I:$I,tblMatriculas[[#This Row],[Código]])&gt;0,"Sí","No")</f>
        <v>Sí</v>
      </c>
      <c r="Z267" s="23" cm="1">
        <f t="array" ref="Z267">_xlfn.XLOOKUP(tblMatriculas[[#This Row],[Cédula]]&amp;"|"&amp;tblMatriculas[[#This Row],[Código]],tblBase[Documento]&amp;"|"&amp;tblBase[Código grupo],tblBase[Fecha matrícula],"")</f>
        <v>46264</v>
      </c>
    </row>
    <row r="268" spans="1:26" x14ac:dyDescent="0.2">
      <c r="A268" t="s">
        <v>597</v>
      </c>
      <c r="B268" t="s">
        <v>598</v>
      </c>
      <c r="C268" t="s">
        <v>13</v>
      </c>
      <c r="D268" t="s">
        <v>581</v>
      </c>
      <c r="E268" t="s">
        <v>582</v>
      </c>
      <c r="F268" t="s">
        <v>516</v>
      </c>
      <c r="G268" s="1">
        <v>6.7000000000000004E-2</v>
      </c>
      <c r="H268" t="s">
        <v>166</v>
      </c>
      <c r="I268" t="s">
        <v>18</v>
      </c>
      <c r="J268" t="s">
        <v>113</v>
      </c>
      <c r="K268" t="s">
        <v>24</v>
      </c>
      <c r="L268" s="14">
        <f>IFERROR(VALUE(LEFT(tblMatriculas[[#This Row],[Clases]],FIND("/",tblMatriculas[[#This Row],[Clases]])-1)),"")</f>
        <v>2</v>
      </c>
      <c r="M268" s="14">
        <f>IFERROR(VALUE(MID(tblMatriculas[[#This Row],[Clases]],FIND("/",tblMatriculas[[#This Row],[Clases]])+1,5)),"")</f>
        <v>30</v>
      </c>
      <c r="N2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8" s="14">
        <f>IF(OR(tblMatriculas[[#This Row],[Estado]]&lt;&gt;"activa",tblMatriculas[[#This Row],[Clases dictadas]]=""),"",MAX(0,tblMatriculas[[#This Row],[Clases dictadas]]-tblMatriculas[[#This Row],[Asistidas]]))</f>
        <v>0</v>
      </c>
      <c r="P268" s="1">
        <f>IF(OR(tblMatriculas[[#This Row],[Estado]]&lt;&gt;"activa",tblMatriculas[[#This Row],[Asistidas]]=""),"",tblMatriculas[[#This Row],[Asistencia]])</f>
        <v>6.7000000000000004E-2</v>
      </c>
      <c r="Q268" t="b">
        <f>AND(tblMatriculas[[#This Row],[Estado]]="activa",ISNUMBER(tblMatriculas[[#This Row],[% asistencia]]),NOT(ISNUMBER(SEARCH(pPrueba,tblMatriculas[[#This Row],[Nombre]]))))</f>
        <v>1</v>
      </c>
      <c r="R2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8" s="23" t="str" cm="1">
        <f t="array" ref="S2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8" s="23" t="str" cm="1">
        <f t="array" ref="T2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8" s="14" t="str" cm="1">
        <f t="array" ref="U2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8" t="str" cm="1">
        <f t="array" ref="V2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8" t="str" cm="1">
        <f t="array" ref="W2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8" t="str">
        <f>IF(COUNTIFS('Base Estudiantes'!$C:$C,tblMatriculas[[#This Row],[Cédula]],'Base Estudiantes'!$I:$I,tblMatriculas[[#This Row],[Código]])&gt;0,"Sí","No")</f>
        <v>Sí</v>
      </c>
      <c r="Z268" s="23" cm="1">
        <f t="array" ref="Z268">_xlfn.XLOOKUP(tblMatriculas[[#This Row],[Cédula]]&amp;"|"&amp;tblMatriculas[[#This Row],[Código]],tblBase[Documento]&amp;"|"&amp;tblBase[Código grupo],tblBase[Fecha matrícula],"")</f>
        <v>46264</v>
      </c>
    </row>
    <row r="269" spans="1:26" x14ac:dyDescent="0.2">
      <c r="A269" t="s">
        <v>599</v>
      </c>
      <c r="B269" t="s">
        <v>600</v>
      </c>
      <c r="C269" t="s">
        <v>13</v>
      </c>
      <c r="D269" t="s">
        <v>581</v>
      </c>
      <c r="E269" t="s">
        <v>582</v>
      </c>
      <c r="F269" t="s">
        <v>516</v>
      </c>
      <c r="G269" s="1">
        <v>6.7000000000000004E-2</v>
      </c>
      <c r="H269" t="s">
        <v>166</v>
      </c>
      <c r="I269" t="s">
        <v>18</v>
      </c>
      <c r="J269" t="s">
        <v>113</v>
      </c>
      <c r="K269" t="s">
        <v>24</v>
      </c>
      <c r="L269" s="14">
        <f>IFERROR(VALUE(LEFT(tblMatriculas[[#This Row],[Clases]],FIND("/",tblMatriculas[[#This Row],[Clases]])-1)),"")</f>
        <v>2</v>
      </c>
      <c r="M269" s="14">
        <f>IFERROR(VALUE(MID(tblMatriculas[[#This Row],[Clases]],FIND("/",tblMatriculas[[#This Row],[Clases]])+1,5)),"")</f>
        <v>30</v>
      </c>
      <c r="N2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69" s="14">
        <f>IF(OR(tblMatriculas[[#This Row],[Estado]]&lt;&gt;"activa",tblMatriculas[[#This Row],[Clases dictadas]]=""),"",MAX(0,tblMatriculas[[#This Row],[Clases dictadas]]-tblMatriculas[[#This Row],[Asistidas]]))</f>
        <v>0</v>
      </c>
      <c r="P269" s="1">
        <f>IF(OR(tblMatriculas[[#This Row],[Estado]]&lt;&gt;"activa",tblMatriculas[[#This Row],[Asistidas]]=""),"",tblMatriculas[[#This Row],[Asistencia]])</f>
        <v>6.7000000000000004E-2</v>
      </c>
      <c r="Q269" t="b">
        <f>AND(tblMatriculas[[#This Row],[Estado]]="activa",ISNUMBER(tblMatriculas[[#This Row],[% asistencia]]),NOT(ISNUMBER(SEARCH(pPrueba,tblMatriculas[[#This Row],[Nombre]]))))</f>
        <v>1</v>
      </c>
      <c r="R2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69" s="23" t="str" cm="1">
        <f t="array" ref="S2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69" s="23" t="str" cm="1">
        <f t="array" ref="T2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69" s="14" t="str" cm="1">
        <f t="array" ref="U2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69" t="str" cm="1">
        <f t="array" ref="V2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69" t="str" cm="1">
        <f t="array" ref="W2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69" t="str">
        <f>IF(COUNTIFS('Base Estudiantes'!$C:$C,tblMatriculas[[#This Row],[Cédula]],'Base Estudiantes'!$I:$I,tblMatriculas[[#This Row],[Código]])&gt;0,"Sí","No")</f>
        <v>Sí</v>
      </c>
      <c r="Z269" s="23" cm="1">
        <f t="array" ref="Z269">_xlfn.XLOOKUP(tblMatriculas[[#This Row],[Cédula]]&amp;"|"&amp;tblMatriculas[[#This Row],[Código]],tblBase[Documento]&amp;"|"&amp;tblBase[Código grupo],tblBase[Fecha matrícula],"")</f>
        <v>46264</v>
      </c>
    </row>
    <row r="270" spans="1:26" x14ac:dyDescent="0.2">
      <c r="A270" t="s">
        <v>601</v>
      </c>
      <c r="B270" t="s">
        <v>602</v>
      </c>
      <c r="C270" t="s">
        <v>13</v>
      </c>
      <c r="D270" t="s">
        <v>581</v>
      </c>
      <c r="E270" t="s">
        <v>582</v>
      </c>
      <c r="F270" t="s">
        <v>516</v>
      </c>
      <c r="G270" s="1">
        <v>6.7000000000000004E-2</v>
      </c>
      <c r="H270" t="s">
        <v>166</v>
      </c>
      <c r="I270" t="s">
        <v>18</v>
      </c>
      <c r="J270" t="s">
        <v>113</v>
      </c>
      <c r="K270" t="s">
        <v>24</v>
      </c>
      <c r="L270" s="14">
        <f>IFERROR(VALUE(LEFT(tblMatriculas[[#This Row],[Clases]],FIND("/",tblMatriculas[[#This Row],[Clases]])-1)),"")</f>
        <v>2</v>
      </c>
      <c r="M270" s="14">
        <f>IFERROR(VALUE(MID(tblMatriculas[[#This Row],[Clases]],FIND("/",tblMatriculas[[#This Row],[Clases]])+1,5)),"")</f>
        <v>30</v>
      </c>
      <c r="N2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0" s="14">
        <f>IF(OR(tblMatriculas[[#This Row],[Estado]]&lt;&gt;"activa",tblMatriculas[[#This Row],[Clases dictadas]]=""),"",MAX(0,tblMatriculas[[#This Row],[Clases dictadas]]-tblMatriculas[[#This Row],[Asistidas]]))</f>
        <v>0</v>
      </c>
      <c r="P270" s="1">
        <f>IF(OR(tblMatriculas[[#This Row],[Estado]]&lt;&gt;"activa",tblMatriculas[[#This Row],[Asistidas]]=""),"",tblMatriculas[[#This Row],[Asistencia]])</f>
        <v>6.7000000000000004E-2</v>
      </c>
      <c r="Q270" t="b">
        <f>AND(tblMatriculas[[#This Row],[Estado]]="activa",ISNUMBER(tblMatriculas[[#This Row],[% asistencia]]),NOT(ISNUMBER(SEARCH(pPrueba,tblMatriculas[[#This Row],[Nombre]]))))</f>
        <v>1</v>
      </c>
      <c r="R2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0" s="23" t="str" cm="1">
        <f t="array" ref="S2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0" s="23" t="str" cm="1">
        <f t="array" ref="T2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0" s="14" t="str" cm="1">
        <f t="array" ref="U2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0" t="str" cm="1">
        <f t="array" ref="V2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0" t="str" cm="1">
        <f t="array" ref="W2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0" t="str">
        <f>IF(COUNTIFS('Base Estudiantes'!$C:$C,tblMatriculas[[#This Row],[Cédula]],'Base Estudiantes'!$I:$I,tblMatriculas[[#This Row],[Código]])&gt;0,"Sí","No")</f>
        <v>Sí</v>
      </c>
      <c r="Z270" s="23" cm="1">
        <f t="array" ref="Z270">_xlfn.XLOOKUP(tblMatriculas[[#This Row],[Cédula]]&amp;"|"&amp;tblMatriculas[[#This Row],[Código]],tblBase[Documento]&amp;"|"&amp;tblBase[Código grupo],tblBase[Fecha matrícula],"")</f>
        <v>46264</v>
      </c>
    </row>
    <row r="271" spans="1:26" x14ac:dyDescent="0.2">
      <c r="A271" t="s">
        <v>603</v>
      </c>
      <c r="B271" t="s">
        <v>604</v>
      </c>
      <c r="C271" t="s">
        <v>13</v>
      </c>
      <c r="D271" t="s">
        <v>581</v>
      </c>
      <c r="E271" t="s">
        <v>582</v>
      </c>
      <c r="F271" t="s">
        <v>516</v>
      </c>
      <c r="G271" s="1">
        <v>6.7000000000000004E-2</v>
      </c>
      <c r="H271" t="s">
        <v>166</v>
      </c>
      <c r="I271" t="s">
        <v>18</v>
      </c>
      <c r="J271" t="s">
        <v>113</v>
      </c>
      <c r="K271" t="s">
        <v>24</v>
      </c>
      <c r="L271" s="14">
        <f>IFERROR(VALUE(LEFT(tblMatriculas[[#This Row],[Clases]],FIND("/",tblMatriculas[[#This Row],[Clases]])-1)),"")</f>
        <v>2</v>
      </c>
      <c r="M271" s="14">
        <f>IFERROR(VALUE(MID(tblMatriculas[[#This Row],[Clases]],FIND("/",tblMatriculas[[#This Row],[Clases]])+1,5)),"")</f>
        <v>30</v>
      </c>
      <c r="N2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1" s="14">
        <f>IF(OR(tblMatriculas[[#This Row],[Estado]]&lt;&gt;"activa",tblMatriculas[[#This Row],[Clases dictadas]]=""),"",MAX(0,tblMatriculas[[#This Row],[Clases dictadas]]-tblMatriculas[[#This Row],[Asistidas]]))</f>
        <v>0</v>
      </c>
      <c r="P271" s="1">
        <f>IF(OR(tblMatriculas[[#This Row],[Estado]]&lt;&gt;"activa",tblMatriculas[[#This Row],[Asistidas]]=""),"",tblMatriculas[[#This Row],[Asistencia]])</f>
        <v>6.7000000000000004E-2</v>
      </c>
      <c r="Q271" t="b">
        <f>AND(tblMatriculas[[#This Row],[Estado]]="activa",ISNUMBER(tblMatriculas[[#This Row],[% asistencia]]),NOT(ISNUMBER(SEARCH(pPrueba,tblMatriculas[[#This Row],[Nombre]]))))</f>
        <v>1</v>
      </c>
      <c r="R2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1" s="23" t="str" cm="1">
        <f t="array" ref="S2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1" s="23" t="str" cm="1">
        <f t="array" ref="T2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1" s="14" t="str" cm="1">
        <f t="array" ref="U2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1" t="str" cm="1">
        <f t="array" ref="V2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1" t="str" cm="1">
        <f t="array" ref="W2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1" t="str">
        <f>IF(COUNTIFS('Base Estudiantes'!$C:$C,tblMatriculas[[#This Row],[Cédula]],'Base Estudiantes'!$I:$I,tblMatriculas[[#This Row],[Código]])&gt;0,"Sí","No")</f>
        <v>Sí</v>
      </c>
      <c r="Z271" s="23" cm="1">
        <f t="array" ref="Z271">_xlfn.XLOOKUP(tblMatriculas[[#This Row],[Cédula]]&amp;"|"&amp;tblMatriculas[[#This Row],[Código]],tblBase[Documento]&amp;"|"&amp;tblBase[Código grupo],tblBase[Fecha matrícula],"")</f>
        <v>46264</v>
      </c>
    </row>
    <row r="272" spans="1:26" x14ac:dyDescent="0.2">
      <c r="A272" t="s">
        <v>605</v>
      </c>
      <c r="B272" t="s">
        <v>606</v>
      </c>
      <c r="C272" t="s">
        <v>13</v>
      </c>
      <c r="D272" t="s">
        <v>581</v>
      </c>
      <c r="E272" t="s">
        <v>582</v>
      </c>
      <c r="F272" t="s">
        <v>516</v>
      </c>
      <c r="G272" s="1">
        <v>6.7000000000000004E-2</v>
      </c>
      <c r="H272" t="s">
        <v>166</v>
      </c>
      <c r="I272" t="s">
        <v>18</v>
      </c>
      <c r="J272" t="s">
        <v>113</v>
      </c>
      <c r="K272" t="s">
        <v>24</v>
      </c>
      <c r="L272" s="14">
        <f>IFERROR(VALUE(LEFT(tblMatriculas[[#This Row],[Clases]],FIND("/",tblMatriculas[[#This Row],[Clases]])-1)),"")</f>
        <v>2</v>
      </c>
      <c r="M272" s="14">
        <f>IFERROR(VALUE(MID(tblMatriculas[[#This Row],[Clases]],FIND("/",tblMatriculas[[#This Row],[Clases]])+1,5)),"")</f>
        <v>30</v>
      </c>
      <c r="N2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2" s="14">
        <f>IF(OR(tblMatriculas[[#This Row],[Estado]]&lt;&gt;"activa",tblMatriculas[[#This Row],[Clases dictadas]]=""),"",MAX(0,tblMatriculas[[#This Row],[Clases dictadas]]-tblMatriculas[[#This Row],[Asistidas]]))</f>
        <v>0</v>
      </c>
      <c r="P272" s="1">
        <f>IF(OR(tblMatriculas[[#This Row],[Estado]]&lt;&gt;"activa",tblMatriculas[[#This Row],[Asistidas]]=""),"",tblMatriculas[[#This Row],[Asistencia]])</f>
        <v>6.7000000000000004E-2</v>
      </c>
      <c r="Q272" t="b">
        <f>AND(tblMatriculas[[#This Row],[Estado]]="activa",ISNUMBER(tblMatriculas[[#This Row],[% asistencia]]),NOT(ISNUMBER(SEARCH(pPrueba,tblMatriculas[[#This Row],[Nombre]]))))</f>
        <v>1</v>
      </c>
      <c r="R2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2" s="23" t="str" cm="1">
        <f t="array" ref="S2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2" s="23" t="str" cm="1">
        <f t="array" ref="T2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2" s="14" t="str" cm="1">
        <f t="array" ref="U2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2" t="str" cm="1">
        <f t="array" ref="V2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2" t="str" cm="1">
        <f t="array" ref="W2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2" t="str">
        <f>IF(COUNTIFS('Base Estudiantes'!$C:$C,tblMatriculas[[#This Row],[Cédula]],'Base Estudiantes'!$I:$I,tblMatriculas[[#This Row],[Código]])&gt;0,"Sí","No")</f>
        <v>Sí</v>
      </c>
      <c r="Z272" s="23" cm="1">
        <f t="array" ref="Z272">_xlfn.XLOOKUP(tblMatriculas[[#This Row],[Cédula]]&amp;"|"&amp;tblMatriculas[[#This Row],[Código]],tblBase[Documento]&amp;"|"&amp;tblBase[Código grupo],tblBase[Fecha matrícula],"")</f>
        <v>46264</v>
      </c>
    </row>
    <row r="273" spans="1:26" x14ac:dyDescent="0.2">
      <c r="A273" t="s">
        <v>607</v>
      </c>
      <c r="B273" t="s">
        <v>608</v>
      </c>
      <c r="C273" t="s">
        <v>13</v>
      </c>
      <c r="D273" t="s">
        <v>581</v>
      </c>
      <c r="E273" t="s">
        <v>582</v>
      </c>
      <c r="F273" t="s">
        <v>516</v>
      </c>
      <c r="G273" s="1">
        <v>6.7000000000000004E-2</v>
      </c>
      <c r="H273" t="s">
        <v>166</v>
      </c>
      <c r="I273" t="s">
        <v>18</v>
      </c>
      <c r="J273" t="s">
        <v>113</v>
      </c>
      <c r="K273" t="s">
        <v>24</v>
      </c>
      <c r="L273" s="14">
        <f>IFERROR(VALUE(LEFT(tblMatriculas[[#This Row],[Clases]],FIND("/",tblMatriculas[[#This Row],[Clases]])-1)),"")</f>
        <v>2</v>
      </c>
      <c r="M273" s="14">
        <f>IFERROR(VALUE(MID(tblMatriculas[[#This Row],[Clases]],FIND("/",tblMatriculas[[#This Row],[Clases]])+1,5)),"")</f>
        <v>30</v>
      </c>
      <c r="N2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3" s="14">
        <f>IF(OR(tblMatriculas[[#This Row],[Estado]]&lt;&gt;"activa",tblMatriculas[[#This Row],[Clases dictadas]]=""),"",MAX(0,tblMatriculas[[#This Row],[Clases dictadas]]-tblMatriculas[[#This Row],[Asistidas]]))</f>
        <v>0</v>
      </c>
      <c r="P273" s="1">
        <f>IF(OR(tblMatriculas[[#This Row],[Estado]]&lt;&gt;"activa",tblMatriculas[[#This Row],[Asistidas]]=""),"",tblMatriculas[[#This Row],[Asistencia]])</f>
        <v>6.7000000000000004E-2</v>
      </c>
      <c r="Q273" t="b">
        <f>AND(tblMatriculas[[#This Row],[Estado]]="activa",ISNUMBER(tblMatriculas[[#This Row],[% asistencia]]),NOT(ISNUMBER(SEARCH(pPrueba,tblMatriculas[[#This Row],[Nombre]]))))</f>
        <v>1</v>
      </c>
      <c r="R2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3" s="23" t="str" cm="1">
        <f t="array" ref="S2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3" s="23" t="str" cm="1">
        <f t="array" ref="T2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3" s="14" t="str" cm="1">
        <f t="array" ref="U2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3" t="str" cm="1">
        <f t="array" ref="V2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3" t="str" cm="1">
        <f t="array" ref="W2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3" t="str">
        <f>IF(COUNTIFS('Base Estudiantes'!$C:$C,tblMatriculas[[#This Row],[Cédula]],'Base Estudiantes'!$I:$I,tblMatriculas[[#This Row],[Código]])&gt;0,"Sí","No")</f>
        <v>Sí</v>
      </c>
      <c r="Z273" s="23" cm="1">
        <f t="array" ref="Z273">_xlfn.XLOOKUP(tblMatriculas[[#This Row],[Cédula]]&amp;"|"&amp;tblMatriculas[[#This Row],[Código]],tblBase[Documento]&amp;"|"&amp;tblBase[Código grupo],tblBase[Fecha matrícula],"")</f>
        <v>46264</v>
      </c>
    </row>
    <row r="274" spans="1:26" x14ac:dyDescent="0.2">
      <c r="A274" t="s">
        <v>609</v>
      </c>
      <c r="B274" t="s">
        <v>610</v>
      </c>
      <c r="C274" t="s">
        <v>13</v>
      </c>
      <c r="D274" t="s">
        <v>581</v>
      </c>
      <c r="E274" t="s">
        <v>582</v>
      </c>
      <c r="F274" t="s">
        <v>516</v>
      </c>
      <c r="G274" s="1">
        <v>6.7000000000000004E-2</v>
      </c>
      <c r="H274" t="s">
        <v>166</v>
      </c>
      <c r="I274" t="s">
        <v>18</v>
      </c>
      <c r="J274" t="s">
        <v>113</v>
      </c>
      <c r="K274" t="s">
        <v>24</v>
      </c>
      <c r="L274" s="14">
        <f>IFERROR(VALUE(LEFT(tblMatriculas[[#This Row],[Clases]],FIND("/",tblMatriculas[[#This Row],[Clases]])-1)),"")</f>
        <v>2</v>
      </c>
      <c r="M274" s="14">
        <f>IFERROR(VALUE(MID(tblMatriculas[[#This Row],[Clases]],FIND("/",tblMatriculas[[#This Row],[Clases]])+1,5)),"")</f>
        <v>30</v>
      </c>
      <c r="N2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4" s="14">
        <f>IF(OR(tblMatriculas[[#This Row],[Estado]]&lt;&gt;"activa",tblMatriculas[[#This Row],[Clases dictadas]]=""),"",MAX(0,tblMatriculas[[#This Row],[Clases dictadas]]-tblMatriculas[[#This Row],[Asistidas]]))</f>
        <v>0</v>
      </c>
      <c r="P274" s="1">
        <f>IF(OR(tblMatriculas[[#This Row],[Estado]]&lt;&gt;"activa",tblMatriculas[[#This Row],[Asistidas]]=""),"",tblMatriculas[[#This Row],[Asistencia]])</f>
        <v>6.7000000000000004E-2</v>
      </c>
      <c r="Q274" t="b">
        <f>AND(tblMatriculas[[#This Row],[Estado]]="activa",ISNUMBER(tblMatriculas[[#This Row],[% asistencia]]),NOT(ISNUMBER(SEARCH(pPrueba,tblMatriculas[[#This Row],[Nombre]]))))</f>
        <v>1</v>
      </c>
      <c r="R2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4" s="23" t="str" cm="1">
        <f t="array" ref="S2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4" s="23" t="str" cm="1">
        <f t="array" ref="T2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4" s="14" t="str" cm="1">
        <f t="array" ref="U2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4" t="str" cm="1">
        <f t="array" ref="V2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4" t="str" cm="1">
        <f t="array" ref="W2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4" t="str">
        <f>IF(COUNTIFS('Base Estudiantes'!$C:$C,tblMatriculas[[#This Row],[Cédula]],'Base Estudiantes'!$I:$I,tblMatriculas[[#This Row],[Código]])&gt;0,"Sí","No")</f>
        <v>Sí</v>
      </c>
      <c r="Z274" s="23" cm="1">
        <f t="array" ref="Z274">_xlfn.XLOOKUP(tblMatriculas[[#This Row],[Cédula]]&amp;"|"&amp;tblMatriculas[[#This Row],[Código]],tblBase[Documento]&amp;"|"&amp;tblBase[Código grupo],tblBase[Fecha matrícula],"")</f>
        <v>46264</v>
      </c>
    </row>
    <row r="275" spans="1:26" x14ac:dyDescent="0.2">
      <c r="A275" t="s">
        <v>611</v>
      </c>
      <c r="B275" t="s">
        <v>612</v>
      </c>
      <c r="C275" t="s">
        <v>13</v>
      </c>
      <c r="D275" t="s">
        <v>581</v>
      </c>
      <c r="E275" t="s">
        <v>582</v>
      </c>
      <c r="F275" t="s">
        <v>516</v>
      </c>
      <c r="G275" s="1">
        <v>6.7000000000000004E-2</v>
      </c>
      <c r="H275" t="s">
        <v>166</v>
      </c>
      <c r="I275" t="s">
        <v>18</v>
      </c>
      <c r="J275" t="s">
        <v>113</v>
      </c>
      <c r="K275" t="s">
        <v>24</v>
      </c>
      <c r="L275" s="14">
        <f>IFERROR(VALUE(LEFT(tblMatriculas[[#This Row],[Clases]],FIND("/",tblMatriculas[[#This Row],[Clases]])-1)),"")</f>
        <v>2</v>
      </c>
      <c r="M275" s="14">
        <f>IFERROR(VALUE(MID(tblMatriculas[[#This Row],[Clases]],FIND("/",tblMatriculas[[#This Row],[Clases]])+1,5)),"")</f>
        <v>30</v>
      </c>
      <c r="N2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5" s="14">
        <f>IF(OR(tblMatriculas[[#This Row],[Estado]]&lt;&gt;"activa",tblMatriculas[[#This Row],[Clases dictadas]]=""),"",MAX(0,tblMatriculas[[#This Row],[Clases dictadas]]-tblMatriculas[[#This Row],[Asistidas]]))</f>
        <v>0</v>
      </c>
      <c r="P275" s="1">
        <f>IF(OR(tblMatriculas[[#This Row],[Estado]]&lt;&gt;"activa",tblMatriculas[[#This Row],[Asistidas]]=""),"",tblMatriculas[[#This Row],[Asistencia]])</f>
        <v>6.7000000000000004E-2</v>
      </c>
      <c r="Q275" t="b">
        <f>AND(tblMatriculas[[#This Row],[Estado]]="activa",ISNUMBER(tblMatriculas[[#This Row],[% asistencia]]),NOT(ISNUMBER(SEARCH(pPrueba,tblMatriculas[[#This Row],[Nombre]]))))</f>
        <v>1</v>
      </c>
      <c r="R2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5" s="23" t="str" cm="1">
        <f t="array" ref="S2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5" s="23" t="str" cm="1">
        <f t="array" ref="T2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5" s="14" t="str" cm="1">
        <f t="array" ref="U2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5" t="str" cm="1">
        <f t="array" ref="V2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5" t="str" cm="1">
        <f t="array" ref="W2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5" t="str">
        <f>IF(COUNTIFS('Base Estudiantes'!$C:$C,tblMatriculas[[#This Row],[Cédula]],'Base Estudiantes'!$I:$I,tblMatriculas[[#This Row],[Código]])&gt;0,"Sí","No")</f>
        <v>Sí</v>
      </c>
      <c r="Z275" s="23" cm="1">
        <f t="array" ref="Z275">_xlfn.XLOOKUP(tblMatriculas[[#This Row],[Cédula]]&amp;"|"&amp;tblMatriculas[[#This Row],[Código]],tblBase[Documento]&amp;"|"&amp;tblBase[Código grupo],tblBase[Fecha matrícula],"")</f>
        <v>46264</v>
      </c>
    </row>
    <row r="276" spans="1:26" x14ac:dyDescent="0.2">
      <c r="A276" t="s">
        <v>613</v>
      </c>
      <c r="B276" t="s">
        <v>614</v>
      </c>
      <c r="C276" t="s">
        <v>49</v>
      </c>
      <c r="D276" t="s">
        <v>581</v>
      </c>
      <c r="E276" t="s">
        <v>582</v>
      </c>
      <c r="F276" t="s">
        <v>516</v>
      </c>
      <c r="G276" s="1">
        <v>0</v>
      </c>
      <c r="H276" t="s">
        <v>254</v>
      </c>
      <c r="I276" t="s">
        <v>18</v>
      </c>
      <c r="J276" t="s">
        <v>113</v>
      </c>
      <c r="K276" t="s">
        <v>24</v>
      </c>
      <c r="L276" s="14">
        <f>IFERROR(VALUE(LEFT(tblMatriculas[[#This Row],[Clases]],FIND("/",tblMatriculas[[#This Row],[Clases]])-1)),"")</f>
        <v>0</v>
      </c>
      <c r="M276" s="14">
        <f>IFERROR(VALUE(MID(tblMatriculas[[#This Row],[Clases]],FIND("/",tblMatriculas[[#This Row],[Clases]])+1,5)),"")</f>
        <v>30</v>
      </c>
      <c r="N2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6" s="14" t="str">
        <f>IF(OR(tblMatriculas[[#This Row],[Estado]]&lt;&gt;"activa",tblMatriculas[[#This Row],[Clases dictadas]]=""),"",MAX(0,tblMatriculas[[#This Row],[Clases dictadas]]-tblMatriculas[[#This Row],[Asistidas]]))</f>
        <v/>
      </c>
      <c r="P276" s="1" t="str">
        <f>IF(OR(tblMatriculas[[#This Row],[Estado]]&lt;&gt;"activa",tblMatriculas[[#This Row],[Asistidas]]=""),"",tblMatriculas[[#This Row],[Asistencia]])</f>
        <v/>
      </c>
      <c r="Q276" t="b">
        <f>AND(tblMatriculas[[#This Row],[Estado]]="activa",ISNUMBER(tblMatriculas[[#This Row],[% asistencia]]),NOT(ISNUMBER(SEARCH(pPrueba,tblMatriculas[[#This Row],[Nombre]]))))</f>
        <v>0</v>
      </c>
      <c r="R2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76" s="23" t="str" cm="1">
        <f t="array" ref="S2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6" s="23" t="str" cm="1">
        <f t="array" ref="T2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6" s="14" t="str" cm="1">
        <f t="array" ref="U2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6" t="str" cm="1">
        <f t="array" ref="V2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6" t="str" cm="1">
        <f t="array" ref="W2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76" t="str">
        <f>IF(COUNTIFS('Base Estudiantes'!$C:$C,tblMatriculas[[#This Row],[Cédula]],'Base Estudiantes'!$I:$I,tblMatriculas[[#This Row],[Código]])&gt;0,"Sí","No")</f>
        <v>No</v>
      </c>
      <c r="Z276" s="23" t="str" cm="1">
        <f t="array" ref="Z276">_xlfn.XLOOKUP(tblMatriculas[[#This Row],[Cédula]]&amp;"|"&amp;tblMatriculas[[#This Row],[Código]],tblBase[Documento]&amp;"|"&amp;tblBase[Código grupo],tblBase[Fecha matrícula],"")</f>
        <v/>
      </c>
    </row>
    <row r="277" spans="1:26" x14ac:dyDescent="0.2">
      <c r="A277" t="s">
        <v>615</v>
      </c>
      <c r="B277" t="s">
        <v>616</v>
      </c>
      <c r="C277" t="s">
        <v>13</v>
      </c>
      <c r="D277" t="s">
        <v>581</v>
      </c>
      <c r="E277" t="s">
        <v>582</v>
      </c>
      <c r="F277" t="s">
        <v>516</v>
      </c>
      <c r="G277" s="1">
        <v>0</v>
      </c>
      <c r="H277" t="s">
        <v>254</v>
      </c>
      <c r="I277" t="s">
        <v>18</v>
      </c>
      <c r="J277" t="s">
        <v>113</v>
      </c>
      <c r="K277" t="s">
        <v>24</v>
      </c>
      <c r="L277" s="14">
        <f>IFERROR(VALUE(LEFT(tblMatriculas[[#This Row],[Clases]],FIND("/",tblMatriculas[[#This Row],[Clases]])-1)),"")</f>
        <v>0</v>
      </c>
      <c r="M277" s="14">
        <f>IFERROR(VALUE(MID(tblMatriculas[[#This Row],[Clases]],FIND("/",tblMatriculas[[#This Row],[Clases]])+1,5)),"")</f>
        <v>30</v>
      </c>
      <c r="N2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7" s="14">
        <f>IF(OR(tblMatriculas[[#This Row],[Estado]]&lt;&gt;"activa",tblMatriculas[[#This Row],[Clases dictadas]]=""),"",MAX(0,tblMatriculas[[#This Row],[Clases dictadas]]-tblMatriculas[[#This Row],[Asistidas]]))</f>
        <v>2</v>
      </c>
      <c r="P277" s="1">
        <f>IF(OR(tblMatriculas[[#This Row],[Estado]]&lt;&gt;"activa",tblMatriculas[[#This Row],[Asistidas]]=""),"",tblMatriculas[[#This Row],[Asistencia]])</f>
        <v>0</v>
      </c>
      <c r="Q277" t="b">
        <f>AND(tblMatriculas[[#This Row],[Estado]]="activa",ISNUMBER(tblMatriculas[[#This Row],[% asistencia]]),NOT(ISNUMBER(SEARCH(pPrueba,tblMatriculas[[#This Row],[Nombre]]))))</f>
        <v>1</v>
      </c>
      <c r="R2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77" s="23" t="str" cm="1">
        <f t="array" ref="S2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7" s="23" t="str" cm="1">
        <f t="array" ref="T2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7" s="14" t="str" cm="1">
        <f t="array" ref="U2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7" t="str" cm="1">
        <f t="array" ref="V2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7" t="str" cm="1">
        <f t="array" ref="W2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77" t="str">
        <f>IF(COUNTIFS('Base Estudiantes'!$C:$C,tblMatriculas[[#This Row],[Cédula]],'Base Estudiantes'!$I:$I,tblMatriculas[[#This Row],[Código]])&gt;0,"Sí","No")</f>
        <v>Sí</v>
      </c>
      <c r="Z277" s="23" cm="1">
        <f t="array" ref="Z277">_xlfn.XLOOKUP(tblMatriculas[[#This Row],[Cédula]]&amp;"|"&amp;tblMatriculas[[#This Row],[Código]],tblBase[Documento]&amp;"|"&amp;tblBase[Código grupo],tblBase[Fecha matrícula],"")</f>
        <v>46264</v>
      </c>
    </row>
    <row r="278" spans="1:26" x14ac:dyDescent="0.2">
      <c r="A278" t="s">
        <v>617</v>
      </c>
      <c r="B278" t="s">
        <v>618</v>
      </c>
      <c r="C278" t="s">
        <v>13</v>
      </c>
      <c r="D278" t="s">
        <v>581</v>
      </c>
      <c r="E278" t="s">
        <v>582</v>
      </c>
      <c r="F278" t="s">
        <v>516</v>
      </c>
      <c r="G278" s="1">
        <v>6.7000000000000004E-2</v>
      </c>
      <c r="H278" t="s">
        <v>166</v>
      </c>
      <c r="I278" t="s">
        <v>18</v>
      </c>
      <c r="J278" t="s">
        <v>113</v>
      </c>
      <c r="K278" t="s">
        <v>24</v>
      </c>
      <c r="L278" s="14">
        <f>IFERROR(VALUE(LEFT(tblMatriculas[[#This Row],[Clases]],FIND("/",tblMatriculas[[#This Row],[Clases]])-1)),"")</f>
        <v>2</v>
      </c>
      <c r="M278" s="14">
        <f>IFERROR(VALUE(MID(tblMatriculas[[#This Row],[Clases]],FIND("/",tblMatriculas[[#This Row],[Clases]])+1,5)),"")</f>
        <v>30</v>
      </c>
      <c r="N2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8" s="14">
        <f>IF(OR(tblMatriculas[[#This Row],[Estado]]&lt;&gt;"activa",tblMatriculas[[#This Row],[Clases dictadas]]=""),"",MAX(0,tblMatriculas[[#This Row],[Clases dictadas]]-tblMatriculas[[#This Row],[Asistidas]]))</f>
        <v>0</v>
      </c>
      <c r="P278" s="1">
        <f>IF(OR(tblMatriculas[[#This Row],[Estado]]&lt;&gt;"activa",tblMatriculas[[#This Row],[Asistidas]]=""),"",tblMatriculas[[#This Row],[Asistencia]])</f>
        <v>6.7000000000000004E-2</v>
      </c>
      <c r="Q278" t="b">
        <f>AND(tblMatriculas[[#This Row],[Estado]]="activa",ISNUMBER(tblMatriculas[[#This Row],[% asistencia]]),NOT(ISNUMBER(SEARCH(pPrueba,tblMatriculas[[#This Row],[Nombre]]))))</f>
        <v>1</v>
      </c>
      <c r="R2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78" s="23" t="str" cm="1">
        <f t="array" ref="S2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8" s="23" t="str" cm="1">
        <f t="array" ref="T2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8" s="14" t="str" cm="1">
        <f t="array" ref="U2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8" t="str" cm="1">
        <f t="array" ref="V2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8" t="str" cm="1">
        <f t="array" ref="W2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78" t="str">
        <f>IF(COUNTIFS('Base Estudiantes'!$C:$C,tblMatriculas[[#This Row],[Cédula]],'Base Estudiantes'!$I:$I,tblMatriculas[[#This Row],[Código]])&gt;0,"Sí","No")</f>
        <v>Sí</v>
      </c>
      <c r="Z278" s="23" cm="1">
        <f t="array" ref="Z278">_xlfn.XLOOKUP(tblMatriculas[[#This Row],[Cédula]]&amp;"|"&amp;tblMatriculas[[#This Row],[Código]],tblBase[Documento]&amp;"|"&amp;tblBase[Código grupo],tblBase[Fecha matrícula],"")</f>
        <v>46264</v>
      </c>
    </row>
    <row r="279" spans="1:26" x14ac:dyDescent="0.2">
      <c r="A279" t="s">
        <v>619</v>
      </c>
      <c r="B279" t="s">
        <v>620</v>
      </c>
      <c r="C279" t="s">
        <v>13</v>
      </c>
      <c r="D279" t="s">
        <v>581</v>
      </c>
      <c r="E279" t="s">
        <v>582</v>
      </c>
      <c r="F279" t="s">
        <v>516</v>
      </c>
      <c r="G279" s="1">
        <v>3.3000000000000002E-2</v>
      </c>
      <c r="H279" t="s">
        <v>225</v>
      </c>
      <c r="I279" t="s">
        <v>18</v>
      </c>
      <c r="J279" t="s">
        <v>113</v>
      </c>
      <c r="K279" t="s">
        <v>24</v>
      </c>
      <c r="L279" s="14">
        <f>IFERROR(VALUE(LEFT(tblMatriculas[[#This Row],[Clases]],FIND("/",tblMatriculas[[#This Row],[Clases]])-1)),"")</f>
        <v>1</v>
      </c>
      <c r="M279" s="14">
        <f>IFERROR(VALUE(MID(tblMatriculas[[#This Row],[Clases]],FIND("/",tblMatriculas[[#This Row],[Clases]])+1,5)),"")</f>
        <v>30</v>
      </c>
      <c r="N2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79" s="14">
        <f>IF(OR(tblMatriculas[[#This Row],[Estado]]&lt;&gt;"activa",tblMatriculas[[#This Row],[Clases dictadas]]=""),"",MAX(0,tblMatriculas[[#This Row],[Clases dictadas]]-tblMatriculas[[#This Row],[Asistidas]]))</f>
        <v>1</v>
      </c>
      <c r="P279" s="1">
        <f>IF(OR(tblMatriculas[[#This Row],[Estado]]&lt;&gt;"activa",tblMatriculas[[#This Row],[Asistidas]]=""),"",tblMatriculas[[#This Row],[Asistencia]])</f>
        <v>3.3000000000000002E-2</v>
      </c>
      <c r="Q279" t="b">
        <f>AND(tblMatriculas[[#This Row],[Estado]]="activa",ISNUMBER(tblMatriculas[[#This Row],[% asistencia]]),NOT(ISNUMBER(SEARCH(pPrueba,tblMatriculas[[#This Row],[Nombre]]))))</f>
        <v>1</v>
      </c>
      <c r="R2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79" s="23" t="str" cm="1">
        <f t="array" ref="S2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79" s="23" t="str" cm="1">
        <f t="array" ref="T2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79" s="14" t="str" cm="1">
        <f t="array" ref="U2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79" t="str" cm="1">
        <f t="array" ref="V2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79" t="str" cm="1">
        <f t="array" ref="W2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79" t="str">
        <f>IF(COUNTIFS('Base Estudiantes'!$C:$C,tblMatriculas[[#This Row],[Cédula]],'Base Estudiantes'!$I:$I,tblMatriculas[[#This Row],[Código]])&gt;0,"Sí","No")</f>
        <v>Sí</v>
      </c>
      <c r="Z279" s="23" cm="1">
        <f t="array" ref="Z279">_xlfn.XLOOKUP(tblMatriculas[[#This Row],[Cédula]]&amp;"|"&amp;tblMatriculas[[#This Row],[Código]],tblBase[Documento]&amp;"|"&amp;tblBase[Código grupo],tblBase[Fecha matrícula],"")</f>
        <v>46264</v>
      </c>
    </row>
    <row r="280" spans="1:26" x14ac:dyDescent="0.2">
      <c r="A280" t="s">
        <v>621</v>
      </c>
      <c r="B280" t="s">
        <v>622</v>
      </c>
      <c r="C280" t="s">
        <v>13</v>
      </c>
      <c r="D280" t="s">
        <v>581</v>
      </c>
      <c r="E280" t="s">
        <v>582</v>
      </c>
      <c r="F280" t="s">
        <v>516</v>
      </c>
      <c r="G280" s="1">
        <v>6.7000000000000004E-2</v>
      </c>
      <c r="H280" t="s">
        <v>166</v>
      </c>
      <c r="I280" t="s">
        <v>18</v>
      </c>
      <c r="J280" t="s">
        <v>113</v>
      </c>
      <c r="K280" t="s">
        <v>24</v>
      </c>
      <c r="L280" s="14">
        <f>IFERROR(VALUE(LEFT(tblMatriculas[[#This Row],[Clases]],FIND("/",tblMatriculas[[#This Row],[Clases]])-1)),"")</f>
        <v>2</v>
      </c>
      <c r="M280" s="14">
        <f>IFERROR(VALUE(MID(tblMatriculas[[#This Row],[Clases]],FIND("/",tblMatriculas[[#This Row],[Clases]])+1,5)),"")</f>
        <v>30</v>
      </c>
      <c r="N2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0" s="14">
        <f>IF(OR(tblMatriculas[[#This Row],[Estado]]&lt;&gt;"activa",tblMatriculas[[#This Row],[Clases dictadas]]=""),"",MAX(0,tblMatriculas[[#This Row],[Clases dictadas]]-tblMatriculas[[#This Row],[Asistidas]]))</f>
        <v>0</v>
      </c>
      <c r="P280" s="1">
        <f>IF(OR(tblMatriculas[[#This Row],[Estado]]&lt;&gt;"activa",tblMatriculas[[#This Row],[Asistidas]]=""),"",tblMatriculas[[#This Row],[Asistencia]])</f>
        <v>6.7000000000000004E-2</v>
      </c>
      <c r="Q280" t="b">
        <f>AND(tblMatriculas[[#This Row],[Estado]]="activa",ISNUMBER(tblMatriculas[[#This Row],[% asistencia]]),NOT(ISNUMBER(SEARCH(pPrueba,tblMatriculas[[#This Row],[Nombre]]))))</f>
        <v>1</v>
      </c>
      <c r="R2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0" s="23" t="str" cm="1">
        <f t="array" ref="S2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0" s="23" t="str" cm="1">
        <f t="array" ref="T2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0" s="14" t="str" cm="1">
        <f t="array" ref="U2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0" t="str" cm="1">
        <f t="array" ref="V2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0" t="str" cm="1">
        <f t="array" ref="W2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0" t="str">
        <f>IF(COUNTIFS('Base Estudiantes'!$C:$C,tblMatriculas[[#This Row],[Cédula]],'Base Estudiantes'!$I:$I,tblMatriculas[[#This Row],[Código]])&gt;0,"Sí","No")</f>
        <v>Sí</v>
      </c>
      <c r="Z280" s="23" cm="1">
        <f t="array" ref="Z280">_xlfn.XLOOKUP(tblMatriculas[[#This Row],[Cédula]]&amp;"|"&amp;tblMatriculas[[#This Row],[Código]],tblBase[Documento]&amp;"|"&amp;tblBase[Código grupo],tblBase[Fecha matrícula],"")</f>
        <v>46264</v>
      </c>
    </row>
    <row r="281" spans="1:26" x14ac:dyDescent="0.2">
      <c r="A281" t="s">
        <v>623</v>
      </c>
      <c r="B281" t="s">
        <v>624</v>
      </c>
      <c r="C281" t="s">
        <v>13</v>
      </c>
      <c r="D281" t="s">
        <v>581</v>
      </c>
      <c r="E281" t="s">
        <v>582</v>
      </c>
      <c r="F281" t="s">
        <v>516</v>
      </c>
      <c r="G281" s="1">
        <v>0</v>
      </c>
      <c r="H281" t="s">
        <v>254</v>
      </c>
      <c r="I281" t="s">
        <v>18</v>
      </c>
      <c r="J281" t="s">
        <v>113</v>
      </c>
      <c r="K281" t="s">
        <v>24</v>
      </c>
      <c r="L281" s="14">
        <f>IFERROR(VALUE(LEFT(tblMatriculas[[#This Row],[Clases]],FIND("/",tblMatriculas[[#This Row],[Clases]])-1)),"")</f>
        <v>0</v>
      </c>
      <c r="M281" s="14">
        <f>IFERROR(VALUE(MID(tblMatriculas[[#This Row],[Clases]],FIND("/",tblMatriculas[[#This Row],[Clases]])+1,5)),"")</f>
        <v>30</v>
      </c>
      <c r="N2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1" s="14">
        <f>IF(OR(tblMatriculas[[#This Row],[Estado]]&lt;&gt;"activa",tblMatriculas[[#This Row],[Clases dictadas]]=""),"",MAX(0,tblMatriculas[[#This Row],[Clases dictadas]]-tblMatriculas[[#This Row],[Asistidas]]))</f>
        <v>2</v>
      </c>
      <c r="P281" s="1">
        <f>IF(OR(tblMatriculas[[#This Row],[Estado]]&lt;&gt;"activa",tblMatriculas[[#This Row],[Asistidas]]=""),"",tblMatriculas[[#This Row],[Asistencia]])</f>
        <v>0</v>
      </c>
      <c r="Q281" t="b">
        <f>AND(tblMatriculas[[#This Row],[Estado]]="activa",ISNUMBER(tblMatriculas[[#This Row],[% asistencia]]),NOT(ISNUMBER(SEARCH(pPrueba,tblMatriculas[[#This Row],[Nombre]]))))</f>
        <v>1</v>
      </c>
      <c r="R2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81" s="23" t="str" cm="1">
        <f t="array" ref="S2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1" s="23" t="str" cm="1">
        <f t="array" ref="T2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1" s="14" t="str" cm="1">
        <f t="array" ref="U2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1" t="str" cm="1">
        <f t="array" ref="V2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1" t="str" cm="1">
        <f t="array" ref="W2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81" t="str">
        <f>IF(COUNTIFS('Base Estudiantes'!$C:$C,tblMatriculas[[#This Row],[Cédula]],'Base Estudiantes'!$I:$I,tblMatriculas[[#This Row],[Código]])&gt;0,"Sí","No")</f>
        <v>Sí</v>
      </c>
      <c r="Z281" s="23" cm="1">
        <f t="array" ref="Z281">_xlfn.XLOOKUP(tblMatriculas[[#This Row],[Cédula]]&amp;"|"&amp;tblMatriculas[[#This Row],[Código]],tblBase[Documento]&amp;"|"&amp;tblBase[Código grupo],tblBase[Fecha matrícula],"")</f>
        <v>46264</v>
      </c>
    </row>
    <row r="282" spans="1:26" x14ac:dyDescent="0.2">
      <c r="A282" t="s">
        <v>625</v>
      </c>
      <c r="B282" t="s">
        <v>626</v>
      </c>
      <c r="C282" t="s">
        <v>13</v>
      </c>
      <c r="D282" t="s">
        <v>581</v>
      </c>
      <c r="E282" t="s">
        <v>582</v>
      </c>
      <c r="F282" t="s">
        <v>516</v>
      </c>
      <c r="G282" s="1">
        <v>6.7000000000000004E-2</v>
      </c>
      <c r="H282" t="s">
        <v>166</v>
      </c>
      <c r="I282" t="s">
        <v>18</v>
      </c>
      <c r="J282" t="s">
        <v>113</v>
      </c>
      <c r="K282" t="s">
        <v>24</v>
      </c>
      <c r="L282" s="14">
        <f>IFERROR(VALUE(LEFT(tblMatriculas[[#This Row],[Clases]],FIND("/",tblMatriculas[[#This Row],[Clases]])-1)),"")</f>
        <v>2</v>
      </c>
      <c r="M282" s="14">
        <f>IFERROR(VALUE(MID(tblMatriculas[[#This Row],[Clases]],FIND("/",tblMatriculas[[#This Row],[Clases]])+1,5)),"")</f>
        <v>30</v>
      </c>
      <c r="N2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2" s="14">
        <f>IF(OR(tblMatriculas[[#This Row],[Estado]]&lt;&gt;"activa",tblMatriculas[[#This Row],[Clases dictadas]]=""),"",MAX(0,tblMatriculas[[#This Row],[Clases dictadas]]-tblMatriculas[[#This Row],[Asistidas]]))</f>
        <v>0</v>
      </c>
      <c r="P282" s="1">
        <f>IF(OR(tblMatriculas[[#This Row],[Estado]]&lt;&gt;"activa",tblMatriculas[[#This Row],[Asistidas]]=""),"",tblMatriculas[[#This Row],[Asistencia]])</f>
        <v>6.7000000000000004E-2</v>
      </c>
      <c r="Q282" t="b">
        <f>AND(tblMatriculas[[#This Row],[Estado]]="activa",ISNUMBER(tblMatriculas[[#This Row],[% asistencia]]),NOT(ISNUMBER(SEARCH(pPrueba,tblMatriculas[[#This Row],[Nombre]]))))</f>
        <v>1</v>
      </c>
      <c r="R2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2" s="23" t="str" cm="1">
        <f t="array" ref="S2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2" s="23" t="str" cm="1">
        <f t="array" ref="T2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2" s="14" t="str" cm="1">
        <f t="array" ref="U2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2" t="str" cm="1">
        <f t="array" ref="V2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2" t="str" cm="1">
        <f t="array" ref="W2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2" t="str">
        <f>IF(COUNTIFS('Base Estudiantes'!$C:$C,tblMatriculas[[#This Row],[Cédula]],'Base Estudiantes'!$I:$I,tblMatriculas[[#This Row],[Código]])&gt;0,"Sí","No")</f>
        <v>Sí</v>
      </c>
      <c r="Z282" s="23" cm="1">
        <f t="array" ref="Z282">_xlfn.XLOOKUP(tblMatriculas[[#This Row],[Cédula]]&amp;"|"&amp;tblMatriculas[[#This Row],[Código]],tblBase[Documento]&amp;"|"&amp;tblBase[Código grupo],tblBase[Fecha matrícula],"")</f>
        <v>46264</v>
      </c>
    </row>
    <row r="283" spans="1:26" x14ac:dyDescent="0.2">
      <c r="A283" t="s">
        <v>627</v>
      </c>
      <c r="B283" t="s">
        <v>628</v>
      </c>
      <c r="C283" t="s">
        <v>13</v>
      </c>
      <c r="D283" t="s">
        <v>581</v>
      </c>
      <c r="E283" t="s">
        <v>582</v>
      </c>
      <c r="F283" t="s">
        <v>516</v>
      </c>
      <c r="G283" s="1">
        <v>6.7000000000000004E-2</v>
      </c>
      <c r="H283" t="s">
        <v>166</v>
      </c>
      <c r="I283" t="s">
        <v>18</v>
      </c>
      <c r="J283" t="s">
        <v>113</v>
      </c>
      <c r="K283" t="s">
        <v>24</v>
      </c>
      <c r="L283" s="14">
        <f>IFERROR(VALUE(LEFT(tblMatriculas[[#This Row],[Clases]],FIND("/",tblMatriculas[[#This Row],[Clases]])-1)),"")</f>
        <v>2</v>
      </c>
      <c r="M283" s="14">
        <f>IFERROR(VALUE(MID(tblMatriculas[[#This Row],[Clases]],FIND("/",tblMatriculas[[#This Row],[Clases]])+1,5)),"")</f>
        <v>30</v>
      </c>
      <c r="N2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3" s="14">
        <f>IF(OR(tblMatriculas[[#This Row],[Estado]]&lt;&gt;"activa",tblMatriculas[[#This Row],[Clases dictadas]]=""),"",MAX(0,tblMatriculas[[#This Row],[Clases dictadas]]-tblMatriculas[[#This Row],[Asistidas]]))</f>
        <v>0</v>
      </c>
      <c r="P283" s="1">
        <f>IF(OR(tblMatriculas[[#This Row],[Estado]]&lt;&gt;"activa",tblMatriculas[[#This Row],[Asistidas]]=""),"",tblMatriculas[[#This Row],[Asistencia]])</f>
        <v>6.7000000000000004E-2</v>
      </c>
      <c r="Q283" t="b">
        <f>AND(tblMatriculas[[#This Row],[Estado]]="activa",ISNUMBER(tblMatriculas[[#This Row],[% asistencia]]),NOT(ISNUMBER(SEARCH(pPrueba,tblMatriculas[[#This Row],[Nombre]]))))</f>
        <v>1</v>
      </c>
      <c r="R2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3" s="23" t="str" cm="1">
        <f t="array" ref="S2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3" s="23" t="str" cm="1">
        <f t="array" ref="T2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3" s="14" t="str" cm="1">
        <f t="array" ref="U2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3" t="str" cm="1">
        <f t="array" ref="V2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3" t="str" cm="1">
        <f t="array" ref="W2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3" t="str">
        <f>IF(COUNTIFS('Base Estudiantes'!$C:$C,tblMatriculas[[#This Row],[Cédula]],'Base Estudiantes'!$I:$I,tblMatriculas[[#This Row],[Código]])&gt;0,"Sí","No")</f>
        <v>Sí</v>
      </c>
      <c r="Z283" s="23" cm="1">
        <f t="array" ref="Z283">_xlfn.XLOOKUP(tblMatriculas[[#This Row],[Cédula]]&amp;"|"&amp;tblMatriculas[[#This Row],[Código]],tblBase[Documento]&amp;"|"&amp;tblBase[Código grupo],tblBase[Fecha matrícula],"")</f>
        <v>46264</v>
      </c>
    </row>
    <row r="284" spans="1:26" x14ac:dyDescent="0.2">
      <c r="A284" t="s">
        <v>629</v>
      </c>
      <c r="B284" t="s">
        <v>630</v>
      </c>
      <c r="C284" t="s">
        <v>13</v>
      </c>
      <c r="D284" t="s">
        <v>581</v>
      </c>
      <c r="E284" t="s">
        <v>582</v>
      </c>
      <c r="F284" t="s">
        <v>516</v>
      </c>
      <c r="G284" s="1">
        <v>6.7000000000000004E-2</v>
      </c>
      <c r="H284" t="s">
        <v>166</v>
      </c>
      <c r="I284" t="s">
        <v>18</v>
      </c>
      <c r="J284" t="s">
        <v>113</v>
      </c>
      <c r="K284" t="s">
        <v>24</v>
      </c>
      <c r="L284" s="14">
        <f>IFERROR(VALUE(LEFT(tblMatriculas[[#This Row],[Clases]],FIND("/",tblMatriculas[[#This Row],[Clases]])-1)),"")</f>
        <v>2</v>
      </c>
      <c r="M284" s="14">
        <f>IFERROR(VALUE(MID(tblMatriculas[[#This Row],[Clases]],FIND("/",tblMatriculas[[#This Row],[Clases]])+1,5)),"")</f>
        <v>30</v>
      </c>
      <c r="N2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4" s="14">
        <f>IF(OR(tblMatriculas[[#This Row],[Estado]]&lt;&gt;"activa",tblMatriculas[[#This Row],[Clases dictadas]]=""),"",MAX(0,tblMatriculas[[#This Row],[Clases dictadas]]-tblMatriculas[[#This Row],[Asistidas]]))</f>
        <v>0</v>
      </c>
      <c r="P284" s="1">
        <f>IF(OR(tblMatriculas[[#This Row],[Estado]]&lt;&gt;"activa",tblMatriculas[[#This Row],[Asistidas]]=""),"",tblMatriculas[[#This Row],[Asistencia]])</f>
        <v>6.7000000000000004E-2</v>
      </c>
      <c r="Q284" t="b">
        <f>AND(tblMatriculas[[#This Row],[Estado]]="activa",ISNUMBER(tblMatriculas[[#This Row],[% asistencia]]),NOT(ISNUMBER(SEARCH(pPrueba,tblMatriculas[[#This Row],[Nombre]]))))</f>
        <v>1</v>
      </c>
      <c r="R2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4" s="23" t="str" cm="1">
        <f t="array" ref="S2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4" s="23" t="str" cm="1">
        <f t="array" ref="T2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4" s="14" t="str" cm="1">
        <f t="array" ref="U2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4" t="str" cm="1">
        <f t="array" ref="V2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4" t="str" cm="1">
        <f t="array" ref="W2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4" t="str">
        <f>IF(COUNTIFS('Base Estudiantes'!$C:$C,tblMatriculas[[#This Row],[Cédula]],'Base Estudiantes'!$I:$I,tblMatriculas[[#This Row],[Código]])&gt;0,"Sí","No")</f>
        <v>Sí</v>
      </c>
      <c r="Z284" s="23" cm="1">
        <f t="array" ref="Z284">_xlfn.XLOOKUP(tblMatriculas[[#This Row],[Cédula]]&amp;"|"&amp;tblMatriculas[[#This Row],[Código]],tblBase[Documento]&amp;"|"&amp;tblBase[Código grupo],tblBase[Fecha matrícula],"")</f>
        <v>46264</v>
      </c>
    </row>
    <row r="285" spans="1:26" x14ac:dyDescent="0.2">
      <c r="A285" t="s">
        <v>631</v>
      </c>
      <c r="B285" t="s">
        <v>632</v>
      </c>
      <c r="C285" t="s">
        <v>13</v>
      </c>
      <c r="D285" t="s">
        <v>581</v>
      </c>
      <c r="E285" t="s">
        <v>582</v>
      </c>
      <c r="F285" t="s">
        <v>516</v>
      </c>
      <c r="G285" s="1">
        <v>6.7000000000000004E-2</v>
      </c>
      <c r="H285" t="s">
        <v>166</v>
      </c>
      <c r="I285" t="s">
        <v>18</v>
      </c>
      <c r="J285" t="s">
        <v>113</v>
      </c>
      <c r="K285" t="s">
        <v>24</v>
      </c>
      <c r="L285" s="14">
        <f>IFERROR(VALUE(LEFT(tblMatriculas[[#This Row],[Clases]],FIND("/",tblMatriculas[[#This Row],[Clases]])-1)),"")</f>
        <v>2</v>
      </c>
      <c r="M285" s="14">
        <f>IFERROR(VALUE(MID(tblMatriculas[[#This Row],[Clases]],FIND("/",tblMatriculas[[#This Row],[Clases]])+1,5)),"")</f>
        <v>30</v>
      </c>
      <c r="N2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5" s="14">
        <f>IF(OR(tblMatriculas[[#This Row],[Estado]]&lt;&gt;"activa",tblMatriculas[[#This Row],[Clases dictadas]]=""),"",MAX(0,tblMatriculas[[#This Row],[Clases dictadas]]-tblMatriculas[[#This Row],[Asistidas]]))</f>
        <v>0</v>
      </c>
      <c r="P285" s="1">
        <f>IF(OR(tblMatriculas[[#This Row],[Estado]]&lt;&gt;"activa",tblMatriculas[[#This Row],[Asistidas]]=""),"",tblMatriculas[[#This Row],[Asistencia]])</f>
        <v>6.7000000000000004E-2</v>
      </c>
      <c r="Q285" t="b">
        <f>AND(tblMatriculas[[#This Row],[Estado]]="activa",ISNUMBER(tblMatriculas[[#This Row],[% asistencia]]),NOT(ISNUMBER(SEARCH(pPrueba,tblMatriculas[[#This Row],[Nombre]]))))</f>
        <v>1</v>
      </c>
      <c r="R2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5" s="23" t="str" cm="1">
        <f t="array" ref="S2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5" s="23" t="str" cm="1">
        <f t="array" ref="T2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5" s="14" t="str" cm="1">
        <f t="array" ref="U2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5" t="str" cm="1">
        <f t="array" ref="V2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5" t="str" cm="1">
        <f t="array" ref="W2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5" t="str">
        <f>IF(COUNTIFS('Base Estudiantes'!$C:$C,tblMatriculas[[#This Row],[Cédula]],'Base Estudiantes'!$I:$I,tblMatriculas[[#This Row],[Código]])&gt;0,"Sí","No")</f>
        <v>Sí</v>
      </c>
      <c r="Z285" s="23" cm="1">
        <f t="array" ref="Z285">_xlfn.XLOOKUP(tblMatriculas[[#This Row],[Cédula]]&amp;"|"&amp;tblMatriculas[[#This Row],[Código]],tblBase[Documento]&amp;"|"&amp;tblBase[Código grupo],tblBase[Fecha matrícula],"")</f>
        <v>46264</v>
      </c>
    </row>
    <row r="286" spans="1:26" x14ac:dyDescent="0.2">
      <c r="A286" t="s">
        <v>633</v>
      </c>
      <c r="B286" t="s">
        <v>634</v>
      </c>
      <c r="C286" t="s">
        <v>13</v>
      </c>
      <c r="D286" t="s">
        <v>581</v>
      </c>
      <c r="E286" t="s">
        <v>582</v>
      </c>
      <c r="F286" t="s">
        <v>516</v>
      </c>
      <c r="G286" s="1">
        <v>6.7000000000000004E-2</v>
      </c>
      <c r="H286" t="s">
        <v>166</v>
      </c>
      <c r="I286" t="s">
        <v>18</v>
      </c>
      <c r="J286" t="s">
        <v>113</v>
      </c>
      <c r="K286" t="s">
        <v>24</v>
      </c>
      <c r="L286" s="14">
        <f>IFERROR(VALUE(LEFT(tblMatriculas[[#This Row],[Clases]],FIND("/",tblMatriculas[[#This Row],[Clases]])-1)),"")</f>
        <v>2</v>
      </c>
      <c r="M286" s="14">
        <f>IFERROR(VALUE(MID(tblMatriculas[[#This Row],[Clases]],FIND("/",tblMatriculas[[#This Row],[Clases]])+1,5)),"")</f>
        <v>30</v>
      </c>
      <c r="N2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6" s="14">
        <f>IF(OR(tblMatriculas[[#This Row],[Estado]]&lt;&gt;"activa",tblMatriculas[[#This Row],[Clases dictadas]]=""),"",MAX(0,tblMatriculas[[#This Row],[Clases dictadas]]-tblMatriculas[[#This Row],[Asistidas]]))</f>
        <v>0</v>
      </c>
      <c r="P286" s="1">
        <f>IF(OR(tblMatriculas[[#This Row],[Estado]]&lt;&gt;"activa",tblMatriculas[[#This Row],[Asistidas]]=""),"",tblMatriculas[[#This Row],[Asistencia]])</f>
        <v>6.7000000000000004E-2</v>
      </c>
      <c r="Q286" t="b">
        <f>AND(tblMatriculas[[#This Row],[Estado]]="activa",ISNUMBER(tblMatriculas[[#This Row],[% asistencia]]),NOT(ISNUMBER(SEARCH(pPrueba,tblMatriculas[[#This Row],[Nombre]]))))</f>
        <v>1</v>
      </c>
      <c r="R2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6" s="23" t="str" cm="1">
        <f t="array" ref="S2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6" s="23" t="str" cm="1">
        <f t="array" ref="T2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6" s="14" t="str" cm="1">
        <f t="array" ref="U2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6" t="str" cm="1">
        <f t="array" ref="V2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6" t="str" cm="1">
        <f t="array" ref="W2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6" t="str">
        <f>IF(COUNTIFS('Base Estudiantes'!$C:$C,tblMatriculas[[#This Row],[Cédula]],'Base Estudiantes'!$I:$I,tblMatriculas[[#This Row],[Código]])&gt;0,"Sí","No")</f>
        <v>Sí</v>
      </c>
      <c r="Z286" s="23" cm="1">
        <f t="array" ref="Z286">_xlfn.XLOOKUP(tblMatriculas[[#This Row],[Cédula]]&amp;"|"&amp;tblMatriculas[[#This Row],[Código]],tblBase[Documento]&amp;"|"&amp;tblBase[Código grupo],tblBase[Fecha matrícula],"")</f>
        <v>46264</v>
      </c>
    </row>
    <row r="287" spans="1:26" x14ac:dyDescent="0.2">
      <c r="A287" t="s">
        <v>635</v>
      </c>
      <c r="B287" t="s">
        <v>636</v>
      </c>
      <c r="C287" t="s">
        <v>13</v>
      </c>
      <c r="D287" t="s">
        <v>581</v>
      </c>
      <c r="E287" t="s">
        <v>582</v>
      </c>
      <c r="F287" t="s">
        <v>516</v>
      </c>
      <c r="G287" s="1">
        <v>6.7000000000000004E-2</v>
      </c>
      <c r="H287" t="s">
        <v>166</v>
      </c>
      <c r="I287" t="s">
        <v>18</v>
      </c>
      <c r="J287" t="s">
        <v>113</v>
      </c>
      <c r="K287" t="s">
        <v>120</v>
      </c>
      <c r="L287" s="14">
        <f>IFERROR(VALUE(LEFT(tblMatriculas[[#This Row],[Clases]],FIND("/",tblMatriculas[[#This Row],[Clases]])-1)),"")</f>
        <v>2</v>
      </c>
      <c r="M287" s="14">
        <f>IFERROR(VALUE(MID(tblMatriculas[[#This Row],[Clases]],FIND("/",tblMatriculas[[#This Row],[Clases]])+1,5)),"")</f>
        <v>30</v>
      </c>
      <c r="N2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7" s="14">
        <f>IF(OR(tblMatriculas[[#This Row],[Estado]]&lt;&gt;"activa",tblMatriculas[[#This Row],[Clases dictadas]]=""),"",MAX(0,tblMatriculas[[#This Row],[Clases dictadas]]-tblMatriculas[[#This Row],[Asistidas]]))</f>
        <v>0</v>
      </c>
      <c r="P287" s="1">
        <f>IF(OR(tblMatriculas[[#This Row],[Estado]]&lt;&gt;"activa",tblMatriculas[[#This Row],[Asistidas]]=""),"",tblMatriculas[[#This Row],[Asistencia]])</f>
        <v>6.7000000000000004E-2</v>
      </c>
      <c r="Q287" t="b">
        <f>AND(tblMatriculas[[#This Row],[Estado]]="activa",ISNUMBER(tblMatriculas[[#This Row],[% asistencia]]),NOT(ISNUMBER(SEARCH(pPrueba,tblMatriculas[[#This Row],[Nombre]]))))</f>
        <v>1</v>
      </c>
      <c r="R2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7" s="23" t="str" cm="1">
        <f t="array" ref="S2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7" s="23" t="str" cm="1">
        <f t="array" ref="T2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7" s="14" t="str" cm="1">
        <f t="array" ref="U2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7" t="str" cm="1">
        <f t="array" ref="V2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7" t="str" cm="1">
        <f t="array" ref="W2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7" t="str">
        <f>IF(COUNTIFS('Base Estudiantes'!$C:$C,tblMatriculas[[#This Row],[Cédula]],'Base Estudiantes'!$I:$I,tblMatriculas[[#This Row],[Código]])&gt;0,"Sí","No")</f>
        <v>Sí</v>
      </c>
      <c r="Z287" s="23" cm="1">
        <f t="array" ref="Z287">_xlfn.XLOOKUP(tblMatriculas[[#This Row],[Cédula]]&amp;"|"&amp;tblMatriculas[[#This Row],[Código]],tblBase[Documento]&amp;"|"&amp;tblBase[Código grupo],tblBase[Fecha matrícula],"")</f>
        <v>46264</v>
      </c>
    </row>
    <row r="288" spans="1:26" x14ac:dyDescent="0.2">
      <c r="A288" t="s">
        <v>637</v>
      </c>
      <c r="B288" t="s">
        <v>638</v>
      </c>
      <c r="C288" t="s">
        <v>13</v>
      </c>
      <c r="D288" t="s">
        <v>581</v>
      </c>
      <c r="E288" t="s">
        <v>582</v>
      </c>
      <c r="F288" t="s">
        <v>516</v>
      </c>
      <c r="G288" s="1">
        <v>3.3000000000000002E-2</v>
      </c>
      <c r="H288" t="s">
        <v>225</v>
      </c>
      <c r="I288" t="s">
        <v>18</v>
      </c>
      <c r="J288" t="s">
        <v>113</v>
      </c>
      <c r="K288" t="s">
        <v>233</v>
      </c>
      <c r="L288" s="14">
        <f>IFERROR(VALUE(LEFT(tblMatriculas[[#This Row],[Clases]],FIND("/",tblMatriculas[[#This Row],[Clases]])-1)),"")</f>
        <v>1</v>
      </c>
      <c r="M288" s="14">
        <f>IFERROR(VALUE(MID(tblMatriculas[[#This Row],[Clases]],FIND("/",tblMatriculas[[#This Row],[Clases]])+1,5)),"")</f>
        <v>30</v>
      </c>
      <c r="N2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8" s="14">
        <f>IF(OR(tblMatriculas[[#This Row],[Estado]]&lt;&gt;"activa",tblMatriculas[[#This Row],[Clases dictadas]]=""),"",MAX(0,tblMatriculas[[#This Row],[Clases dictadas]]-tblMatriculas[[#This Row],[Asistidas]]))</f>
        <v>1</v>
      </c>
      <c r="P288" s="1">
        <f>IF(OR(tblMatriculas[[#This Row],[Estado]]&lt;&gt;"activa",tblMatriculas[[#This Row],[Asistidas]]=""),"",tblMatriculas[[#This Row],[Asistencia]])</f>
        <v>3.3000000000000002E-2</v>
      </c>
      <c r="Q288" t="b">
        <f>AND(tblMatriculas[[#This Row],[Estado]]="activa",ISNUMBER(tblMatriculas[[#This Row],[% asistencia]]),NOT(ISNUMBER(SEARCH(pPrueba,tblMatriculas[[#This Row],[Nombre]]))))</f>
        <v>1</v>
      </c>
      <c r="R2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88" s="23" t="str" cm="1">
        <f t="array" ref="S2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8" s="23" t="str" cm="1">
        <f t="array" ref="T2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8" s="14" t="str" cm="1">
        <f t="array" ref="U2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8" t="str" cm="1">
        <f t="array" ref="V2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8" t="str" cm="1">
        <f t="array" ref="W2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88" t="str">
        <f>IF(COUNTIFS('Base Estudiantes'!$C:$C,tblMatriculas[[#This Row],[Cédula]],'Base Estudiantes'!$I:$I,tblMatriculas[[#This Row],[Código]])&gt;0,"Sí","No")</f>
        <v>Sí</v>
      </c>
      <c r="Z288" s="23" cm="1">
        <f t="array" ref="Z288">_xlfn.XLOOKUP(tblMatriculas[[#This Row],[Cédula]]&amp;"|"&amp;tblMatriculas[[#This Row],[Código]],tblBase[Documento]&amp;"|"&amp;tblBase[Código grupo],tblBase[Fecha matrícula],"")</f>
        <v>46264</v>
      </c>
    </row>
    <row r="289" spans="1:26" x14ac:dyDescent="0.2">
      <c r="A289" t="s">
        <v>639</v>
      </c>
      <c r="B289" t="s">
        <v>640</v>
      </c>
      <c r="C289" t="s">
        <v>13</v>
      </c>
      <c r="D289" t="s">
        <v>581</v>
      </c>
      <c r="E289" t="s">
        <v>582</v>
      </c>
      <c r="F289" t="s">
        <v>516</v>
      </c>
      <c r="G289" s="1">
        <v>6.7000000000000004E-2</v>
      </c>
      <c r="H289" t="s">
        <v>166</v>
      </c>
      <c r="I289" t="s">
        <v>18</v>
      </c>
      <c r="J289" t="s">
        <v>113</v>
      </c>
      <c r="K289" t="s">
        <v>125</v>
      </c>
      <c r="L289" s="14">
        <f>IFERROR(VALUE(LEFT(tblMatriculas[[#This Row],[Clases]],FIND("/",tblMatriculas[[#This Row],[Clases]])-1)),"")</f>
        <v>2</v>
      </c>
      <c r="M289" s="14">
        <f>IFERROR(VALUE(MID(tblMatriculas[[#This Row],[Clases]],FIND("/",tblMatriculas[[#This Row],[Clases]])+1,5)),"")</f>
        <v>30</v>
      </c>
      <c r="N2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89" s="14">
        <f>IF(OR(tblMatriculas[[#This Row],[Estado]]&lt;&gt;"activa",tblMatriculas[[#This Row],[Clases dictadas]]=""),"",MAX(0,tblMatriculas[[#This Row],[Clases dictadas]]-tblMatriculas[[#This Row],[Asistidas]]))</f>
        <v>0</v>
      </c>
      <c r="P289" s="1">
        <f>IF(OR(tblMatriculas[[#This Row],[Estado]]&lt;&gt;"activa",tblMatriculas[[#This Row],[Asistidas]]=""),"",tblMatriculas[[#This Row],[Asistencia]])</f>
        <v>6.7000000000000004E-2</v>
      </c>
      <c r="Q289" t="b">
        <f>AND(tblMatriculas[[#This Row],[Estado]]="activa",ISNUMBER(tblMatriculas[[#This Row],[% asistencia]]),NOT(ISNUMBER(SEARCH(pPrueba,tblMatriculas[[#This Row],[Nombre]]))))</f>
        <v>1</v>
      </c>
      <c r="R2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89" s="23" t="str" cm="1">
        <f t="array" ref="S2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89" s="23" t="str" cm="1">
        <f t="array" ref="T2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89" s="14" t="str" cm="1">
        <f t="array" ref="U2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89" t="str" cm="1">
        <f t="array" ref="V2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89" t="str" cm="1">
        <f t="array" ref="W2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89" t="str">
        <f>IF(COUNTIFS('Base Estudiantes'!$C:$C,tblMatriculas[[#This Row],[Cédula]],'Base Estudiantes'!$I:$I,tblMatriculas[[#This Row],[Código]])&gt;0,"Sí","No")</f>
        <v>Sí</v>
      </c>
      <c r="Z289" s="23" cm="1">
        <f t="array" ref="Z289">_xlfn.XLOOKUP(tblMatriculas[[#This Row],[Cédula]]&amp;"|"&amp;tblMatriculas[[#This Row],[Código]],tblBase[Documento]&amp;"|"&amp;tblBase[Código grupo],tblBase[Fecha matrícula],"")</f>
        <v>46264</v>
      </c>
    </row>
    <row r="290" spans="1:26" x14ac:dyDescent="0.2">
      <c r="A290" t="s">
        <v>641</v>
      </c>
      <c r="B290" t="s">
        <v>642</v>
      </c>
      <c r="C290" t="s">
        <v>13</v>
      </c>
      <c r="D290" t="s">
        <v>581</v>
      </c>
      <c r="E290" t="s">
        <v>582</v>
      </c>
      <c r="F290" t="s">
        <v>516</v>
      </c>
      <c r="G290" s="1">
        <v>6.7000000000000004E-2</v>
      </c>
      <c r="H290" t="s">
        <v>166</v>
      </c>
      <c r="I290" t="s">
        <v>18</v>
      </c>
      <c r="J290" t="s">
        <v>113</v>
      </c>
      <c r="K290" t="s">
        <v>426</v>
      </c>
      <c r="L290" s="14">
        <f>IFERROR(VALUE(LEFT(tblMatriculas[[#This Row],[Clases]],FIND("/",tblMatriculas[[#This Row],[Clases]])-1)),"")</f>
        <v>2</v>
      </c>
      <c r="M290" s="14">
        <f>IFERROR(VALUE(MID(tblMatriculas[[#This Row],[Clases]],FIND("/",tblMatriculas[[#This Row],[Clases]])+1,5)),"")</f>
        <v>30</v>
      </c>
      <c r="N2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90" s="14">
        <f>IF(OR(tblMatriculas[[#This Row],[Estado]]&lt;&gt;"activa",tblMatriculas[[#This Row],[Clases dictadas]]=""),"",MAX(0,tblMatriculas[[#This Row],[Clases dictadas]]-tblMatriculas[[#This Row],[Asistidas]]))</f>
        <v>0</v>
      </c>
      <c r="P290" s="1">
        <f>IF(OR(tblMatriculas[[#This Row],[Estado]]&lt;&gt;"activa",tblMatriculas[[#This Row],[Asistidas]]=""),"",tblMatriculas[[#This Row],[Asistencia]])</f>
        <v>6.7000000000000004E-2</v>
      </c>
      <c r="Q290" t="b">
        <f>AND(tblMatriculas[[#This Row],[Estado]]="activa",ISNUMBER(tblMatriculas[[#This Row],[% asistencia]]),NOT(ISNUMBER(SEARCH(pPrueba,tblMatriculas[[#This Row],[Nombre]]))))</f>
        <v>1</v>
      </c>
      <c r="R2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90" s="23" t="str" cm="1">
        <f t="array" ref="S2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0" s="23" t="str" cm="1">
        <f t="array" ref="T2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0" s="14" t="str" cm="1">
        <f t="array" ref="U2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0" t="str" cm="1">
        <f t="array" ref="V2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0" t="str" cm="1">
        <f t="array" ref="W2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90" t="str">
        <f>IF(COUNTIFS('Base Estudiantes'!$C:$C,tblMatriculas[[#This Row],[Cédula]],'Base Estudiantes'!$I:$I,tblMatriculas[[#This Row],[Código]])&gt;0,"Sí","No")</f>
        <v>Sí</v>
      </c>
      <c r="Z290" s="23" cm="1">
        <f t="array" ref="Z290">_xlfn.XLOOKUP(tblMatriculas[[#This Row],[Cédula]]&amp;"|"&amp;tblMatriculas[[#This Row],[Código]],tblBase[Documento]&amp;"|"&amp;tblBase[Código grupo],tblBase[Fecha matrícula],"")</f>
        <v>46264</v>
      </c>
    </row>
    <row r="291" spans="1:26" x14ac:dyDescent="0.2">
      <c r="A291" t="s">
        <v>643</v>
      </c>
      <c r="B291" t="s">
        <v>644</v>
      </c>
      <c r="C291" t="s">
        <v>13</v>
      </c>
      <c r="D291" t="s">
        <v>581</v>
      </c>
      <c r="E291" t="s">
        <v>582</v>
      </c>
      <c r="F291" t="s">
        <v>516</v>
      </c>
      <c r="G291" s="1">
        <v>3.3000000000000002E-2</v>
      </c>
      <c r="H291" t="s">
        <v>225</v>
      </c>
      <c r="I291" t="s">
        <v>18</v>
      </c>
      <c r="J291" t="s">
        <v>113</v>
      </c>
      <c r="K291" t="s">
        <v>24</v>
      </c>
      <c r="L291" s="14">
        <f>IFERROR(VALUE(LEFT(tblMatriculas[[#This Row],[Clases]],FIND("/",tblMatriculas[[#This Row],[Clases]])-1)),"")</f>
        <v>1</v>
      </c>
      <c r="M291" s="14">
        <f>IFERROR(VALUE(MID(tblMatriculas[[#This Row],[Clases]],FIND("/",tblMatriculas[[#This Row],[Clases]])+1,5)),"")</f>
        <v>30</v>
      </c>
      <c r="N2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91" s="14">
        <f>IF(OR(tblMatriculas[[#This Row],[Estado]]&lt;&gt;"activa",tblMatriculas[[#This Row],[Clases dictadas]]=""),"",MAX(0,tblMatriculas[[#This Row],[Clases dictadas]]-tblMatriculas[[#This Row],[Asistidas]]))</f>
        <v>1</v>
      </c>
      <c r="P291" s="1">
        <f>IF(OR(tblMatriculas[[#This Row],[Estado]]&lt;&gt;"activa",tblMatriculas[[#This Row],[Asistidas]]=""),"",tblMatriculas[[#This Row],[Asistencia]])</f>
        <v>3.3000000000000002E-2</v>
      </c>
      <c r="Q291" t="b">
        <f>AND(tblMatriculas[[#This Row],[Estado]]="activa",ISNUMBER(tblMatriculas[[#This Row],[% asistencia]]),NOT(ISNUMBER(SEARCH(pPrueba,tblMatriculas[[#This Row],[Nombre]]))))</f>
        <v>1</v>
      </c>
      <c r="R2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91" s="23" t="str" cm="1">
        <f t="array" ref="S2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1" s="23" t="str" cm="1">
        <f t="array" ref="T2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1" s="14" t="str" cm="1">
        <f t="array" ref="U2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1" t="str" cm="1">
        <f t="array" ref="V2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1" t="str" cm="1">
        <f t="array" ref="W2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91" t="str">
        <f>IF(COUNTIFS('Base Estudiantes'!$C:$C,tblMatriculas[[#This Row],[Cédula]],'Base Estudiantes'!$I:$I,tblMatriculas[[#This Row],[Código]])&gt;0,"Sí","No")</f>
        <v>Sí</v>
      </c>
      <c r="Z291" s="23" cm="1">
        <f t="array" ref="Z291">_xlfn.XLOOKUP(tblMatriculas[[#This Row],[Cédula]]&amp;"|"&amp;tblMatriculas[[#This Row],[Código]],tblBase[Documento]&amp;"|"&amp;tblBase[Código grupo],tblBase[Fecha matrícula],"")</f>
        <v>46272</v>
      </c>
    </row>
    <row r="292" spans="1:26" x14ac:dyDescent="0.2">
      <c r="A292" t="s">
        <v>645</v>
      </c>
      <c r="B292" t="s">
        <v>646</v>
      </c>
      <c r="C292" t="s">
        <v>13</v>
      </c>
      <c r="D292" t="s">
        <v>647</v>
      </c>
      <c r="E292" t="s">
        <v>648</v>
      </c>
      <c r="F292" t="s">
        <v>649</v>
      </c>
      <c r="G292" s="1">
        <v>0.13300000000000001</v>
      </c>
      <c r="H292" t="s">
        <v>112</v>
      </c>
      <c r="I292" t="s">
        <v>18</v>
      </c>
      <c r="J292" t="s">
        <v>226</v>
      </c>
      <c r="K292" t="s">
        <v>114</v>
      </c>
      <c r="L292" s="14">
        <f>IFERROR(VALUE(LEFT(tblMatriculas[[#This Row],[Clases]],FIND("/",tblMatriculas[[#This Row],[Clases]])-1)),"")</f>
        <v>4</v>
      </c>
      <c r="M292" s="14">
        <f>IFERROR(VALUE(MID(tblMatriculas[[#This Row],[Clases]],FIND("/",tblMatriculas[[#This Row],[Clases]])+1,5)),"")</f>
        <v>30</v>
      </c>
      <c r="N2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2" s="14">
        <f>IF(OR(tblMatriculas[[#This Row],[Estado]]&lt;&gt;"activa",tblMatriculas[[#This Row],[Clases dictadas]]=""),"",MAX(0,tblMatriculas[[#This Row],[Clases dictadas]]-tblMatriculas[[#This Row],[Asistidas]]))</f>
        <v>0</v>
      </c>
      <c r="P292" s="1">
        <f>IF(OR(tblMatriculas[[#This Row],[Estado]]&lt;&gt;"activa",tblMatriculas[[#This Row],[Asistidas]]=""),"",tblMatriculas[[#This Row],[Asistencia]])</f>
        <v>0.13300000000000001</v>
      </c>
      <c r="Q292" t="b">
        <f>AND(tblMatriculas[[#This Row],[Estado]]="activa",ISNUMBER(tblMatriculas[[#This Row],[% asistencia]]),NOT(ISNUMBER(SEARCH(pPrueba,tblMatriculas[[#This Row],[Nombre]]))))</f>
        <v>1</v>
      </c>
      <c r="R2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2" s="23" t="str" cm="1">
        <f t="array" ref="S2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2" s="23" t="str" cm="1">
        <f t="array" ref="T2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2" s="14" t="str" cm="1">
        <f t="array" ref="U2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2" t="str" cm="1">
        <f t="array" ref="V2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2" t="str" cm="1">
        <f t="array" ref="W2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2" t="str">
        <f>IF(COUNTIFS('Base Estudiantes'!$C:$C,tblMatriculas[[#This Row],[Cédula]],'Base Estudiantes'!$I:$I,tblMatriculas[[#This Row],[Código]])&gt;0,"Sí","No")</f>
        <v>Sí</v>
      </c>
      <c r="Z292" s="23" cm="1">
        <f t="array" ref="Z292">_xlfn.XLOOKUP(tblMatriculas[[#This Row],[Cédula]]&amp;"|"&amp;tblMatriculas[[#This Row],[Código]],tblBase[Documento]&amp;"|"&amp;tblBase[Código grupo],tblBase[Fecha matrícula],"")</f>
        <v>46263</v>
      </c>
    </row>
    <row r="293" spans="1:26" x14ac:dyDescent="0.2">
      <c r="A293" t="s">
        <v>650</v>
      </c>
      <c r="B293" t="s">
        <v>651</v>
      </c>
      <c r="C293" t="s">
        <v>13</v>
      </c>
      <c r="D293" t="s">
        <v>647</v>
      </c>
      <c r="E293" t="s">
        <v>648</v>
      </c>
      <c r="F293" t="s">
        <v>649</v>
      </c>
      <c r="G293" s="1">
        <v>0.13300000000000001</v>
      </c>
      <c r="H293" t="s">
        <v>112</v>
      </c>
      <c r="I293" t="s">
        <v>18</v>
      </c>
      <c r="J293" t="s">
        <v>226</v>
      </c>
      <c r="K293" t="s">
        <v>114</v>
      </c>
      <c r="L293" s="14">
        <f>IFERROR(VALUE(LEFT(tblMatriculas[[#This Row],[Clases]],FIND("/",tblMatriculas[[#This Row],[Clases]])-1)),"")</f>
        <v>4</v>
      </c>
      <c r="M293" s="14">
        <f>IFERROR(VALUE(MID(tblMatriculas[[#This Row],[Clases]],FIND("/",tblMatriculas[[#This Row],[Clases]])+1,5)),"")</f>
        <v>30</v>
      </c>
      <c r="N2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3" s="14">
        <f>IF(OR(tblMatriculas[[#This Row],[Estado]]&lt;&gt;"activa",tblMatriculas[[#This Row],[Clases dictadas]]=""),"",MAX(0,tblMatriculas[[#This Row],[Clases dictadas]]-tblMatriculas[[#This Row],[Asistidas]]))</f>
        <v>0</v>
      </c>
      <c r="P293" s="1">
        <f>IF(OR(tblMatriculas[[#This Row],[Estado]]&lt;&gt;"activa",tblMatriculas[[#This Row],[Asistidas]]=""),"",tblMatriculas[[#This Row],[Asistencia]])</f>
        <v>0.13300000000000001</v>
      </c>
      <c r="Q293" t="b">
        <f>AND(tblMatriculas[[#This Row],[Estado]]="activa",ISNUMBER(tblMatriculas[[#This Row],[% asistencia]]),NOT(ISNUMBER(SEARCH(pPrueba,tblMatriculas[[#This Row],[Nombre]]))))</f>
        <v>1</v>
      </c>
      <c r="R2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3" s="23" t="str" cm="1">
        <f t="array" ref="S2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3" s="23" t="str" cm="1">
        <f t="array" ref="T2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3" s="14" t="str" cm="1">
        <f t="array" ref="U2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3" t="str" cm="1">
        <f t="array" ref="V2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3" t="str" cm="1">
        <f t="array" ref="W2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3" t="str">
        <f>IF(COUNTIFS('Base Estudiantes'!$C:$C,tblMatriculas[[#This Row],[Cédula]],'Base Estudiantes'!$I:$I,tblMatriculas[[#This Row],[Código]])&gt;0,"Sí","No")</f>
        <v>Sí</v>
      </c>
      <c r="Z293" s="23" cm="1">
        <f t="array" ref="Z293">_xlfn.XLOOKUP(tblMatriculas[[#This Row],[Cédula]]&amp;"|"&amp;tblMatriculas[[#This Row],[Código]],tblBase[Documento]&amp;"|"&amp;tblBase[Código grupo],tblBase[Fecha matrícula],"")</f>
        <v>46263</v>
      </c>
    </row>
    <row r="294" spans="1:26" x14ac:dyDescent="0.2">
      <c r="A294" t="s">
        <v>652</v>
      </c>
      <c r="B294" t="s">
        <v>653</v>
      </c>
      <c r="C294" t="s">
        <v>13</v>
      </c>
      <c r="D294" t="s">
        <v>647</v>
      </c>
      <c r="E294" t="s">
        <v>648</v>
      </c>
      <c r="F294" t="s">
        <v>649</v>
      </c>
      <c r="G294" s="1">
        <v>0.13300000000000001</v>
      </c>
      <c r="H294" t="s">
        <v>112</v>
      </c>
      <c r="I294" t="s">
        <v>18</v>
      </c>
      <c r="J294" t="s">
        <v>226</v>
      </c>
      <c r="K294" t="s">
        <v>20</v>
      </c>
      <c r="L294" s="14">
        <f>IFERROR(VALUE(LEFT(tblMatriculas[[#This Row],[Clases]],FIND("/",tblMatriculas[[#This Row],[Clases]])-1)),"")</f>
        <v>4</v>
      </c>
      <c r="M294" s="14">
        <f>IFERROR(VALUE(MID(tblMatriculas[[#This Row],[Clases]],FIND("/",tblMatriculas[[#This Row],[Clases]])+1,5)),"")</f>
        <v>30</v>
      </c>
      <c r="N2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4" s="14">
        <f>IF(OR(tblMatriculas[[#This Row],[Estado]]&lt;&gt;"activa",tblMatriculas[[#This Row],[Clases dictadas]]=""),"",MAX(0,tblMatriculas[[#This Row],[Clases dictadas]]-tblMatriculas[[#This Row],[Asistidas]]))</f>
        <v>0</v>
      </c>
      <c r="P294" s="1">
        <f>IF(OR(tblMatriculas[[#This Row],[Estado]]&lt;&gt;"activa",tblMatriculas[[#This Row],[Asistidas]]=""),"",tblMatriculas[[#This Row],[Asistencia]])</f>
        <v>0.13300000000000001</v>
      </c>
      <c r="Q294" t="b">
        <f>AND(tblMatriculas[[#This Row],[Estado]]="activa",ISNUMBER(tblMatriculas[[#This Row],[% asistencia]]),NOT(ISNUMBER(SEARCH(pPrueba,tblMatriculas[[#This Row],[Nombre]]))))</f>
        <v>1</v>
      </c>
      <c r="R2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4" s="23" t="str" cm="1">
        <f t="array" ref="S2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4" s="23" t="str" cm="1">
        <f t="array" ref="T2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4" s="14" t="str" cm="1">
        <f t="array" ref="U2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4" t="str" cm="1">
        <f t="array" ref="V2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4" t="str" cm="1">
        <f t="array" ref="W2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4" t="str">
        <f>IF(COUNTIFS('Base Estudiantes'!$C:$C,tblMatriculas[[#This Row],[Cédula]],'Base Estudiantes'!$I:$I,tblMatriculas[[#This Row],[Código]])&gt;0,"Sí","No")</f>
        <v>Sí</v>
      </c>
      <c r="Z294" s="23" cm="1">
        <f t="array" ref="Z294">_xlfn.XLOOKUP(tblMatriculas[[#This Row],[Cédula]]&amp;"|"&amp;tblMatriculas[[#This Row],[Código]],tblBase[Documento]&amp;"|"&amp;tblBase[Código grupo],tblBase[Fecha matrícula],"")</f>
        <v>46263</v>
      </c>
    </row>
    <row r="295" spans="1:26" x14ac:dyDescent="0.2">
      <c r="A295" t="s">
        <v>654</v>
      </c>
      <c r="B295" t="s">
        <v>655</v>
      </c>
      <c r="C295" t="s">
        <v>13</v>
      </c>
      <c r="D295" t="s">
        <v>647</v>
      </c>
      <c r="E295" t="s">
        <v>648</v>
      </c>
      <c r="F295" t="s">
        <v>649</v>
      </c>
      <c r="G295" s="1">
        <v>0.13300000000000001</v>
      </c>
      <c r="H295" t="s">
        <v>112</v>
      </c>
      <c r="I295" t="s">
        <v>18</v>
      </c>
      <c r="J295" t="s">
        <v>226</v>
      </c>
      <c r="K295" t="s">
        <v>20</v>
      </c>
      <c r="L295" s="14">
        <f>IFERROR(VALUE(LEFT(tblMatriculas[[#This Row],[Clases]],FIND("/",tblMatriculas[[#This Row],[Clases]])-1)),"")</f>
        <v>4</v>
      </c>
      <c r="M295" s="14">
        <f>IFERROR(VALUE(MID(tblMatriculas[[#This Row],[Clases]],FIND("/",tblMatriculas[[#This Row],[Clases]])+1,5)),"")</f>
        <v>30</v>
      </c>
      <c r="N2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5" s="14">
        <f>IF(OR(tblMatriculas[[#This Row],[Estado]]&lt;&gt;"activa",tblMatriculas[[#This Row],[Clases dictadas]]=""),"",MAX(0,tblMatriculas[[#This Row],[Clases dictadas]]-tblMatriculas[[#This Row],[Asistidas]]))</f>
        <v>0</v>
      </c>
      <c r="P295" s="1">
        <f>IF(OR(tblMatriculas[[#This Row],[Estado]]&lt;&gt;"activa",tblMatriculas[[#This Row],[Asistidas]]=""),"",tblMatriculas[[#This Row],[Asistencia]])</f>
        <v>0.13300000000000001</v>
      </c>
      <c r="Q295" t="b">
        <f>AND(tblMatriculas[[#This Row],[Estado]]="activa",ISNUMBER(tblMatriculas[[#This Row],[% asistencia]]),NOT(ISNUMBER(SEARCH(pPrueba,tblMatriculas[[#This Row],[Nombre]]))))</f>
        <v>1</v>
      </c>
      <c r="R2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5" s="23" t="str" cm="1">
        <f t="array" ref="S2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5" s="23" t="str" cm="1">
        <f t="array" ref="T2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5" s="14" t="str" cm="1">
        <f t="array" ref="U2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5" t="str" cm="1">
        <f t="array" ref="V2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5" t="str" cm="1">
        <f t="array" ref="W2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5" t="str">
        <f>IF(COUNTIFS('Base Estudiantes'!$C:$C,tblMatriculas[[#This Row],[Cédula]],'Base Estudiantes'!$I:$I,tblMatriculas[[#This Row],[Código]])&gt;0,"Sí","No")</f>
        <v>Sí</v>
      </c>
      <c r="Z295" s="23" cm="1">
        <f t="array" ref="Z295">_xlfn.XLOOKUP(tblMatriculas[[#This Row],[Cédula]]&amp;"|"&amp;tblMatriculas[[#This Row],[Código]],tblBase[Documento]&amp;"|"&amp;tblBase[Código grupo],tblBase[Fecha matrícula],"")</f>
        <v>46263</v>
      </c>
    </row>
    <row r="296" spans="1:26" x14ac:dyDescent="0.2">
      <c r="A296" t="s">
        <v>656</v>
      </c>
      <c r="B296" t="s">
        <v>657</v>
      </c>
      <c r="C296" t="s">
        <v>49</v>
      </c>
      <c r="D296" t="s">
        <v>647</v>
      </c>
      <c r="E296" t="s">
        <v>648</v>
      </c>
      <c r="F296" t="s">
        <v>649</v>
      </c>
      <c r="G296" s="1">
        <v>3.3000000000000002E-2</v>
      </c>
      <c r="H296" t="s">
        <v>225</v>
      </c>
      <c r="I296" t="s">
        <v>18</v>
      </c>
      <c r="J296" t="s">
        <v>226</v>
      </c>
      <c r="K296" t="s">
        <v>24</v>
      </c>
      <c r="L296" s="14">
        <f>IFERROR(VALUE(LEFT(tblMatriculas[[#This Row],[Clases]],FIND("/",tblMatriculas[[#This Row],[Clases]])-1)),"")</f>
        <v>1</v>
      </c>
      <c r="M296" s="14">
        <f>IFERROR(VALUE(MID(tblMatriculas[[#This Row],[Clases]],FIND("/",tblMatriculas[[#This Row],[Clases]])+1,5)),"")</f>
        <v>30</v>
      </c>
      <c r="N2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6" s="14" t="str">
        <f>IF(OR(tblMatriculas[[#This Row],[Estado]]&lt;&gt;"activa",tblMatriculas[[#This Row],[Clases dictadas]]=""),"",MAX(0,tblMatriculas[[#This Row],[Clases dictadas]]-tblMatriculas[[#This Row],[Asistidas]]))</f>
        <v/>
      </c>
      <c r="P296" s="1" t="str">
        <f>IF(OR(tblMatriculas[[#This Row],[Estado]]&lt;&gt;"activa",tblMatriculas[[#This Row],[Asistidas]]=""),"",tblMatriculas[[#This Row],[Asistencia]])</f>
        <v/>
      </c>
      <c r="Q296" t="b">
        <f>AND(tblMatriculas[[#This Row],[Estado]]="activa",ISNUMBER(tblMatriculas[[#This Row],[% asistencia]]),NOT(ISNUMBER(SEARCH(pPrueba,tblMatriculas[[#This Row],[Nombre]]))))</f>
        <v>0</v>
      </c>
      <c r="R2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96" s="23" t="str" cm="1">
        <f t="array" ref="S2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6" s="23" t="str" cm="1">
        <f t="array" ref="T2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6" s="14" t="str" cm="1">
        <f t="array" ref="U2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6" t="str" cm="1">
        <f t="array" ref="V2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6" t="str" cm="1">
        <f t="array" ref="W2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6" t="str">
        <f>IF(COUNTIFS('Base Estudiantes'!$C:$C,tblMatriculas[[#This Row],[Cédula]],'Base Estudiantes'!$I:$I,tblMatriculas[[#This Row],[Código]])&gt;0,"Sí","No")</f>
        <v>No</v>
      </c>
      <c r="Z296" s="23" t="str" cm="1">
        <f t="array" ref="Z296">_xlfn.XLOOKUP(tblMatriculas[[#This Row],[Cédula]]&amp;"|"&amp;tblMatriculas[[#This Row],[Código]],tblBase[Documento]&amp;"|"&amp;tblBase[Código grupo],tblBase[Fecha matrícula],"")</f>
        <v/>
      </c>
    </row>
    <row r="297" spans="1:26" x14ac:dyDescent="0.2">
      <c r="A297" t="s">
        <v>658</v>
      </c>
      <c r="B297" t="s">
        <v>659</v>
      </c>
      <c r="C297" t="s">
        <v>13</v>
      </c>
      <c r="D297" t="s">
        <v>647</v>
      </c>
      <c r="E297" t="s">
        <v>648</v>
      </c>
      <c r="F297" t="s">
        <v>649</v>
      </c>
      <c r="G297" s="1">
        <v>0.1</v>
      </c>
      <c r="H297" t="s">
        <v>117</v>
      </c>
      <c r="I297" t="s">
        <v>18</v>
      </c>
      <c r="J297" t="s">
        <v>226</v>
      </c>
      <c r="K297" t="s">
        <v>24</v>
      </c>
      <c r="L297" s="14">
        <f>IFERROR(VALUE(LEFT(tblMatriculas[[#This Row],[Clases]],FIND("/",tblMatriculas[[#This Row],[Clases]])-1)),"")</f>
        <v>3</v>
      </c>
      <c r="M297" s="14">
        <f>IFERROR(VALUE(MID(tblMatriculas[[#This Row],[Clases]],FIND("/",tblMatriculas[[#This Row],[Clases]])+1,5)),"")</f>
        <v>30</v>
      </c>
      <c r="N2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7" s="14">
        <f>IF(OR(tblMatriculas[[#This Row],[Estado]]&lt;&gt;"activa",tblMatriculas[[#This Row],[Clases dictadas]]=""),"",MAX(0,tblMatriculas[[#This Row],[Clases dictadas]]-tblMatriculas[[#This Row],[Asistidas]]))</f>
        <v>1</v>
      </c>
      <c r="P297" s="1">
        <f>IF(OR(tblMatriculas[[#This Row],[Estado]]&lt;&gt;"activa",tblMatriculas[[#This Row],[Asistidas]]=""),"",tblMatriculas[[#This Row],[Asistencia]])</f>
        <v>0.1</v>
      </c>
      <c r="Q297" t="b">
        <f>AND(tblMatriculas[[#This Row],[Estado]]="activa",ISNUMBER(tblMatriculas[[#This Row],[% asistencia]]),NOT(ISNUMBER(SEARCH(pPrueba,tblMatriculas[[#This Row],[Nombre]]))))</f>
        <v>1</v>
      </c>
      <c r="R2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7" s="23" t="str" cm="1">
        <f t="array" ref="S2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7" s="23" t="str" cm="1">
        <f t="array" ref="T2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7" s="14" t="str" cm="1">
        <f t="array" ref="U2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7" t="str" cm="1">
        <f t="array" ref="V2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7" t="str" cm="1">
        <f t="array" ref="W2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7" t="str">
        <f>IF(COUNTIFS('Base Estudiantes'!$C:$C,tblMatriculas[[#This Row],[Cédula]],'Base Estudiantes'!$I:$I,tblMatriculas[[#This Row],[Código]])&gt;0,"Sí","No")</f>
        <v>Sí</v>
      </c>
      <c r="Z297" s="23" cm="1">
        <f t="array" ref="Z297">_xlfn.XLOOKUP(tblMatriculas[[#This Row],[Cédula]]&amp;"|"&amp;tblMatriculas[[#This Row],[Código]],tblBase[Documento]&amp;"|"&amp;tblBase[Código grupo],tblBase[Fecha matrícula],"")</f>
        <v>46263</v>
      </c>
    </row>
    <row r="298" spans="1:26" x14ac:dyDescent="0.2">
      <c r="A298" t="s">
        <v>660</v>
      </c>
      <c r="B298" t="s">
        <v>661</v>
      </c>
      <c r="C298" t="s">
        <v>13</v>
      </c>
      <c r="D298" t="s">
        <v>647</v>
      </c>
      <c r="E298" t="s">
        <v>648</v>
      </c>
      <c r="F298" t="s">
        <v>649</v>
      </c>
      <c r="G298" s="1">
        <v>0.13300000000000001</v>
      </c>
      <c r="H298" t="s">
        <v>112</v>
      </c>
      <c r="I298" t="s">
        <v>18</v>
      </c>
      <c r="J298" t="s">
        <v>226</v>
      </c>
      <c r="K298" t="s">
        <v>24</v>
      </c>
      <c r="L298" s="14">
        <f>IFERROR(VALUE(LEFT(tblMatriculas[[#This Row],[Clases]],FIND("/",tblMatriculas[[#This Row],[Clases]])-1)),"")</f>
        <v>4</v>
      </c>
      <c r="M298" s="14">
        <f>IFERROR(VALUE(MID(tblMatriculas[[#This Row],[Clases]],FIND("/",tblMatriculas[[#This Row],[Clases]])+1,5)),"")</f>
        <v>30</v>
      </c>
      <c r="N2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8" s="14">
        <f>IF(OR(tblMatriculas[[#This Row],[Estado]]&lt;&gt;"activa",tblMatriculas[[#This Row],[Clases dictadas]]=""),"",MAX(0,tblMatriculas[[#This Row],[Clases dictadas]]-tblMatriculas[[#This Row],[Asistidas]]))</f>
        <v>0</v>
      </c>
      <c r="P298" s="1">
        <f>IF(OR(tblMatriculas[[#This Row],[Estado]]&lt;&gt;"activa",tblMatriculas[[#This Row],[Asistidas]]=""),"",tblMatriculas[[#This Row],[Asistencia]])</f>
        <v>0.13300000000000001</v>
      </c>
      <c r="Q298" t="b">
        <f>AND(tblMatriculas[[#This Row],[Estado]]="activa",ISNUMBER(tblMatriculas[[#This Row],[% asistencia]]),NOT(ISNUMBER(SEARCH(pPrueba,tblMatriculas[[#This Row],[Nombre]]))))</f>
        <v>1</v>
      </c>
      <c r="R2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8" s="23" t="str" cm="1">
        <f t="array" ref="S2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8" s="23" t="str" cm="1">
        <f t="array" ref="T2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8" s="14" t="str" cm="1">
        <f t="array" ref="U2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8" t="str" cm="1">
        <f t="array" ref="V2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8" t="str" cm="1">
        <f t="array" ref="W2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8" t="str">
        <f>IF(COUNTIFS('Base Estudiantes'!$C:$C,tblMatriculas[[#This Row],[Cédula]],'Base Estudiantes'!$I:$I,tblMatriculas[[#This Row],[Código]])&gt;0,"Sí","No")</f>
        <v>Sí</v>
      </c>
      <c r="Z298" s="23" cm="1">
        <f t="array" ref="Z298">_xlfn.XLOOKUP(tblMatriculas[[#This Row],[Cédula]]&amp;"|"&amp;tblMatriculas[[#This Row],[Código]],tblBase[Documento]&amp;"|"&amp;tblBase[Código grupo],tblBase[Fecha matrícula],"")</f>
        <v>46264</v>
      </c>
    </row>
    <row r="299" spans="1:26" x14ac:dyDescent="0.2">
      <c r="A299" t="s">
        <v>662</v>
      </c>
      <c r="B299" t="s">
        <v>663</v>
      </c>
      <c r="C299" t="s">
        <v>13</v>
      </c>
      <c r="D299" t="s">
        <v>647</v>
      </c>
      <c r="E299" t="s">
        <v>648</v>
      </c>
      <c r="F299" t="s">
        <v>649</v>
      </c>
      <c r="G299" s="1">
        <v>0.1</v>
      </c>
      <c r="H299" t="s">
        <v>117</v>
      </c>
      <c r="I299" t="s">
        <v>18</v>
      </c>
      <c r="J299" t="s">
        <v>226</v>
      </c>
      <c r="K299" t="s">
        <v>24</v>
      </c>
      <c r="L299" s="14">
        <f>IFERROR(VALUE(LEFT(tblMatriculas[[#This Row],[Clases]],FIND("/",tblMatriculas[[#This Row],[Clases]])-1)),"")</f>
        <v>3</v>
      </c>
      <c r="M299" s="14">
        <f>IFERROR(VALUE(MID(tblMatriculas[[#This Row],[Clases]],FIND("/",tblMatriculas[[#This Row],[Clases]])+1,5)),"")</f>
        <v>30</v>
      </c>
      <c r="N2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99" s="14">
        <f>IF(OR(tblMatriculas[[#This Row],[Estado]]&lt;&gt;"activa",tblMatriculas[[#This Row],[Clases dictadas]]=""),"",MAX(0,tblMatriculas[[#This Row],[Clases dictadas]]-tblMatriculas[[#This Row],[Asistidas]]))</f>
        <v>1</v>
      </c>
      <c r="P299" s="1">
        <f>IF(OR(tblMatriculas[[#This Row],[Estado]]&lt;&gt;"activa",tblMatriculas[[#This Row],[Asistidas]]=""),"",tblMatriculas[[#This Row],[Asistencia]])</f>
        <v>0.1</v>
      </c>
      <c r="Q299" t="b">
        <f>AND(tblMatriculas[[#This Row],[Estado]]="activa",ISNUMBER(tblMatriculas[[#This Row],[% asistencia]]),NOT(ISNUMBER(SEARCH(pPrueba,tblMatriculas[[#This Row],[Nombre]]))))</f>
        <v>1</v>
      </c>
      <c r="R2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99" s="23" t="str" cm="1">
        <f t="array" ref="S2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99" s="23" t="str" cm="1">
        <f t="array" ref="T2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99" s="14" t="str" cm="1">
        <f t="array" ref="U2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99" t="str" cm="1">
        <f t="array" ref="V2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99" t="str" cm="1">
        <f t="array" ref="W2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99" t="str">
        <f>IF(COUNTIFS('Base Estudiantes'!$C:$C,tblMatriculas[[#This Row],[Cédula]],'Base Estudiantes'!$I:$I,tblMatriculas[[#This Row],[Código]])&gt;0,"Sí","No")</f>
        <v>Sí</v>
      </c>
      <c r="Z299" s="23" cm="1">
        <f t="array" ref="Z299">_xlfn.XLOOKUP(tblMatriculas[[#This Row],[Cédula]]&amp;"|"&amp;tblMatriculas[[#This Row],[Código]],tblBase[Documento]&amp;"|"&amp;tblBase[Código grupo],tblBase[Fecha matrícula],"")</f>
        <v>46264</v>
      </c>
    </row>
    <row r="300" spans="1:26" x14ac:dyDescent="0.2">
      <c r="A300" t="s">
        <v>664</v>
      </c>
      <c r="B300" t="s">
        <v>665</v>
      </c>
      <c r="C300" t="s">
        <v>13</v>
      </c>
      <c r="D300" t="s">
        <v>647</v>
      </c>
      <c r="E300" t="s">
        <v>648</v>
      </c>
      <c r="F300" t="s">
        <v>649</v>
      </c>
      <c r="G300" s="1">
        <v>0.1</v>
      </c>
      <c r="H300" t="s">
        <v>117</v>
      </c>
      <c r="I300" t="s">
        <v>18</v>
      </c>
      <c r="J300" t="s">
        <v>226</v>
      </c>
      <c r="K300" t="s">
        <v>24</v>
      </c>
      <c r="L300" s="14">
        <f>IFERROR(VALUE(LEFT(tblMatriculas[[#This Row],[Clases]],FIND("/",tblMatriculas[[#This Row],[Clases]])-1)),"")</f>
        <v>3</v>
      </c>
      <c r="M300" s="14">
        <f>IFERROR(VALUE(MID(tblMatriculas[[#This Row],[Clases]],FIND("/",tblMatriculas[[#This Row],[Clases]])+1,5)),"")</f>
        <v>30</v>
      </c>
      <c r="N3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0" s="14">
        <f>IF(OR(tblMatriculas[[#This Row],[Estado]]&lt;&gt;"activa",tblMatriculas[[#This Row],[Clases dictadas]]=""),"",MAX(0,tblMatriculas[[#This Row],[Clases dictadas]]-tblMatriculas[[#This Row],[Asistidas]]))</f>
        <v>1</v>
      </c>
      <c r="P300" s="1">
        <f>IF(OR(tblMatriculas[[#This Row],[Estado]]&lt;&gt;"activa",tblMatriculas[[#This Row],[Asistidas]]=""),"",tblMatriculas[[#This Row],[Asistencia]])</f>
        <v>0.1</v>
      </c>
      <c r="Q300" t="b">
        <f>AND(tblMatriculas[[#This Row],[Estado]]="activa",ISNUMBER(tblMatriculas[[#This Row],[% asistencia]]),NOT(ISNUMBER(SEARCH(pPrueba,tblMatriculas[[#This Row],[Nombre]]))))</f>
        <v>1</v>
      </c>
      <c r="R3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0" s="23" t="str" cm="1">
        <f t="array" ref="S3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0" s="23" t="str" cm="1">
        <f t="array" ref="T3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0" s="14" t="str" cm="1">
        <f t="array" ref="U3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0" t="str" cm="1">
        <f t="array" ref="V3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0" t="str" cm="1">
        <f t="array" ref="W3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0" t="str">
        <f>IF(COUNTIFS('Base Estudiantes'!$C:$C,tblMatriculas[[#This Row],[Cédula]],'Base Estudiantes'!$I:$I,tblMatriculas[[#This Row],[Código]])&gt;0,"Sí","No")</f>
        <v>Sí</v>
      </c>
      <c r="Z300" s="23" cm="1">
        <f t="array" ref="Z300">_xlfn.XLOOKUP(tblMatriculas[[#This Row],[Cédula]]&amp;"|"&amp;tblMatriculas[[#This Row],[Código]],tblBase[Documento]&amp;"|"&amp;tblBase[Código grupo],tblBase[Fecha matrícula],"")</f>
        <v>46264</v>
      </c>
    </row>
    <row r="301" spans="1:26" x14ac:dyDescent="0.2">
      <c r="A301" t="s">
        <v>666</v>
      </c>
      <c r="B301" t="s">
        <v>667</v>
      </c>
      <c r="C301" t="s">
        <v>13</v>
      </c>
      <c r="D301" t="s">
        <v>647</v>
      </c>
      <c r="E301" t="s">
        <v>648</v>
      </c>
      <c r="F301" t="s">
        <v>649</v>
      </c>
      <c r="G301" s="1">
        <v>0.1</v>
      </c>
      <c r="H301" t="s">
        <v>117</v>
      </c>
      <c r="I301" t="s">
        <v>18</v>
      </c>
      <c r="J301" t="s">
        <v>226</v>
      </c>
      <c r="K301" t="s">
        <v>24</v>
      </c>
      <c r="L301" s="14">
        <f>IFERROR(VALUE(LEFT(tblMatriculas[[#This Row],[Clases]],FIND("/",tblMatriculas[[#This Row],[Clases]])-1)),"")</f>
        <v>3</v>
      </c>
      <c r="M301" s="14">
        <f>IFERROR(VALUE(MID(tblMatriculas[[#This Row],[Clases]],FIND("/",tblMatriculas[[#This Row],[Clases]])+1,5)),"")</f>
        <v>30</v>
      </c>
      <c r="N3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1" s="14">
        <f>IF(OR(tblMatriculas[[#This Row],[Estado]]&lt;&gt;"activa",tblMatriculas[[#This Row],[Clases dictadas]]=""),"",MAX(0,tblMatriculas[[#This Row],[Clases dictadas]]-tblMatriculas[[#This Row],[Asistidas]]))</f>
        <v>1</v>
      </c>
      <c r="P301" s="1">
        <f>IF(OR(tblMatriculas[[#This Row],[Estado]]&lt;&gt;"activa",tblMatriculas[[#This Row],[Asistidas]]=""),"",tblMatriculas[[#This Row],[Asistencia]])</f>
        <v>0.1</v>
      </c>
      <c r="Q301" t="b">
        <f>AND(tblMatriculas[[#This Row],[Estado]]="activa",ISNUMBER(tblMatriculas[[#This Row],[% asistencia]]),NOT(ISNUMBER(SEARCH(pPrueba,tblMatriculas[[#This Row],[Nombre]]))))</f>
        <v>1</v>
      </c>
      <c r="R3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1" s="23" t="str" cm="1">
        <f t="array" ref="S3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1" s="23" t="str" cm="1">
        <f t="array" ref="T3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1" s="14" t="str" cm="1">
        <f t="array" ref="U3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1" t="str" cm="1">
        <f t="array" ref="V3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1" t="str" cm="1">
        <f t="array" ref="W3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1" t="str">
        <f>IF(COUNTIFS('Base Estudiantes'!$C:$C,tblMatriculas[[#This Row],[Cédula]],'Base Estudiantes'!$I:$I,tblMatriculas[[#This Row],[Código]])&gt;0,"Sí","No")</f>
        <v>Sí</v>
      </c>
      <c r="Z301" s="23" cm="1">
        <f t="array" ref="Z301">_xlfn.XLOOKUP(tblMatriculas[[#This Row],[Cédula]]&amp;"|"&amp;tblMatriculas[[#This Row],[Código]],tblBase[Documento]&amp;"|"&amp;tblBase[Código grupo],tblBase[Fecha matrícula],"")</f>
        <v>46264</v>
      </c>
    </row>
    <row r="302" spans="1:26" x14ac:dyDescent="0.2">
      <c r="A302" t="s">
        <v>668</v>
      </c>
      <c r="B302" t="s">
        <v>669</v>
      </c>
      <c r="C302" t="s">
        <v>13</v>
      </c>
      <c r="D302" t="s">
        <v>647</v>
      </c>
      <c r="E302" t="s">
        <v>648</v>
      </c>
      <c r="F302" t="s">
        <v>649</v>
      </c>
      <c r="G302" s="1">
        <v>0.13300000000000001</v>
      </c>
      <c r="H302" t="s">
        <v>112</v>
      </c>
      <c r="I302" t="s">
        <v>18</v>
      </c>
      <c r="J302" t="s">
        <v>226</v>
      </c>
      <c r="K302" t="s">
        <v>24</v>
      </c>
      <c r="L302" s="14">
        <f>IFERROR(VALUE(LEFT(tblMatriculas[[#This Row],[Clases]],FIND("/",tblMatriculas[[#This Row],[Clases]])-1)),"")</f>
        <v>4</v>
      </c>
      <c r="M302" s="14">
        <f>IFERROR(VALUE(MID(tblMatriculas[[#This Row],[Clases]],FIND("/",tblMatriculas[[#This Row],[Clases]])+1,5)),"")</f>
        <v>30</v>
      </c>
      <c r="N3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2" s="14">
        <f>IF(OR(tblMatriculas[[#This Row],[Estado]]&lt;&gt;"activa",tblMatriculas[[#This Row],[Clases dictadas]]=""),"",MAX(0,tblMatriculas[[#This Row],[Clases dictadas]]-tblMatriculas[[#This Row],[Asistidas]]))</f>
        <v>0</v>
      </c>
      <c r="P302" s="1">
        <f>IF(OR(tblMatriculas[[#This Row],[Estado]]&lt;&gt;"activa",tblMatriculas[[#This Row],[Asistidas]]=""),"",tblMatriculas[[#This Row],[Asistencia]])</f>
        <v>0.13300000000000001</v>
      </c>
      <c r="Q302" t="b">
        <f>AND(tblMatriculas[[#This Row],[Estado]]="activa",ISNUMBER(tblMatriculas[[#This Row],[% asistencia]]),NOT(ISNUMBER(SEARCH(pPrueba,tblMatriculas[[#This Row],[Nombre]]))))</f>
        <v>1</v>
      </c>
      <c r="R3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2" s="23" t="str" cm="1">
        <f t="array" ref="S3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2" s="23" t="str" cm="1">
        <f t="array" ref="T3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2" s="14" t="str" cm="1">
        <f t="array" ref="U3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2" t="str" cm="1">
        <f t="array" ref="V3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2" t="str" cm="1">
        <f t="array" ref="W3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2" t="str">
        <f>IF(COUNTIFS('Base Estudiantes'!$C:$C,tblMatriculas[[#This Row],[Cédula]],'Base Estudiantes'!$I:$I,tblMatriculas[[#This Row],[Código]])&gt;0,"Sí","No")</f>
        <v>Sí</v>
      </c>
      <c r="Z302" s="23" cm="1">
        <f t="array" ref="Z302">_xlfn.XLOOKUP(tblMatriculas[[#This Row],[Cédula]]&amp;"|"&amp;tblMatriculas[[#This Row],[Código]],tblBase[Documento]&amp;"|"&amp;tblBase[Código grupo],tblBase[Fecha matrícula],"")</f>
        <v>46264</v>
      </c>
    </row>
    <row r="303" spans="1:26" x14ac:dyDescent="0.2">
      <c r="A303" t="s">
        <v>670</v>
      </c>
      <c r="B303" t="s">
        <v>671</v>
      </c>
      <c r="C303" t="s">
        <v>13</v>
      </c>
      <c r="D303" t="s">
        <v>647</v>
      </c>
      <c r="E303" t="s">
        <v>648</v>
      </c>
      <c r="F303" t="s">
        <v>649</v>
      </c>
      <c r="G303" s="1">
        <v>0.13300000000000001</v>
      </c>
      <c r="H303" t="s">
        <v>112</v>
      </c>
      <c r="I303" t="s">
        <v>18</v>
      </c>
      <c r="J303" t="s">
        <v>226</v>
      </c>
      <c r="K303" t="s">
        <v>24</v>
      </c>
      <c r="L303" s="14">
        <f>IFERROR(VALUE(LEFT(tblMatriculas[[#This Row],[Clases]],FIND("/",tblMatriculas[[#This Row],[Clases]])-1)),"")</f>
        <v>4</v>
      </c>
      <c r="M303" s="14">
        <f>IFERROR(VALUE(MID(tblMatriculas[[#This Row],[Clases]],FIND("/",tblMatriculas[[#This Row],[Clases]])+1,5)),"")</f>
        <v>30</v>
      </c>
      <c r="N3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3" s="14">
        <f>IF(OR(tblMatriculas[[#This Row],[Estado]]&lt;&gt;"activa",tblMatriculas[[#This Row],[Clases dictadas]]=""),"",MAX(0,tblMatriculas[[#This Row],[Clases dictadas]]-tblMatriculas[[#This Row],[Asistidas]]))</f>
        <v>0</v>
      </c>
      <c r="P303" s="1">
        <f>IF(OR(tblMatriculas[[#This Row],[Estado]]&lt;&gt;"activa",tblMatriculas[[#This Row],[Asistidas]]=""),"",tblMatriculas[[#This Row],[Asistencia]])</f>
        <v>0.13300000000000001</v>
      </c>
      <c r="Q303" t="b">
        <f>AND(tblMatriculas[[#This Row],[Estado]]="activa",ISNUMBER(tblMatriculas[[#This Row],[% asistencia]]),NOT(ISNUMBER(SEARCH(pPrueba,tblMatriculas[[#This Row],[Nombre]]))))</f>
        <v>1</v>
      </c>
      <c r="R3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3" s="23" t="str" cm="1">
        <f t="array" ref="S3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3" s="23" t="str" cm="1">
        <f t="array" ref="T3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3" s="14" t="str" cm="1">
        <f t="array" ref="U3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3" t="str" cm="1">
        <f t="array" ref="V3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3" t="str" cm="1">
        <f t="array" ref="W3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3" t="str">
        <f>IF(COUNTIFS('Base Estudiantes'!$C:$C,tblMatriculas[[#This Row],[Cédula]],'Base Estudiantes'!$I:$I,tblMatriculas[[#This Row],[Código]])&gt;0,"Sí","No")</f>
        <v>Sí</v>
      </c>
      <c r="Z303" s="23" cm="1">
        <f t="array" ref="Z303">_xlfn.XLOOKUP(tblMatriculas[[#This Row],[Cédula]]&amp;"|"&amp;tblMatriculas[[#This Row],[Código]],tblBase[Documento]&amp;"|"&amp;tblBase[Código grupo],tblBase[Fecha matrícula],"")</f>
        <v>46264</v>
      </c>
    </row>
    <row r="304" spans="1:26" x14ac:dyDescent="0.2">
      <c r="A304" t="s">
        <v>672</v>
      </c>
      <c r="B304" t="s">
        <v>673</v>
      </c>
      <c r="C304" t="s">
        <v>13</v>
      </c>
      <c r="D304" t="s">
        <v>647</v>
      </c>
      <c r="E304" t="s">
        <v>648</v>
      </c>
      <c r="F304" t="s">
        <v>649</v>
      </c>
      <c r="G304" s="1">
        <v>0.1</v>
      </c>
      <c r="H304" t="s">
        <v>117</v>
      </c>
      <c r="I304" t="s">
        <v>18</v>
      </c>
      <c r="J304" t="s">
        <v>226</v>
      </c>
      <c r="K304" t="s">
        <v>24</v>
      </c>
      <c r="L304" s="14">
        <f>IFERROR(VALUE(LEFT(tblMatriculas[[#This Row],[Clases]],FIND("/",tblMatriculas[[#This Row],[Clases]])-1)),"")</f>
        <v>3</v>
      </c>
      <c r="M304" s="14">
        <f>IFERROR(VALUE(MID(tblMatriculas[[#This Row],[Clases]],FIND("/",tblMatriculas[[#This Row],[Clases]])+1,5)),"")</f>
        <v>30</v>
      </c>
      <c r="N3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4" s="14">
        <f>IF(OR(tblMatriculas[[#This Row],[Estado]]&lt;&gt;"activa",tblMatriculas[[#This Row],[Clases dictadas]]=""),"",MAX(0,tblMatriculas[[#This Row],[Clases dictadas]]-tblMatriculas[[#This Row],[Asistidas]]))</f>
        <v>1</v>
      </c>
      <c r="P304" s="1">
        <f>IF(OR(tblMatriculas[[#This Row],[Estado]]&lt;&gt;"activa",tblMatriculas[[#This Row],[Asistidas]]=""),"",tblMatriculas[[#This Row],[Asistencia]])</f>
        <v>0.1</v>
      </c>
      <c r="Q304" t="b">
        <f>AND(tblMatriculas[[#This Row],[Estado]]="activa",ISNUMBER(tblMatriculas[[#This Row],[% asistencia]]),NOT(ISNUMBER(SEARCH(pPrueba,tblMatriculas[[#This Row],[Nombre]]))))</f>
        <v>1</v>
      </c>
      <c r="R3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4" s="23" t="str" cm="1">
        <f t="array" ref="S3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4" s="23" t="str" cm="1">
        <f t="array" ref="T3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4" s="14" t="str" cm="1">
        <f t="array" ref="U3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4" t="str" cm="1">
        <f t="array" ref="V3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4" t="str" cm="1">
        <f t="array" ref="W3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4" t="str">
        <f>IF(COUNTIFS('Base Estudiantes'!$C:$C,tblMatriculas[[#This Row],[Cédula]],'Base Estudiantes'!$I:$I,tblMatriculas[[#This Row],[Código]])&gt;0,"Sí","No")</f>
        <v>Sí</v>
      </c>
      <c r="Z304" s="23" cm="1">
        <f t="array" ref="Z304">_xlfn.XLOOKUP(tblMatriculas[[#This Row],[Cédula]]&amp;"|"&amp;tblMatriculas[[#This Row],[Código]],tblBase[Documento]&amp;"|"&amp;tblBase[Código grupo],tblBase[Fecha matrícula],"")</f>
        <v>46264</v>
      </c>
    </row>
    <row r="305" spans="1:26" x14ac:dyDescent="0.2">
      <c r="A305" t="s">
        <v>674</v>
      </c>
      <c r="B305" t="s">
        <v>675</v>
      </c>
      <c r="C305" t="s">
        <v>13</v>
      </c>
      <c r="D305" t="s">
        <v>647</v>
      </c>
      <c r="E305" t="s">
        <v>648</v>
      </c>
      <c r="F305" t="s">
        <v>649</v>
      </c>
      <c r="G305" s="1">
        <v>0.1</v>
      </c>
      <c r="H305" t="s">
        <v>117</v>
      </c>
      <c r="I305" t="s">
        <v>18</v>
      </c>
      <c r="J305" t="s">
        <v>226</v>
      </c>
      <c r="K305" t="s">
        <v>24</v>
      </c>
      <c r="L305" s="14">
        <f>IFERROR(VALUE(LEFT(tblMatriculas[[#This Row],[Clases]],FIND("/",tblMatriculas[[#This Row],[Clases]])-1)),"")</f>
        <v>3</v>
      </c>
      <c r="M305" s="14">
        <f>IFERROR(VALUE(MID(tblMatriculas[[#This Row],[Clases]],FIND("/",tblMatriculas[[#This Row],[Clases]])+1,5)),"")</f>
        <v>30</v>
      </c>
      <c r="N3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5" s="14">
        <f>IF(OR(tblMatriculas[[#This Row],[Estado]]&lt;&gt;"activa",tblMatriculas[[#This Row],[Clases dictadas]]=""),"",MAX(0,tblMatriculas[[#This Row],[Clases dictadas]]-tblMatriculas[[#This Row],[Asistidas]]))</f>
        <v>1</v>
      </c>
      <c r="P305" s="1">
        <f>IF(OR(tblMatriculas[[#This Row],[Estado]]&lt;&gt;"activa",tblMatriculas[[#This Row],[Asistidas]]=""),"",tblMatriculas[[#This Row],[Asistencia]])</f>
        <v>0.1</v>
      </c>
      <c r="Q305" t="b">
        <f>AND(tblMatriculas[[#This Row],[Estado]]="activa",ISNUMBER(tblMatriculas[[#This Row],[% asistencia]]),NOT(ISNUMBER(SEARCH(pPrueba,tblMatriculas[[#This Row],[Nombre]]))))</f>
        <v>1</v>
      </c>
      <c r="R3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5" s="23" t="str" cm="1">
        <f t="array" ref="S3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5" s="23" t="str" cm="1">
        <f t="array" ref="T3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5" s="14" t="str" cm="1">
        <f t="array" ref="U3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5" t="str" cm="1">
        <f t="array" ref="V3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5" t="str" cm="1">
        <f t="array" ref="W3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5" t="str">
        <f>IF(COUNTIFS('Base Estudiantes'!$C:$C,tblMatriculas[[#This Row],[Cédula]],'Base Estudiantes'!$I:$I,tblMatriculas[[#This Row],[Código]])&gt;0,"Sí","No")</f>
        <v>Sí</v>
      </c>
      <c r="Z305" s="23" cm="1">
        <f t="array" ref="Z305">_xlfn.XLOOKUP(tblMatriculas[[#This Row],[Cédula]]&amp;"|"&amp;tblMatriculas[[#This Row],[Código]],tblBase[Documento]&amp;"|"&amp;tblBase[Código grupo],tblBase[Fecha matrícula],"")</f>
        <v>46264</v>
      </c>
    </row>
    <row r="306" spans="1:26" x14ac:dyDescent="0.2">
      <c r="A306" t="s">
        <v>676</v>
      </c>
      <c r="B306" t="s">
        <v>677</v>
      </c>
      <c r="C306" t="s">
        <v>13</v>
      </c>
      <c r="D306" t="s">
        <v>647</v>
      </c>
      <c r="E306" t="s">
        <v>648</v>
      </c>
      <c r="F306" t="s">
        <v>649</v>
      </c>
      <c r="G306" s="1">
        <v>0.1</v>
      </c>
      <c r="H306" t="s">
        <v>117</v>
      </c>
      <c r="I306" t="s">
        <v>18</v>
      </c>
      <c r="J306" t="s">
        <v>226</v>
      </c>
      <c r="K306" t="s">
        <v>24</v>
      </c>
      <c r="L306" s="14">
        <f>IFERROR(VALUE(LEFT(tblMatriculas[[#This Row],[Clases]],FIND("/",tblMatriculas[[#This Row],[Clases]])-1)),"")</f>
        <v>3</v>
      </c>
      <c r="M306" s="14">
        <f>IFERROR(VALUE(MID(tblMatriculas[[#This Row],[Clases]],FIND("/",tblMatriculas[[#This Row],[Clases]])+1,5)),"")</f>
        <v>30</v>
      </c>
      <c r="N3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6" s="14">
        <f>IF(OR(tblMatriculas[[#This Row],[Estado]]&lt;&gt;"activa",tblMatriculas[[#This Row],[Clases dictadas]]=""),"",MAX(0,tblMatriculas[[#This Row],[Clases dictadas]]-tblMatriculas[[#This Row],[Asistidas]]))</f>
        <v>1</v>
      </c>
      <c r="P306" s="1">
        <f>IF(OR(tblMatriculas[[#This Row],[Estado]]&lt;&gt;"activa",tblMatriculas[[#This Row],[Asistidas]]=""),"",tblMatriculas[[#This Row],[Asistencia]])</f>
        <v>0.1</v>
      </c>
      <c r="Q306" t="b">
        <f>AND(tblMatriculas[[#This Row],[Estado]]="activa",ISNUMBER(tblMatriculas[[#This Row],[% asistencia]]),NOT(ISNUMBER(SEARCH(pPrueba,tblMatriculas[[#This Row],[Nombre]]))))</f>
        <v>1</v>
      </c>
      <c r="R3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6" s="23" t="str" cm="1">
        <f t="array" ref="S3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6" s="23" t="str" cm="1">
        <f t="array" ref="T3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6" s="14" t="str" cm="1">
        <f t="array" ref="U3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6" t="str" cm="1">
        <f t="array" ref="V3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6" t="str" cm="1">
        <f t="array" ref="W3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6" t="str">
        <f>IF(COUNTIFS('Base Estudiantes'!$C:$C,tblMatriculas[[#This Row],[Cédula]],'Base Estudiantes'!$I:$I,tblMatriculas[[#This Row],[Código]])&gt;0,"Sí","No")</f>
        <v>Sí</v>
      </c>
      <c r="Z306" s="23" cm="1">
        <f t="array" ref="Z306">_xlfn.XLOOKUP(tblMatriculas[[#This Row],[Cédula]]&amp;"|"&amp;tblMatriculas[[#This Row],[Código]],tblBase[Documento]&amp;"|"&amp;tblBase[Código grupo],tblBase[Fecha matrícula],"")</f>
        <v>46264</v>
      </c>
    </row>
    <row r="307" spans="1:26" x14ac:dyDescent="0.2">
      <c r="A307" t="s">
        <v>678</v>
      </c>
      <c r="B307" t="s">
        <v>679</v>
      </c>
      <c r="C307" t="s">
        <v>13</v>
      </c>
      <c r="D307" t="s">
        <v>647</v>
      </c>
      <c r="E307" t="s">
        <v>648</v>
      </c>
      <c r="F307" t="s">
        <v>649</v>
      </c>
      <c r="G307" s="1">
        <v>0.13300000000000001</v>
      </c>
      <c r="H307" t="s">
        <v>112</v>
      </c>
      <c r="I307" t="s">
        <v>18</v>
      </c>
      <c r="J307" t="s">
        <v>226</v>
      </c>
      <c r="K307" t="s">
        <v>24</v>
      </c>
      <c r="L307" s="14">
        <f>IFERROR(VALUE(LEFT(tblMatriculas[[#This Row],[Clases]],FIND("/",tblMatriculas[[#This Row],[Clases]])-1)),"")</f>
        <v>4</v>
      </c>
      <c r="M307" s="14">
        <f>IFERROR(VALUE(MID(tblMatriculas[[#This Row],[Clases]],FIND("/",tblMatriculas[[#This Row],[Clases]])+1,5)),"")</f>
        <v>30</v>
      </c>
      <c r="N3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7" s="14">
        <f>IF(OR(tblMatriculas[[#This Row],[Estado]]&lt;&gt;"activa",tblMatriculas[[#This Row],[Clases dictadas]]=""),"",MAX(0,tblMatriculas[[#This Row],[Clases dictadas]]-tblMatriculas[[#This Row],[Asistidas]]))</f>
        <v>0</v>
      </c>
      <c r="P307" s="1">
        <f>IF(OR(tblMatriculas[[#This Row],[Estado]]&lt;&gt;"activa",tblMatriculas[[#This Row],[Asistidas]]=""),"",tblMatriculas[[#This Row],[Asistencia]])</f>
        <v>0.13300000000000001</v>
      </c>
      <c r="Q307" t="b">
        <f>AND(tblMatriculas[[#This Row],[Estado]]="activa",ISNUMBER(tblMatriculas[[#This Row],[% asistencia]]),NOT(ISNUMBER(SEARCH(pPrueba,tblMatriculas[[#This Row],[Nombre]]))))</f>
        <v>1</v>
      </c>
      <c r="R3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7" s="23" t="str" cm="1">
        <f t="array" ref="S3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7" s="23" t="str" cm="1">
        <f t="array" ref="T3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7" s="14" t="str" cm="1">
        <f t="array" ref="U3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7" t="str" cm="1">
        <f t="array" ref="V3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7" t="str" cm="1">
        <f t="array" ref="W3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7" t="str">
        <f>IF(COUNTIFS('Base Estudiantes'!$C:$C,tblMatriculas[[#This Row],[Cédula]],'Base Estudiantes'!$I:$I,tblMatriculas[[#This Row],[Código]])&gt;0,"Sí","No")</f>
        <v>Sí</v>
      </c>
      <c r="Z307" s="23" cm="1">
        <f t="array" ref="Z307">_xlfn.XLOOKUP(tblMatriculas[[#This Row],[Cédula]]&amp;"|"&amp;tblMatriculas[[#This Row],[Código]],tblBase[Documento]&amp;"|"&amp;tblBase[Código grupo],tblBase[Fecha matrícula],"")</f>
        <v>46264</v>
      </c>
    </row>
    <row r="308" spans="1:26" x14ac:dyDescent="0.2">
      <c r="A308" t="s">
        <v>680</v>
      </c>
      <c r="B308" t="s">
        <v>681</v>
      </c>
      <c r="C308" t="s">
        <v>13</v>
      </c>
      <c r="D308" t="s">
        <v>647</v>
      </c>
      <c r="E308" t="s">
        <v>648</v>
      </c>
      <c r="F308" t="s">
        <v>649</v>
      </c>
      <c r="G308" s="1">
        <v>0.1</v>
      </c>
      <c r="H308" t="s">
        <v>117</v>
      </c>
      <c r="I308" t="s">
        <v>18</v>
      </c>
      <c r="J308" t="s">
        <v>226</v>
      </c>
      <c r="K308" t="s">
        <v>24</v>
      </c>
      <c r="L308" s="14">
        <f>IFERROR(VALUE(LEFT(tblMatriculas[[#This Row],[Clases]],FIND("/",tblMatriculas[[#This Row],[Clases]])-1)),"")</f>
        <v>3</v>
      </c>
      <c r="M308" s="14">
        <f>IFERROR(VALUE(MID(tblMatriculas[[#This Row],[Clases]],FIND("/",tblMatriculas[[#This Row],[Clases]])+1,5)),"")</f>
        <v>30</v>
      </c>
      <c r="N3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8" s="14">
        <f>IF(OR(tblMatriculas[[#This Row],[Estado]]&lt;&gt;"activa",tblMatriculas[[#This Row],[Clases dictadas]]=""),"",MAX(0,tblMatriculas[[#This Row],[Clases dictadas]]-tblMatriculas[[#This Row],[Asistidas]]))</f>
        <v>1</v>
      </c>
      <c r="P308" s="1">
        <f>IF(OR(tblMatriculas[[#This Row],[Estado]]&lt;&gt;"activa",tblMatriculas[[#This Row],[Asistidas]]=""),"",tblMatriculas[[#This Row],[Asistencia]])</f>
        <v>0.1</v>
      </c>
      <c r="Q308" t="b">
        <f>AND(tblMatriculas[[#This Row],[Estado]]="activa",ISNUMBER(tblMatriculas[[#This Row],[% asistencia]]),NOT(ISNUMBER(SEARCH(pPrueba,tblMatriculas[[#This Row],[Nombre]]))))</f>
        <v>1</v>
      </c>
      <c r="R3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8" s="23" t="str" cm="1">
        <f t="array" ref="S3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8" s="23" t="str" cm="1">
        <f t="array" ref="T3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8" s="14" t="str" cm="1">
        <f t="array" ref="U3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8" t="str" cm="1">
        <f t="array" ref="V3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8" t="str" cm="1">
        <f t="array" ref="W3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8" t="str">
        <f>IF(COUNTIFS('Base Estudiantes'!$C:$C,tblMatriculas[[#This Row],[Cédula]],'Base Estudiantes'!$I:$I,tblMatriculas[[#This Row],[Código]])&gt;0,"Sí","No")</f>
        <v>Sí</v>
      </c>
      <c r="Z308" s="23" cm="1">
        <f t="array" ref="Z308">_xlfn.XLOOKUP(tblMatriculas[[#This Row],[Cédula]]&amp;"|"&amp;tblMatriculas[[#This Row],[Código]],tblBase[Documento]&amp;"|"&amp;tblBase[Código grupo],tblBase[Fecha matrícula],"")</f>
        <v>46264</v>
      </c>
    </row>
    <row r="309" spans="1:26" x14ac:dyDescent="0.2">
      <c r="A309" t="s">
        <v>682</v>
      </c>
      <c r="B309" t="s">
        <v>683</v>
      </c>
      <c r="C309" t="s">
        <v>13</v>
      </c>
      <c r="D309" t="s">
        <v>647</v>
      </c>
      <c r="E309" t="s">
        <v>648</v>
      </c>
      <c r="F309" t="s">
        <v>649</v>
      </c>
      <c r="G309" s="1">
        <v>0.13300000000000001</v>
      </c>
      <c r="H309" t="s">
        <v>112</v>
      </c>
      <c r="I309" t="s">
        <v>18</v>
      </c>
      <c r="J309" t="s">
        <v>226</v>
      </c>
      <c r="K309" t="s">
        <v>24</v>
      </c>
      <c r="L309" s="14">
        <f>IFERROR(VALUE(LEFT(tblMatriculas[[#This Row],[Clases]],FIND("/",tblMatriculas[[#This Row],[Clases]])-1)),"")</f>
        <v>4</v>
      </c>
      <c r="M309" s="14">
        <f>IFERROR(VALUE(MID(tblMatriculas[[#This Row],[Clases]],FIND("/",tblMatriculas[[#This Row],[Clases]])+1,5)),"")</f>
        <v>30</v>
      </c>
      <c r="N3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09" s="14">
        <f>IF(OR(tblMatriculas[[#This Row],[Estado]]&lt;&gt;"activa",tblMatriculas[[#This Row],[Clases dictadas]]=""),"",MAX(0,tblMatriculas[[#This Row],[Clases dictadas]]-tblMatriculas[[#This Row],[Asistidas]]))</f>
        <v>0</v>
      </c>
      <c r="P309" s="1">
        <f>IF(OR(tblMatriculas[[#This Row],[Estado]]&lt;&gt;"activa",tblMatriculas[[#This Row],[Asistidas]]=""),"",tblMatriculas[[#This Row],[Asistencia]])</f>
        <v>0.13300000000000001</v>
      </c>
      <c r="Q309" t="b">
        <f>AND(tblMatriculas[[#This Row],[Estado]]="activa",ISNUMBER(tblMatriculas[[#This Row],[% asistencia]]),NOT(ISNUMBER(SEARCH(pPrueba,tblMatriculas[[#This Row],[Nombre]]))))</f>
        <v>1</v>
      </c>
      <c r="R3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09" s="23" t="str" cm="1">
        <f t="array" ref="S3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09" s="23" t="str" cm="1">
        <f t="array" ref="T3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09" s="14" t="str" cm="1">
        <f t="array" ref="U3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09" t="str" cm="1">
        <f t="array" ref="V3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09" t="str" cm="1">
        <f t="array" ref="W3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09" t="str">
        <f>IF(COUNTIFS('Base Estudiantes'!$C:$C,tblMatriculas[[#This Row],[Cédula]],'Base Estudiantes'!$I:$I,tblMatriculas[[#This Row],[Código]])&gt;0,"Sí","No")</f>
        <v>Sí</v>
      </c>
      <c r="Z309" s="23" cm="1">
        <f t="array" ref="Z309">_xlfn.XLOOKUP(tblMatriculas[[#This Row],[Cédula]]&amp;"|"&amp;tblMatriculas[[#This Row],[Código]],tblBase[Documento]&amp;"|"&amp;tblBase[Código grupo],tblBase[Fecha matrícula],"")</f>
        <v>46264</v>
      </c>
    </row>
    <row r="310" spans="1:26" x14ac:dyDescent="0.2">
      <c r="A310" t="s">
        <v>684</v>
      </c>
      <c r="B310" t="s">
        <v>685</v>
      </c>
      <c r="C310" t="s">
        <v>13</v>
      </c>
      <c r="D310" t="s">
        <v>647</v>
      </c>
      <c r="E310" t="s">
        <v>648</v>
      </c>
      <c r="F310" t="s">
        <v>649</v>
      </c>
      <c r="G310" s="1">
        <v>3.3000000000000002E-2</v>
      </c>
      <c r="H310" t="s">
        <v>225</v>
      </c>
      <c r="I310" t="s">
        <v>18</v>
      </c>
      <c r="J310" t="s">
        <v>226</v>
      </c>
      <c r="K310" t="s">
        <v>24</v>
      </c>
      <c r="L310" s="14">
        <f>IFERROR(VALUE(LEFT(tblMatriculas[[#This Row],[Clases]],FIND("/",tblMatriculas[[#This Row],[Clases]])-1)),"")</f>
        <v>1</v>
      </c>
      <c r="M310" s="14">
        <f>IFERROR(VALUE(MID(tblMatriculas[[#This Row],[Clases]],FIND("/",tblMatriculas[[#This Row],[Clases]])+1,5)),"")</f>
        <v>30</v>
      </c>
      <c r="N3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0" s="14">
        <f>IF(OR(tblMatriculas[[#This Row],[Estado]]&lt;&gt;"activa",tblMatriculas[[#This Row],[Clases dictadas]]=""),"",MAX(0,tblMatriculas[[#This Row],[Clases dictadas]]-tblMatriculas[[#This Row],[Asistidas]]))</f>
        <v>3</v>
      </c>
      <c r="P310" s="1">
        <f>IF(OR(tblMatriculas[[#This Row],[Estado]]&lt;&gt;"activa",tblMatriculas[[#This Row],[Asistidas]]=""),"",tblMatriculas[[#This Row],[Asistencia]])</f>
        <v>3.3000000000000002E-2</v>
      </c>
      <c r="Q310" t="b">
        <f>AND(tblMatriculas[[#This Row],[Estado]]="activa",ISNUMBER(tblMatriculas[[#This Row],[% asistencia]]),NOT(ISNUMBER(SEARCH(pPrueba,tblMatriculas[[#This Row],[Nombre]]))))</f>
        <v>1</v>
      </c>
      <c r="R3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10" s="23" t="str" cm="1">
        <f t="array" ref="S3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0" s="23" t="str" cm="1">
        <f t="array" ref="T3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0" s="14" t="str" cm="1">
        <f t="array" ref="U3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0" t="str" cm="1">
        <f t="array" ref="V3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0" t="str" cm="1">
        <f t="array" ref="W3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10" t="str">
        <f>IF(COUNTIFS('Base Estudiantes'!$C:$C,tblMatriculas[[#This Row],[Cédula]],'Base Estudiantes'!$I:$I,tblMatriculas[[#This Row],[Código]])&gt;0,"Sí","No")</f>
        <v>Sí</v>
      </c>
      <c r="Z310" s="23" cm="1">
        <f t="array" ref="Z310">_xlfn.XLOOKUP(tblMatriculas[[#This Row],[Cédula]]&amp;"|"&amp;tblMatriculas[[#This Row],[Código]],tblBase[Documento]&amp;"|"&amp;tblBase[Código grupo],tblBase[Fecha matrícula],"")</f>
        <v>46264</v>
      </c>
    </row>
    <row r="311" spans="1:26" x14ac:dyDescent="0.2">
      <c r="A311" t="s">
        <v>686</v>
      </c>
      <c r="B311" t="s">
        <v>687</v>
      </c>
      <c r="C311" t="s">
        <v>13</v>
      </c>
      <c r="D311" t="s">
        <v>647</v>
      </c>
      <c r="E311" t="s">
        <v>648</v>
      </c>
      <c r="F311" t="s">
        <v>649</v>
      </c>
      <c r="G311" s="1">
        <v>0.1</v>
      </c>
      <c r="H311" t="s">
        <v>117</v>
      </c>
      <c r="I311" t="s">
        <v>18</v>
      </c>
      <c r="J311" t="s">
        <v>226</v>
      </c>
      <c r="K311" t="s">
        <v>24</v>
      </c>
      <c r="L311" s="14">
        <f>IFERROR(VALUE(LEFT(tblMatriculas[[#This Row],[Clases]],FIND("/",tblMatriculas[[#This Row],[Clases]])-1)),"")</f>
        <v>3</v>
      </c>
      <c r="M311" s="14">
        <f>IFERROR(VALUE(MID(tblMatriculas[[#This Row],[Clases]],FIND("/",tblMatriculas[[#This Row],[Clases]])+1,5)),"")</f>
        <v>30</v>
      </c>
      <c r="N3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1" s="14">
        <f>IF(OR(tblMatriculas[[#This Row],[Estado]]&lt;&gt;"activa",tblMatriculas[[#This Row],[Clases dictadas]]=""),"",MAX(0,tblMatriculas[[#This Row],[Clases dictadas]]-tblMatriculas[[#This Row],[Asistidas]]))</f>
        <v>1</v>
      </c>
      <c r="P311" s="1">
        <f>IF(OR(tblMatriculas[[#This Row],[Estado]]&lt;&gt;"activa",tblMatriculas[[#This Row],[Asistidas]]=""),"",tblMatriculas[[#This Row],[Asistencia]])</f>
        <v>0.1</v>
      </c>
      <c r="Q311" t="b">
        <f>AND(tblMatriculas[[#This Row],[Estado]]="activa",ISNUMBER(tblMatriculas[[#This Row],[% asistencia]]),NOT(ISNUMBER(SEARCH(pPrueba,tblMatriculas[[#This Row],[Nombre]]))))</f>
        <v>1</v>
      </c>
      <c r="R3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1" s="23" t="str" cm="1">
        <f t="array" ref="S3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1" s="23" t="str" cm="1">
        <f t="array" ref="T3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1" s="14" t="str" cm="1">
        <f t="array" ref="U3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1" t="str" cm="1">
        <f t="array" ref="V3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1" t="str" cm="1">
        <f t="array" ref="W3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1" t="str">
        <f>IF(COUNTIFS('Base Estudiantes'!$C:$C,tblMatriculas[[#This Row],[Cédula]],'Base Estudiantes'!$I:$I,tblMatriculas[[#This Row],[Código]])&gt;0,"Sí","No")</f>
        <v>Sí</v>
      </c>
      <c r="Z311" s="23" cm="1">
        <f t="array" ref="Z311">_xlfn.XLOOKUP(tblMatriculas[[#This Row],[Cédula]]&amp;"|"&amp;tblMatriculas[[#This Row],[Código]],tblBase[Documento]&amp;"|"&amp;tblBase[Código grupo],tblBase[Fecha matrícula],"")</f>
        <v>46264</v>
      </c>
    </row>
    <row r="312" spans="1:26" x14ac:dyDescent="0.2">
      <c r="A312" t="s">
        <v>688</v>
      </c>
      <c r="B312" t="s">
        <v>689</v>
      </c>
      <c r="C312" t="s">
        <v>13</v>
      </c>
      <c r="D312" t="s">
        <v>647</v>
      </c>
      <c r="E312" t="s">
        <v>648</v>
      </c>
      <c r="F312" t="s">
        <v>649</v>
      </c>
      <c r="G312" s="1">
        <v>0.13300000000000001</v>
      </c>
      <c r="H312" t="s">
        <v>112</v>
      </c>
      <c r="I312" t="s">
        <v>18</v>
      </c>
      <c r="J312" t="s">
        <v>226</v>
      </c>
      <c r="K312" t="s">
        <v>24</v>
      </c>
      <c r="L312" s="14">
        <f>IFERROR(VALUE(LEFT(tblMatriculas[[#This Row],[Clases]],FIND("/",tblMatriculas[[#This Row],[Clases]])-1)),"")</f>
        <v>4</v>
      </c>
      <c r="M312" s="14">
        <f>IFERROR(VALUE(MID(tblMatriculas[[#This Row],[Clases]],FIND("/",tblMatriculas[[#This Row],[Clases]])+1,5)),"")</f>
        <v>30</v>
      </c>
      <c r="N3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2" s="14">
        <f>IF(OR(tblMatriculas[[#This Row],[Estado]]&lt;&gt;"activa",tblMatriculas[[#This Row],[Clases dictadas]]=""),"",MAX(0,tblMatriculas[[#This Row],[Clases dictadas]]-tblMatriculas[[#This Row],[Asistidas]]))</f>
        <v>0</v>
      </c>
      <c r="P312" s="1">
        <f>IF(OR(tblMatriculas[[#This Row],[Estado]]&lt;&gt;"activa",tblMatriculas[[#This Row],[Asistidas]]=""),"",tblMatriculas[[#This Row],[Asistencia]])</f>
        <v>0.13300000000000001</v>
      </c>
      <c r="Q312" t="b">
        <f>AND(tblMatriculas[[#This Row],[Estado]]="activa",ISNUMBER(tblMatriculas[[#This Row],[% asistencia]]),NOT(ISNUMBER(SEARCH(pPrueba,tblMatriculas[[#This Row],[Nombre]]))))</f>
        <v>1</v>
      </c>
      <c r="R3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2" s="23" t="str" cm="1">
        <f t="array" ref="S3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2" s="23" t="str" cm="1">
        <f t="array" ref="T3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2" s="14" t="str" cm="1">
        <f t="array" ref="U3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2" t="str" cm="1">
        <f t="array" ref="V3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2" t="str" cm="1">
        <f t="array" ref="W3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2" t="str">
        <f>IF(COUNTIFS('Base Estudiantes'!$C:$C,tblMatriculas[[#This Row],[Cédula]],'Base Estudiantes'!$I:$I,tblMatriculas[[#This Row],[Código]])&gt;0,"Sí","No")</f>
        <v>Sí</v>
      </c>
      <c r="Z312" s="23" cm="1">
        <f t="array" ref="Z312">_xlfn.XLOOKUP(tblMatriculas[[#This Row],[Cédula]]&amp;"|"&amp;tblMatriculas[[#This Row],[Código]],tblBase[Documento]&amp;"|"&amp;tblBase[Código grupo],tblBase[Fecha matrícula],"")</f>
        <v>46264</v>
      </c>
    </row>
    <row r="313" spans="1:26" x14ac:dyDescent="0.2">
      <c r="A313" t="s">
        <v>690</v>
      </c>
      <c r="B313" t="s">
        <v>691</v>
      </c>
      <c r="C313" t="s">
        <v>13</v>
      </c>
      <c r="D313" t="s">
        <v>647</v>
      </c>
      <c r="E313" t="s">
        <v>648</v>
      </c>
      <c r="F313" t="s">
        <v>649</v>
      </c>
      <c r="G313" s="1">
        <v>0.1</v>
      </c>
      <c r="H313" t="s">
        <v>117</v>
      </c>
      <c r="I313" t="s">
        <v>18</v>
      </c>
      <c r="J313" t="s">
        <v>226</v>
      </c>
      <c r="K313" t="s">
        <v>24</v>
      </c>
      <c r="L313" s="14">
        <f>IFERROR(VALUE(LEFT(tblMatriculas[[#This Row],[Clases]],FIND("/",tblMatriculas[[#This Row],[Clases]])-1)),"")</f>
        <v>3</v>
      </c>
      <c r="M313" s="14">
        <f>IFERROR(VALUE(MID(tblMatriculas[[#This Row],[Clases]],FIND("/",tblMatriculas[[#This Row],[Clases]])+1,5)),"")</f>
        <v>30</v>
      </c>
      <c r="N3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3" s="14">
        <f>IF(OR(tblMatriculas[[#This Row],[Estado]]&lt;&gt;"activa",tblMatriculas[[#This Row],[Clases dictadas]]=""),"",MAX(0,tblMatriculas[[#This Row],[Clases dictadas]]-tblMatriculas[[#This Row],[Asistidas]]))</f>
        <v>1</v>
      </c>
      <c r="P313" s="1">
        <f>IF(OR(tblMatriculas[[#This Row],[Estado]]&lt;&gt;"activa",tblMatriculas[[#This Row],[Asistidas]]=""),"",tblMatriculas[[#This Row],[Asistencia]])</f>
        <v>0.1</v>
      </c>
      <c r="Q313" t="b">
        <f>AND(tblMatriculas[[#This Row],[Estado]]="activa",ISNUMBER(tblMatriculas[[#This Row],[% asistencia]]),NOT(ISNUMBER(SEARCH(pPrueba,tblMatriculas[[#This Row],[Nombre]]))))</f>
        <v>1</v>
      </c>
      <c r="R3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3" s="23" t="str" cm="1">
        <f t="array" ref="S3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3" s="23" t="str" cm="1">
        <f t="array" ref="T3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3" s="14" t="str" cm="1">
        <f t="array" ref="U3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3" t="str" cm="1">
        <f t="array" ref="V3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3" t="str" cm="1">
        <f t="array" ref="W3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3" t="str">
        <f>IF(COUNTIFS('Base Estudiantes'!$C:$C,tblMatriculas[[#This Row],[Cédula]],'Base Estudiantes'!$I:$I,tblMatriculas[[#This Row],[Código]])&gt;0,"Sí","No")</f>
        <v>Sí</v>
      </c>
      <c r="Z313" s="23" cm="1">
        <f t="array" ref="Z313">_xlfn.XLOOKUP(tblMatriculas[[#This Row],[Cédula]]&amp;"|"&amp;tblMatriculas[[#This Row],[Código]],tblBase[Documento]&amp;"|"&amp;tblBase[Código grupo],tblBase[Fecha matrícula],"")</f>
        <v>46264</v>
      </c>
    </row>
    <row r="314" spans="1:26" x14ac:dyDescent="0.2">
      <c r="A314" t="s">
        <v>692</v>
      </c>
      <c r="B314" t="s">
        <v>693</v>
      </c>
      <c r="C314" t="s">
        <v>13</v>
      </c>
      <c r="D314" t="s">
        <v>647</v>
      </c>
      <c r="E314" t="s">
        <v>648</v>
      </c>
      <c r="F314" t="s">
        <v>649</v>
      </c>
      <c r="G314" s="1">
        <v>0.13300000000000001</v>
      </c>
      <c r="H314" t="s">
        <v>112</v>
      </c>
      <c r="I314" t="s">
        <v>18</v>
      </c>
      <c r="J314" t="s">
        <v>226</v>
      </c>
      <c r="K314" t="s">
        <v>24</v>
      </c>
      <c r="L314" s="14">
        <f>IFERROR(VALUE(LEFT(tblMatriculas[[#This Row],[Clases]],FIND("/",tblMatriculas[[#This Row],[Clases]])-1)),"")</f>
        <v>4</v>
      </c>
      <c r="M314" s="14">
        <f>IFERROR(VALUE(MID(tblMatriculas[[#This Row],[Clases]],FIND("/",tblMatriculas[[#This Row],[Clases]])+1,5)),"")</f>
        <v>30</v>
      </c>
      <c r="N3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4" s="14">
        <f>IF(OR(tblMatriculas[[#This Row],[Estado]]&lt;&gt;"activa",tblMatriculas[[#This Row],[Clases dictadas]]=""),"",MAX(0,tblMatriculas[[#This Row],[Clases dictadas]]-tblMatriculas[[#This Row],[Asistidas]]))</f>
        <v>0</v>
      </c>
      <c r="P314" s="1">
        <f>IF(OR(tblMatriculas[[#This Row],[Estado]]&lt;&gt;"activa",tblMatriculas[[#This Row],[Asistidas]]=""),"",tblMatriculas[[#This Row],[Asistencia]])</f>
        <v>0.13300000000000001</v>
      </c>
      <c r="Q314" t="b">
        <f>AND(tblMatriculas[[#This Row],[Estado]]="activa",ISNUMBER(tblMatriculas[[#This Row],[% asistencia]]),NOT(ISNUMBER(SEARCH(pPrueba,tblMatriculas[[#This Row],[Nombre]]))))</f>
        <v>1</v>
      </c>
      <c r="R3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4" s="23" t="str" cm="1">
        <f t="array" ref="S3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4" s="23" t="str" cm="1">
        <f t="array" ref="T3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4" s="14" t="str" cm="1">
        <f t="array" ref="U3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4" t="str" cm="1">
        <f t="array" ref="V3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4" t="str" cm="1">
        <f t="array" ref="W3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4" t="str">
        <f>IF(COUNTIFS('Base Estudiantes'!$C:$C,tblMatriculas[[#This Row],[Cédula]],'Base Estudiantes'!$I:$I,tblMatriculas[[#This Row],[Código]])&gt;0,"Sí","No")</f>
        <v>Sí</v>
      </c>
      <c r="Z314" s="23" cm="1">
        <f t="array" ref="Z314">_xlfn.XLOOKUP(tblMatriculas[[#This Row],[Cédula]]&amp;"|"&amp;tblMatriculas[[#This Row],[Código]],tblBase[Documento]&amp;"|"&amp;tblBase[Código grupo],tblBase[Fecha matrícula],"")</f>
        <v>46264</v>
      </c>
    </row>
    <row r="315" spans="1:26" x14ac:dyDescent="0.2">
      <c r="A315" t="s">
        <v>694</v>
      </c>
      <c r="B315" t="s">
        <v>695</v>
      </c>
      <c r="C315" t="s">
        <v>13</v>
      </c>
      <c r="D315" t="s">
        <v>647</v>
      </c>
      <c r="E315" t="s">
        <v>648</v>
      </c>
      <c r="F315" t="s">
        <v>649</v>
      </c>
      <c r="G315" s="1">
        <v>0.13300000000000001</v>
      </c>
      <c r="H315" t="s">
        <v>112</v>
      </c>
      <c r="I315" t="s">
        <v>18</v>
      </c>
      <c r="J315" t="s">
        <v>226</v>
      </c>
      <c r="K315" t="s">
        <v>24</v>
      </c>
      <c r="L315" s="14">
        <f>IFERROR(VALUE(LEFT(tblMatriculas[[#This Row],[Clases]],FIND("/",tblMatriculas[[#This Row],[Clases]])-1)),"")</f>
        <v>4</v>
      </c>
      <c r="M315" s="14">
        <f>IFERROR(VALUE(MID(tblMatriculas[[#This Row],[Clases]],FIND("/",tblMatriculas[[#This Row],[Clases]])+1,5)),"")</f>
        <v>30</v>
      </c>
      <c r="N3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5" s="14">
        <f>IF(OR(tblMatriculas[[#This Row],[Estado]]&lt;&gt;"activa",tblMatriculas[[#This Row],[Clases dictadas]]=""),"",MAX(0,tblMatriculas[[#This Row],[Clases dictadas]]-tblMatriculas[[#This Row],[Asistidas]]))</f>
        <v>0</v>
      </c>
      <c r="P315" s="1">
        <f>IF(OR(tblMatriculas[[#This Row],[Estado]]&lt;&gt;"activa",tblMatriculas[[#This Row],[Asistidas]]=""),"",tblMatriculas[[#This Row],[Asistencia]])</f>
        <v>0.13300000000000001</v>
      </c>
      <c r="Q315" t="b">
        <f>AND(tblMatriculas[[#This Row],[Estado]]="activa",ISNUMBER(tblMatriculas[[#This Row],[% asistencia]]),NOT(ISNUMBER(SEARCH(pPrueba,tblMatriculas[[#This Row],[Nombre]]))))</f>
        <v>1</v>
      </c>
      <c r="R3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5" s="23" t="str" cm="1">
        <f t="array" ref="S3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5" s="23" t="str" cm="1">
        <f t="array" ref="T3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5" s="14" t="str" cm="1">
        <f t="array" ref="U3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5" t="str" cm="1">
        <f t="array" ref="V3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5" t="str" cm="1">
        <f t="array" ref="W3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5" t="str">
        <f>IF(COUNTIFS('Base Estudiantes'!$C:$C,tblMatriculas[[#This Row],[Cédula]],'Base Estudiantes'!$I:$I,tblMatriculas[[#This Row],[Código]])&gt;0,"Sí","No")</f>
        <v>Sí</v>
      </c>
      <c r="Z315" s="23" cm="1">
        <f t="array" ref="Z315">_xlfn.XLOOKUP(tblMatriculas[[#This Row],[Cédula]]&amp;"|"&amp;tblMatriculas[[#This Row],[Código]],tblBase[Documento]&amp;"|"&amp;tblBase[Código grupo],tblBase[Fecha matrícula],"")</f>
        <v>46264</v>
      </c>
    </row>
    <row r="316" spans="1:26" x14ac:dyDescent="0.2">
      <c r="A316" t="s">
        <v>696</v>
      </c>
      <c r="B316" t="s">
        <v>697</v>
      </c>
      <c r="C316" t="s">
        <v>13</v>
      </c>
      <c r="D316" t="s">
        <v>647</v>
      </c>
      <c r="E316" t="s">
        <v>648</v>
      </c>
      <c r="F316" t="s">
        <v>649</v>
      </c>
      <c r="G316" s="1">
        <v>6.7000000000000004E-2</v>
      </c>
      <c r="H316" t="s">
        <v>166</v>
      </c>
      <c r="I316" t="s">
        <v>18</v>
      </c>
      <c r="J316" t="s">
        <v>226</v>
      </c>
      <c r="K316" t="s">
        <v>24</v>
      </c>
      <c r="L316" s="14">
        <f>IFERROR(VALUE(LEFT(tblMatriculas[[#This Row],[Clases]],FIND("/",tblMatriculas[[#This Row],[Clases]])-1)),"")</f>
        <v>2</v>
      </c>
      <c r="M316" s="14">
        <f>IFERROR(VALUE(MID(tblMatriculas[[#This Row],[Clases]],FIND("/",tblMatriculas[[#This Row],[Clases]])+1,5)),"")</f>
        <v>30</v>
      </c>
      <c r="N3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6" s="14">
        <f>IF(OR(tblMatriculas[[#This Row],[Estado]]&lt;&gt;"activa",tblMatriculas[[#This Row],[Clases dictadas]]=""),"",MAX(0,tblMatriculas[[#This Row],[Clases dictadas]]-tblMatriculas[[#This Row],[Asistidas]]))</f>
        <v>2</v>
      </c>
      <c r="P316" s="1">
        <f>IF(OR(tblMatriculas[[#This Row],[Estado]]&lt;&gt;"activa",tblMatriculas[[#This Row],[Asistidas]]=""),"",tblMatriculas[[#This Row],[Asistencia]])</f>
        <v>6.7000000000000004E-2</v>
      </c>
      <c r="Q316" t="b">
        <f>AND(tblMatriculas[[#This Row],[Estado]]="activa",ISNUMBER(tblMatriculas[[#This Row],[% asistencia]]),NOT(ISNUMBER(SEARCH(pPrueba,tblMatriculas[[#This Row],[Nombre]]))))</f>
        <v>1</v>
      </c>
      <c r="R3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16" s="23" t="str" cm="1">
        <f t="array" ref="S3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6" s="23" t="str" cm="1">
        <f t="array" ref="T3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6" s="14" t="str" cm="1">
        <f t="array" ref="U3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6" t="str" cm="1">
        <f t="array" ref="V3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6" t="str" cm="1">
        <f t="array" ref="W3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16" t="str">
        <f>IF(COUNTIFS('Base Estudiantes'!$C:$C,tblMatriculas[[#This Row],[Cédula]],'Base Estudiantes'!$I:$I,tblMatriculas[[#This Row],[Código]])&gt;0,"Sí","No")</f>
        <v>Sí</v>
      </c>
      <c r="Z316" s="23" cm="1">
        <f t="array" ref="Z316">_xlfn.XLOOKUP(tblMatriculas[[#This Row],[Cédula]]&amp;"|"&amp;tblMatriculas[[#This Row],[Código]],tblBase[Documento]&amp;"|"&amp;tblBase[Código grupo],tblBase[Fecha matrícula],"")</f>
        <v>46264</v>
      </c>
    </row>
    <row r="317" spans="1:26" x14ac:dyDescent="0.2">
      <c r="A317" t="s">
        <v>698</v>
      </c>
      <c r="B317" t="s">
        <v>699</v>
      </c>
      <c r="C317" t="s">
        <v>13</v>
      </c>
      <c r="D317" t="s">
        <v>647</v>
      </c>
      <c r="E317" t="s">
        <v>648</v>
      </c>
      <c r="F317" t="s">
        <v>649</v>
      </c>
      <c r="G317" s="1">
        <v>0.13300000000000001</v>
      </c>
      <c r="H317" t="s">
        <v>112</v>
      </c>
      <c r="I317" t="s">
        <v>18</v>
      </c>
      <c r="J317" t="s">
        <v>226</v>
      </c>
      <c r="K317" t="s">
        <v>24</v>
      </c>
      <c r="L317" s="14">
        <f>IFERROR(VALUE(LEFT(tblMatriculas[[#This Row],[Clases]],FIND("/",tblMatriculas[[#This Row],[Clases]])-1)),"")</f>
        <v>4</v>
      </c>
      <c r="M317" s="14">
        <f>IFERROR(VALUE(MID(tblMatriculas[[#This Row],[Clases]],FIND("/",tblMatriculas[[#This Row],[Clases]])+1,5)),"")</f>
        <v>30</v>
      </c>
      <c r="N3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7" s="14">
        <f>IF(OR(tblMatriculas[[#This Row],[Estado]]&lt;&gt;"activa",tblMatriculas[[#This Row],[Clases dictadas]]=""),"",MAX(0,tblMatriculas[[#This Row],[Clases dictadas]]-tblMatriculas[[#This Row],[Asistidas]]))</f>
        <v>0</v>
      </c>
      <c r="P317" s="1">
        <f>IF(OR(tblMatriculas[[#This Row],[Estado]]&lt;&gt;"activa",tblMatriculas[[#This Row],[Asistidas]]=""),"",tblMatriculas[[#This Row],[Asistencia]])</f>
        <v>0.13300000000000001</v>
      </c>
      <c r="Q317" t="b">
        <f>AND(tblMatriculas[[#This Row],[Estado]]="activa",ISNUMBER(tblMatriculas[[#This Row],[% asistencia]]),NOT(ISNUMBER(SEARCH(pPrueba,tblMatriculas[[#This Row],[Nombre]]))))</f>
        <v>1</v>
      </c>
      <c r="R3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7" s="23" t="str" cm="1">
        <f t="array" ref="S3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7" s="23" t="str" cm="1">
        <f t="array" ref="T3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7" s="14" t="str" cm="1">
        <f t="array" ref="U3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7" t="str" cm="1">
        <f t="array" ref="V3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7" t="str" cm="1">
        <f t="array" ref="W3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7" t="str">
        <f>IF(COUNTIFS('Base Estudiantes'!$C:$C,tblMatriculas[[#This Row],[Cédula]],'Base Estudiantes'!$I:$I,tblMatriculas[[#This Row],[Código]])&gt;0,"Sí","No")</f>
        <v>Sí</v>
      </c>
      <c r="Z317" s="23" cm="1">
        <f t="array" ref="Z317">_xlfn.XLOOKUP(tblMatriculas[[#This Row],[Cédula]]&amp;"|"&amp;tblMatriculas[[#This Row],[Código]],tblBase[Documento]&amp;"|"&amp;tblBase[Código grupo],tblBase[Fecha matrícula],"")</f>
        <v>46264</v>
      </c>
    </row>
    <row r="318" spans="1:26" x14ac:dyDescent="0.2">
      <c r="A318" t="s">
        <v>700</v>
      </c>
      <c r="B318" t="s">
        <v>701</v>
      </c>
      <c r="C318" t="s">
        <v>13</v>
      </c>
      <c r="D318" t="s">
        <v>647</v>
      </c>
      <c r="E318" t="s">
        <v>648</v>
      </c>
      <c r="F318" t="s">
        <v>649</v>
      </c>
      <c r="G318" s="1">
        <v>0.13300000000000001</v>
      </c>
      <c r="H318" t="s">
        <v>112</v>
      </c>
      <c r="I318" t="s">
        <v>18</v>
      </c>
      <c r="J318" t="s">
        <v>226</v>
      </c>
      <c r="K318" t="s">
        <v>24</v>
      </c>
      <c r="L318" s="14">
        <f>IFERROR(VALUE(LEFT(tblMatriculas[[#This Row],[Clases]],FIND("/",tblMatriculas[[#This Row],[Clases]])-1)),"")</f>
        <v>4</v>
      </c>
      <c r="M318" s="14">
        <f>IFERROR(VALUE(MID(tblMatriculas[[#This Row],[Clases]],FIND("/",tblMatriculas[[#This Row],[Clases]])+1,5)),"")</f>
        <v>30</v>
      </c>
      <c r="N3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8" s="14">
        <f>IF(OR(tblMatriculas[[#This Row],[Estado]]&lt;&gt;"activa",tblMatriculas[[#This Row],[Clases dictadas]]=""),"",MAX(0,tblMatriculas[[#This Row],[Clases dictadas]]-tblMatriculas[[#This Row],[Asistidas]]))</f>
        <v>0</v>
      </c>
      <c r="P318" s="1">
        <f>IF(OR(tblMatriculas[[#This Row],[Estado]]&lt;&gt;"activa",tblMatriculas[[#This Row],[Asistidas]]=""),"",tblMatriculas[[#This Row],[Asistencia]])</f>
        <v>0.13300000000000001</v>
      </c>
      <c r="Q318" t="b">
        <f>AND(tblMatriculas[[#This Row],[Estado]]="activa",ISNUMBER(tblMatriculas[[#This Row],[% asistencia]]),NOT(ISNUMBER(SEARCH(pPrueba,tblMatriculas[[#This Row],[Nombre]]))))</f>
        <v>1</v>
      </c>
      <c r="R3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8" s="23" t="str" cm="1">
        <f t="array" ref="S3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8" s="23" t="str" cm="1">
        <f t="array" ref="T3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8" s="14" t="str" cm="1">
        <f t="array" ref="U3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8" t="str" cm="1">
        <f t="array" ref="V3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8" t="str" cm="1">
        <f t="array" ref="W3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8" t="str">
        <f>IF(COUNTIFS('Base Estudiantes'!$C:$C,tblMatriculas[[#This Row],[Cédula]],'Base Estudiantes'!$I:$I,tblMatriculas[[#This Row],[Código]])&gt;0,"Sí","No")</f>
        <v>Sí</v>
      </c>
      <c r="Z318" s="23" cm="1">
        <f t="array" ref="Z318">_xlfn.XLOOKUP(tblMatriculas[[#This Row],[Cédula]]&amp;"|"&amp;tblMatriculas[[#This Row],[Código]],tblBase[Documento]&amp;"|"&amp;tblBase[Código grupo],tblBase[Fecha matrícula],"")</f>
        <v>46264</v>
      </c>
    </row>
    <row r="319" spans="1:26" x14ac:dyDescent="0.2">
      <c r="A319" t="s">
        <v>702</v>
      </c>
      <c r="B319" t="s">
        <v>703</v>
      </c>
      <c r="C319" t="s">
        <v>13</v>
      </c>
      <c r="D319" t="s">
        <v>647</v>
      </c>
      <c r="E319" t="s">
        <v>648</v>
      </c>
      <c r="F319" t="s">
        <v>649</v>
      </c>
      <c r="G319" s="1">
        <v>0.13300000000000001</v>
      </c>
      <c r="H319" t="s">
        <v>112</v>
      </c>
      <c r="I319" t="s">
        <v>18</v>
      </c>
      <c r="J319" t="s">
        <v>226</v>
      </c>
      <c r="K319" t="s">
        <v>24</v>
      </c>
      <c r="L319" s="14">
        <f>IFERROR(VALUE(LEFT(tblMatriculas[[#This Row],[Clases]],FIND("/",tblMatriculas[[#This Row],[Clases]])-1)),"")</f>
        <v>4</v>
      </c>
      <c r="M319" s="14">
        <f>IFERROR(VALUE(MID(tblMatriculas[[#This Row],[Clases]],FIND("/",tblMatriculas[[#This Row],[Clases]])+1,5)),"")</f>
        <v>30</v>
      </c>
      <c r="N3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19" s="14">
        <f>IF(OR(tblMatriculas[[#This Row],[Estado]]&lt;&gt;"activa",tblMatriculas[[#This Row],[Clases dictadas]]=""),"",MAX(0,tblMatriculas[[#This Row],[Clases dictadas]]-tblMatriculas[[#This Row],[Asistidas]]))</f>
        <v>0</v>
      </c>
      <c r="P319" s="1">
        <f>IF(OR(tblMatriculas[[#This Row],[Estado]]&lt;&gt;"activa",tblMatriculas[[#This Row],[Asistidas]]=""),"",tblMatriculas[[#This Row],[Asistencia]])</f>
        <v>0.13300000000000001</v>
      </c>
      <c r="Q319" t="b">
        <f>AND(tblMatriculas[[#This Row],[Estado]]="activa",ISNUMBER(tblMatriculas[[#This Row],[% asistencia]]),NOT(ISNUMBER(SEARCH(pPrueba,tblMatriculas[[#This Row],[Nombre]]))))</f>
        <v>1</v>
      </c>
      <c r="R3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19" s="23" t="str" cm="1">
        <f t="array" ref="S3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19" s="23" t="str" cm="1">
        <f t="array" ref="T3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19" s="14" t="str" cm="1">
        <f t="array" ref="U3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19" t="str" cm="1">
        <f t="array" ref="V3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19" t="str" cm="1">
        <f t="array" ref="W3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19" t="str">
        <f>IF(COUNTIFS('Base Estudiantes'!$C:$C,tblMatriculas[[#This Row],[Cédula]],'Base Estudiantes'!$I:$I,tblMatriculas[[#This Row],[Código]])&gt;0,"Sí","No")</f>
        <v>Sí</v>
      </c>
      <c r="Z319" s="23" cm="1">
        <f t="array" ref="Z319">_xlfn.XLOOKUP(tblMatriculas[[#This Row],[Cédula]]&amp;"|"&amp;tblMatriculas[[#This Row],[Código]],tblBase[Documento]&amp;"|"&amp;tblBase[Código grupo],tblBase[Fecha matrícula],"")</f>
        <v>46264</v>
      </c>
    </row>
    <row r="320" spans="1:26" x14ac:dyDescent="0.2">
      <c r="A320" t="s">
        <v>704</v>
      </c>
      <c r="B320" t="s">
        <v>705</v>
      </c>
      <c r="C320" t="s">
        <v>13</v>
      </c>
      <c r="D320" t="s">
        <v>647</v>
      </c>
      <c r="E320" t="s">
        <v>648</v>
      </c>
      <c r="F320" t="s">
        <v>649</v>
      </c>
      <c r="G320" s="1">
        <v>6.7000000000000004E-2</v>
      </c>
      <c r="H320" t="s">
        <v>166</v>
      </c>
      <c r="I320" t="s">
        <v>18</v>
      </c>
      <c r="J320" t="s">
        <v>226</v>
      </c>
      <c r="K320" t="s">
        <v>24</v>
      </c>
      <c r="L320" s="14">
        <f>IFERROR(VALUE(LEFT(tblMatriculas[[#This Row],[Clases]],FIND("/",tblMatriculas[[#This Row],[Clases]])-1)),"")</f>
        <v>2</v>
      </c>
      <c r="M320" s="14">
        <f>IFERROR(VALUE(MID(tblMatriculas[[#This Row],[Clases]],FIND("/",tblMatriculas[[#This Row],[Clases]])+1,5)),"")</f>
        <v>30</v>
      </c>
      <c r="N3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0" s="14">
        <f>IF(OR(tblMatriculas[[#This Row],[Estado]]&lt;&gt;"activa",tblMatriculas[[#This Row],[Clases dictadas]]=""),"",MAX(0,tblMatriculas[[#This Row],[Clases dictadas]]-tblMatriculas[[#This Row],[Asistidas]]))</f>
        <v>2</v>
      </c>
      <c r="P320" s="1">
        <f>IF(OR(tblMatriculas[[#This Row],[Estado]]&lt;&gt;"activa",tblMatriculas[[#This Row],[Asistidas]]=""),"",tblMatriculas[[#This Row],[Asistencia]])</f>
        <v>6.7000000000000004E-2</v>
      </c>
      <c r="Q320" t="b">
        <f>AND(tblMatriculas[[#This Row],[Estado]]="activa",ISNUMBER(tblMatriculas[[#This Row],[% asistencia]]),NOT(ISNUMBER(SEARCH(pPrueba,tblMatriculas[[#This Row],[Nombre]]))))</f>
        <v>1</v>
      </c>
      <c r="R3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20" s="23" t="str" cm="1">
        <f t="array" ref="S3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0" s="23" t="str" cm="1">
        <f t="array" ref="T3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0" s="14" t="str" cm="1">
        <f t="array" ref="U3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0" t="str" cm="1">
        <f t="array" ref="V3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0" t="str" cm="1">
        <f t="array" ref="W3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20" t="str">
        <f>IF(COUNTIFS('Base Estudiantes'!$C:$C,tblMatriculas[[#This Row],[Cédula]],'Base Estudiantes'!$I:$I,tblMatriculas[[#This Row],[Código]])&gt;0,"Sí","No")</f>
        <v>Sí</v>
      </c>
      <c r="Z320" s="23" cm="1">
        <f t="array" ref="Z320">_xlfn.XLOOKUP(tblMatriculas[[#This Row],[Cédula]]&amp;"|"&amp;tblMatriculas[[#This Row],[Código]],tblBase[Documento]&amp;"|"&amp;tblBase[Código grupo],tblBase[Fecha matrícula],"")</f>
        <v>46264</v>
      </c>
    </row>
    <row r="321" spans="1:26" x14ac:dyDescent="0.2">
      <c r="A321" t="s">
        <v>706</v>
      </c>
      <c r="B321" t="s">
        <v>707</v>
      </c>
      <c r="C321" t="s">
        <v>13</v>
      </c>
      <c r="D321" t="s">
        <v>647</v>
      </c>
      <c r="E321" t="s">
        <v>648</v>
      </c>
      <c r="F321" t="s">
        <v>649</v>
      </c>
      <c r="G321" s="1">
        <v>0.13300000000000001</v>
      </c>
      <c r="H321" t="s">
        <v>112</v>
      </c>
      <c r="I321" t="s">
        <v>18</v>
      </c>
      <c r="J321" t="s">
        <v>226</v>
      </c>
      <c r="K321" t="s">
        <v>24</v>
      </c>
      <c r="L321" s="14">
        <f>IFERROR(VALUE(LEFT(tblMatriculas[[#This Row],[Clases]],FIND("/",tblMatriculas[[#This Row],[Clases]])-1)),"")</f>
        <v>4</v>
      </c>
      <c r="M321" s="14">
        <f>IFERROR(VALUE(MID(tblMatriculas[[#This Row],[Clases]],FIND("/",tblMatriculas[[#This Row],[Clases]])+1,5)),"")</f>
        <v>30</v>
      </c>
      <c r="N3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1" s="14">
        <f>IF(OR(tblMatriculas[[#This Row],[Estado]]&lt;&gt;"activa",tblMatriculas[[#This Row],[Clases dictadas]]=""),"",MAX(0,tblMatriculas[[#This Row],[Clases dictadas]]-tblMatriculas[[#This Row],[Asistidas]]))</f>
        <v>0</v>
      </c>
      <c r="P321" s="1">
        <f>IF(OR(tblMatriculas[[#This Row],[Estado]]&lt;&gt;"activa",tblMatriculas[[#This Row],[Asistidas]]=""),"",tblMatriculas[[#This Row],[Asistencia]])</f>
        <v>0.13300000000000001</v>
      </c>
      <c r="Q321" t="b">
        <f>AND(tblMatriculas[[#This Row],[Estado]]="activa",ISNUMBER(tblMatriculas[[#This Row],[% asistencia]]),NOT(ISNUMBER(SEARCH(pPrueba,tblMatriculas[[#This Row],[Nombre]]))))</f>
        <v>1</v>
      </c>
      <c r="R3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1" s="23" t="str" cm="1">
        <f t="array" ref="S3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1" s="23" t="str" cm="1">
        <f t="array" ref="T3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1" s="14" t="str" cm="1">
        <f t="array" ref="U3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1" t="str" cm="1">
        <f t="array" ref="V3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1" t="str" cm="1">
        <f t="array" ref="W3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1" t="str">
        <f>IF(COUNTIFS('Base Estudiantes'!$C:$C,tblMatriculas[[#This Row],[Cédula]],'Base Estudiantes'!$I:$I,tblMatriculas[[#This Row],[Código]])&gt;0,"Sí","No")</f>
        <v>Sí</v>
      </c>
      <c r="Z321" s="23" cm="1">
        <f t="array" ref="Z321">_xlfn.XLOOKUP(tblMatriculas[[#This Row],[Cédula]]&amp;"|"&amp;tblMatriculas[[#This Row],[Código]],tblBase[Documento]&amp;"|"&amp;tblBase[Código grupo],tblBase[Fecha matrícula],"")</f>
        <v>46264</v>
      </c>
    </row>
    <row r="322" spans="1:26" x14ac:dyDescent="0.2">
      <c r="A322" t="s">
        <v>708</v>
      </c>
      <c r="B322" t="s">
        <v>709</v>
      </c>
      <c r="C322" t="s">
        <v>13</v>
      </c>
      <c r="D322" t="s">
        <v>647</v>
      </c>
      <c r="E322" t="s">
        <v>648</v>
      </c>
      <c r="F322" t="s">
        <v>649</v>
      </c>
      <c r="G322" s="1">
        <v>6.7000000000000004E-2</v>
      </c>
      <c r="H322" t="s">
        <v>166</v>
      </c>
      <c r="I322" t="s">
        <v>18</v>
      </c>
      <c r="J322" t="s">
        <v>226</v>
      </c>
      <c r="K322" t="s">
        <v>24</v>
      </c>
      <c r="L322" s="14">
        <f>IFERROR(VALUE(LEFT(tblMatriculas[[#This Row],[Clases]],FIND("/",tblMatriculas[[#This Row],[Clases]])-1)),"")</f>
        <v>2</v>
      </c>
      <c r="M322" s="14">
        <f>IFERROR(VALUE(MID(tblMatriculas[[#This Row],[Clases]],FIND("/",tblMatriculas[[#This Row],[Clases]])+1,5)),"")</f>
        <v>30</v>
      </c>
      <c r="N3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2" s="14">
        <f>IF(OR(tblMatriculas[[#This Row],[Estado]]&lt;&gt;"activa",tblMatriculas[[#This Row],[Clases dictadas]]=""),"",MAX(0,tblMatriculas[[#This Row],[Clases dictadas]]-tblMatriculas[[#This Row],[Asistidas]]))</f>
        <v>2</v>
      </c>
      <c r="P322" s="1">
        <f>IF(OR(tblMatriculas[[#This Row],[Estado]]&lt;&gt;"activa",tblMatriculas[[#This Row],[Asistidas]]=""),"",tblMatriculas[[#This Row],[Asistencia]])</f>
        <v>6.7000000000000004E-2</v>
      </c>
      <c r="Q322" t="b">
        <f>AND(tblMatriculas[[#This Row],[Estado]]="activa",ISNUMBER(tblMatriculas[[#This Row],[% asistencia]]),NOT(ISNUMBER(SEARCH(pPrueba,tblMatriculas[[#This Row],[Nombre]]))))</f>
        <v>1</v>
      </c>
      <c r="R3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22" s="23" t="str" cm="1">
        <f t="array" ref="S3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2" s="23" t="str" cm="1">
        <f t="array" ref="T3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2" s="14" t="str" cm="1">
        <f t="array" ref="U3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2" t="str" cm="1">
        <f t="array" ref="V3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2" t="str" cm="1">
        <f t="array" ref="W3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22" t="str">
        <f>IF(COUNTIFS('Base Estudiantes'!$C:$C,tblMatriculas[[#This Row],[Cédula]],'Base Estudiantes'!$I:$I,tblMatriculas[[#This Row],[Código]])&gt;0,"Sí","No")</f>
        <v>Sí</v>
      </c>
      <c r="Z322" s="23" cm="1">
        <f t="array" ref="Z322">_xlfn.XLOOKUP(tblMatriculas[[#This Row],[Cédula]]&amp;"|"&amp;tblMatriculas[[#This Row],[Código]],tblBase[Documento]&amp;"|"&amp;tblBase[Código grupo],tblBase[Fecha matrícula],"")</f>
        <v>46264</v>
      </c>
    </row>
    <row r="323" spans="1:26" x14ac:dyDescent="0.2">
      <c r="A323" t="s">
        <v>710</v>
      </c>
      <c r="B323" t="s">
        <v>711</v>
      </c>
      <c r="C323" t="s">
        <v>49</v>
      </c>
      <c r="D323" t="s">
        <v>647</v>
      </c>
      <c r="E323" t="s">
        <v>648</v>
      </c>
      <c r="F323" t="s">
        <v>649</v>
      </c>
      <c r="G323" s="1">
        <v>6.7000000000000004E-2</v>
      </c>
      <c r="H323" t="s">
        <v>166</v>
      </c>
      <c r="I323" t="s">
        <v>18</v>
      </c>
      <c r="J323" t="s">
        <v>226</v>
      </c>
      <c r="K323" t="s">
        <v>24</v>
      </c>
      <c r="L323" s="14">
        <f>IFERROR(VALUE(LEFT(tblMatriculas[[#This Row],[Clases]],FIND("/",tblMatriculas[[#This Row],[Clases]])-1)),"")</f>
        <v>2</v>
      </c>
      <c r="M323" s="14">
        <f>IFERROR(VALUE(MID(tblMatriculas[[#This Row],[Clases]],FIND("/",tblMatriculas[[#This Row],[Clases]])+1,5)),"")</f>
        <v>30</v>
      </c>
      <c r="N3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3" s="14" t="str">
        <f>IF(OR(tblMatriculas[[#This Row],[Estado]]&lt;&gt;"activa",tblMatriculas[[#This Row],[Clases dictadas]]=""),"",MAX(0,tblMatriculas[[#This Row],[Clases dictadas]]-tblMatriculas[[#This Row],[Asistidas]]))</f>
        <v/>
      </c>
      <c r="P323" s="1" t="str">
        <f>IF(OR(tblMatriculas[[#This Row],[Estado]]&lt;&gt;"activa",tblMatriculas[[#This Row],[Asistidas]]=""),"",tblMatriculas[[#This Row],[Asistencia]])</f>
        <v/>
      </c>
      <c r="Q323" t="b">
        <f>AND(tblMatriculas[[#This Row],[Estado]]="activa",ISNUMBER(tblMatriculas[[#This Row],[% asistencia]]),NOT(ISNUMBER(SEARCH(pPrueba,tblMatriculas[[#This Row],[Nombre]]))))</f>
        <v>0</v>
      </c>
      <c r="R3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323" s="23" t="str" cm="1">
        <f t="array" ref="S3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3" s="23" t="str" cm="1">
        <f t="array" ref="T3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3" s="14" t="str" cm="1">
        <f t="array" ref="U3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3" t="str" cm="1">
        <f t="array" ref="V3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3" t="str" cm="1">
        <f t="array" ref="W3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3" t="str">
        <f>IF(COUNTIFS('Base Estudiantes'!$C:$C,tblMatriculas[[#This Row],[Cédula]],'Base Estudiantes'!$I:$I,tblMatriculas[[#This Row],[Código]])&gt;0,"Sí","No")</f>
        <v>No</v>
      </c>
      <c r="Z323" s="23" t="str" cm="1">
        <f t="array" ref="Z323">_xlfn.XLOOKUP(tblMatriculas[[#This Row],[Cédula]]&amp;"|"&amp;tblMatriculas[[#This Row],[Código]],tblBase[Documento]&amp;"|"&amp;tblBase[Código grupo],tblBase[Fecha matrícula],"")</f>
        <v/>
      </c>
    </row>
    <row r="324" spans="1:26" x14ac:dyDescent="0.2">
      <c r="A324" t="s">
        <v>712</v>
      </c>
      <c r="B324" t="s">
        <v>713</v>
      </c>
      <c r="C324" t="s">
        <v>13</v>
      </c>
      <c r="D324" t="s">
        <v>647</v>
      </c>
      <c r="E324" t="s">
        <v>648</v>
      </c>
      <c r="F324" t="s">
        <v>649</v>
      </c>
      <c r="G324" s="1">
        <v>0.13300000000000001</v>
      </c>
      <c r="H324" t="s">
        <v>112</v>
      </c>
      <c r="I324" t="s">
        <v>18</v>
      </c>
      <c r="J324" t="s">
        <v>226</v>
      </c>
      <c r="K324" t="s">
        <v>24</v>
      </c>
      <c r="L324" s="14">
        <f>IFERROR(VALUE(LEFT(tblMatriculas[[#This Row],[Clases]],FIND("/",tblMatriculas[[#This Row],[Clases]])-1)),"")</f>
        <v>4</v>
      </c>
      <c r="M324" s="14">
        <f>IFERROR(VALUE(MID(tblMatriculas[[#This Row],[Clases]],FIND("/",tblMatriculas[[#This Row],[Clases]])+1,5)),"")</f>
        <v>30</v>
      </c>
      <c r="N3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4" s="14">
        <f>IF(OR(tblMatriculas[[#This Row],[Estado]]&lt;&gt;"activa",tblMatriculas[[#This Row],[Clases dictadas]]=""),"",MAX(0,tblMatriculas[[#This Row],[Clases dictadas]]-tblMatriculas[[#This Row],[Asistidas]]))</f>
        <v>0</v>
      </c>
      <c r="P324" s="1">
        <f>IF(OR(tblMatriculas[[#This Row],[Estado]]&lt;&gt;"activa",tblMatriculas[[#This Row],[Asistidas]]=""),"",tblMatriculas[[#This Row],[Asistencia]])</f>
        <v>0.13300000000000001</v>
      </c>
      <c r="Q324" t="b">
        <f>AND(tblMatriculas[[#This Row],[Estado]]="activa",ISNUMBER(tblMatriculas[[#This Row],[% asistencia]]),NOT(ISNUMBER(SEARCH(pPrueba,tblMatriculas[[#This Row],[Nombre]]))))</f>
        <v>1</v>
      </c>
      <c r="R3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4" s="23" t="str" cm="1">
        <f t="array" ref="S3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4" s="23" t="str" cm="1">
        <f t="array" ref="T3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4" s="14" t="str" cm="1">
        <f t="array" ref="U3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4" t="str" cm="1">
        <f t="array" ref="V3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4" t="str" cm="1">
        <f t="array" ref="W3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4" t="str">
        <f>IF(COUNTIFS('Base Estudiantes'!$C:$C,tblMatriculas[[#This Row],[Cédula]],'Base Estudiantes'!$I:$I,tblMatriculas[[#This Row],[Código]])&gt;0,"Sí","No")</f>
        <v>Sí</v>
      </c>
      <c r="Z324" s="23" cm="1">
        <f t="array" ref="Z324">_xlfn.XLOOKUP(tblMatriculas[[#This Row],[Cédula]]&amp;"|"&amp;tblMatriculas[[#This Row],[Código]],tblBase[Documento]&amp;"|"&amp;tblBase[Código grupo],tblBase[Fecha matrícula],"")</f>
        <v>46264</v>
      </c>
    </row>
    <row r="325" spans="1:26" x14ac:dyDescent="0.2">
      <c r="A325" t="s">
        <v>714</v>
      </c>
      <c r="B325" t="s">
        <v>715</v>
      </c>
      <c r="C325" t="s">
        <v>13</v>
      </c>
      <c r="D325" t="s">
        <v>647</v>
      </c>
      <c r="E325" t="s">
        <v>648</v>
      </c>
      <c r="F325" t="s">
        <v>649</v>
      </c>
      <c r="G325" s="1">
        <v>0.1</v>
      </c>
      <c r="H325" t="s">
        <v>117</v>
      </c>
      <c r="I325" t="s">
        <v>18</v>
      </c>
      <c r="J325" t="s">
        <v>226</v>
      </c>
      <c r="K325" t="s">
        <v>24</v>
      </c>
      <c r="L325" s="14">
        <f>IFERROR(VALUE(LEFT(tblMatriculas[[#This Row],[Clases]],FIND("/",tblMatriculas[[#This Row],[Clases]])-1)),"")</f>
        <v>3</v>
      </c>
      <c r="M325" s="14">
        <f>IFERROR(VALUE(MID(tblMatriculas[[#This Row],[Clases]],FIND("/",tblMatriculas[[#This Row],[Clases]])+1,5)),"")</f>
        <v>30</v>
      </c>
      <c r="N3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5" s="14">
        <f>IF(OR(tblMatriculas[[#This Row],[Estado]]&lt;&gt;"activa",tblMatriculas[[#This Row],[Clases dictadas]]=""),"",MAX(0,tblMatriculas[[#This Row],[Clases dictadas]]-tblMatriculas[[#This Row],[Asistidas]]))</f>
        <v>1</v>
      </c>
      <c r="P325" s="1">
        <f>IF(OR(tblMatriculas[[#This Row],[Estado]]&lt;&gt;"activa",tblMatriculas[[#This Row],[Asistidas]]=""),"",tblMatriculas[[#This Row],[Asistencia]])</f>
        <v>0.1</v>
      </c>
      <c r="Q325" t="b">
        <f>AND(tblMatriculas[[#This Row],[Estado]]="activa",ISNUMBER(tblMatriculas[[#This Row],[% asistencia]]),NOT(ISNUMBER(SEARCH(pPrueba,tblMatriculas[[#This Row],[Nombre]]))))</f>
        <v>1</v>
      </c>
      <c r="R3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5" s="23" t="str" cm="1">
        <f t="array" ref="S3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5" s="23" t="str" cm="1">
        <f t="array" ref="T3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5" s="14" t="str" cm="1">
        <f t="array" ref="U3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5" t="str" cm="1">
        <f t="array" ref="V3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5" t="str" cm="1">
        <f t="array" ref="W3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5" t="str">
        <f>IF(COUNTIFS('Base Estudiantes'!$C:$C,tblMatriculas[[#This Row],[Cédula]],'Base Estudiantes'!$I:$I,tblMatriculas[[#This Row],[Código]])&gt;0,"Sí","No")</f>
        <v>Sí</v>
      </c>
      <c r="Z325" s="23" cm="1">
        <f t="array" ref="Z325">_xlfn.XLOOKUP(tblMatriculas[[#This Row],[Cédula]]&amp;"|"&amp;tblMatriculas[[#This Row],[Código]],tblBase[Documento]&amp;"|"&amp;tblBase[Código grupo],tblBase[Fecha matrícula],"")</f>
        <v>46264</v>
      </c>
    </row>
    <row r="326" spans="1:26" x14ac:dyDescent="0.2">
      <c r="A326" t="s">
        <v>716</v>
      </c>
      <c r="B326" t="s">
        <v>717</v>
      </c>
      <c r="C326" t="s">
        <v>13</v>
      </c>
      <c r="D326" t="s">
        <v>647</v>
      </c>
      <c r="E326" t="s">
        <v>648</v>
      </c>
      <c r="F326" t="s">
        <v>649</v>
      </c>
      <c r="G326" s="1">
        <v>0.1</v>
      </c>
      <c r="H326" t="s">
        <v>117</v>
      </c>
      <c r="I326" t="s">
        <v>18</v>
      </c>
      <c r="J326" t="s">
        <v>226</v>
      </c>
      <c r="K326" t="s">
        <v>24</v>
      </c>
      <c r="L326" s="14">
        <f>IFERROR(VALUE(LEFT(tblMatriculas[[#This Row],[Clases]],FIND("/",tblMatriculas[[#This Row],[Clases]])-1)),"")</f>
        <v>3</v>
      </c>
      <c r="M326" s="14">
        <f>IFERROR(VALUE(MID(tblMatriculas[[#This Row],[Clases]],FIND("/",tblMatriculas[[#This Row],[Clases]])+1,5)),"")</f>
        <v>30</v>
      </c>
      <c r="N3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6" s="14">
        <f>IF(OR(tblMatriculas[[#This Row],[Estado]]&lt;&gt;"activa",tblMatriculas[[#This Row],[Clases dictadas]]=""),"",MAX(0,tblMatriculas[[#This Row],[Clases dictadas]]-tblMatriculas[[#This Row],[Asistidas]]))</f>
        <v>1</v>
      </c>
      <c r="P326" s="1">
        <f>IF(OR(tblMatriculas[[#This Row],[Estado]]&lt;&gt;"activa",tblMatriculas[[#This Row],[Asistidas]]=""),"",tblMatriculas[[#This Row],[Asistencia]])</f>
        <v>0.1</v>
      </c>
      <c r="Q326" t="b">
        <f>AND(tblMatriculas[[#This Row],[Estado]]="activa",ISNUMBER(tblMatriculas[[#This Row],[% asistencia]]),NOT(ISNUMBER(SEARCH(pPrueba,tblMatriculas[[#This Row],[Nombre]]))))</f>
        <v>1</v>
      </c>
      <c r="R3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6" s="23" t="str" cm="1">
        <f t="array" ref="S3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6" s="23" t="str" cm="1">
        <f t="array" ref="T3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6" s="14" t="str" cm="1">
        <f t="array" ref="U3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6" t="str" cm="1">
        <f t="array" ref="V3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6" t="str" cm="1">
        <f t="array" ref="W3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6" t="str">
        <f>IF(COUNTIFS('Base Estudiantes'!$C:$C,tblMatriculas[[#This Row],[Cédula]],'Base Estudiantes'!$I:$I,tblMatriculas[[#This Row],[Código]])&gt;0,"Sí","No")</f>
        <v>Sí</v>
      </c>
      <c r="Z326" s="23" cm="1">
        <f t="array" ref="Z326">_xlfn.XLOOKUP(tblMatriculas[[#This Row],[Cédula]]&amp;"|"&amp;tblMatriculas[[#This Row],[Código]],tblBase[Documento]&amp;"|"&amp;tblBase[Código grupo],tblBase[Fecha matrícula],"")</f>
        <v>46264</v>
      </c>
    </row>
    <row r="327" spans="1:26" x14ac:dyDescent="0.2">
      <c r="A327" t="s">
        <v>718</v>
      </c>
      <c r="B327" t="s">
        <v>719</v>
      </c>
      <c r="C327" t="s">
        <v>13</v>
      </c>
      <c r="D327" t="s">
        <v>647</v>
      </c>
      <c r="E327" t="s">
        <v>648</v>
      </c>
      <c r="F327" t="s">
        <v>649</v>
      </c>
      <c r="G327" s="1">
        <v>6.7000000000000004E-2</v>
      </c>
      <c r="H327" t="s">
        <v>166</v>
      </c>
      <c r="I327" t="s">
        <v>18</v>
      </c>
      <c r="J327" t="s">
        <v>226</v>
      </c>
      <c r="K327" t="s">
        <v>233</v>
      </c>
      <c r="L327" s="14">
        <f>IFERROR(VALUE(LEFT(tblMatriculas[[#This Row],[Clases]],FIND("/",tblMatriculas[[#This Row],[Clases]])-1)),"")</f>
        <v>2</v>
      </c>
      <c r="M327" s="14">
        <f>IFERROR(VALUE(MID(tblMatriculas[[#This Row],[Clases]],FIND("/",tblMatriculas[[#This Row],[Clases]])+1,5)),"")</f>
        <v>30</v>
      </c>
      <c r="N3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7" s="14">
        <f>IF(OR(tblMatriculas[[#This Row],[Estado]]&lt;&gt;"activa",tblMatriculas[[#This Row],[Clases dictadas]]=""),"",MAX(0,tblMatriculas[[#This Row],[Clases dictadas]]-tblMatriculas[[#This Row],[Asistidas]]))</f>
        <v>2</v>
      </c>
      <c r="P327" s="1">
        <f>IF(OR(tblMatriculas[[#This Row],[Estado]]&lt;&gt;"activa",tblMatriculas[[#This Row],[Asistidas]]=""),"",tblMatriculas[[#This Row],[Asistencia]])</f>
        <v>6.7000000000000004E-2</v>
      </c>
      <c r="Q327" t="b">
        <f>AND(tblMatriculas[[#This Row],[Estado]]="activa",ISNUMBER(tblMatriculas[[#This Row],[% asistencia]]),NOT(ISNUMBER(SEARCH(pPrueba,tblMatriculas[[#This Row],[Nombre]]))))</f>
        <v>1</v>
      </c>
      <c r="R3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27" s="23" t="str" cm="1">
        <f t="array" ref="S3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7" s="23" t="str" cm="1">
        <f t="array" ref="T3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7" s="14" t="str" cm="1">
        <f t="array" ref="U3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7" t="str" cm="1">
        <f t="array" ref="V3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7" t="str" cm="1">
        <f t="array" ref="W3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27" t="str">
        <f>IF(COUNTIFS('Base Estudiantes'!$C:$C,tblMatriculas[[#This Row],[Cédula]],'Base Estudiantes'!$I:$I,tblMatriculas[[#This Row],[Código]])&gt;0,"Sí","No")</f>
        <v>Sí</v>
      </c>
      <c r="Z327" s="23" cm="1">
        <f t="array" ref="Z327">_xlfn.XLOOKUP(tblMatriculas[[#This Row],[Cédula]]&amp;"|"&amp;tblMatriculas[[#This Row],[Código]],tblBase[Documento]&amp;"|"&amp;tblBase[Código grupo],tblBase[Fecha matrícula],"")</f>
        <v>46264</v>
      </c>
    </row>
    <row r="328" spans="1:26" x14ac:dyDescent="0.2">
      <c r="A328" t="s">
        <v>720</v>
      </c>
      <c r="B328" t="s">
        <v>721</v>
      </c>
      <c r="C328" t="s">
        <v>13</v>
      </c>
      <c r="D328" t="s">
        <v>647</v>
      </c>
      <c r="E328" t="s">
        <v>648</v>
      </c>
      <c r="F328" t="s">
        <v>649</v>
      </c>
      <c r="G328" s="1">
        <v>3.3000000000000002E-2</v>
      </c>
      <c r="H328" t="s">
        <v>225</v>
      </c>
      <c r="I328" t="s">
        <v>18</v>
      </c>
      <c r="J328" t="s">
        <v>226</v>
      </c>
      <c r="K328" t="s">
        <v>24</v>
      </c>
      <c r="L328" s="14">
        <f>IFERROR(VALUE(LEFT(tblMatriculas[[#This Row],[Clases]],FIND("/",tblMatriculas[[#This Row],[Clases]])-1)),"")</f>
        <v>1</v>
      </c>
      <c r="M328" s="14">
        <f>IFERROR(VALUE(MID(tblMatriculas[[#This Row],[Clases]],FIND("/",tblMatriculas[[#This Row],[Clases]])+1,5)),"")</f>
        <v>30</v>
      </c>
      <c r="N3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8" s="14">
        <f>IF(OR(tblMatriculas[[#This Row],[Estado]]&lt;&gt;"activa",tblMatriculas[[#This Row],[Clases dictadas]]=""),"",MAX(0,tblMatriculas[[#This Row],[Clases dictadas]]-tblMatriculas[[#This Row],[Asistidas]]))</f>
        <v>3</v>
      </c>
      <c r="P328" s="1">
        <f>IF(OR(tblMatriculas[[#This Row],[Estado]]&lt;&gt;"activa",tblMatriculas[[#This Row],[Asistidas]]=""),"",tblMatriculas[[#This Row],[Asistencia]])</f>
        <v>3.3000000000000002E-2</v>
      </c>
      <c r="Q328" t="b">
        <f>AND(tblMatriculas[[#This Row],[Estado]]="activa",ISNUMBER(tblMatriculas[[#This Row],[% asistencia]]),NOT(ISNUMBER(SEARCH(pPrueba,tblMatriculas[[#This Row],[Nombre]]))))</f>
        <v>1</v>
      </c>
      <c r="R3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28" s="23" t="str" cm="1">
        <f t="array" ref="S3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8" s="23" t="str" cm="1">
        <f t="array" ref="T3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8" s="14" t="str" cm="1">
        <f t="array" ref="U3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8" t="str" cm="1">
        <f t="array" ref="V3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8" t="str" cm="1">
        <f t="array" ref="W3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28" t="str">
        <f>IF(COUNTIFS('Base Estudiantes'!$C:$C,tblMatriculas[[#This Row],[Cédula]],'Base Estudiantes'!$I:$I,tblMatriculas[[#This Row],[Código]])&gt;0,"Sí","No")</f>
        <v>Sí</v>
      </c>
      <c r="Z328" s="23" cm="1">
        <f t="array" ref="Z328">_xlfn.XLOOKUP(tblMatriculas[[#This Row],[Cédula]]&amp;"|"&amp;tblMatriculas[[#This Row],[Código]],tblBase[Documento]&amp;"|"&amp;tblBase[Código grupo],tblBase[Fecha matrícula],"")</f>
        <v>46264</v>
      </c>
    </row>
    <row r="329" spans="1:26" x14ac:dyDescent="0.2">
      <c r="A329" t="s">
        <v>722</v>
      </c>
      <c r="B329" t="s">
        <v>723</v>
      </c>
      <c r="C329" t="s">
        <v>13</v>
      </c>
      <c r="D329" t="s">
        <v>647</v>
      </c>
      <c r="E329" t="s">
        <v>648</v>
      </c>
      <c r="F329" t="s">
        <v>649</v>
      </c>
      <c r="G329" s="1">
        <v>0.13300000000000001</v>
      </c>
      <c r="H329" t="s">
        <v>112</v>
      </c>
      <c r="I329" t="s">
        <v>18</v>
      </c>
      <c r="J329" t="s">
        <v>226</v>
      </c>
      <c r="K329" t="s">
        <v>24</v>
      </c>
      <c r="L329" s="14">
        <f>IFERROR(VALUE(LEFT(tblMatriculas[[#This Row],[Clases]],FIND("/",tblMatriculas[[#This Row],[Clases]])-1)),"")</f>
        <v>4</v>
      </c>
      <c r="M329" s="14">
        <f>IFERROR(VALUE(MID(tblMatriculas[[#This Row],[Clases]],FIND("/",tblMatriculas[[#This Row],[Clases]])+1,5)),"")</f>
        <v>30</v>
      </c>
      <c r="N3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29" s="14">
        <f>IF(OR(tblMatriculas[[#This Row],[Estado]]&lt;&gt;"activa",tblMatriculas[[#This Row],[Clases dictadas]]=""),"",MAX(0,tblMatriculas[[#This Row],[Clases dictadas]]-tblMatriculas[[#This Row],[Asistidas]]))</f>
        <v>0</v>
      </c>
      <c r="P329" s="1">
        <f>IF(OR(tblMatriculas[[#This Row],[Estado]]&lt;&gt;"activa",tblMatriculas[[#This Row],[Asistidas]]=""),"",tblMatriculas[[#This Row],[Asistencia]])</f>
        <v>0.13300000000000001</v>
      </c>
      <c r="Q329" t="b">
        <f>AND(tblMatriculas[[#This Row],[Estado]]="activa",ISNUMBER(tblMatriculas[[#This Row],[% asistencia]]),NOT(ISNUMBER(SEARCH(pPrueba,tblMatriculas[[#This Row],[Nombre]]))))</f>
        <v>1</v>
      </c>
      <c r="R3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29" s="23" t="str" cm="1">
        <f t="array" ref="S3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29" s="23" t="str" cm="1">
        <f t="array" ref="T3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29" s="14" t="str" cm="1">
        <f t="array" ref="U3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29" t="str" cm="1">
        <f t="array" ref="V3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29" t="str" cm="1">
        <f t="array" ref="W3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29" t="str">
        <f>IF(COUNTIFS('Base Estudiantes'!$C:$C,tblMatriculas[[#This Row],[Cédula]],'Base Estudiantes'!$I:$I,tblMatriculas[[#This Row],[Código]])&gt;0,"Sí","No")</f>
        <v>Sí</v>
      </c>
      <c r="Z329" s="23" cm="1">
        <f t="array" ref="Z329">_xlfn.XLOOKUP(tblMatriculas[[#This Row],[Cédula]]&amp;"|"&amp;tblMatriculas[[#This Row],[Código]],tblBase[Documento]&amp;"|"&amp;tblBase[Código grupo],tblBase[Fecha matrícula],"")</f>
        <v>46264</v>
      </c>
    </row>
    <row r="330" spans="1:26" x14ac:dyDescent="0.2">
      <c r="A330" t="s">
        <v>724</v>
      </c>
      <c r="B330" t="s">
        <v>725</v>
      </c>
      <c r="C330" t="s">
        <v>13</v>
      </c>
      <c r="D330" t="s">
        <v>647</v>
      </c>
      <c r="E330" t="s">
        <v>648</v>
      </c>
      <c r="F330" t="s">
        <v>649</v>
      </c>
      <c r="G330" s="1">
        <v>3.3000000000000002E-2</v>
      </c>
      <c r="H330" t="s">
        <v>225</v>
      </c>
      <c r="I330" t="s">
        <v>18</v>
      </c>
      <c r="J330" t="s">
        <v>226</v>
      </c>
      <c r="K330" t="s">
        <v>24</v>
      </c>
      <c r="L330" s="14">
        <f>IFERROR(VALUE(LEFT(tblMatriculas[[#This Row],[Clases]],FIND("/",tblMatriculas[[#This Row],[Clases]])-1)),"")</f>
        <v>1</v>
      </c>
      <c r="M330" s="14">
        <f>IFERROR(VALUE(MID(tblMatriculas[[#This Row],[Clases]],FIND("/",tblMatriculas[[#This Row],[Clases]])+1,5)),"")</f>
        <v>30</v>
      </c>
      <c r="N3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0" s="14">
        <f>IF(OR(tblMatriculas[[#This Row],[Estado]]&lt;&gt;"activa",tblMatriculas[[#This Row],[Clases dictadas]]=""),"",MAX(0,tblMatriculas[[#This Row],[Clases dictadas]]-tblMatriculas[[#This Row],[Asistidas]]))</f>
        <v>3</v>
      </c>
      <c r="P330" s="1">
        <f>IF(OR(tblMatriculas[[#This Row],[Estado]]&lt;&gt;"activa",tblMatriculas[[#This Row],[Asistidas]]=""),"",tblMatriculas[[#This Row],[Asistencia]])</f>
        <v>3.3000000000000002E-2</v>
      </c>
      <c r="Q330" t="b">
        <f>AND(tblMatriculas[[#This Row],[Estado]]="activa",ISNUMBER(tblMatriculas[[#This Row],[% asistencia]]),NOT(ISNUMBER(SEARCH(pPrueba,tblMatriculas[[#This Row],[Nombre]]))))</f>
        <v>1</v>
      </c>
      <c r="R3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30" s="23" t="str" cm="1">
        <f t="array" ref="S3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0" s="23" t="str" cm="1">
        <f t="array" ref="T3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0" s="14" t="str" cm="1">
        <f t="array" ref="U3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0" t="str" cm="1">
        <f t="array" ref="V3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0" t="str" cm="1">
        <f t="array" ref="W3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30" t="str">
        <f>IF(COUNTIFS('Base Estudiantes'!$C:$C,tblMatriculas[[#This Row],[Cédula]],'Base Estudiantes'!$I:$I,tblMatriculas[[#This Row],[Código]])&gt;0,"Sí","No")</f>
        <v>Sí</v>
      </c>
      <c r="Z330" s="23" cm="1">
        <f t="array" ref="Z330">_xlfn.XLOOKUP(tblMatriculas[[#This Row],[Cédula]]&amp;"|"&amp;tblMatriculas[[#This Row],[Código]],tblBase[Documento]&amp;"|"&amp;tblBase[Código grupo],tblBase[Fecha matrícula],"")</f>
        <v>46264</v>
      </c>
    </row>
    <row r="331" spans="1:26" x14ac:dyDescent="0.2">
      <c r="A331" t="s">
        <v>726</v>
      </c>
      <c r="B331" t="s">
        <v>727</v>
      </c>
      <c r="C331" t="s">
        <v>13</v>
      </c>
      <c r="D331" t="s">
        <v>647</v>
      </c>
      <c r="E331" t="s">
        <v>648</v>
      </c>
      <c r="F331" t="s">
        <v>649</v>
      </c>
      <c r="G331" s="1">
        <v>0.13300000000000001</v>
      </c>
      <c r="H331" t="s">
        <v>112</v>
      </c>
      <c r="I331" t="s">
        <v>18</v>
      </c>
      <c r="J331" t="s">
        <v>226</v>
      </c>
      <c r="K331" t="s">
        <v>24</v>
      </c>
      <c r="L331" s="14">
        <f>IFERROR(VALUE(LEFT(tblMatriculas[[#This Row],[Clases]],FIND("/",tblMatriculas[[#This Row],[Clases]])-1)),"")</f>
        <v>4</v>
      </c>
      <c r="M331" s="14">
        <f>IFERROR(VALUE(MID(tblMatriculas[[#This Row],[Clases]],FIND("/",tblMatriculas[[#This Row],[Clases]])+1,5)),"")</f>
        <v>30</v>
      </c>
      <c r="N3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1" s="14">
        <f>IF(OR(tblMatriculas[[#This Row],[Estado]]&lt;&gt;"activa",tblMatriculas[[#This Row],[Clases dictadas]]=""),"",MAX(0,tblMatriculas[[#This Row],[Clases dictadas]]-tblMatriculas[[#This Row],[Asistidas]]))</f>
        <v>0</v>
      </c>
      <c r="P331" s="1">
        <f>IF(OR(tblMatriculas[[#This Row],[Estado]]&lt;&gt;"activa",tblMatriculas[[#This Row],[Asistidas]]=""),"",tblMatriculas[[#This Row],[Asistencia]])</f>
        <v>0.13300000000000001</v>
      </c>
      <c r="Q331" t="b">
        <f>AND(tblMatriculas[[#This Row],[Estado]]="activa",ISNUMBER(tblMatriculas[[#This Row],[% asistencia]]),NOT(ISNUMBER(SEARCH(pPrueba,tblMatriculas[[#This Row],[Nombre]]))))</f>
        <v>1</v>
      </c>
      <c r="R3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1" s="23" t="str" cm="1">
        <f t="array" ref="S3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1" s="23" t="str" cm="1">
        <f t="array" ref="T3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1" s="14" t="str" cm="1">
        <f t="array" ref="U3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1" t="str" cm="1">
        <f t="array" ref="V3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1" t="str" cm="1">
        <f t="array" ref="W3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1" t="str">
        <f>IF(COUNTIFS('Base Estudiantes'!$C:$C,tblMatriculas[[#This Row],[Cédula]],'Base Estudiantes'!$I:$I,tblMatriculas[[#This Row],[Código]])&gt;0,"Sí","No")</f>
        <v>Sí</v>
      </c>
      <c r="Z331" s="23" cm="1">
        <f t="array" ref="Z331">_xlfn.XLOOKUP(tblMatriculas[[#This Row],[Cédula]]&amp;"|"&amp;tblMatriculas[[#This Row],[Código]],tblBase[Documento]&amp;"|"&amp;tblBase[Código grupo],tblBase[Fecha matrícula],"")</f>
        <v>46264</v>
      </c>
    </row>
    <row r="332" spans="1:26" x14ac:dyDescent="0.2">
      <c r="A332" t="s">
        <v>728</v>
      </c>
      <c r="B332" t="s">
        <v>729</v>
      </c>
      <c r="C332" t="s">
        <v>13</v>
      </c>
      <c r="D332" t="s">
        <v>647</v>
      </c>
      <c r="E332" t="s">
        <v>648</v>
      </c>
      <c r="F332" t="s">
        <v>649</v>
      </c>
      <c r="G332" s="1">
        <v>6.7000000000000004E-2</v>
      </c>
      <c r="H332" t="s">
        <v>166</v>
      </c>
      <c r="I332" t="s">
        <v>18</v>
      </c>
      <c r="J332" t="s">
        <v>226</v>
      </c>
      <c r="K332" t="s">
        <v>24</v>
      </c>
      <c r="L332" s="14">
        <f>IFERROR(VALUE(LEFT(tblMatriculas[[#This Row],[Clases]],FIND("/",tblMatriculas[[#This Row],[Clases]])-1)),"")</f>
        <v>2</v>
      </c>
      <c r="M332" s="14">
        <f>IFERROR(VALUE(MID(tblMatriculas[[#This Row],[Clases]],FIND("/",tblMatriculas[[#This Row],[Clases]])+1,5)),"")</f>
        <v>30</v>
      </c>
      <c r="N3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2" s="14">
        <f>IF(OR(tblMatriculas[[#This Row],[Estado]]&lt;&gt;"activa",tblMatriculas[[#This Row],[Clases dictadas]]=""),"",MAX(0,tblMatriculas[[#This Row],[Clases dictadas]]-tblMatriculas[[#This Row],[Asistidas]]))</f>
        <v>2</v>
      </c>
      <c r="P332" s="1">
        <f>IF(OR(tblMatriculas[[#This Row],[Estado]]&lt;&gt;"activa",tblMatriculas[[#This Row],[Asistidas]]=""),"",tblMatriculas[[#This Row],[Asistencia]])</f>
        <v>6.7000000000000004E-2</v>
      </c>
      <c r="Q332" t="b">
        <f>AND(tblMatriculas[[#This Row],[Estado]]="activa",ISNUMBER(tblMatriculas[[#This Row],[% asistencia]]),NOT(ISNUMBER(SEARCH(pPrueba,tblMatriculas[[#This Row],[Nombre]]))))</f>
        <v>1</v>
      </c>
      <c r="R3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32" s="23" t="str" cm="1">
        <f t="array" ref="S3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2" s="23" t="str" cm="1">
        <f t="array" ref="T3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2" s="14" t="str" cm="1">
        <f t="array" ref="U3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2" t="str" cm="1">
        <f t="array" ref="V3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2" t="str" cm="1">
        <f t="array" ref="W3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32" t="str">
        <f>IF(COUNTIFS('Base Estudiantes'!$C:$C,tblMatriculas[[#This Row],[Cédula]],'Base Estudiantes'!$I:$I,tblMatriculas[[#This Row],[Código]])&gt;0,"Sí","No")</f>
        <v>Sí</v>
      </c>
      <c r="Z332" s="23" cm="1">
        <f t="array" ref="Z332">_xlfn.XLOOKUP(tblMatriculas[[#This Row],[Cédula]]&amp;"|"&amp;tblMatriculas[[#This Row],[Código]],tblBase[Documento]&amp;"|"&amp;tblBase[Código grupo],tblBase[Fecha matrícula],"")</f>
        <v>46264</v>
      </c>
    </row>
    <row r="333" spans="1:26" x14ac:dyDescent="0.2">
      <c r="A333" t="s">
        <v>730</v>
      </c>
      <c r="B333" t="s">
        <v>731</v>
      </c>
      <c r="C333" t="s">
        <v>13</v>
      </c>
      <c r="D333" t="s">
        <v>647</v>
      </c>
      <c r="E333" t="s">
        <v>648</v>
      </c>
      <c r="F333" t="s">
        <v>649</v>
      </c>
      <c r="G333" s="1">
        <v>0.13300000000000001</v>
      </c>
      <c r="H333" t="s">
        <v>112</v>
      </c>
      <c r="I333" t="s">
        <v>18</v>
      </c>
      <c r="J333" t="s">
        <v>226</v>
      </c>
      <c r="K333" t="s">
        <v>24</v>
      </c>
      <c r="L333" s="14">
        <f>IFERROR(VALUE(LEFT(tblMatriculas[[#This Row],[Clases]],FIND("/",tblMatriculas[[#This Row],[Clases]])-1)),"")</f>
        <v>4</v>
      </c>
      <c r="M333" s="14">
        <f>IFERROR(VALUE(MID(tblMatriculas[[#This Row],[Clases]],FIND("/",tblMatriculas[[#This Row],[Clases]])+1,5)),"")</f>
        <v>30</v>
      </c>
      <c r="N3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3" s="14">
        <f>IF(OR(tblMatriculas[[#This Row],[Estado]]&lt;&gt;"activa",tblMatriculas[[#This Row],[Clases dictadas]]=""),"",MAX(0,tblMatriculas[[#This Row],[Clases dictadas]]-tblMatriculas[[#This Row],[Asistidas]]))</f>
        <v>0</v>
      </c>
      <c r="P333" s="1">
        <f>IF(OR(tblMatriculas[[#This Row],[Estado]]&lt;&gt;"activa",tblMatriculas[[#This Row],[Asistidas]]=""),"",tblMatriculas[[#This Row],[Asistencia]])</f>
        <v>0.13300000000000001</v>
      </c>
      <c r="Q333" t="b">
        <f>AND(tblMatriculas[[#This Row],[Estado]]="activa",ISNUMBER(tblMatriculas[[#This Row],[% asistencia]]),NOT(ISNUMBER(SEARCH(pPrueba,tblMatriculas[[#This Row],[Nombre]]))))</f>
        <v>1</v>
      </c>
      <c r="R3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3" s="23" t="str" cm="1">
        <f t="array" ref="S3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3" s="23" t="str" cm="1">
        <f t="array" ref="T3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3" s="14" t="str" cm="1">
        <f t="array" ref="U3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3" t="str" cm="1">
        <f t="array" ref="V3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3" t="str" cm="1">
        <f t="array" ref="W3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3" t="str">
        <f>IF(COUNTIFS('Base Estudiantes'!$C:$C,tblMatriculas[[#This Row],[Cédula]],'Base Estudiantes'!$I:$I,tblMatriculas[[#This Row],[Código]])&gt;0,"Sí","No")</f>
        <v>Sí</v>
      </c>
      <c r="Z333" s="23" cm="1">
        <f t="array" ref="Z333">_xlfn.XLOOKUP(tblMatriculas[[#This Row],[Cédula]]&amp;"|"&amp;tblMatriculas[[#This Row],[Código]],tblBase[Documento]&amp;"|"&amp;tblBase[Código grupo],tblBase[Fecha matrícula],"")</f>
        <v>46264</v>
      </c>
    </row>
    <row r="334" spans="1:26" x14ac:dyDescent="0.2">
      <c r="A334" t="s">
        <v>732</v>
      </c>
      <c r="B334" t="s">
        <v>733</v>
      </c>
      <c r="C334" t="s">
        <v>13</v>
      </c>
      <c r="D334" t="s">
        <v>647</v>
      </c>
      <c r="E334" t="s">
        <v>648</v>
      </c>
      <c r="F334" t="s">
        <v>649</v>
      </c>
      <c r="G334" s="1">
        <v>6.7000000000000004E-2</v>
      </c>
      <c r="H334" t="s">
        <v>166</v>
      </c>
      <c r="I334" t="s">
        <v>18</v>
      </c>
      <c r="J334" t="s">
        <v>226</v>
      </c>
      <c r="K334" t="s">
        <v>24</v>
      </c>
      <c r="L334" s="14">
        <f>IFERROR(VALUE(LEFT(tblMatriculas[[#This Row],[Clases]],FIND("/",tblMatriculas[[#This Row],[Clases]])-1)),"")</f>
        <v>2</v>
      </c>
      <c r="M334" s="14">
        <f>IFERROR(VALUE(MID(tblMatriculas[[#This Row],[Clases]],FIND("/",tblMatriculas[[#This Row],[Clases]])+1,5)),"")</f>
        <v>30</v>
      </c>
      <c r="N3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4" s="14">
        <f>IF(OR(tblMatriculas[[#This Row],[Estado]]&lt;&gt;"activa",tblMatriculas[[#This Row],[Clases dictadas]]=""),"",MAX(0,tblMatriculas[[#This Row],[Clases dictadas]]-tblMatriculas[[#This Row],[Asistidas]]))</f>
        <v>2</v>
      </c>
      <c r="P334" s="1">
        <f>IF(OR(tblMatriculas[[#This Row],[Estado]]&lt;&gt;"activa",tblMatriculas[[#This Row],[Asistidas]]=""),"",tblMatriculas[[#This Row],[Asistencia]])</f>
        <v>6.7000000000000004E-2</v>
      </c>
      <c r="Q334" t="b">
        <f>AND(tblMatriculas[[#This Row],[Estado]]="activa",ISNUMBER(tblMatriculas[[#This Row],[% asistencia]]),NOT(ISNUMBER(SEARCH(pPrueba,tblMatriculas[[#This Row],[Nombre]]))))</f>
        <v>1</v>
      </c>
      <c r="R3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34" s="23" t="str" cm="1">
        <f t="array" ref="S3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4" s="23" t="str" cm="1">
        <f t="array" ref="T3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4" s="14" t="str" cm="1">
        <f t="array" ref="U3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4" t="str" cm="1">
        <f t="array" ref="V3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4" t="str" cm="1">
        <f t="array" ref="W3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34" t="str">
        <f>IF(COUNTIFS('Base Estudiantes'!$C:$C,tblMatriculas[[#This Row],[Cédula]],'Base Estudiantes'!$I:$I,tblMatriculas[[#This Row],[Código]])&gt;0,"Sí","No")</f>
        <v>Sí</v>
      </c>
      <c r="Z334" s="23" cm="1">
        <f t="array" ref="Z334">_xlfn.XLOOKUP(tblMatriculas[[#This Row],[Cédula]]&amp;"|"&amp;tblMatriculas[[#This Row],[Código]],tblBase[Documento]&amp;"|"&amp;tblBase[Código grupo],tblBase[Fecha matrícula],"")</f>
        <v>46264</v>
      </c>
    </row>
    <row r="335" spans="1:26" x14ac:dyDescent="0.2">
      <c r="A335" t="s">
        <v>734</v>
      </c>
      <c r="B335" t="s">
        <v>735</v>
      </c>
      <c r="C335" t="s">
        <v>13</v>
      </c>
      <c r="D335" t="s">
        <v>647</v>
      </c>
      <c r="E335" t="s">
        <v>648</v>
      </c>
      <c r="F335" t="s">
        <v>649</v>
      </c>
      <c r="G335" s="1">
        <v>0.13300000000000001</v>
      </c>
      <c r="H335" t="s">
        <v>112</v>
      </c>
      <c r="I335" t="s">
        <v>18</v>
      </c>
      <c r="J335" t="s">
        <v>226</v>
      </c>
      <c r="K335" t="s">
        <v>24</v>
      </c>
      <c r="L335" s="14">
        <f>IFERROR(VALUE(LEFT(tblMatriculas[[#This Row],[Clases]],FIND("/",tblMatriculas[[#This Row],[Clases]])-1)),"")</f>
        <v>4</v>
      </c>
      <c r="M335" s="14">
        <f>IFERROR(VALUE(MID(tblMatriculas[[#This Row],[Clases]],FIND("/",tblMatriculas[[#This Row],[Clases]])+1,5)),"")</f>
        <v>30</v>
      </c>
      <c r="N3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5" s="14">
        <f>IF(OR(tblMatriculas[[#This Row],[Estado]]&lt;&gt;"activa",tblMatriculas[[#This Row],[Clases dictadas]]=""),"",MAX(0,tblMatriculas[[#This Row],[Clases dictadas]]-tblMatriculas[[#This Row],[Asistidas]]))</f>
        <v>0</v>
      </c>
      <c r="P335" s="1">
        <f>IF(OR(tblMatriculas[[#This Row],[Estado]]&lt;&gt;"activa",tblMatriculas[[#This Row],[Asistidas]]=""),"",tblMatriculas[[#This Row],[Asistencia]])</f>
        <v>0.13300000000000001</v>
      </c>
      <c r="Q335" t="b">
        <f>AND(tblMatriculas[[#This Row],[Estado]]="activa",ISNUMBER(tblMatriculas[[#This Row],[% asistencia]]),NOT(ISNUMBER(SEARCH(pPrueba,tblMatriculas[[#This Row],[Nombre]]))))</f>
        <v>1</v>
      </c>
      <c r="R3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5" s="23" t="str" cm="1">
        <f t="array" ref="S3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5" s="23" t="str" cm="1">
        <f t="array" ref="T3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5" s="14" t="str" cm="1">
        <f t="array" ref="U3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5" t="str" cm="1">
        <f t="array" ref="V3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5" t="str" cm="1">
        <f t="array" ref="W3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5" t="str">
        <f>IF(COUNTIFS('Base Estudiantes'!$C:$C,tblMatriculas[[#This Row],[Cédula]],'Base Estudiantes'!$I:$I,tblMatriculas[[#This Row],[Código]])&gt;0,"Sí","No")</f>
        <v>Sí</v>
      </c>
      <c r="Z335" s="23" cm="1">
        <f t="array" ref="Z335">_xlfn.XLOOKUP(tblMatriculas[[#This Row],[Cédula]]&amp;"|"&amp;tblMatriculas[[#This Row],[Código]],tblBase[Documento]&amp;"|"&amp;tblBase[Código grupo],tblBase[Fecha matrícula],"")</f>
        <v>46264</v>
      </c>
    </row>
    <row r="336" spans="1:26" x14ac:dyDescent="0.2">
      <c r="A336" t="s">
        <v>736</v>
      </c>
      <c r="B336" t="s">
        <v>737</v>
      </c>
      <c r="C336" t="s">
        <v>13</v>
      </c>
      <c r="D336" t="s">
        <v>647</v>
      </c>
      <c r="E336" t="s">
        <v>648</v>
      </c>
      <c r="F336" t="s">
        <v>649</v>
      </c>
      <c r="G336" s="1">
        <v>0.13300000000000001</v>
      </c>
      <c r="H336" t="s">
        <v>112</v>
      </c>
      <c r="I336" t="s">
        <v>18</v>
      </c>
      <c r="J336" t="s">
        <v>226</v>
      </c>
      <c r="K336" t="s">
        <v>432</v>
      </c>
      <c r="L336" s="14">
        <f>IFERROR(VALUE(LEFT(tblMatriculas[[#This Row],[Clases]],FIND("/",tblMatriculas[[#This Row],[Clases]])-1)),"")</f>
        <v>4</v>
      </c>
      <c r="M336" s="14">
        <f>IFERROR(VALUE(MID(tblMatriculas[[#This Row],[Clases]],FIND("/",tblMatriculas[[#This Row],[Clases]])+1,5)),"")</f>
        <v>30</v>
      </c>
      <c r="N3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6" s="14">
        <f>IF(OR(tblMatriculas[[#This Row],[Estado]]&lt;&gt;"activa",tblMatriculas[[#This Row],[Clases dictadas]]=""),"",MAX(0,tblMatriculas[[#This Row],[Clases dictadas]]-tblMatriculas[[#This Row],[Asistidas]]))</f>
        <v>0</v>
      </c>
      <c r="P336" s="1">
        <f>IF(OR(tblMatriculas[[#This Row],[Estado]]&lt;&gt;"activa",tblMatriculas[[#This Row],[Asistidas]]=""),"",tblMatriculas[[#This Row],[Asistencia]])</f>
        <v>0.13300000000000001</v>
      </c>
      <c r="Q336" t="b">
        <f>AND(tblMatriculas[[#This Row],[Estado]]="activa",ISNUMBER(tblMatriculas[[#This Row],[% asistencia]]),NOT(ISNUMBER(SEARCH(pPrueba,tblMatriculas[[#This Row],[Nombre]]))))</f>
        <v>1</v>
      </c>
      <c r="R3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6" s="23" t="str" cm="1">
        <f t="array" ref="S3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6" s="23" t="str" cm="1">
        <f t="array" ref="T3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6" s="14" t="str" cm="1">
        <f t="array" ref="U3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6" t="str" cm="1">
        <f t="array" ref="V3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6" t="str" cm="1">
        <f t="array" ref="W3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6" t="str">
        <f>IF(COUNTIFS('Base Estudiantes'!$C:$C,tblMatriculas[[#This Row],[Cédula]],'Base Estudiantes'!$I:$I,tblMatriculas[[#This Row],[Código]])&gt;0,"Sí","No")</f>
        <v>Sí</v>
      </c>
      <c r="Z336" s="23" cm="1">
        <f t="array" ref="Z336">_xlfn.XLOOKUP(tblMatriculas[[#This Row],[Cédula]]&amp;"|"&amp;tblMatriculas[[#This Row],[Código]],tblBase[Documento]&amp;"|"&amp;tblBase[Código grupo],tblBase[Fecha matrícula],"")</f>
        <v>46264</v>
      </c>
    </row>
    <row r="337" spans="1:26" x14ac:dyDescent="0.2">
      <c r="A337" t="s">
        <v>738</v>
      </c>
      <c r="B337" t="s">
        <v>739</v>
      </c>
      <c r="C337" t="s">
        <v>13</v>
      </c>
      <c r="D337" t="s">
        <v>647</v>
      </c>
      <c r="E337" t="s">
        <v>648</v>
      </c>
      <c r="F337" t="s">
        <v>649</v>
      </c>
      <c r="G337" s="1">
        <v>0.13300000000000001</v>
      </c>
      <c r="H337" t="s">
        <v>112</v>
      </c>
      <c r="I337" t="s">
        <v>18</v>
      </c>
      <c r="J337" t="s">
        <v>226</v>
      </c>
      <c r="K337" t="s">
        <v>125</v>
      </c>
      <c r="L337" s="14">
        <f>IFERROR(VALUE(LEFT(tblMatriculas[[#This Row],[Clases]],FIND("/",tblMatriculas[[#This Row],[Clases]])-1)),"")</f>
        <v>4</v>
      </c>
      <c r="M337" s="14">
        <f>IFERROR(VALUE(MID(tblMatriculas[[#This Row],[Clases]],FIND("/",tblMatriculas[[#This Row],[Clases]])+1,5)),"")</f>
        <v>30</v>
      </c>
      <c r="N3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7" s="14">
        <f>IF(OR(tblMatriculas[[#This Row],[Estado]]&lt;&gt;"activa",tblMatriculas[[#This Row],[Clases dictadas]]=""),"",MAX(0,tblMatriculas[[#This Row],[Clases dictadas]]-tblMatriculas[[#This Row],[Asistidas]]))</f>
        <v>0</v>
      </c>
      <c r="P337" s="1">
        <f>IF(OR(tblMatriculas[[#This Row],[Estado]]&lt;&gt;"activa",tblMatriculas[[#This Row],[Asistidas]]=""),"",tblMatriculas[[#This Row],[Asistencia]])</f>
        <v>0.13300000000000001</v>
      </c>
      <c r="Q337" t="b">
        <f>AND(tblMatriculas[[#This Row],[Estado]]="activa",ISNUMBER(tblMatriculas[[#This Row],[% asistencia]]),NOT(ISNUMBER(SEARCH(pPrueba,tblMatriculas[[#This Row],[Nombre]]))))</f>
        <v>1</v>
      </c>
      <c r="R3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7" s="23" t="str" cm="1">
        <f t="array" ref="S3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7" s="23" t="str" cm="1">
        <f t="array" ref="T3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7" s="14" t="str" cm="1">
        <f t="array" ref="U3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7" t="str" cm="1">
        <f t="array" ref="V3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7" t="str" cm="1">
        <f t="array" ref="W3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7" t="str">
        <f>IF(COUNTIFS('Base Estudiantes'!$C:$C,tblMatriculas[[#This Row],[Cédula]],'Base Estudiantes'!$I:$I,tblMatriculas[[#This Row],[Código]])&gt;0,"Sí","No")</f>
        <v>Sí</v>
      </c>
      <c r="Z337" s="23" cm="1">
        <f t="array" ref="Z337">_xlfn.XLOOKUP(tblMatriculas[[#This Row],[Cédula]]&amp;"|"&amp;tblMatriculas[[#This Row],[Código]],tblBase[Documento]&amp;"|"&amp;tblBase[Código grupo],tblBase[Fecha matrícula],"")</f>
        <v>46264</v>
      </c>
    </row>
    <row r="338" spans="1:26" x14ac:dyDescent="0.2">
      <c r="A338" t="s">
        <v>740</v>
      </c>
      <c r="B338" t="s">
        <v>741</v>
      </c>
      <c r="C338" t="s">
        <v>13</v>
      </c>
      <c r="D338" t="s">
        <v>647</v>
      </c>
      <c r="E338" t="s">
        <v>648</v>
      </c>
      <c r="F338" t="s">
        <v>649</v>
      </c>
      <c r="G338" s="1">
        <v>0.13300000000000001</v>
      </c>
      <c r="H338" t="s">
        <v>112</v>
      </c>
      <c r="I338" t="s">
        <v>18</v>
      </c>
      <c r="J338" t="s">
        <v>226</v>
      </c>
      <c r="K338" t="s">
        <v>511</v>
      </c>
      <c r="L338" s="14">
        <f>IFERROR(VALUE(LEFT(tblMatriculas[[#This Row],[Clases]],FIND("/",tblMatriculas[[#This Row],[Clases]])-1)),"")</f>
        <v>4</v>
      </c>
      <c r="M338" s="14">
        <f>IFERROR(VALUE(MID(tblMatriculas[[#This Row],[Clases]],FIND("/",tblMatriculas[[#This Row],[Clases]])+1,5)),"")</f>
        <v>30</v>
      </c>
      <c r="N3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8" s="14">
        <f>IF(OR(tblMatriculas[[#This Row],[Estado]]&lt;&gt;"activa",tblMatriculas[[#This Row],[Clases dictadas]]=""),"",MAX(0,tblMatriculas[[#This Row],[Clases dictadas]]-tblMatriculas[[#This Row],[Asistidas]]))</f>
        <v>0</v>
      </c>
      <c r="P338" s="1">
        <f>IF(OR(tblMatriculas[[#This Row],[Estado]]&lt;&gt;"activa",tblMatriculas[[#This Row],[Asistidas]]=""),"",tblMatriculas[[#This Row],[Asistencia]])</f>
        <v>0.13300000000000001</v>
      </c>
      <c r="Q338" t="b">
        <f>AND(tblMatriculas[[#This Row],[Estado]]="activa",ISNUMBER(tblMatriculas[[#This Row],[% asistencia]]),NOT(ISNUMBER(SEARCH(pPrueba,tblMatriculas[[#This Row],[Nombre]]))))</f>
        <v>1</v>
      </c>
      <c r="R3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8" s="23" t="str" cm="1">
        <f t="array" ref="S3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8" s="23" t="str" cm="1">
        <f t="array" ref="T3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8" s="14" t="str" cm="1">
        <f t="array" ref="U3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8" t="str" cm="1">
        <f t="array" ref="V3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8" t="str" cm="1">
        <f t="array" ref="W3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8" t="str">
        <f>IF(COUNTIFS('Base Estudiantes'!$C:$C,tblMatriculas[[#This Row],[Cédula]],'Base Estudiantes'!$I:$I,tblMatriculas[[#This Row],[Código]])&gt;0,"Sí","No")</f>
        <v>Sí</v>
      </c>
      <c r="Z338" s="23" cm="1">
        <f t="array" ref="Z338">_xlfn.XLOOKUP(tblMatriculas[[#This Row],[Cédula]]&amp;"|"&amp;tblMatriculas[[#This Row],[Código]],tblBase[Documento]&amp;"|"&amp;tblBase[Código grupo],tblBase[Fecha matrícula],"")</f>
        <v>46264</v>
      </c>
    </row>
    <row r="339" spans="1:26" x14ac:dyDescent="0.2">
      <c r="A339" t="s">
        <v>742</v>
      </c>
      <c r="B339" t="s">
        <v>743</v>
      </c>
      <c r="C339" t="s">
        <v>13</v>
      </c>
      <c r="D339" t="s">
        <v>647</v>
      </c>
      <c r="E339" t="s">
        <v>648</v>
      </c>
      <c r="F339" t="s">
        <v>649</v>
      </c>
      <c r="G339" s="1">
        <v>0.13300000000000001</v>
      </c>
      <c r="H339" t="s">
        <v>112</v>
      </c>
      <c r="I339" t="s">
        <v>18</v>
      </c>
      <c r="J339" t="s">
        <v>226</v>
      </c>
      <c r="K339" t="s">
        <v>511</v>
      </c>
      <c r="L339" s="14">
        <f>IFERROR(VALUE(LEFT(tblMatriculas[[#This Row],[Clases]],FIND("/",tblMatriculas[[#This Row],[Clases]])-1)),"")</f>
        <v>4</v>
      </c>
      <c r="M339" s="14">
        <f>IFERROR(VALUE(MID(tblMatriculas[[#This Row],[Clases]],FIND("/",tblMatriculas[[#This Row],[Clases]])+1,5)),"")</f>
        <v>30</v>
      </c>
      <c r="N3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39" s="14">
        <f>IF(OR(tblMatriculas[[#This Row],[Estado]]&lt;&gt;"activa",tblMatriculas[[#This Row],[Clases dictadas]]=""),"",MAX(0,tblMatriculas[[#This Row],[Clases dictadas]]-tblMatriculas[[#This Row],[Asistidas]]))</f>
        <v>0</v>
      </c>
      <c r="P339" s="1">
        <f>IF(OR(tblMatriculas[[#This Row],[Estado]]&lt;&gt;"activa",tblMatriculas[[#This Row],[Asistidas]]=""),"",tblMatriculas[[#This Row],[Asistencia]])</f>
        <v>0.13300000000000001</v>
      </c>
      <c r="Q339" t="b">
        <f>AND(tblMatriculas[[#This Row],[Estado]]="activa",ISNUMBER(tblMatriculas[[#This Row],[% asistencia]]),NOT(ISNUMBER(SEARCH(pPrueba,tblMatriculas[[#This Row],[Nombre]]))))</f>
        <v>1</v>
      </c>
      <c r="R3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39" s="23" t="str" cm="1">
        <f t="array" ref="S3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39" s="23" t="str" cm="1">
        <f t="array" ref="T3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39" s="14" t="str" cm="1">
        <f t="array" ref="U3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39" t="str" cm="1">
        <f t="array" ref="V3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39" t="str" cm="1">
        <f t="array" ref="W3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39" t="str">
        <f>IF(COUNTIFS('Base Estudiantes'!$C:$C,tblMatriculas[[#This Row],[Cédula]],'Base Estudiantes'!$I:$I,tblMatriculas[[#This Row],[Código]])&gt;0,"Sí","No")</f>
        <v>Sí</v>
      </c>
      <c r="Z339" s="23" cm="1">
        <f t="array" ref="Z339">_xlfn.XLOOKUP(tblMatriculas[[#This Row],[Cédula]]&amp;"|"&amp;tblMatriculas[[#This Row],[Código]],tblBase[Documento]&amp;"|"&amp;tblBase[Código grupo],tblBase[Fecha matrícula],"")</f>
        <v>46264</v>
      </c>
    </row>
    <row r="340" spans="1:26" x14ac:dyDescent="0.2">
      <c r="A340" t="s">
        <v>744</v>
      </c>
      <c r="B340" t="s">
        <v>745</v>
      </c>
      <c r="C340" t="s">
        <v>13</v>
      </c>
      <c r="D340" t="s">
        <v>647</v>
      </c>
      <c r="E340" t="s">
        <v>648</v>
      </c>
      <c r="F340" t="s">
        <v>649</v>
      </c>
      <c r="G340" s="1">
        <v>0.13300000000000001</v>
      </c>
      <c r="H340" t="s">
        <v>112</v>
      </c>
      <c r="I340" t="s">
        <v>18</v>
      </c>
      <c r="J340" t="s">
        <v>226</v>
      </c>
      <c r="K340" t="s">
        <v>120</v>
      </c>
      <c r="L340" s="14">
        <f>IFERROR(VALUE(LEFT(tblMatriculas[[#This Row],[Clases]],FIND("/",tblMatriculas[[#This Row],[Clases]])-1)),"")</f>
        <v>4</v>
      </c>
      <c r="M340" s="14">
        <f>IFERROR(VALUE(MID(tblMatriculas[[#This Row],[Clases]],FIND("/",tblMatriculas[[#This Row],[Clases]])+1,5)),"")</f>
        <v>30</v>
      </c>
      <c r="N3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40" s="14">
        <f>IF(OR(tblMatriculas[[#This Row],[Estado]]&lt;&gt;"activa",tblMatriculas[[#This Row],[Clases dictadas]]=""),"",MAX(0,tblMatriculas[[#This Row],[Clases dictadas]]-tblMatriculas[[#This Row],[Asistidas]]))</f>
        <v>0</v>
      </c>
      <c r="P340" s="1">
        <f>IF(OR(tblMatriculas[[#This Row],[Estado]]&lt;&gt;"activa",tblMatriculas[[#This Row],[Asistidas]]=""),"",tblMatriculas[[#This Row],[Asistencia]])</f>
        <v>0.13300000000000001</v>
      </c>
      <c r="Q340" t="b">
        <f>AND(tblMatriculas[[#This Row],[Estado]]="activa",ISNUMBER(tblMatriculas[[#This Row],[% asistencia]]),NOT(ISNUMBER(SEARCH(pPrueba,tblMatriculas[[#This Row],[Nombre]]))))</f>
        <v>1</v>
      </c>
      <c r="R3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40" s="23" t="str" cm="1">
        <f t="array" ref="S3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0" s="23" t="str" cm="1">
        <f t="array" ref="T3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0" s="14" t="str" cm="1">
        <f t="array" ref="U3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0" t="str" cm="1">
        <f t="array" ref="V3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0" t="str" cm="1">
        <f t="array" ref="W3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40" t="str">
        <f>IF(COUNTIFS('Base Estudiantes'!$C:$C,tblMatriculas[[#This Row],[Cédula]],'Base Estudiantes'!$I:$I,tblMatriculas[[#This Row],[Código]])&gt;0,"Sí","No")</f>
        <v>Sí</v>
      </c>
      <c r="Z340" s="23" cm="1">
        <f t="array" ref="Z340">_xlfn.XLOOKUP(tblMatriculas[[#This Row],[Cédula]]&amp;"|"&amp;tblMatriculas[[#This Row],[Código]],tblBase[Documento]&amp;"|"&amp;tblBase[Código grupo],tblBase[Fecha matrícula],"")</f>
        <v>46264</v>
      </c>
    </row>
    <row r="341" spans="1:26" x14ac:dyDescent="0.2">
      <c r="A341" t="s">
        <v>746</v>
      </c>
      <c r="B341" t="s">
        <v>747</v>
      </c>
      <c r="C341" t="s">
        <v>13</v>
      </c>
      <c r="D341" t="s">
        <v>748</v>
      </c>
      <c r="E341" t="s">
        <v>749</v>
      </c>
      <c r="F341" t="s">
        <v>750</v>
      </c>
      <c r="G341" s="1">
        <v>6.7000000000000004E-2</v>
      </c>
      <c r="H341" t="s">
        <v>166</v>
      </c>
      <c r="I341" t="s">
        <v>18</v>
      </c>
      <c r="J341" t="s">
        <v>337</v>
      </c>
      <c r="K341" t="s">
        <v>114</v>
      </c>
      <c r="L341" s="14">
        <f>IFERROR(VALUE(LEFT(tblMatriculas[[#This Row],[Clases]],FIND("/",tblMatriculas[[#This Row],[Clases]])-1)),"")</f>
        <v>2</v>
      </c>
      <c r="M341" s="14">
        <f>IFERROR(VALUE(MID(tblMatriculas[[#This Row],[Clases]],FIND("/",tblMatriculas[[#This Row],[Clases]])+1,5)),"")</f>
        <v>30</v>
      </c>
      <c r="N3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1" s="14">
        <f>IF(OR(tblMatriculas[[#This Row],[Estado]]&lt;&gt;"activa",tblMatriculas[[#This Row],[Clases dictadas]]=""),"",MAX(0,tblMatriculas[[#This Row],[Clases dictadas]]-tblMatriculas[[#This Row],[Asistidas]]))</f>
        <v>0</v>
      </c>
      <c r="P341" s="1">
        <f>IF(OR(tblMatriculas[[#This Row],[Estado]]&lt;&gt;"activa",tblMatriculas[[#This Row],[Asistidas]]=""),"",tblMatriculas[[#This Row],[Asistencia]])</f>
        <v>6.7000000000000004E-2</v>
      </c>
      <c r="Q341" t="b">
        <f>AND(tblMatriculas[[#This Row],[Estado]]="activa",ISNUMBER(tblMatriculas[[#This Row],[% asistencia]]),NOT(ISNUMBER(SEARCH(pPrueba,tblMatriculas[[#This Row],[Nombre]]))))</f>
        <v>1</v>
      </c>
      <c r="R3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41" s="23" t="str" cm="1">
        <f t="array" ref="S3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1" s="23" t="str" cm="1">
        <f t="array" ref="T3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1" s="14" t="str" cm="1">
        <f t="array" ref="U3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1" t="str" cm="1">
        <f t="array" ref="V3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1" t="str" cm="1">
        <f t="array" ref="W3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41" t="str">
        <f>IF(COUNTIFS('Base Estudiantes'!$C:$C,tblMatriculas[[#This Row],[Cédula]],'Base Estudiantes'!$I:$I,tblMatriculas[[#This Row],[Código]])&gt;0,"Sí","No")</f>
        <v>Sí</v>
      </c>
      <c r="Z341" s="23" cm="1">
        <f t="array" ref="Z341">_xlfn.XLOOKUP(tblMatriculas[[#This Row],[Cédula]]&amp;"|"&amp;tblMatriculas[[#This Row],[Código]],tblBase[Documento]&amp;"|"&amp;tblBase[Código grupo],tblBase[Fecha matrícula],"")</f>
        <v>46263</v>
      </c>
    </row>
    <row r="342" spans="1:26" x14ac:dyDescent="0.2">
      <c r="A342" t="s">
        <v>751</v>
      </c>
      <c r="B342" t="s">
        <v>752</v>
      </c>
      <c r="C342" t="s">
        <v>13</v>
      </c>
      <c r="D342" t="s">
        <v>748</v>
      </c>
      <c r="E342" t="s">
        <v>749</v>
      </c>
      <c r="F342" t="s">
        <v>750</v>
      </c>
      <c r="G342" s="1">
        <v>6.7000000000000004E-2</v>
      </c>
      <c r="H342" t="s">
        <v>166</v>
      </c>
      <c r="I342" t="s">
        <v>18</v>
      </c>
      <c r="J342" t="s">
        <v>337</v>
      </c>
      <c r="K342" t="s">
        <v>114</v>
      </c>
      <c r="L342" s="14">
        <f>IFERROR(VALUE(LEFT(tblMatriculas[[#This Row],[Clases]],FIND("/",tblMatriculas[[#This Row],[Clases]])-1)),"")</f>
        <v>2</v>
      </c>
      <c r="M342" s="14">
        <f>IFERROR(VALUE(MID(tblMatriculas[[#This Row],[Clases]],FIND("/",tblMatriculas[[#This Row],[Clases]])+1,5)),"")</f>
        <v>30</v>
      </c>
      <c r="N3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2" s="14">
        <f>IF(OR(tblMatriculas[[#This Row],[Estado]]&lt;&gt;"activa",tblMatriculas[[#This Row],[Clases dictadas]]=""),"",MAX(0,tblMatriculas[[#This Row],[Clases dictadas]]-tblMatriculas[[#This Row],[Asistidas]]))</f>
        <v>0</v>
      </c>
      <c r="P342" s="1">
        <f>IF(OR(tblMatriculas[[#This Row],[Estado]]&lt;&gt;"activa",tblMatriculas[[#This Row],[Asistidas]]=""),"",tblMatriculas[[#This Row],[Asistencia]])</f>
        <v>6.7000000000000004E-2</v>
      </c>
      <c r="Q342" t="b">
        <f>AND(tblMatriculas[[#This Row],[Estado]]="activa",ISNUMBER(tblMatriculas[[#This Row],[% asistencia]]),NOT(ISNUMBER(SEARCH(pPrueba,tblMatriculas[[#This Row],[Nombre]]))))</f>
        <v>1</v>
      </c>
      <c r="R3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42" s="23" t="str" cm="1">
        <f t="array" ref="S3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2" s="23" t="str" cm="1">
        <f t="array" ref="T3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2" s="14" t="str" cm="1">
        <f t="array" ref="U3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2" t="str" cm="1">
        <f t="array" ref="V3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2" t="str" cm="1">
        <f t="array" ref="W3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42" t="str">
        <f>IF(COUNTIFS('Base Estudiantes'!$C:$C,tblMatriculas[[#This Row],[Cédula]],'Base Estudiantes'!$I:$I,tblMatriculas[[#This Row],[Código]])&gt;0,"Sí","No")</f>
        <v>Sí</v>
      </c>
      <c r="Z342" s="23" cm="1">
        <f t="array" ref="Z342">_xlfn.XLOOKUP(tblMatriculas[[#This Row],[Cédula]]&amp;"|"&amp;tblMatriculas[[#This Row],[Código]],tblBase[Documento]&amp;"|"&amp;tblBase[Código grupo],tblBase[Fecha matrícula],"")</f>
        <v>46263</v>
      </c>
    </row>
    <row r="343" spans="1:26" x14ac:dyDescent="0.2">
      <c r="A343" t="s">
        <v>753</v>
      </c>
      <c r="B343" t="s">
        <v>754</v>
      </c>
      <c r="C343" t="s">
        <v>13</v>
      </c>
      <c r="D343" t="s">
        <v>748</v>
      </c>
      <c r="E343" t="s">
        <v>749</v>
      </c>
      <c r="F343" t="s">
        <v>750</v>
      </c>
      <c r="G343" s="1">
        <v>3.3000000000000002E-2</v>
      </c>
      <c r="H343" t="s">
        <v>225</v>
      </c>
      <c r="I343" t="s">
        <v>18</v>
      </c>
      <c r="J343" t="s">
        <v>337</v>
      </c>
      <c r="K343" t="s">
        <v>24</v>
      </c>
      <c r="L343" s="14">
        <f>IFERROR(VALUE(LEFT(tblMatriculas[[#This Row],[Clases]],FIND("/",tblMatriculas[[#This Row],[Clases]])-1)),"")</f>
        <v>1</v>
      </c>
      <c r="M343" s="14">
        <f>IFERROR(VALUE(MID(tblMatriculas[[#This Row],[Clases]],FIND("/",tblMatriculas[[#This Row],[Clases]])+1,5)),"")</f>
        <v>30</v>
      </c>
      <c r="N3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3" s="14">
        <f>IF(OR(tblMatriculas[[#This Row],[Estado]]&lt;&gt;"activa",tblMatriculas[[#This Row],[Clases dictadas]]=""),"",MAX(0,tblMatriculas[[#This Row],[Clases dictadas]]-tblMatriculas[[#This Row],[Asistidas]]))</f>
        <v>1</v>
      </c>
      <c r="P343" s="1">
        <f>IF(OR(tblMatriculas[[#This Row],[Estado]]&lt;&gt;"activa",tblMatriculas[[#This Row],[Asistidas]]=""),"",tblMatriculas[[#This Row],[Asistencia]])</f>
        <v>3.3000000000000002E-2</v>
      </c>
      <c r="Q343" t="b">
        <f>AND(tblMatriculas[[#This Row],[Estado]]="activa",ISNUMBER(tblMatriculas[[#This Row],[% asistencia]]),NOT(ISNUMBER(SEARCH(pPrueba,tblMatriculas[[#This Row],[Nombre]]))))</f>
        <v>1</v>
      </c>
      <c r="R3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43" s="23" t="str" cm="1">
        <f t="array" ref="S3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3" s="23" t="str" cm="1">
        <f t="array" ref="T3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3" s="14" t="str" cm="1">
        <f t="array" ref="U3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3" t="str" cm="1">
        <f t="array" ref="V3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3" t="str" cm="1">
        <f t="array" ref="W3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4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43" t="str">
        <f>IF(COUNTIFS('Base Estudiantes'!$C:$C,tblMatriculas[[#This Row],[Cédula]],'Base Estudiantes'!$I:$I,tblMatriculas[[#This Row],[Código]])&gt;0,"Sí","No")</f>
        <v>Sí</v>
      </c>
      <c r="Z343" s="23" cm="1">
        <f t="array" ref="Z343">_xlfn.XLOOKUP(tblMatriculas[[#This Row],[Cédula]]&amp;"|"&amp;tblMatriculas[[#This Row],[Código]],tblBase[Documento]&amp;"|"&amp;tblBase[Código grupo],tblBase[Fecha matrícula],"")</f>
        <v>46263</v>
      </c>
    </row>
    <row r="344" spans="1:26" x14ac:dyDescent="0.2">
      <c r="A344" t="s">
        <v>755</v>
      </c>
      <c r="B344" t="s">
        <v>756</v>
      </c>
      <c r="C344" t="s">
        <v>13</v>
      </c>
      <c r="D344" t="s">
        <v>748</v>
      </c>
      <c r="E344" t="s">
        <v>749</v>
      </c>
      <c r="F344" t="s">
        <v>750</v>
      </c>
      <c r="G344" s="1">
        <v>3.3000000000000002E-2</v>
      </c>
      <c r="H344" t="s">
        <v>225</v>
      </c>
      <c r="I344" t="s">
        <v>18</v>
      </c>
      <c r="J344" t="s">
        <v>337</v>
      </c>
      <c r="K344" t="s">
        <v>24</v>
      </c>
      <c r="L344" s="14">
        <f>IFERROR(VALUE(LEFT(tblMatriculas[[#This Row],[Clases]],FIND("/",tblMatriculas[[#This Row],[Clases]])-1)),"")</f>
        <v>1</v>
      </c>
      <c r="M344" s="14">
        <f>IFERROR(VALUE(MID(tblMatriculas[[#This Row],[Clases]],FIND("/",tblMatriculas[[#This Row],[Clases]])+1,5)),"")</f>
        <v>30</v>
      </c>
      <c r="N3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4" s="14">
        <f>IF(OR(tblMatriculas[[#This Row],[Estado]]&lt;&gt;"activa",tblMatriculas[[#This Row],[Clases dictadas]]=""),"",MAX(0,tblMatriculas[[#This Row],[Clases dictadas]]-tblMatriculas[[#This Row],[Asistidas]]))</f>
        <v>1</v>
      </c>
      <c r="P344" s="1">
        <f>IF(OR(tblMatriculas[[#This Row],[Estado]]&lt;&gt;"activa",tblMatriculas[[#This Row],[Asistidas]]=""),"",tblMatriculas[[#This Row],[Asistencia]])</f>
        <v>3.3000000000000002E-2</v>
      </c>
      <c r="Q344" t="b">
        <f>AND(tblMatriculas[[#This Row],[Estado]]="activa",ISNUMBER(tblMatriculas[[#This Row],[% asistencia]]),NOT(ISNUMBER(SEARCH(pPrueba,tblMatriculas[[#This Row],[Nombre]]))))</f>
        <v>1</v>
      </c>
      <c r="R3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44" s="23" t="str" cm="1">
        <f t="array" ref="S3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4" s="23" t="str" cm="1">
        <f t="array" ref="T3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4" s="14" t="str" cm="1">
        <f t="array" ref="U3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4" t="str" cm="1">
        <f t="array" ref="V3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4" t="str" cm="1">
        <f t="array" ref="W3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44" t="str">
        <f>IF(COUNTIFS('Base Estudiantes'!$C:$C,tblMatriculas[[#This Row],[Cédula]],'Base Estudiantes'!$I:$I,tblMatriculas[[#This Row],[Código]])&gt;0,"Sí","No")</f>
        <v>Sí</v>
      </c>
      <c r="Z344" s="23" cm="1">
        <f t="array" ref="Z344">_xlfn.XLOOKUP(tblMatriculas[[#This Row],[Cédula]]&amp;"|"&amp;tblMatriculas[[#This Row],[Código]],tblBase[Documento]&amp;"|"&amp;tblBase[Código grupo],tblBase[Fecha matrícula],"")</f>
        <v>46263</v>
      </c>
    </row>
    <row r="345" spans="1:26" x14ac:dyDescent="0.2">
      <c r="A345" t="s">
        <v>757</v>
      </c>
      <c r="B345" t="s">
        <v>758</v>
      </c>
      <c r="C345" t="s">
        <v>13</v>
      </c>
      <c r="D345" t="s">
        <v>748</v>
      </c>
      <c r="E345" t="s">
        <v>749</v>
      </c>
      <c r="F345" t="s">
        <v>750</v>
      </c>
      <c r="G345" s="1">
        <v>6.7000000000000004E-2</v>
      </c>
      <c r="H345" t="s">
        <v>166</v>
      </c>
      <c r="I345" t="s">
        <v>18</v>
      </c>
      <c r="J345" t="s">
        <v>337</v>
      </c>
      <c r="K345" t="s">
        <v>24</v>
      </c>
      <c r="L345" s="14">
        <f>IFERROR(VALUE(LEFT(tblMatriculas[[#This Row],[Clases]],FIND("/",tblMatriculas[[#This Row],[Clases]])-1)),"")</f>
        <v>2</v>
      </c>
      <c r="M345" s="14">
        <f>IFERROR(VALUE(MID(tblMatriculas[[#This Row],[Clases]],FIND("/",tblMatriculas[[#This Row],[Clases]])+1,5)),"")</f>
        <v>30</v>
      </c>
      <c r="N3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5" s="14">
        <f>IF(OR(tblMatriculas[[#This Row],[Estado]]&lt;&gt;"activa",tblMatriculas[[#This Row],[Clases dictadas]]=""),"",MAX(0,tblMatriculas[[#This Row],[Clases dictadas]]-tblMatriculas[[#This Row],[Asistidas]]))</f>
        <v>0</v>
      </c>
      <c r="P345" s="1">
        <f>IF(OR(tblMatriculas[[#This Row],[Estado]]&lt;&gt;"activa",tblMatriculas[[#This Row],[Asistidas]]=""),"",tblMatriculas[[#This Row],[Asistencia]])</f>
        <v>6.7000000000000004E-2</v>
      </c>
      <c r="Q345" t="b">
        <f>AND(tblMatriculas[[#This Row],[Estado]]="activa",ISNUMBER(tblMatriculas[[#This Row],[% asistencia]]),NOT(ISNUMBER(SEARCH(pPrueba,tblMatriculas[[#This Row],[Nombre]]))))</f>
        <v>1</v>
      </c>
      <c r="R3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45" s="23" t="str" cm="1">
        <f t="array" ref="S3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5" s="23" t="str" cm="1">
        <f t="array" ref="T3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5" s="14" t="str" cm="1">
        <f t="array" ref="U3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5" t="str" cm="1">
        <f t="array" ref="V3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5" t="str" cm="1">
        <f t="array" ref="W3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45" t="str">
        <f>IF(COUNTIFS('Base Estudiantes'!$C:$C,tblMatriculas[[#This Row],[Cédula]],'Base Estudiantes'!$I:$I,tblMatriculas[[#This Row],[Código]])&gt;0,"Sí","No")</f>
        <v>Sí</v>
      </c>
      <c r="Z345" s="23" cm="1">
        <f t="array" ref="Z345">_xlfn.XLOOKUP(tblMatriculas[[#This Row],[Cédula]]&amp;"|"&amp;tblMatriculas[[#This Row],[Código]],tblBase[Documento]&amp;"|"&amp;tblBase[Código grupo],tblBase[Fecha matrícula],"")</f>
        <v>46263</v>
      </c>
    </row>
    <row r="346" spans="1:26" x14ac:dyDescent="0.2">
      <c r="A346" t="s">
        <v>759</v>
      </c>
      <c r="B346" t="s">
        <v>760</v>
      </c>
      <c r="C346" t="s">
        <v>13</v>
      </c>
      <c r="D346" t="s">
        <v>748</v>
      </c>
      <c r="E346" t="s">
        <v>749</v>
      </c>
      <c r="F346" t="s">
        <v>750</v>
      </c>
      <c r="G346" s="1">
        <v>6.7000000000000004E-2</v>
      </c>
      <c r="H346" t="s">
        <v>166</v>
      </c>
      <c r="I346" t="s">
        <v>18</v>
      </c>
      <c r="J346" t="s">
        <v>337</v>
      </c>
      <c r="K346" t="s">
        <v>24</v>
      </c>
      <c r="L346" s="14">
        <f>IFERROR(VALUE(LEFT(tblMatriculas[[#This Row],[Clases]],FIND("/",tblMatriculas[[#This Row],[Clases]])-1)),"")</f>
        <v>2</v>
      </c>
      <c r="M346" s="14">
        <f>IFERROR(VALUE(MID(tblMatriculas[[#This Row],[Clases]],FIND("/",tblMatriculas[[#This Row],[Clases]])+1,5)),"")</f>
        <v>30</v>
      </c>
      <c r="N3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6" s="14">
        <f>IF(OR(tblMatriculas[[#This Row],[Estado]]&lt;&gt;"activa",tblMatriculas[[#This Row],[Clases dictadas]]=""),"",MAX(0,tblMatriculas[[#This Row],[Clases dictadas]]-tblMatriculas[[#This Row],[Asistidas]]))</f>
        <v>0</v>
      </c>
      <c r="P346" s="1">
        <f>IF(OR(tblMatriculas[[#This Row],[Estado]]&lt;&gt;"activa",tblMatriculas[[#This Row],[Asistidas]]=""),"",tblMatriculas[[#This Row],[Asistencia]])</f>
        <v>6.7000000000000004E-2</v>
      </c>
      <c r="Q346" t="b">
        <f>AND(tblMatriculas[[#This Row],[Estado]]="activa",ISNUMBER(tblMatriculas[[#This Row],[% asistencia]]),NOT(ISNUMBER(SEARCH(pPrueba,tblMatriculas[[#This Row],[Nombre]]))))</f>
        <v>1</v>
      </c>
      <c r="R3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46" s="23" t="str" cm="1">
        <f t="array" ref="S3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6" s="23" t="str" cm="1">
        <f t="array" ref="T3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6" s="14" t="str" cm="1">
        <f t="array" ref="U3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6" t="str" cm="1">
        <f t="array" ref="V3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6" t="str" cm="1">
        <f t="array" ref="W3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46" t="str">
        <f>IF(COUNTIFS('Base Estudiantes'!$C:$C,tblMatriculas[[#This Row],[Cédula]],'Base Estudiantes'!$I:$I,tblMatriculas[[#This Row],[Código]])&gt;0,"Sí","No")</f>
        <v>Sí</v>
      </c>
      <c r="Z346" s="23" cm="1">
        <f t="array" ref="Z346">_xlfn.XLOOKUP(tblMatriculas[[#This Row],[Cédula]]&amp;"|"&amp;tblMatriculas[[#This Row],[Código]],tblBase[Documento]&amp;"|"&amp;tblBase[Código grupo],tblBase[Fecha matrícula],"")</f>
        <v>46263</v>
      </c>
    </row>
    <row r="347" spans="1:26" x14ac:dyDescent="0.2">
      <c r="A347" t="s">
        <v>761</v>
      </c>
      <c r="B347" t="s">
        <v>762</v>
      </c>
      <c r="C347" t="s">
        <v>13</v>
      </c>
      <c r="D347" t="s">
        <v>748</v>
      </c>
      <c r="E347" t="s">
        <v>749</v>
      </c>
      <c r="F347" t="s">
        <v>750</v>
      </c>
      <c r="G347" s="1">
        <v>3.3000000000000002E-2</v>
      </c>
      <c r="H347" t="s">
        <v>225</v>
      </c>
      <c r="I347" t="s">
        <v>18</v>
      </c>
      <c r="J347" t="s">
        <v>337</v>
      </c>
      <c r="K347" t="s">
        <v>24</v>
      </c>
      <c r="L347" s="14">
        <f>IFERROR(VALUE(LEFT(tblMatriculas[[#This Row],[Clases]],FIND("/",tblMatriculas[[#This Row],[Clases]])-1)),"")</f>
        <v>1</v>
      </c>
      <c r="M347" s="14">
        <f>IFERROR(VALUE(MID(tblMatriculas[[#This Row],[Clases]],FIND("/",tblMatriculas[[#This Row],[Clases]])+1,5)),"")</f>
        <v>30</v>
      </c>
      <c r="N3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7" s="14">
        <f>IF(OR(tblMatriculas[[#This Row],[Estado]]&lt;&gt;"activa",tblMatriculas[[#This Row],[Clases dictadas]]=""),"",MAX(0,tblMatriculas[[#This Row],[Clases dictadas]]-tblMatriculas[[#This Row],[Asistidas]]))</f>
        <v>1</v>
      </c>
      <c r="P347" s="1">
        <f>IF(OR(tblMatriculas[[#This Row],[Estado]]&lt;&gt;"activa",tblMatriculas[[#This Row],[Asistidas]]=""),"",tblMatriculas[[#This Row],[Asistencia]])</f>
        <v>3.3000000000000002E-2</v>
      </c>
      <c r="Q347" t="b">
        <f>AND(tblMatriculas[[#This Row],[Estado]]="activa",ISNUMBER(tblMatriculas[[#This Row],[% asistencia]]),NOT(ISNUMBER(SEARCH(pPrueba,tblMatriculas[[#This Row],[Nombre]]))))</f>
        <v>1</v>
      </c>
      <c r="R3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47" s="23" t="str" cm="1">
        <f t="array" ref="S3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7" s="23" t="str" cm="1">
        <f t="array" ref="T3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7" s="14" t="str" cm="1">
        <f t="array" ref="U3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7" t="str" cm="1">
        <f t="array" ref="V3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7" t="str" cm="1">
        <f t="array" ref="W3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47" t="str">
        <f>IF(COUNTIFS('Base Estudiantes'!$C:$C,tblMatriculas[[#This Row],[Cédula]],'Base Estudiantes'!$I:$I,tblMatriculas[[#This Row],[Código]])&gt;0,"Sí","No")</f>
        <v>Sí</v>
      </c>
      <c r="Z347" s="23" cm="1">
        <f t="array" ref="Z347">_xlfn.XLOOKUP(tblMatriculas[[#This Row],[Cédula]]&amp;"|"&amp;tblMatriculas[[#This Row],[Código]],tblBase[Documento]&amp;"|"&amp;tblBase[Código grupo],tblBase[Fecha matrícula],"")</f>
        <v>46263</v>
      </c>
    </row>
    <row r="348" spans="1:26" x14ac:dyDescent="0.2">
      <c r="A348" t="s">
        <v>763</v>
      </c>
      <c r="B348" t="s">
        <v>764</v>
      </c>
      <c r="C348" t="s">
        <v>13</v>
      </c>
      <c r="D348" t="s">
        <v>748</v>
      </c>
      <c r="E348" t="s">
        <v>749</v>
      </c>
      <c r="F348" t="s">
        <v>750</v>
      </c>
      <c r="G348" s="1">
        <v>3.3000000000000002E-2</v>
      </c>
      <c r="H348" t="s">
        <v>225</v>
      </c>
      <c r="I348" t="s">
        <v>18</v>
      </c>
      <c r="J348" t="s">
        <v>337</v>
      </c>
      <c r="K348" t="s">
        <v>24</v>
      </c>
      <c r="L348" s="14">
        <f>IFERROR(VALUE(LEFT(tblMatriculas[[#This Row],[Clases]],FIND("/",tblMatriculas[[#This Row],[Clases]])-1)),"")</f>
        <v>1</v>
      </c>
      <c r="M348" s="14">
        <f>IFERROR(VALUE(MID(tblMatriculas[[#This Row],[Clases]],FIND("/",tblMatriculas[[#This Row],[Clases]])+1,5)),"")</f>
        <v>30</v>
      </c>
      <c r="N3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8" s="14">
        <f>IF(OR(tblMatriculas[[#This Row],[Estado]]&lt;&gt;"activa",tblMatriculas[[#This Row],[Clases dictadas]]=""),"",MAX(0,tblMatriculas[[#This Row],[Clases dictadas]]-tblMatriculas[[#This Row],[Asistidas]]))</f>
        <v>1</v>
      </c>
      <c r="P348" s="1">
        <f>IF(OR(tblMatriculas[[#This Row],[Estado]]&lt;&gt;"activa",tblMatriculas[[#This Row],[Asistidas]]=""),"",tblMatriculas[[#This Row],[Asistencia]])</f>
        <v>3.3000000000000002E-2</v>
      </c>
      <c r="Q348" t="b">
        <f>AND(tblMatriculas[[#This Row],[Estado]]="activa",ISNUMBER(tblMatriculas[[#This Row],[% asistencia]]),NOT(ISNUMBER(SEARCH(pPrueba,tblMatriculas[[#This Row],[Nombre]]))))</f>
        <v>1</v>
      </c>
      <c r="R3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48" s="23" t="str" cm="1">
        <f t="array" ref="S3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8" s="23" t="str" cm="1">
        <f t="array" ref="T3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8" s="14" t="str" cm="1">
        <f t="array" ref="U3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8" t="str" cm="1">
        <f t="array" ref="V3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8" t="str" cm="1">
        <f t="array" ref="W3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48" t="str">
        <f>IF(COUNTIFS('Base Estudiantes'!$C:$C,tblMatriculas[[#This Row],[Cédula]],'Base Estudiantes'!$I:$I,tblMatriculas[[#This Row],[Código]])&gt;0,"Sí","No")</f>
        <v>Sí</v>
      </c>
      <c r="Z348" s="23" cm="1">
        <f t="array" ref="Z348">_xlfn.XLOOKUP(tblMatriculas[[#This Row],[Cédula]]&amp;"|"&amp;tblMatriculas[[#This Row],[Código]],tblBase[Documento]&amp;"|"&amp;tblBase[Código grupo],tblBase[Fecha matrícula],"")</f>
        <v>46263</v>
      </c>
    </row>
    <row r="349" spans="1:26" x14ac:dyDescent="0.2">
      <c r="A349" t="s">
        <v>765</v>
      </c>
      <c r="B349" t="s">
        <v>766</v>
      </c>
      <c r="C349" t="s">
        <v>13</v>
      </c>
      <c r="D349" t="s">
        <v>748</v>
      </c>
      <c r="E349" t="s">
        <v>749</v>
      </c>
      <c r="F349" t="s">
        <v>750</v>
      </c>
      <c r="G349" s="1">
        <v>3.3000000000000002E-2</v>
      </c>
      <c r="H349" t="s">
        <v>225</v>
      </c>
      <c r="I349" t="s">
        <v>18</v>
      </c>
      <c r="J349" t="s">
        <v>337</v>
      </c>
      <c r="K349" t="s">
        <v>24</v>
      </c>
      <c r="L349" s="14">
        <f>IFERROR(VALUE(LEFT(tblMatriculas[[#This Row],[Clases]],FIND("/",tblMatriculas[[#This Row],[Clases]])-1)),"")</f>
        <v>1</v>
      </c>
      <c r="M349" s="14">
        <f>IFERROR(VALUE(MID(tblMatriculas[[#This Row],[Clases]],FIND("/",tblMatriculas[[#This Row],[Clases]])+1,5)),"")</f>
        <v>30</v>
      </c>
      <c r="N3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49" s="14">
        <f>IF(OR(tblMatriculas[[#This Row],[Estado]]&lt;&gt;"activa",tblMatriculas[[#This Row],[Clases dictadas]]=""),"",MAX(0,tblMatriculas[[#This Row],[Clases dictadas]]-tblMatriculas[[#This Row],[Asistidas]]))</f>
        <v>1</v>
      </c>
      <c r="P349" s="1">
        <f>IF(OR(tblMatriculas[[#This Row],[Estado]]&lt;&gt;"activa",tblMatriculas[[#This Row],[Asistidas]]=""),"",tblMatriculas[[#This Row],[Asistencia]])</f>
        <v>3.3000000000000002E-2</v>
      </c>
      <c r="Q349" t="b">
        <f>AND(tblMatriculas[[#This Row],[Estado]]="activa",ISNUMBER(tblMatriculas[[#This Row],[% asistencia]]),NOT(ISNUMBER(SEARCH(pPrueba,tblMatriculas[[#This Row],[Nombre]]))))</f>
        <v>1</v>
      </c>
      <c r="R3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49" s="23" t="str" cm="1">
        <f t="array" ref="S3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49" s="23" t="str" cm="1">
        <f t="array" ref="T3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49" s="14" t="str" cm="1">
        <f t="array" ref="U3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49" t="str" cm="1">
        <f t="array" ref="V3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49" t="str" cm="1">
        <f t="array" ref="W3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49" t="str">
        <f>IF(COUNTIFS('Base Estudiantes'!$C:$C,tblMatriculas[[#This Row],[Cédula]],'Base Estudiantes'!$I:$I,tblMatriculas[[#This Row],[Código]])&gt;0,"Sí","No")</f>
        <v>Sí</v>
      </c>
      <c r="Z349" s="23" cm="1">
        <f t="array" ref="Z349">_xlfn.XLOOKUP(tblMatriculas[[#This Row],[Cédula]]&amp;"|"&amp;tblMatriculas[[#This Row],[Código]],tblBase[Documento]&amp;"|"&amp;tblBase[Código grupo],tblBase[Fecha matrícula],"")</f>
        <v>46263</v>
      </c>
    </row>
    <row r="350" spans="1:26" x14ac:dyDescent="0.2">
      <c r="A350" t="s">
        <v>767</v>
      </c>
      <c r="B350" t="s">
        <v>768</v>
      </c>
      <c r="C350" t="s">
        <v>13</v>
      </c>
      <c r="D350" t="s">
        <v>748</v>
      </c>
      <c r="E350" t="s">
        <v>749</v>
      </c>
      <c r="F350" t="s">
        <v>750</v>
      </c>
      <c r="G350" s="1">
        <v>6.7000000000000004E-2</v>
      </c>
      <c r="H350" t="s">
        <v>166</v>
      </c>
      <c r="I350" t="s">
        <v>18</v>
      </c>
      <c r="J350" t="s">
        <v>337</v>
      </c>
      <c r="K350" t="s">
        <v>24</v>
      </c>
      <c r="L350" s="14">
        <f>IFERROR(VALUE(LEFT(tblMatriculas[[#This Row],[Clases]],FIND("/",tblMatriculas[[#This Row],[Clases]])-1)),"")</f>
        <v>2</v>
      </c>
      <c r="M350" s="14">
        <f>IFERROR(VALUE(MID(tblMatriculas[[#This Row],[Clases]],FIND("/",tblMatriculas[[#This Row],[Clases]])+1,5)),"")</f>
        <v>30</v>
      </c>
      <c r="N3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0" s="14">
        <f>IF(OR(tblMatriculas[[#This Row],[Estado]]&lt;&gt;"activa",tblMatriculas[[#This Row],[Clases dictadas]]=""),"",MAX(0,tblMatriculas[[#This Row],[Clases dictadas]]-tblMatriculas[[#This Row],[Asistidas]]))</f>
        <v>0</v>
      </c>
      <c r="P350" s="1">
        <f>IF(OR(tblMatriculas[[#This Row],[Estado]]&lt;&gt;"activa",tblMatriculas[[#This Row],[Asistidas]]=""),"",tblMatriculas[[#This Row],[Asistencia]])</f>
        <v>6.7000000000000004E-2</v>
      </c>
      <c r="Q350" t="b">
        <f>AND(tblMatriculas[[#This Row],[Estado]]="activa",ISNUMBER(tblMatriculas[[#This Row],[% asistencia]]),NOT(ISNUMBER(SEARCH(pPrueba,tblMatriculas[[#This Row],[Nombre]]))))</f>
        <v>1</v>
      </c>
      <c r="R3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0" s="23" t="str" cm="1">
        <f t="array" ref="S3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0" s="23" t="str" cm="1">
        <f t="array" ref="T3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0" s="14" t="str" cm="1">
        <f t="array" ref="U3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0" t="str" cm="1">
        <f t="array" ref="V3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0" t="str" cm="1">
        <f t="array" ref="W3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0" t="str">
        <f>IF(COUNTIFS('Base Estudiantes'!$C:$C,tblMatriculas[[#This Row],[Cédula]],'Base Estudiantes'!$I:$I,tblMatriculas[[#This Row],[Código]])&gt;0,"Sí","No")</f>
        <v>Sí</v>
      </c>
      <c r="Z350" s="23" cm="1">
        <f t="array" ref="Z350">_xlfn.XLOOKUP(tblMatriculas[[#This Row],[Cédula]]&amp;"|"&amp;tblMatriculas[[#This Row],[Código]],tblBase[Documento]&amp;"|"&amp;tblBase[Código grupo],tblBase[Fecha matrícula],"")</f>
        <v>46263</v>
      </c>
    </row>
    <row r="351" spans="1:26" x14ac:dyDescent="0.2">
      <c r="A351" t="s">
        <v>769</v>
      </c>
      <c r="B351" t="s">
        <v>770</v>
      </c>
      <c r="C351" t="s">
        <v>13</v>
      </c>
      <c r="D351" t="s">
        <v>748</v>
      </c>
      <c r="E351" t="s">
        <v>749</v>
      </c>
      <c r="F351" t="s">
        <v>750</v>
      </c>
      <c r="G351" s="1">
        <v>6.7000000000000004E-2</v>
      </c>
      <c r="H351" t="s">
        <v>166</v>
      </c>
      <c r="I351" t="s">
        <v>18</v>
      </c>
      <c r="J351" t="s">
        <v>337</v>
      </c>
      <c r="K351" t="s">
        <v>24</v>
      </c>
      <c r="L351" s="14">
        <f>IFERROR(VALUE(LEFT(tblMatriculas[[#This Row],[Clases]],FIND("/",tblMatriculas[[#This Row],[Clases]])-1)),"")</f>
        <v>2</v>
      </c>
      <c r="M351" s="14">
        <f>IFERROR(VALUE(MID(tblMatriculas[[#This Row],[Clases]],FIND("/",tblMatriculas[[#This Row],[Clases]])+1,5)),"")</f>
        <v>30</v>
      </c>
      <c r="N3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1" s="14">
        <f>IF(OR(tblMatriculas[[#This Row],[Estado]]&lt;&gt;"activa",tblMatriculas[[#This Row],[Clases dictadas]]=""),"",MAX(0,tblMatriculas[[#This Row],[Clases dictadas]]-tblMatriculas[[#This Row],[Asistidas]]))</f>
        <v>0</v>
      </c>
      <c r="P351" s="1">
        <f>IF(OR(tblMatriculas[[#This Row],[Estado]]&lt;&gt;"activa",tblMatriculas[[#This Row],[Asistidas]]=""),"",tblMatriculas[[#This Row],[Asistencia]])</f>
        <v>6.7000000000000004E-2</v>
      </c>
      <c r="Q351" t="b">
        <f>AND(tblMatriculas[[#This Row],[Estado]]="activa",ISNUMBER(tblMatriculas[[#This Row],[% asistencia]]),NOT(ISNUMBER(SEARCH(pPrueba,tblMatriculas[[#This Row],[Nombre]]))))</f>
        <v>1</v>
      </c>
      <c r="R3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1" s="23" t="str" cm="1">
        <f t="array" ref="S3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1" s="23" t="str" cm="1">
        <f t="array" ref="T3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1" s="14" t="str" cm="1">
        <f t="array" ref="U3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1" t="str" cm="1">
        <f t="array" ref="V3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1" t="str" cm="1">
        <f t="array" ref="W3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1" t="str">
        <f>IF(COUNTIFS('Base Estudiantes'!$C:$C,tblMatriculas[[#This Row],[Cédula]],'Base Estudiantes'!$I:$I,tblMatriculas[[#This Row],[Código]])&gt;0,"Sí","No")</f>
        <v>Sí</v>
      </c>
      <c r="Z351" s="23" cm="1">
        <f t="array" ref="Z351">_xlfn.XLOOKUP(tblMatriculas[[#This Row],[Cédula]]&amp;"|"&amp;tblMatriculas[[#This Row],[Código]],tblBase[Documento]&amp;"|"&amp;tblBase[Código grupo],tblBase[Fecha matrícula],"")</f>
        <v>46263</v>
      </c>
    </row>
    <row r="352" spans="1:26" x14ac:dyDescent="0.2">
      <c r="A352" t="s">
        <v>771</v>
      </c>
      <c r="B352" t="s">
        <v>772</v>
      </c>
      <c r="C352" t="s">
        <v>13</v>
      </c>
      <c r="D352" t="s">
        <v>748</v>
      </c>
      <c r="E352" t="s">
        <v>749</v>
      </c>
      <c r="F352" t="s">
        <v>750</v>
      </c>
      <c r="G352" s="1">
        <v>0</v>
      </c>
      <c r="H352" t="s">
        <v>254</v>
      </c>
      <c r="I352" t="s">
        <v>18</v>
      </c>
      <c r="J352" t="s">
        <v>337</v>
      </c>
      <c r="K352" t="s">
        <v>24</v>
      </c>
      <c r="L352" s="14">
        <f>IFERROR(VALUE(LEFT(tblMatriculas[[#This Row],[Clases]],FIND("/",tblMatriculas[[#This Row],[Clases]])-1)),"")</f>
        <v>0</v>
      </c>
      <c r="M352" s="14">
        <f>IFERROR(VALUE(MID(tblMatriculas[[#This Row],[Clases]],FIND("/",tblMatriculas[[#This Row],[Clases]])+1,5)),"")</f>
        <v>30</v>
      </c>
      <c r="N3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2" s="14">
        <f>IF(OR(tblMatriculas[[#This Row],[Estado]]&lt;&gt;"activa",tblMatriculas[[#This Row],[Clases dictadas]]=""),"",MAX(0,tblMatriculas[[#This Row],[Clases dictadas]]-tblMatriculas[[#This Row],[Asistidas]]))</f>
        <v>2</v>
      </c>
      <c r="P352" s="1">
        <f>IF(OR(tblMatriculas[[#This Row],[Estado]]&lt;&gt;"activa",tblMatriculas[[#This Row],[Asistidas]]=""),"",tblMatriculas[[#This Row],[Asistencia]])</f>
        <v>0</v>
      </c>
      <c r="Q352" t="b">
        <f>AND(tblMatriculas[[#This Row],[Estado]]="activa",ISNUMBER(tblMatriculas[[#This Row],[% asistencia]]),NOT(ISNUMBER(SEARCH(pPrueba,tblMatriculas[[#This Row],[Nombre]]))))</f>
        <v>1</v>
      </c>
      <c r="R3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352" s="23" t="str" cm="1">
        <f t="array" ref="S3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2" s="23" t="str" cm="1">
        <f t="array" ref="T3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2" s="14" t="str" cm="1">
        <f t="array" ref="U3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2" t="str" cm="1">
        <f t="array" ref="V3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2" t="str" cm="1">
        <f t="array" ref="W3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3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352" t="str">
        <f>IF(COUNTIFS('Base Estudiantes'!$C:$C,tblMatriculas[[#This Row],[Cédula]],'Base Estudiantes'!$I:$I,tblMatriculas[[#This Row],[Código]])&gt;0,"Sí","No")</f>
        <v>Sí</v>
      </c>
      <c r="Z352" s="23" cm="1">
        <f t="array" ref="Z352">_xlfn.XLOOKUP(tblMatriculas[[#This Row],[Cédula]]&amp;"|"&amp;tblMatriculas[[#This Row],[Código]],tblBase[Documento]&amp;"|"&amp;tblBase[Código grupo],tblBase[Fecha matrícula],"")</f>
        <v>46263</v>
      </c>
    </row>
    <row r="353" spans="1:26" x14ac:dyDescent="0.2">
      <c r="A353" t="s">
        <v>773</v>
      </c>
      <c r="B353" t="s">
        <v>774</v>
      </c>
      <c r="C353" t="s">
        <v>13</v>
      </c>
      <c r="D353" t="s">
        <v>748</v>
      </c>
      <c r="E353" t="s">
        <v>749</v>
      </c>
      <c r="F353" t="s">
        <v>750</v>
      </c>
      <c r="G353" s="1">
        <v>6.7000000000000004E-2</v>
      </c>
      <c r="H353" t="s">
        <v>166</v>
      </c>
      <c r="I353" t="s">
        <v>18</v>
      </c>
      <c r="J353" t="s">
        <v>337</v>
      </c>
      <c r="K353" t="s">
        <v>24</v>
      </c>
      <c r="L353" s="14">
        <f>IFERROR(VALUE(LEFT(tblMatriculas[[#This Row],[Clases]],FIND("/",tblMatriculas[[#This Row],[Clases]])-1)),"")</f>
        <v>2</v>
      </c>
      <c r="M353" s="14">
        <f>IFERROR(VALUE(MID(tblMatriculas[[#This Row],[Clases]],FIND("/",tblMatriculas[[#This Row],[Clases]])+1,5)),"")</f>
        <v>30</v>
      </c>
      <c r="N3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3" s="14">
        <f>IF(OR(tblMatriculas[[#This Row],[Estado]]&lt;&gt;"activa",tblMatriculas[[#This Row],[Clases dictadas]]=""),"",MAX(0,tblMatriculas[[#This Row],[Clases dictadas]]-tblMatriculas[[#This Row],[Asistidas]]))</f>
        <v>0</v>
      </c>
      <c r="P353" s="1">
        <f>IF(OR(tblMatriculas[[#This Row],[Estado]]&lt;&gt;"activa",tblMatriculas[[#This Row],[Asistidas]]=""),"",tblMatriculas[[#This Row],[Asistencia]])</f>
        <v>6.7000000000000004E-2</v>
      </c>
      <c r="Q353" t="b">
        <f>AND(tblMatriculas[[#This Row],[Estado]]="activa",ISNUMBER(tblMatriculas[[#This Row],[% asistencia]]),NOT(ISNUMBER(SEARCH(pPrueba,tblMatriculas[[#This Row],[Nombre]]))))</f>
        <v>1</v>
      </c>
      <c r="R3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3" s="23" t="str" cm="1">
        <f t="array" ref="S3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3" s="23" t="str" cm="1">
        <f t="array" ref="T3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3" s="14" t="str" cm="1">
        <f t="array" ref="U3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3" t="str" cm="1">
        <f t="array" ref="V3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3" t="str" cm="1">
        <f t="array" ref="W3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3" t="str">
        <f>IF(COUNTIFS('Base Estudiantes'!$C:$C,tblMatriculas[[#This Row],[Cédula]],'Base Estudiantes'!$I:$I,tblMatriculas[[#This Row],[Código]])&gt;0,"Sí","No")</f>
        <v>Sí</v>
      </c>
      <c r="Z353" s="23" cm="1">
        <f t="array" ref="Z353">_xlfn.XLOOKUP(tblMatriculas[[#This Row],[Cédula]]&amp;"|"&amp;tblMatriculas[[#This Row],[Código]],tblBase[Documento]&amp;"|"&amp;tblBase[Código grupo],tblBase[Fecha matrícula],"")</f>
        <v>46263</v>
      </c>
    </row>
    <row r="354" spans="1:26" x14ac:dyDescent="0.2">
      <c r="A354" t="s">
        <v>775</v>
      </c>
      <c r="B354" t="s">
        <v>776</v>
      </c>
      <c r="C354" t="s">
        <v>13</v>
      </c>
      <c r="D354" t="s">
        <v>748</v>
      </c>
      <c r="E354" t="s">
        <v>749</v>
      </c>
      <c r="F354" t="s">
        <v>750</v>
      </c>
      <c r="G354" s="1">
        <v>6.7000000000000004E-2</v>
      </c>
      <c r="H354" t="s">
        <v>166</v>
      </c>
      <c r="I354" t="s">
        <v>18</v>
      </c>
      <c r="J354" t="s">
        <v>337</v>
      </c>
      <c r="K354" t="s">
        <v>24</v>
      </c>
      <c r="L354" s="14">
        <f>IFERROR(VALUE(LEFT(tblMatriculas[[#This Row],[Clases]],FIND("/",tblMatriculas[[#This Row],[Clases]])-1)),"")</f>
        <v>2</v>
      </c>
      <c r="M354" s="14">
        <f>IFERROR(VALUE(MID(tblMatriculas[[#This Row],[Clases]],FIND("/",tblMatriculas[[#This Row],[Clases]])+1,5)),"")</f>
        <v>30</v>
      </c>
      <c r="N3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4" s="14">
        <f>IF(OR(tblMatriculas[[#This Row],[Estado]]&lt;&gt;"activa",tblMatriculas[[#This Row],[Clases dictadas]]=""),"",MAX(0,tblMatriculas[[#This Row],[Clases dictadas]]-tblMatriculas[[#This Row],[Asistidas]]))</f>
        <v>0</v>
      </c>
      <c r="P354" s="1">
        <f>IF(OR(tblMatriculas[[#This Row],[Estado]]&lt;&gt;"activa",tblMatriculas[[#This Row],[Asistidas]]=""),"",tblMatriculas[[#This Row],[Asistencia]])</f>
        <v>6.7000000000000004E-2</v>
      </c>
      <c r="Q354" t="b">
        <f>AND(tblMatriculas[[#This Row],[Estado]]="activa",ISNUMBER(tblMatriculas[[#This Row],[% asistencia]]),NOT(ISNUMBER(SEARCH(pPrueba,tblMatriculas[[#This Row],[Nombre]]))))</f>
        <v>1</v>
      </c>
      <c r="R3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4" s="23" t="str" cm="1">
        <f t="array" ref="S3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4" s="23" t="str" cm="1">
        <f t="array" ref="T3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4" s="14" t="str" cm="1">
        <f t="array" ref="U3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4" t="str" cm="1">
        <f t="array" ref="V3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4" t="str" cm="1">
        <f t="array" ref="W3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4" t="str">
        <f>IF(COUNTIFS('Base Estudiantes'!$C:$C,tblMatriculas[[#This Row],[Cédula]],'Base Estudiantes'!$I:$I,tblMatriculas[[#This Row],[Código]])&gt;0,"Sí","No")</f>
        <v>Sí</v>
      </c>
      <c r="Z354" s="23" cm="1">
        <f t="array" ref="Z354">_xlfn.XLOOKUP(tblMatriculas[[#This Row],[Cédula]]&amp;"|"&amp;tblMatriculas[[#This Row],[Código]],tblBase[Documento]&amp;"|"&amp;tblBase[Código grupo],tblBase[Fecha matrícula],"")</f>
        <v>46263</v>
      </c>
    </row>
    <row r="355" spans="1:26" x14ac:dyDescent="0.2">
      <c r="A355" t="s">
        <v>777</v>
      </c>
      <c r="B355" t="s">
        <v>778</v>
      </c>
      <c r="C355" t="s">
        <v>13</v>
      </c>
      <c r="D355" t="s">
        <v>748</v>
      </c>
      <c r="E355" t="s">
        <v>749</v>
      </c>
      <c r="F355" t="s">
        <v>750</v>
      </c>
      <c r="G355" s="1">
        <v>3.3000000000000002E-2</v>
      </c>
      <c r="H355" t="s">
        <v>225</v>
      </c>
      <c r="I355" t="s">
        <v>18</v>
      </c>
      <c r="J355" t="s">
        <v>337</v>
      </c>
      <c r="K355" t="s">
        <v>24</v>
      </c>
      <c r="L355" s="14">
        <f>IFERROR(VALUE(LEFT(tblMatriculas[[#This Row],[Clases]],FIND("/",tblMatriculas[[#This Row],[Clases]])-1)),"")</f>
        <v>1</v>
      </c>
      <c r="M355" s="14">
        <f>IFERROR(VALUE(MID(tblMatriculas[[#This Row],[Clases]],FIND("/",tblMatriculas[[#This Row],[Clases]])+1,5)),"")</f>
        <v>30</v>
      </c>
      <c r="N3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5" s="14">
        <f>IF(OR(tblMatriculas[[#This Row],[Estado]]&lt;&gt;"activa",tblMatriculas[[#This Row],[Clases dictadas]]=""),"",MAX(0,tblMatriculas[[#This Row],[Clases dictadas]]-tblMatriculas[[#This Row],[Asistidas]]))</f>
        <v>1</v>
      </c>
      <c r="P355" s="1">
        <f>IF(OR(tblMatriculas[[#This Row],[Estado]]&lt;&gt;"activa",tblMatriculas[[#This Row],[Asistidas]]=""),"",tblMatriculas[[#This Row],[Asistencia]])</f>
        <v>3.3000000000000002E-2</v>
      </c>
      <c r="Q355" t="b">
        <f>AND(tblMatriculas[[#This Row],[Estado]]="activa",ISNUMBER(tblMatriculas[[#This Row],[% asistencia]]),NOT(ISNUMBER(SEARCH(pPrueba,tblMatriculas[[#This Row],[Nombre]]))))</f>
        <v>1</v>
      </c>
      <c r="R3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55" s="23" t="str" cm="1">
        <f t="array" ref="S3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5" s="23" t="str" cm="1">
        <f t="array" ref="T3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5" s="14" t="str" cm="1">
        <f t="array" ref="U3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5" t="str" cm="1">
        <f t="array" ref="V3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5" t="str" cm="1">
        <f t="array" ref="W3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55" t="str">
        <f>IF(COUNTIFS('Base Estudiantes'!$C:$C,tblMatriculas[[#This Row],[Cédula]],'Base Estudiantes'!$I:$I,tblMatriculas[[#This Row],[Código]])&gt;0,"Sí","No")</f>
        <v>Sí</v>
      </c>
      <c r="Z355" s="23" cm="1">
        <f t="array" ref="Z355">_xlfn.XLOOKUP(tblMatriculas[[#This Row],[Cédula]]&amp;"|"&amp;tblMatriculas[[#This Row],[Código]],tblBase[Documento]&amp;"|"&amp;tblBase[Código grupo],tblBase[Fecha matrícula],"")</f>
        <v>46263</v>
      </c>
    </row>
    <row r="356" spans="1:26" x14ac:dyDescent="0.2">
      <c r="A356" t="s">
        <v>779</v>
      </c>
      <c r="B356" t="s">
        <v>780</v>
      </c>
      <c r="C356" t="s">
        <v>13</v>
      </c>
      <c r="D356" t="s">
        <v>748</v>
      </c>
      <c r="E356" t="s">
        <v>749</v>
      </c>
      <c r="F356" t="s">
        <v>750</v>
      </c>
      <c r="G356" s="1">
        <v>6.7000000000000004E-2</v>
      </c>
      <c r="H356" t="s">
        <v>166</v>
      </c>
      <c r="I356" t="s">
        <v>18</v>
      </c>
      <c r="J356" t="s">
        <v>337</v>
      </c>
      <c r="K356" t="s">
        <v>24</v>
      </c>
      <c r="L356" s="14">
        <f>IFERROR(VALUE(LEFT(tblMatriculas[[#This Row],[Clases]],FIND("/",tblMatriculas[[#This Row],[Clases]])-1)),"")</f>
        <v>2</v>
      </c>
      <c r="M356" s="14">
        <f>IFERROR(VALUE(MID(tblMatriculas[[#This Row],[Clases]],FIND("/",tblMatriculas[[#This Row],[Clases]])+1,5)),"")</f>
        <v>30</v>
      </c>
      <c r="N3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6" s="14">
        <f>IF(OR(tblMatriculas[[#This Row],[Estado]]&lt;&gt;"activa",tblMatriculas[[#This Row],[Clases dictadas]]=""),"",MAX(0,tblMatriculas[[#This Row],[Clases dictadas]]-tblMatriculas[[#This Row],[Asistidas]]))</f>
        <v>0</v>
      </c>
      <c r="P356" s="1">
        <f>IF(OR(tblMatriculas[[#This Row],[Estado]]&lt;&gt;"activa",tblMatriculas[[#This Row],[Asistidas]]=""),"",tblMatriculas[[#This Row],[Asistencia]])</f>
        <v>6.7000000000000004E-2</v>
      </c>
      <c r="Q356" t="b">
        <f>AND(tblMatriculas[[#This Row],[Estado]]="activa",ISNUMBER(tblMatriculas[[#This Row],[% asistencia]]),NOT(ISNUMBER(SEARCH(pPrueba,tblMatriculas[[#This Row],[Nombre]]))))</f>
        <v>1</v>
      </c>
      <c r="R3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6" s="23" t="str" cm="1">
        <f t="array" ref="S3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6" s="23" t="str" cm="1">
        <f t="array" ref="T3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6" s="14" t="str" cm="1">
        <f t="array" ref="U3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6" t="str" cm="1">
        <f t="array" ref="V3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6" t="str" cm="1">
        <f t="array" ref="W3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6" t="str">
        <f>IF(COUNTIFS('Base Estudiantes'!$C:$C,tblMatriculas[[#This Row],[Cédula]],'Base Estudiantes'!$I:$I,tblMatriculas[[#This Row],[Código]])&gt;0,"Sí","No")</f>
        <v>Sí</v>
      </c>
      <c r="Z356" s="23" cm="1">
        <f t="array" ref="Z356">_xlfn.XLOOKUP(tblMatriculas[[#This Row],[Cédula]]&amp;"|"&amp;tblMatriculas[[#This Row],[Código]],tblBase[Documento]&amp;"|"&amp;tblBase[Código grupo],tblBase[Fecha matrícula],"")</f>
        <v>46263</v>
      </c>
    </row>
    <row r="357" spans="1:26" x14ac:dyDescent="0.2">
      <c r="A357" t="s">
        <v>781</v>
      </c>
      <c r="B357" t="s">
        <v>782</v>
      </c>
      <c r="C357" t="s">
        <v>13</v>
      </c>
      <c r="D357" t="s">
        <v>748</v>
      </c>
      <c r="E357" t="s">
        <v>749</v>
      </c>
      <c r="F357" t="s">
        <v>750</v>
      </c>
      <c r="G357" s="1">
        <v>0</v>
      </c>
      <c r="H357" t="s">
        <v>254</v>
      </c>
      <c r="I357" t="s">
        <v>18</v>
      </c>
      <c r="J357" t="s">
        <v>337</v>
      </c>
      <c r="K357" t="s">
        <v>24</v>
      </c>
      <c r="L357" s="14">
        <f>IFERROR(VALUE(LEFT(tblMatriculas[[#This Row],[Clases]],FIND("/",tblMatriculas[[#This Row],[Clases]])-1)),"")</f>
        <v>0</v>
      </c>
      <c r="M357" s="14">
        <f>IFERROR(VALUE(MID(tblMatriculas[[#This Row],[Clases]],FIND("/",tblMatriculas[[#This Row],[Clases]])+1,5)),"")</f>
        <v>30</v>
      </c>
      <c r="N3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7" s="14">
        <f>IF(OR(tblMatriculas[[#This Row],[Estado]]&lt;&gt;"activa",tblMatriculas[[#This Row],[Clases dictadas]]=""),"",MAX(0,tblMatriculas[[#This Row],[Clases dictadas]]-tblMatriculas[[#This Row],[Asistidas]]))</f>
        <v>2</v>
      </c>
      <c r="P357" s="1">
        <f>IF(OR(tblMatriculas[[#This Row],[Estado]]&lt;&gt;"activa",tblMatriculas[[#This Row],[Asistidas]]=""),"",tblMatriculas[[#This Row],[Asistencia]])</f>
        <v>0</v>
      </c>
      <c r="Q357" t="b">
        <f>AND(tblMatriculas[[#This Row],[Estado]]="activa",ISNUMBER(tblMatriculas[[#This Row],[% asistencia]]),NOT(ISNUMBER(SEARCH(pPrueba,tblMatriculas[[#This Row],[Nombre]]))))</f>
        <v>1</v>
      </c>
      <c r="R3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357" s="23" t="str" cm="1">
        <f t="array" ref="S3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7" s="23" t="str" cm="1">
        <f t="array" ref="T3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7" s="14" t="str" cm="1">
        <f t="array" ref="U3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7" t="str" cm="1">
        <f t="array" ref="V3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7" t="str" cm="1">
        <f t="array" ref="W3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3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357" t="str">
        <f>IF(COUNTIFS('Base Estudiantes'!$C:$C,tblMatriculas[[#This Row],[Cédula]],'Base Estudiantes'!$I:$I,tblMatriculas[[#This Row],[Código]])&gt;0,"Sí","No")</f>
        <v>Sí</v>
      </c>
      <c r="Z357" s="23" cm="1">
        <f t="array" ref="Z357">_xlfn.XLOOKUP(tblMatriculas[[#This Row],[Cédula]]&amp;"|"&amp;tblMatriculas[[#This Row],[Código]],tblBase[Documento]&amp;"|"&amp;tblBase[Código grupo],tblBase[Fecha matrícula],"")</f>
        <v>46263</v>
      </c>
    </row>
    <row r="358" spans="1:26" x14ac:dyDescent="0.2">
      <c r="A358" t="s">
        <v>783</v>
      </c>
      <c r="B358" t="s">
        <v>784</v>
      </c>
      <c r="C358" t="s">
        <v>13</v>
      </c>
      <c r="D358" t="s">
        <v>748</v>
      </c>
      <c r="E358" t="s">
        <v>749</v>
      </c>
      <c r="F358" t="s">
        <v>750</v>
      </c>
      <c r="G358" s="1">
        <v>6.7000000000000004E-2</v>
      </c>
      <c r="H358" t="s">
        <v>166</v>
      </c>
      <c r="I358" t="s">
        <v>18</v>
      </c>
      <c r="J358" t="s">
        <v>337</v>
      </c>
      <c r="K358" t="s">
        <v>24</v>
      </c>
      <c r="L358" s="14">
        <f>IFERROR(VALUE(LEFT(tblMatriculas[[#This Row],[Clases]],FIND("/",tblMatriculas[[#This Row],[Clases]])-1)),"")</f>
        <v>2</v>
      </c>
      <c r="M358" s="14">
        <f>IFERROR(VALUE(MID(tblMatriculas[[#This Row],[Clases]],FIND("/",tblMatriculas[[#This Row],[Clases]])+1,5)),"")</f>
        <v>30</v>
      </c>
      <c r="N3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8" s="14">
        <f>IF(OR(tblMatriculas[[#This Row],[Estado]]&lt;&gt;"activa",tblMatriculas[[#This Row],[Clases dictadas]]=""),"",MAX(0,tblMatriculas[[#This Row],[Clases dictadas]]-tblMatriculas[[#This Row],[Asistidas]]))</f>
        <v>0</v>
      </c>
      <c r="P358" s="1">
        <f>IF(OR(tblMatriculas[[#This Row],[Estado]]&lt;&gt;"activa",tblMatriculas[[#This Row],[Asistidas]]=""),"",tblMatriculas[[#This Row],[Asistencia]])</f>
        <v>6.7000000000000004E-2</v>
      </c>
      <c r="Q358" t="b">
        <f>AND(tblMatriculas[[#This Row],[Estado]]="activa",ISNUMBER(tblMatriculas[[#This Row],[% asistencia]]),NOT(ISNUMBER(SEARCH(pPrueba,tblMatriculas[[#This Row],[Nombre]]))))</f>
        <v>1</v>
      </c>
      <c r="R3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58" s="23" t="str" cm="1">
        <f t="array" ref="S3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8" s="23" t="str" cm="1">
        <f t="array" ref="T3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8" s="14" t="str" cm="1">
        <f t="array" ref="U3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8" t="str" cm="1">
        <f t="array" ref="V3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8" t="str" cm="1">
        <f t="array" ref="W3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58" t="str">
        <f>IF(COUNTIFS('Base Estudiantes'!$C:$C,tblMatriculas[[#This Row],[Cédula]],'Base Estudiantes'!$I:$I,tblMatriculas[[#This Row],[Código]])&gt;0,"Sí","No")</f>
        <v>Sí</v>
      </c>
      <c r="Z358" s="23" cm="1">
        <f t="array" ref="Z358">_xlfn.XLOOKUP(tblMatriculas[[#This Row],[Cédula]]&amp;"|"&amp;tblMatriculas[[#This Row],[Código]],tblBase[Documento]&amp;"|"&amp;tblBase[Código grupo],tblBase[Fecha matrícula],"")</f>
        <v>46263</v>
      </c>
    </row>
    <row r="359" spans="1:26" x14ac:dyDescent="0.2">
      <c r="A359" t="s">
        <v>785</v>
      </c>
      <c r="B359" t="s">
        <v>786</v>
      </c>
      <c r="C359" t="s">
        <v>13</v>
      </c>
      <c r="D359" t="s">
        <v>748</v>
      </c>
      <c r="E359" t="s">
        <v>749</v>
      </c>
      <c r="F359" t="s">
        <v>750</v>
      </c>
      <c r="G359" s="1">
        <v>0</v>
      </c>
      <c r="H359" t="s">
        <v>254</v>
      </c>
      <c r="I359" t="s">
        <v>18</v>
      </c>
      <c r="J359" t="s">
        <v>337</v>
      </c>
      <c r="K359" t="s">
        <v>24</v>
      </c>
      <c r="L359" s="14">
        <f>IFERROR(VALUE(LEFT(tblMatriculas[[#This Row],[Clases]],FIND("/",tblMatriculas[[#This Row],[Clases]])-1)),"")</f>
        <v>0</v>
      </c>
      <c r="M359" s="14">
        <f>IFERROR(VALUE(MID(tblMatriculas[[#This Row],[Clases]],FIND("/",tblMatriculas[[#This Row],[Clases]])+1,5)),"")</f>
        <v>30</v>
      </c>
      <c r="N3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59" s="14">
        <f>IF(OR(tblMatriculas[[#This Row],[Estado]]&lt;&gt;"activa",tblMatriculas[[#This Row],[Clases dictadas]]=""),"",MAX(0,tblMatriculas[[#This Row],[Clases dictadas]]-tblMatriculas[[#This Row],[Asistidas]]))</f>
        <v>2</v>
      </c>
      <c r="P359" s="1">
        <f>IF(OR(tblMatriculas[[#This Row],[Estado]]&lt;&gt;"activa",tblMatriculas[[#This Row],[Asistidas]]=""),"",tblMatriculas[[#This Row],[Asistencia]])</f>
        <v>0</v>
      </c>
      <c r="Q359" t="b">
        <f>AND(tblMatriculas[[#This Row],[Estado]]="activa",ISNUMBER(tblMatriculas[[#This Row],[% asistencia]]),NOT(ISNUMBER(SEARCH(pPrueba,tblMatriculas[[#This Row],[Nombre]]))))</f>
        <v>1</v>
      </c>
      <c r="R3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359" s="23" t="str" cm="1">
        <f t="array" ref="S3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59" s="23" t="str" cm="1">
        <f t="array" ref="T3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59" s="14" t="str" cm="1">
        <f t="array" ref="U3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59" t="str" cm="1">
        <f t="array" ref="V3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59" t="str" cm="1">
        <f t="array" ref="W3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3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359" t="str">
        <f>IF(COUNTIFS('Base Estudiantes'!$C:$C,tblMatriculas[[#This Row],[Cédula]],'Base Estudiantes'!$I:$I,tblMatriculas[[#This Row],[Código]])&gt;0,"Sí","No")</f>
        <v>Sí</v>
      </c>
      <c r="Z359" s="23" cm="1">
        <f t="array" ref="Z359">_xlfn.XLOOKUP(tblMatriculas[[#This Row],[Cédula]]&amp;"|"&amp;tblMatriculas[[#This Row],[Código]],tblBase[Documento]&amp;"|"&amp;tblBase[Código grupo],tblBase[Fecha matrícula],"")</f>
        <v>46263</v>
      </c>
    </row>
    <row r="360" spans="1:26" x14ac:dyDescent="0.2">
      <c r="A360" t="s">
        <v>787</v>
      </c>
      <c r="B360" t="s">
        <v>788</v>
      </c>
      <c r="C360" t="s">
        <v>13</v>
      </c>
      <c r="D360" t="s">
        <v>748</v>
      </c>
      <c r="E360" t="s">
        <v>749</v>
      </c>
      <c r="F360" t="s">
        <v>750</v>
      </c>
      <c r="G360" s="1">
        <v>6.7000000000000004E-2</v>
      </c>
      <c r="H360" t="s">
        <v>166</v>
      </c>
      <c r="I360" t="s">
        <v>18</v>
      </c>
      <c r="J360" t="s">
        <v>337</v>
      </c>
      <c r="K360" t="s">
        <v>24</v>
      </c>
      <c r="L360" s="14">
        <f>IFERROR(VALUE(LEFT(tblMatriculas[[#This Row],[Clases]],FIND("/",tblMatriculas[[#This Row],[Clases]])-1)),"")</f>
        <v>2</v>
      </c>
      <c r="M360" s="14">
        <f>IFERROR(VALUE(MID(tblMatriculas[[#This Row],[Clases]],FIND("/",tblMatriculas[[#This Row],[Clases]])+1,5)),"")</f>
        <v>30</v>
      </c>
      <c r="N3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0" s="14">
        <f>IF(OR(tblMatriculas[[#This Row],[Estado]]&lt;&gt;"activa",tblMatriculas[[#This Row],[Clases dictadas]]=""),"",MAX(0,tblMatriculas[[#This Row],[Clases dictadas]]-tblMatriculas[[#This Row],[Asistidas]]))</f>
        <v>0</v>
      </c>
      <c r="P360" s="1">
        <f>IF(OR(tblMatriculas[[#This Row],[Estado]]&lt;&gt;"activa",tblMatriculas[[#This Row],[Asistidas]]=""),"",tblMatriculas[[#This Row],[Asistencia]])</f>
        <v>6.7000000000000004E-2</v>
      </c>
      <c r="Q360" t="b">
        <f>AND(tblMatriculas[[#This Row],[Estado]]="activa",ISNUMBER(tblMatriculas[[#This Row],[% asistencia]]),NOT(ISNUMBER(SEARCH(pPrueba,tblMatriculas[[#This Row],[Nombre]]))))</f>
        <v>1</v>
      </c>
      <c r="R3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0" s="23" t="str" cm="1">
        <f t="array" ref="S3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0" s="23" t="str" cm="1">
        <f t="array" ref="T3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0" s="14" t="str" cm="1">
        <f t="array" ref="U3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0" t="str" cm="1">
        <f t="array" ref="V3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0" t="str" cm="1">
        <f t="array" ref="W3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0" t="str">
        <f>IF(COUNTIFS('Base Estudiantes'!$C:$C,tblMatriculas[[#This Row],[Cédula]],'Base Estudiantes'!$I:$I,tblMatriculas[[#This Row],[Código]])&gt;0,"Sí","No")</f>
        <v>Sí</v>
      </c>
      <c r="Z360" s="23" cm="1">
        <f t="array" ref="Z360">_xlfn.XLOOKUP(tblMatriculas[[#This Row],[Cédula]]&amp;"|"&amp;tblMatriculas[[#This Row],[Código]],tblBase[Documento]&amp;"|"&amp;tblBase[Código grupo],tblBase[Fecha matrícula],"")</f>
        <v>46263</v>
      </c>
    </row>
    <row r="361" spans="1:26" x14ac:dyDescent="0.2">
      <c r="A361" t="s">
        <v>789</v>
      </c>
      <c r="B361" t="s">
        <v>790</v>
      </c>
      <c r="C361" t="s">
        <v>13</v>
      </c>
      <c r="D361" t="s">
        <v>748</v>
      </c>
      <c r="E361" t="s">
        <v>749</v>
      </c>
      <c r="F361" t="s">
        <v>750</v>
      </c>
      <c r="G361" s="1">
        <v>6.7000000000000004E-2</v>
      </c>
      <c r="H361" t="s">
        <v>166</v>
      </c>
      <c r="I361" t="s">
        <v>18</v>
      </c>
      <c r="J361" t="s">
        <v>337</v>
      </c>
      <c r="K361" t="s">
        <v>24</v>
      </c>
      <c r="L361" s="14">
        <f>IFERROR(VALUE(LEFT(tblMatriculas[[#This Row],[Clases]],FIND("/",tblMatriculas[[#This Row],[Clases]])-1)),"")</f>
        <v>2</v>
      </c>
      <c r="M361" s="14">
        <f>IFERROR(VALUE(MID(tblMatriculas[[#This Row],[Clases]],FIND("/",tblMatriculas[[#This Row],[Clases]])+1,5)),"")</f>
        <v>30</v>
      </c>
      <c r="N3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1" s="14">
        <f>IF(OR(tblMatriculas[[#This Row],[Estado]]&lt;&gt;"activa",tblMatriculas[[#This Row],[Clases dictadas]]=""),"",MAX(0,tblMatriculas[[#This Row],[Clases dictadas]]-tblMatriculas[[#This Row],[Asistidas]]))</f>
        <v>0</v>
      </c>
      <c r="P361" s="1">
        <f>IF(OR(tblMatriculas[[#This Row],[Estado]]&lt;&gt;"activa",tblMatriculas[[#This Row],[Asistidas]]=""),"",tblMatriculas[[#This Row],[Asistencia]])</f>
        <v>6.7000000000000004E-2</v>
      </c>
      <c r="Q361" t="b">
        <f>AND(tblMatriculas[[#This Row],[Estado]]="activa",ISNUMBER(tblMatriculas[[#This Row],[% asistencia]]),NOT(ISNUMBER(SEARCH(pPrueba,tblMatriculas[[#This Row],[Nombre]]))))</f>
        <v>1</v>
      </c>
      <c r="R3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1" s="23" t="str" cm="1">
        <f t="array" ref="S3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1" s="23" t="str" cm="1">
        <f t="array" ref="T3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1" s="14" t="str" cm="1">
        <f t="array" ref="U3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1" t="str" cm="1">
        <f t="array" ref="V3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1" t="str" cm="1">
        <f t="array" ref="W3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1" t="str">
        <f>IF(COUNTIFS('Base Estudiantes'!$C:$C,tblMatriculas[[#This Row],[Cédula]],'Base Estudiantes'!$I:$I,tblMatriculas[[#This Row],[Código]])&gt;0,"Sí","No")</f>
        <v>Sí</v>
      </c>
      <c r="Z361" s="23" cm="1">
        <f t="array" ref="Z361">_xlfn.XLOOKUP(tblMatriculas[[#This Row],[Cédula]]&amp;"|"&amp;tblMatriculas[[#This Row],[Código]],tblBase[Documento]&amp;"|"&amp;tblBase[Código grupo],tblBase[Fecha matrícula],"")</f>
        <v>46263</v>
      </c>
    </row>
    <row r="362" spans="1:26" x14ac:dyDescent="0.2">
      <c r="A362" t="s">
        <v>791</v>
      </c>
      <c r="B362" t="s">
        <v>792</v>
      </c>
      <c r="C362" t="s">
        <v>13</v>
      </c>
      <c r="D362" t="s">
        <v>748</v>
      </c>
      <c r="E362" t="s">
        <v>749</v>
      </c>
      <c r="F362" t="s">
        <v>750</v>
      </c>
      <c r="G362" s="1">
        <v>3.3000000000000002E-2</v>
      </c>
      <c r="H362" t="s">
        <v>225</v>
      </c>
      <c r="I362" t="s">
        <v>18</v>
      </c>
      <c r="J362" t="s">
        <v>337</v>
      </c>
      <c r="K362" t="s">
        <v>432</v>
      </c>
      <c r="L362" s="14">
        <f>IFERROR(VALUE(LEFT(tblMatriculas[[#This Row],[Clases]],FIND("/",tblMatriculas[[#This Row],[Clases]])-1)),"")</f>
        <v>1</v>
      </c>
      <c r="M362" s="14">
        <f>IFERROR(VALUE(MID(tblMatriculas[[#This Row],[Clases]],FIND("/",tblMatriculas[[#This Row],[Clases]])+1,5)),"")</f>
        <v>30</v>
      </c>
      <c r="N3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2" s="14">
        <f>IF(OR(tblMatriculas[[#This Row],[Estado]]&lt;&gt;"activa",tblMatriculas[[#This Row],[Clases dictadas]]=""),"",MAX(0,tblMatriculas[[#This Row],[Clases dictadas]]-tblMatriculas[[#This Row],[Asistidas]]))</f>
        <v>1</v>
      </c>
      <c r="P362" s="1">
        <f>IF(OR(tblMatriculas[[#This Row],[Estado]]&lt;&gt;"activa",tblMatriculas[[#This Row],[Asistidas]]=""),"",tblMatriculas[[#This Row],[Asistencia]])</f>
        <v>3.3000000000000002E-2</v>
      </c>
      <c r="Q362" t="b">
        <f>AND(tblMatriculas[[#This Row],[Estado]]="activa",ISNUMBER(tblMatriculas[[#This Row],[% asistencia]]),NOT(ISNUMBER(SEARCH(pPrueba,tblMatriculas[[#This Row],[Nombre]]))))</f>
        <v>1</v>
      </c>
      <c r="R3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62" s="23" t="str" cm="1">
        <f t="array" ref="S3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2" s="23" t="str" cm="1">
        <f t="array" ref="T3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2" s="14" t="str" cm="1">
        <f t="array" ref="U3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2" t="str" cm="1">
        <f t="array" ref="V3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2" t="str" cm="1">
        <f t="array" ref="W3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62" t="str">
        <f>IF(COUNTIFS('Base Estudiantes'!$C:$C,tblMatriculas[[#This Row],[Cédula]],'Base Estudiantes'!$I:$I,tblMatriculas[[#This Row],[Código]])&gt;0,"Sí","No")</f>
        <v>Sí</v>
      </c>
      <c r="Z362" s="23" cm="1">
        <f t="array" ref="Z362">_xlfn.XLOOKUP(tblMatriculas[[#This Row],[Cédula]]&amp;"|"&amp;tblMatriculas[[#This Row],[Código]],tblBase[Documento]&amp;"|"&amp;tblBase[Código grupo],tblBase[Fecha matrícula],"")</f>
        <v>46264</v>
      </c>
    </row>
    <row r="363" spans="1:26" x14ac:dyDescent="0.2">
      <c r="A363" t="s">
        <v>793</v>
      </c>
      <c r="B363" t="s">
        <v>794</v>
      </c>
      <c r="C363" t="s">
        <v>13</v>
      </c>
      <c r="D363" t="s">
        <v>748</v>
      </c>
      <c r="E363" t="s">
        <v>749</v>
      </c>
      <c r="F363" t="s">
        <v>750</v>
      </c>
      <c r="G363" s="1">
        <v>6.7000000000000004E-2</v>
      </c>
      <c r="H363" t="s">
        <v>166</v>
      </c>
      <c r="I363" t="s">
        <v>18</v>
      </c>
      <c r="J363" t="s">
        <v>337</v>
      </c>
      <c r="K363" t="s">
        <v>125</v>
      </c>
      <c r="L363" s="14">
        <f>IFERROR(VALUE(LEFT(tblMatriculas[[#This Row],[Clases]],FIND("/",tblMatriculas[[#This Row],[Clases]])-1)),"")</f>
        <v>2</v>
      </c>
      <c r="M363" s="14">
        <f>IFERROR(VALUE(MID(tblMatriculas[[#This Row],[Clases]],FIND("/",tblMatriculas[[#This Row],[Clases]])+1,5)),"")</f>
        <v>30</v>
      </c>
      <c r="N3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3" s="14">
        <f>IF(OR(tblMatriculas[[#This Row],[Estado]]&lt;&gt;"activa",tblMatriculas[[#This Row],[Clases dictadas]]=""),"",MAX(0,tblMatriculas[[#This Row],[Clases dictadas]]-tblMatriculas[[#This Row],[Asistidas]]))</f>
        <v>0</v>
      </c>
      <c r="P363" s="1">
        <f>IF(OR(tblMatriculas[[#This Row],[Estado]]&lt;&gt;"activa",tblMatriculas[[#This Row],[Asistidas]]=""),"",tblMatriculas[[#This Row],[Asistencia]])</f>
        <v>6.7000000000000004E-2</v>
      </c>
      <c r="Q363" t="b">
        <f>AND(tblMatriculas[[#This Row],[Estado]]="activa",ISNUMBER(tblMatriculas[[#This Row],[% asistencia]]),NOT(ISNUMBER(SEARCH(pPrueba,tblMatriculas[[#This Row],[Nombre]]))))</f>
        <v>1</v>
      </c>
      <c r="R3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3" s="23" t="str" cm="1">
        <f t="array" ref="S3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3" s="23" t="str" cm="1">
        <f t="array" ref="T3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3" s="14" t="str" cm="1">
        <f t="array" ref="U3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3" t="str" cm="1">
        <f t="array" ref="V3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3" t="str" cm="1">
        <f t="array" ref="W3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3" t="str">
        <f>IF(COUNTIFS('Base Estudiantes'!$C:$C,tblMatriculas[[#This Row],[Cédula]],'Base Estudiantes'!$I:$I,tblMatriculas[[#This Row],[Código]])&gt;0,"Sí","No")</f>
        <v>Sí</v>
      </c>
      <c r="Z363" s="23" cm="1">
        <f t="array" ref="Z363">_xlfn.XLOOKUP(tblMatriculas[[#This Row],[Cédula]]&amp;"|"&amp;tblMatriculas[[#This Row],[Código]],tblBase[Documento]&amp;"|"&amp;tblBase[Código grupo],tblBase[Fecha matrícula],"")</f>
        <v>46264</v>
      </c>
    </row>
    <row r="364" spans="1:26" x14ac:dyDescent="0.2">
      <c r="A364" t="s">
        <v>795</v>
      </c>
      <c r="B364" t="s">
        <v>796</v>
      </c>
      <c r="C364" t="s">
        <v>13</v>
      </c>
      <c r="D364" t="s">
        <v>748</v>
      </c>
      <c r="E364" t="s">
        <v>749</v>
      </c>
      <c r="F364" t="s">
        <v>750</v>
      </c>
      <c r="G364" s="1">
        <v>3.3000000000000002E-2</v>
      </c>
      <c r="H364" t="s">
        <v>225</v>
      </c>
      <c r="I364" t="s">
        <v>18</v>
      </c>
      <c r="J364" t="s">
        <v>337</v>
      </c>
      <c r="K364" t="s">
        <v>125</v>
      </c>
      <c r="L364" s="14">
        <f>IFERROR(VALUE(LEFT(tblMatriculas[[#This Row],[Clases]],FIND("/",tblMatriculas[[#This Row],[Clases]])-1)),"")</f>
        <v>1</v>
      </c>
      <c r="M364" s="14">
        <f>IFERROR(VALUE(MID(tblMatriculas[[#This Row],[Clases]],FIND("/",tblMatriculas[[#This Row],[Clases]])+1,5)),"")</f>
        <v>30</v>
      </c>
      <c r="N3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4" s="14">
        <f>IF(OR(tblMatriculas[[#This Row],[Estado]]&lt;&gt;"activa",tblMatriculas[[#This Row],[Clases dictadas]]=""),"",MAX(0,tblMatriculas[[#This Row],[Clases dictadas]]-tblMatriculas[[#This Row],[Asistidas]]))</f>
        <v>1</v>
      </c>
      <c r="P364" s="1">
        <f>IF(OR(tblMatriculas[[#This Row],[Estado]]&lt;&gt;"activa",tblMatriculas[[#This Row],[Asistidas]]=""),"",tblMatriculas[[#This Row],[Asistencia]])</f>
        <v>3.3000000000000002E-2</v>
      </c>
      <c r="Q364" t="b">
        <f>AND(tblMatriculas[[#This Row],[Estado]]="activa",ISNUMBER(tblMatriculas[[#This Row],[% asistencia]]),NOT(ISNUMBER(SEARCH(pPrueba,tblMatriculas[[#This Row],[Nombre]]))))</f>
        <v>1</v>
      </c>
      <c r="R3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64" s="23" t="str" cm="1">
        <f t="array" ref="S3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4" s="23" t="str" cm="1">
        <f t="array" ref="T3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4" s="14" t="str" cm="1">
        <f t="array" ref="U3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4" t="str" cm="1">
        <f t="array" ref="V3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4" t="str" cm="1">
        <f t="array" ref="W3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64" t="str">
        <f>IF(COUNTIFS('Base Estudiantes'!$C:$C,tblMatriculas[[#This Row],[Cédula]],'Base Estudiantes'!$I:$I,tblMatriculas[[#This Row],[Código]])&gt;0,"Sí","No")</f>
        <v>Sí</v>
      </c>
      <c r="Z364" s="23" cm="1">
        <f t="array" ref="Z364">_xlfn.XLOOKUP(tblMatriculas[[#This Row],[Cédula]]&amp;"|"&amp;tblMatriculas[[#This Row],[Código]],tblBase[Documento]&amp;"|"&amp;tblBase[Código grupo],tblBase[Fecha matrícula],"")</f>
        <v>46264</v>
      </c>
    </row>
    <row r="365" spans="1:26" x14ac:dyDescent="0.2">
      <c r="A365" t="s">
        <v>797</v>
      </c>
      <c r="B365" t="s">
        <v>798</v>
      </c>
      <c r="C365" t="s">
        <v>13</v>
      </c>
      <c r="D365" t="s">
        <v>748</v>
      </c>
      <c r="E365" t="s">
        <v>749</v>
      </c>
      <c r="F365" t="s">
        <v>750</v>
      </c>
      <c r="G365" s="1">
        <v>6.7000000000000004E-2</v>
      </c>
      <c r="H365" t="s">
        <v>166</v>
      </c>
      <c r="I365" t="s">
        <v>18</v>
      </c>
      <c r="J365" t="s">
        <v>337</v>
      </c>
      <c r="K365" t="s">
        <v>426</v>
      </c>
      <c r="L365" s="14">
        <f>IFERROR(VALUE(LEFT(tblMatriculas[[#This Row],[Clases]],FIND("/",tblMatriculas[[#This Row],[Clases]])-1)),"")</f>
        <v>2</v>
      </c>
      <c r="M365" s="14">
        <f>IFERROR(VALUE(MID(tblMatriculas[[#This Row],[Clases]],FIND("/",tblMatriculas[[#This Row],[Clases]])+1,5)),"")</f>
        <v>30</v>
      </c>
      <c r="N3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5" s="14">
        <f>IF(OR(tblMatriculas[[#This Row],[Estado]]&lt;&gt;"activa",tblMatriculas[[#This Row],[Clases dictadas]]=""),"",MAX(0,tblMatriculas[[#This Row],[Clases dictadas]]-tblMatriculas[[#This Row],[Asistidas]]))</f>
        <v>0</v>
      </c>
      <c r="P365" s="1">
        <f>IF(OR(tblMatriculas[[#This Row],[Estado]]&lt;&gt;"activa",tblMatriculas[[#This Row],[Asistidas]]=""),"",tblMatriculas[[#This Row],[Asistencia]])</f>
        <v>6.7000000000000004E-2</v>
      </c>
      <c r="Q365" t="b">
        <f>AND(tblMatriculas[[#This Row],[Estado]]="activa",ISNUMBER(tblMatriculas[[#This Row],[% asistencia]]),NOT(ISNUMBER(SEARCH(pPrueba,tblMatriculas[[#This Row],[Nombre]]))))</f>
        <v>1</v>
      </c>
      <c r="R3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5" s="23" t="str" cm="1">
        <f t="array" ref="S3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5" s="23" t="str" cm="1">
        <f t="array" ref="T3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5" s="14" t="str" cm="1">
        <f t="array" ref="U3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5" t="str" cm="1">
        <f t="array" ref="V3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5" t="str" cm="1">
        <f t="array" ref="W3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5" t="str">
        <f>IF(COUNTIFS('Base Estudiantes'!$C:$C,tblMatriculas[[#This Row],[Cédula]],'Base Estudiantes'!$I:$I,tblMatriculas[[#This Row],[Código]])&gt;0,"Sí","No")</f>
        <v>Sí</v>
      </c>
      <c r="Z365" s="23" cm="1">
        <f t="array" ref="Z365">_xlfn.XLOOKUP(tblMatriculas[[#This Row],[Cédula]]&amp;"|"&amp;tblMatriculas[[#This Row],[Código]],tblBase[Documento]&amp;"|"&amp;tblBase[Código grupo],tblBase[Fecha matrícula],"")</f>
        <v>46264</v>
      </c>
    </row>
    <row r="366" spans="1:26" x14ac:dyDescent="0.2">
      <c r="A366" t="s">
        <v>799</v>
      </c>
      <c r="B366" t="s">
        <v>800</v>
      </c>
      <c r="C366" t="s">
        <v>13</v>
      </c>
      <c r="D366" t="s">
        <v>748</v>
      </c>
      <c r="E366" t="s">
        <v>749</v>
      </c>
      <c r="F366" t="s">
        <v>750</v>
      </c>
      <c r="G366" s="1">
        <v>6.7000000000000004E-2</v>
      </c>
      <c r="H366" t="s">
        <v>166</v>
      </c>
      <c r="I366" t="s">
        <v>18</v>
      </c>
      <c r="J366" t="s">
        <v>337</v>
      </c>
      <c r="K366" t="s">
        <v>426</v>
      </c>
      <c r="L366" s="14">
        <f>IFERROR(VALUE(LEFT(tblMatriculas[[#This Row],[Clases]],FIND("/",tblMatriculas[[#This Row],[Clases]])-1)),"")</f>
        <v>2</v>
      </c>
      <c r="M366" s="14">
        <f>IFERROR(VALUE(MID(tblMatriculas[[#This Row],[Clases]],FIND("/",tblMatriculas[[#This Row],[Clases]])+1,5)),"")</f>
        <v>30</v>
      </c>
      <c r="N3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6" s="14">
        <f>IF(OR(tblMatriculas[[#This Row],[Estado]]&lt;&gt;"activa",tblMatriculas[[#This Row],[Clases dictadas]]=""),"",MAX(0,tblMatriculas[[#This Row],[Clases dictadas]]-tblMatriculas[[#This Row],[Asistidas]]))</f>
        <v>0</v>
      </c>
      <c r="P366" s="1">
        <f>IF(OR(tblMatriculas[[#This Row],[Estado]]&lt;&gt;"activa",tblMatriculas[[#This Row],[Asistidas]]=""),"",tblMatriculas[[#This Row],[Asistencia]])</f>
        <v>6.7000000000000004E-2</v>
      </c>
      <c r="Q366" t="b">
        <f>AND(tblMatriculas[[#This Row],[Estado]]="activa",ISNUMBER(tblMatriculas[[#This Row],[% asistencia]]),NOT(ISNUMBER(SEARCH(pPrueba,tblMatriculas[[#This Row],[Nombre]]))))</f>
        <v>1</v>
      </c>
      <c r="R3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6" s="23" t="str" cm="1">
        <f t="array" ref="S3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6" s="23" t="str" cm="1">
        <f t="array" ref="T3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6" s="14" t="str" cm="1">
        <f t="array" ref="U3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6" t="str" cm="1">
        <f t="array" ref="V3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6" t="str" cm="1">
        <f t="array" ref="W3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6" t="str">
        <f>IF(COUNTIFS('Base Estudiantes'!$C:$C,tblMatriculas[[#This Row],[Cédula]],'Base Estudiantes'!$I:$I,tblMatriculas[[#This Row],[Código]])&gt;0,"Sí","No")</f>
        <v>Sí</v>
      </c>
      <c r="Z366" s="23" cm="1">
        <f t="array" ref="Z366">_xlfn.XLOOKUP(tblMatriculas[[#This Row],[Cédula]]&amp;"|"&amp;tblMatriculas[[#This Row],[Código]],tblBase[Documento]&amp;"|"&amp;tblBase[Código grupo],tblBase[Fecha matrícula],"")</f>
        <v>46264</v>
      </c>
    </row>
    <row r="367" spans="1:26" x14ac:dyDescent="0.2">
      <c r="A367" t="s">
        <v>801</v>
      </c>
      <c r="B367" t="s">
        <v>802</v>
      </c>
      <c r="C367" t="s">
        <v>13</v>
      </c>
      <c r="D367" t="s">
        <v>748</v>
      </c>
      <c r="E367" t="s">
        <v>749</v>
      </c>
      <c r="F367" t="s">
        <v>750</v>
      </c>
      <c r="G367" s="1">
        <v>6.7000000000000004E-2</v>
      </c>
      <c r="H367" t="s">
        <v>166</v>
      </c>
      <c r="I367" t="s">
        <v>18</v>
      </c>
      <c r="J367" t="s">
        <v>337</v>
      </c>
      <c r="K367" t="s">
        <v>24</v>
      </c>
      <c r="L367" s="14">
        <f>IFERROR(VALUE(LEFT(tblMatriculas[[#This Row],[Clases]],FIND("/",tblMatriculas[[#This Row],[Clases]])-1)),"")</f>
        <v>2</v>
      </c>
      <c r="M367" s="14">
        <f>IFERROR(VALUE(MID(tblMatriculas[[#This Row],[Clases]],FIND("/",tblMatriculas[[#This Row],[Clases]])+1,5)),"")</f>
        <v>30</v>
      </c>
      <c r="N3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367" s="14">
        <f>IF(OR(tblMatriculas[[#This Row],[Estado]]&lt;&gt;"activa",tblMatriculas[[#This Row],[Clases dictadas]]=""),"",MAX(0,tblMatriculas[[#This Row],[Clases dictadas]]-tblMatriculas[[#This Row],[Asistidas]]))</f>
        <v>0</v>
      </c>
      <c r="P367" s="1">
        <f>IF(OR(tblMatriculas[[#This Row],[Estado]]&lt;&gt;"activa",tblMatriculas[[#This Row],[Asistidas]]=""),"",tblMatriculas[[#This Row],[Asistencia]])</f>
        <v>6.7000000000000004E-2</v>
      </c>
      <c r="Q367" t="b">
        <f>AND(tblMatriculas[[#This Row],[Estado]]="activa",ISNUMBER(tblMatriculas[[#This Row],[% asistencia]]),NOT(ISNUMBER(SEARCH(pPrueba,tblMatriculas[[#This Row],[Nombre]]))))</f>
        <v>1</v>
      </c>
      <c r="R3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7" s="23" t="str" cm="1">
        <f t="array" ref="S3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7" s="23" t="str" cm="1">
        <f t="array" ref="T3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7" s="14" t="str" cm="1">
        <f t="array" ref="U3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7" t="str" cm="1">
        <f t="array" ref="V3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7" t="str" cm="1">
        <f t="array" ref="W3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7" t="str">
        <f>IF(COUNTIFS('Base Estudiantes'!$C:$C,tblMatriculas[[#This Row],[Cédula]],'Base Estudiantes'!$I:$I,tblMatriculas[[#This Row],[Código]])&gt;0,"Sí","No")</f>
        <v>Sí</v>
      </c>
      <c r="Z367" s="23" cm="1">
        <f t="array" ref="Z367">_xlfn.XLOOKUP(tblMatriculas[[#This Row],[Cédula]]&amp;"|"&amp;tblMatriculas[[#This Row],[Código]],tblBase[Documento]&amp;"|"&amp;tblBase[Código grupo],tblBase[Fecha matrícula],"")</f>
        <v>46273</v>
      </c>
    </row>
    <row r="368" spans="1:26" x14ac:dyDescent="0.2">
      <c r="A368" t="s">
        <v>803</v>
      </c>
      <c r="B368" t="s">
        <v>804</v>
      </c>
      <c r="C368" t="s">
        <v>13</v>
      </c>
      <c r="D368" t="s">
        <v>805</v>
      </c>
      <c r="E368" t="s">
        <v>806</v>
      </c>
      <c r="F368" t="s">
        <v>807</v>
      </c>
      <c r="G368" s="1">
        <v>6.7000000000000004E-2</v>
      </c>
      <c r="H368" t="s">
        <v>166</v>
      </c>
      <c r="I368" t="s">
        <v>18</v>
      </c>
      <c r="J368" t="s">
        <v>113</v>
      </c>
      <c r="K368" t="s">
        <v>24</v>
      </c>
      <c r="L368" s="14">
        <f>IFERROR(VALUE(LEFT(tblMatriculas[[#This Row],[Clases]],FIND("/",tblMatriculas[[#This Row],[Clases]])-1)),"")</f>
        <v>2</v>
      </c>
      <c r="M368" s="14">
        <f>IFERROR(VALUE(MID(tblMatriculas[[#This Row],[Clases]],FIND("/",tblMatriculas[[#This Row],[Clases]])+1,5)),"")</f>
        <v>30</v>
      </c>
      <c r="N3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68" s="14">
        <f>IF(OR(tblMatriculas[[#This Row],[Estado]]&lt;&gt;"activa",tblMatriculas[[#This Row],[Clases dictadas]]=""),"",MAX(0,tblMatriculas[[#This Row],[Clases dictadas]]-tblMatriculas[[#This Row],[Asistidas]]))</f>
        <v>2</v>
      </c>
      <c r="P368" s="1">
        <f>IF(OR(tblMatriculas[[#This Row],[Estado]]&lt;&gt;"activa",tblMatriculas[[#This Row],[Asistidas]]=""),"",tblMatriculas[[#This Row],[Asistencia]])</f>
        <v>6.7000000000000004E-2</v>
      </c>
      <c r="Q368" t="b">
        <f>AND(tblMatriculas[[#This Row],[Estado]]="activa",ISNUMBER(tblMatriculas[[#This Row],[% asistencia]]),NOT(ISNUMBER(SEARCH(pPrueba,tblMatriculas[[#This Row],[Nombre]]))))</f>
        <v>1</v>
      </c>
      <c r="R3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68" s="23" t="str" cm="1">
        <f t="array" ref="S3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8" s="23" t="str" cm="1">
        <f t="array" ref="T3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8" s="14" t="str" cm="1">
        <f t="array" ref="U3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8" t="str" cm="1">
        <f t="array" ref="V3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8" t="str" cm="1">
        <f t="array" ref="W3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68" t="str">
        <f>IF(COUNTIFS('Base Estudiantes'!$C:$C,tblMatriculas[[#This Row],[Cédula]],'Base Estudiantes'!$I:$I,tblMatriculas[[#This Row],[Código]])&gt;0,"Sí","No")</f>
        <v>Sí</v>
      </c>
      <c r="Z368" s="23" cm="1">
        <f t="array" ref="Z368">_xlfn.XLOOKUP(tblMatriculas[[#This Row],[Cédula]]&amp;"|"&amp;tblMatriculas[[#This Row],[Código]],tblBase[Documento]&amp;"|"&amp;tblBase[Código grupo],tblBase[Fecha matrícula],"")</f>
        <v>46263</v>
      </c>
    </row>
    <row r="369" spans="1:26" x14ac:dyDescent="0.2">
      <c r="A369" t="s">
        <v>808</v>
      </c>
      <c r="B369" t="s">
        <v>809</v>
      </c>
      <c r="C369" t="s">
        <v>13</v>
      </c>
      <c r="D369" t="s">
        <v>805</v>
      </c>
      <c r="E369" t="s">
        <v>806</v>
      </c>
      <c r="F369" t="s">
        <v>807</v>
      </c>
      <c r="G369" s="1">
        <v>0.13300000000000001</v>
      </c>
      <c r="H369" t="s">
        <v>112</v>
      </c>
      <c r="I369" t="s">
        <v>18</v>
      </c>
      <c r="J369" t="s">
        <v>113</v>
      </c>
      <c r="K369" t="s">
        <v>24</v>
      </c>
      <c r="L369" s="14">
        <f>IFERROR(VALUE(LEFT(tblMatriculas[[#This Row],[Clases]],FIND("/",tblMatriculas[[#This Row],[Clases]])-1)),"")</f>
        <v>4</v>
      </c>
      <c r="M369" s="14">
        <f>IFERROR(VALUE(MID(tblMatriculas[[#This Row],[Clases]],FIND("/",tblMatriculas[[#This Row],[Clases]])+1,5)),"")</f>
        <v>30</v>
      </c>
      <c r="N3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69" s="14">
        <f>IF(OR(tblMatriculas[[#This Row],[Estado]]&lt;&gt;"activa",tblMatriculas[[#This Row],[Clases dictadas]]=""),"",MAX(0,tblMatriculas[[#This Row],[Clases dictadas]]-tblMatriculas[[#This Row],[Asistidas]]))</f>
        <v>0</v>
      </c>
      <c r="P369" s="1">
        <f>IF(OR(tblMatriculas[[#This Row],[Estado]]&lt;&gt;"activa",tblMatriculas[[#This Row],[Asistidas]]=""),"",tblMatriculas[[#This Row],[Asistencia]])</f>
        <v>0.13300000000000001</v>
      </c>
      <c r="Q369" t="b">
        <f>AND(tblMatriculas[[#This Row],[Estado]]="activa",ISNUMBER(tblMatriculas[[#This Row],[% asistencia]]),NOT(ISNUMBER(SEARCH(pPrueba,tblMatriculas[[#This Row],[Nombre]]))))</f>
        <v>1</v>
      </c>
      <c r="R3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69" s="23" t="str" cm="1">
        <f t="array" ref="S3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69" s="23" t="str" cm="1">
        <f t="array" ref="T3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69" s="14" t="str" cm="1">
        <f t="array" ref="U3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69" t="str" cm="1">
        <f t="array" ref="V3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69" t="str" cm="1">
        <f t="array" ref="W3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69" t="str">
        <f>IF(COUNTIFS('Base Estudiantes'!$C:$C,tblMatriculas[[#This Row],[Cédula]],'Base Estudiantes'!$I:$I,tblMatriculas[[#This Row],[Código]])&gt;0,"Sí","No")</f>
        <v>Sí</v>
      </c>
      <c r="Z369" s="23" cm="1">
        <f t="array" ref="Z369">_xlfn.XLOOKUP(tblMatriculas[[#This Row],[Cédula]]&amp;"|"&amp;tblMatriculas[[#This Row],[Código]],tblBase[Documento]&amp;"|"&amp;tblBase[Código grupo],tblBase[Fecha matrícula],"")</f>
        <v>46263</v>
      </c>
    </row>
    <row r="370" spans="1:26" x14ac:dyDescent="0.2">
      <c r="A370" t="s">
        <v>810</v>
      </c>
      <c r="B370" t="s">
        <v>811</v>
      </c>
      <c r="C370" t="s">
        <v>13</v>
      </c>
      <c r="D370" t="s">
        <v>805</v>
      </c>
      <c r="E370" t="s">
        <v>806</v>
      </c>
      <c r="F370" t="s">
        <v>807</v>
      </c>
      <c r="G370" s="1">
        <v>6.7000000000000004E-2</v>
      </c>
      <c r="H370" t="s">
        <v>166</v>
      </c>
      <c r="I370" t="s">
        <v>18</v>
      </c>
      <c r="J370" t="s">
        <v>113</v>
      </c>
      <c r="K370" t="s">
        <v>24</v>
      </c>
      <c r="L370" s="14">
        <f>IFERROR(VALUE(LEFT(tblMatriculas[[#This Row],[Clases]],FIND("/",tblMatriculas[[#This Row],[Clases]])-1)),"")</f>
        <v>2</v>
      </c>
      <c r="M370" s="14">
        <f>IFERROR(VALUE(MID(tblMatriculas[[#This Row],[Clases]],FIND("/",tblMatriculas[[#This Row],[Clases]])+1,5)),"")</f>
        <v>30</v>
      </c>
      <c r="N3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0" s="14">
        <f>IF(OR(tblMatriculas[[#This Row],[Estado]]&lt;&gt;"activa",tblMatriculas[[#This Row],[Clases dictadas]]=""),"",MAX(0,tblMatriculas[[#This Row],[Clases dictadas]]-tblMatriculas[[#This Row],[Asistidas]]))</f>
        <v>2</v>
      </c>
      <c r="P370" s="1">
        <f>IF(OR(tblMatriculas[[#This Row],[Estado]]&lt;&gt;"activa",tblMatriculas[[#This Row],[Asistidas]]=""),"",tblMatriculas[[#This Row],[Asistencia]])</f>
        <v>6.7000000000000004E-2</v>
      </c>
      <c r="Q370" t="b">
        <f>AND(tblMatriculas[[#This Row],[Estado]]="activa",ISNUMBER(tblMatriculas[[#This Row],[% asistencia]]),NOT(ISNUMBER(SEARCH(pPrueba,tblMatriculas[[#This Row],[Nombre]]))))</f>
        <v>1</v>
      </c>
      <c r="R3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70" s="23" t="str" cm="1">
        <f t="array" ref="S3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0" s="23" t="str" cm="1">
        <f t="array" ref="T3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0" s="14" t="str" cm="1">
        <f t="array" ref="U3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0" t="str" cm="1">
        <f t="array" ref="V3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0" t="str" cm="1">
        <f t="array" ref="W3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70" t="str">
        <f>IF(COUNTIFS('Base Estudiantes'!$C:$C,tblMatriculas[[#This Row],[Cédula]],'Base Estudiantes'!$I:$I,tblMatriculas[[#This Row],[Código]])&gt;0,"Sí","No")</f>
        <v>Sí</v>
      </c>
      <c r="Z370" s="23" cm="1">
        <f t="array" ref="Z370">_xlfn.XLOOKUP(tblMatriculas[[#This Row],[Cédula]]&amp;"|"&amp;tblMatriculas[[#This Row],[Código]],tblBase[Documento]&amp;"|"&amp;tblBase[Código grupo],tblBase[Fecha matrícula],"")</f>
        <v>46263</v>
      </c>
    </row>
    <row r="371" spans="1:26" x14ac:dyDescent="0.2">
      <c r="A371" t="s">
        <v>812</v>
      </c>
      <c r="B371" t="s">
        <v>813</v>
      </c>
      <c r="C371" t="s">
        <v>13</v>
      </c>
      <c r="D371" t="s">
        <v>805</v>
      </c>
      <c r="E371" t="s">
        <v>806</v>
      </c>
      <c r="F371" t="s">
        <v>807</v>
      </c>
      <c r="G371" s="1">
        <v>0.13300000000000001</v>
      </c>
      <c r="H371" t="s">
        <v>112</v>
      </c>
      <c r="I371" t="s">
        <v>18</v>
      </c>
      <c r="J371" t="s">
        <v>113</v>
      </c>
      <c r="K371" t="s">
        <v>24</v>
      </c>
      <c r="L371" s="14">
        <f>IFERROR(VALUE(LEFT(tblMatriculas[[#This Row],[Clases]],FIND("/",tblMatriculas[[#This Row],[Clases]])-1)),"")</f>
        <v>4</v>
      </c>
      <c r="M371" s="14">
        <f>IFERROR(VALUE(MID(tblMatriculas[[#This Row],[Clases]],FIND("/",tblMatriculas[[#This Row],[Clases]])+1,5)),"")</f>
        <v>30</v>
      </c>
      <c r="N3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1" s="14">
        <f>IF(OR(tblMatriculas[[#This Row],[Estado]]&lt;&gt;"activa",tblMatriculas[[#This Row],[Clases dictadas]]=""),"",MAX(0,tblMatriculas[[#This Row],[Clases dictadas]]-tblMatriculas[[#This Row],[Asistidas]]))</f>
        <v>0</v>
      </c>
      <c r="P371" s="1">
        <f>IF(OR(tblMatriculas[[#This Row],[Estado]]&lt;&gt;"activa",tblMatriculas[[#This Row],[Asistidas]]=""),"",tblMatriculas[[#This Row],[Asistencia]])</f>
        <v>0.13300000000000001</v>
      </c>
      <c r="Q371" t="b">
        <f>AND(tblMatriculas[[#This Row],[Estado]]="activa",ISNUMBER(tblMatriculas[[#This Row],[% asistencia]]),NOT(ISNUMBER(SEARCH(pPrueba,tblMatriculas[[#This Row],[Nombre]]))))</f>
        <v>1</v>
      </c>
      <c r="R3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1" s="23" t="str" cm="1">
        <f t="array" ref="S3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1" s="23" t="str" cm="1">
        <f t="array" ref="T3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1" s="14" t="str" cm="1">
        <f t="array" ref="U3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1" t="str" cm="1">
        <f t="array" ref="V3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1" t="str" cm="1">
        <f t="array" ref="W3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1" t="str">
        <f>IF(COUNTIFS('Base Estudiantes'!$C:$C,tblMatriculas[[#This Row],[Cédula]],'Base Estudiantes'!$I:$I,tblMatriculas[[#This Row],[Código]])&gt;0,"Sí","No")</f>
        <v>Sí</v>
      </c>
      <c r="Z371" s="23" cm="1">
        <f t="array" ref="Z371">_xlfn.XLOOKUP(tblMatriculas[[#This Row],[Cédula]]&amp;"|"&amp;tblMatriculas[[#This Row],[Código]],tblBase[Documento]&amp;"|"&amp;tblBase[Código grupo],tblBase[Fecha matrícula],"")</f>
        <v>46263</v>
      </c>
    </row>
    <row r="372" spans="1:26" x14ac:dyDescent="0.2">
      <c r="A372" t="s">
        <v>814</v>
      </c>
      <c r="B372" t="s">
        <v>815</v>
      </c>
      <c r="C372" t="s">
        <v>13</v>
      </c>
      <c r="D372" t="s">
        <v>805</v>
      </c>
      <c r="E372" t="s">
        <v>806</v>
      </c>
      <c r="F372" t="s">
        <v>807</v>
      </c>
      <c r="G372" s="1">
        <v>0.13300000000000001</v>
      </c>
      <c r="H372" t="s">
        <v>112</v>
      </c>
      <c r="I372" t="s">
        <v>18</v>
      </c>
      <c r="J372" t="s">
        <v>113</v>
      </c>
      <c r="K372" t="s">
        <v>24</v>
      </c>
      <c r="L372" s="14">
        <f>IFERROR(VALUE(LEFT(tblMatriculas[[#This Row],[Clases]],FIND("/",tblMatriculas[[#This Row],[Clases]])-1)),"")</f>
        <v>4</v>
      </c>
      <c r="M372" s="14">
        <f>IFERROR(VALUE(MID(tblMatriculas[[#This Row],[Clases]],FIND("/",tblMatriculas[[#This Row],[Clases]])+1,5)),"")</f>
        <v>30</v>
      </c>
      <c r="N3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2" s="14">
        <f>IF(OR(tblMatriculas[[#This Row],[Estado]]&lt;&gt;"activa",tblMatriculas[[#This Row],[Clases dictadas]]=""),"",MAX(0,tblMatriculas[[#This Row],[Clases dictadas]]-tblMatriculas[[#This Row],[Asistidas]]))</f>
        <v>0</v>
      </c>
      <c r="P372" s="1">
        <f>IF(OR(tblMatriculas[[#This Row],[Estado]]&lt;&gt;"activa",tblMatriculas[[#This Row],[Asistidas]]=""),"",tblMatriculas[[#This Row],[Asistencia]])</f>
        <v>0.13300000000000001</v>
      </c>
      <c r="Q372" t="b">
        <f>AND(tblMatriculas[[#This Row],[Estado]]="activa",ISNUMBER(tblMatriculas[[#This Row],[% asistencia]]),NOT(ISNUMBER(SEARCH(pPrueba,tblMatriculas[[#This Row],[Nombre]]))))</f>
        <v>1</v>
      </c>
      <c r="R3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2" s="23" t="str" cm="1">
        <f t="array" ref="S3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2" s="23" t="str" cm="1">
        <f t="array" ref="T3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2" s="14" t="str" cm="1">
        <f t="array" ref="U3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2" t="str" cm="1">
        <f t="array" ref="V3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2" t="str" cm="1">
        <f t="array" ref="W3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2" t="str">
        <f>IF(COUNTIFS('Base Estudiantes'!$C:$C,tblMatriculas[[#This Row],[Cédula]],'Base Estudiantes'!$I:$I,tblMatriculas[[#This Row],[Código]])&gt;0,"Sí","No")</f>
        <v>Sí</v>
      </c>
      <c r="Z372" s="23" cm="1">
        <f t="array" ref="Z372">_xlfn.XLOOKUP(tblMatriculas[[#This Row],[Cédula]]&amp;"|"&amp;tblMatriculas[[#This Row],[Código]],tblBase[Documento]&amp;"|"&amp;tblBase[Código grupo],tblBase[Fecha matrícula],"")</f>
        <v>46263</v>
      </c>
    </row>
    <row r="373" spans="1:26" x14ac:dyDescent="0.2">
      <c r="A373" t="s">
        <v>816</v>
      </c>
      <c r="B373" t="s">
        <v>817</v>
      </c>
      <c r="C373" t="s">
        <v>13</v>
      </c>
      <c r="D373" t="s">
        <v>805</v>
      </c>
      <c r="E373" t="s">
        <v>806</v>
      </c>
      <c r="F373" t="s">
        <v>807</v>
      </c>
      <c r="G373" s="1">
        <v>0.1</v>
      </c>
      <c r="H373" t="s">
        <v>117</v>
      </c>
      <c r="I373" t="s">
        <v>18</v>
      </c>
      <c r="J373" t="s">
        <v>113</v>
      </c>
      <c r="K373" t="s">
        <v>24</v>
      </c>
      <c r="L373" s="14">
        <f>IFERROR(VALUE(LEFT(tblMatriculas[[#This Row],[Clases]],FIND("/",tblMatriculas[[#This Row],[Clases]])-1)),"")</f>
        <v>3</v>
      </c>
      <c r="M373" s="14">
        <f>IFERROR(VALUE(MID(tblMatriculas[[#This Row],[Clases]],FIND("/",tblMatriculas[[#This Row],[Clases]])+1,5)),"")</f>
        <v>30</v>
      </c>
      <c r="N3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3" s="14">
        <f>IF(OR(tblMatriculas[[#This Row],[Estado]]&lt;&gt;"activa",tblMatriculas[[#This Row],[Clases dictadas]]=""),"",MAX(0,tblMatriculas[[#This Row],[Clases dictadas]]-tblMatriculas[[#This Row],[Asistidas]]))</f>
        <v>1</v>
      </c>
      <c r="P373" s="1">
        <f>IF(OR(tblMatriculas[[#This Row],[Estado]]&lt;&gt;"activa",tblMatriculas[[#This Row],[Asistidas]]=""),"",tblMatriculas[[#This Row],[Asistencia]])</f>
        <v>0.1</v>
      </c>
      <c r="Q373" t="b">
        <f>AND(tblMatriculas[[#This Row],[Estado]]="activa",ISNUMBER(tblMatriculas[[#This Row],[% asistencia]]),NOT(ISNUMBER(SEARCH(pPrueba,tblMatriculas[[#This Row],[Nombre]]))))</f>
        <v>1</v>
      </c>
      <c r="R3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3" s="23" t="str" cm="1">
        <f t="array" ref="S3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3" s="23" t="str" cm="1">
        <f t="array" ref="T3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3" s="14" t="str" cm="1">
        <f t="array" ref="U3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3" t="str" cm="1">
        <f t="array" ref="V3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3" t="str" cm="1">
        <f t="array" ref="W3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3" t="str">
        <f>IF(COUNTIFS('Base Estudiantes'!$C:$C,tblMatriculas[[#This Row],[Cédula]],'Base Estudiantes'!$I:$I,tblMatriculas[[#This Row],[Código]])&gt;0,"Sí","No")</f>
        <v>Sí</v>
      </c>
      <c r="Z373" s="23" cm="1">
        <f t="array" ref="Z373">_xlfn.XLOOKUP(tblMatriculas[[#This Row],[Cédula]]&amp;"|"&amp;tblMatriculas[[#This Row],[Código]],tblBase[Documento]&amp;"|"&amp;tblBase[Código grupo],tblBase[Fecha matrícula],"")</f>
        <v>46263</v>
      </c>
    </row>
    <row r="374" spans="1:26" x14ac:dyDescent="0.2">
      <c r="A374" t="s">
        <v>818</v>
      </c>
      <c r="B374" t="s">
        <v>819</v>
      </c>
      <c r="C374" t="s">
        <v>13</v>
      </c>
      <c r="D374" t="s">
        <v>805</v>
      </c>
      <c r="E374" t="s">
        <v>806</v>
      </c>
      <c r="F374" t="s">
        <v>807</v>
      </c>
      <c r="G374" s="1">
        <v>0.13300000000000001</v>
      </c>
      <c r="H374" t="s">
        <v>112</v>
      </c>
      <c r="I374" t="s">
        <v>18</v>
      </c>
      <c r="J374" t="s">
        <v>113</v>
      </c>
      <c r="K374" t="s">
        <v>24</v>
      </c>
      <c r="L374" s="14">
        <f>IFERROR(VALUE(LEFT(tblMatriculas[[#This Row],[Clases]],FIND("/",tblMatriculas[[#This Row],[Clases]])-1)),"")</f>
        <v>4</v>
      </c>
      <c r="M374" s="14">
        <f>IFERROR(VALUE(MID(tblMatriculas[[#This Row],[Clases]],FIND("/",tblMatriculas[[#This Row],[Clases]])+1,5)),"")</f>
        <v>30</v>
      </c>
      <c r="N3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4" s="14">
        <f>IF(OR(tblMatriculas[[#This Row],[Estado]]&lt;&gt;"activa",tblMatriculas[[#This Row],[Clases dictadas]]=""),"",MAX(0,tblMatriculas[[#This Row],[Clases dictadas]]-tblMatriculas[[#This Row],[Asistidas]]))</f>
        <v>0</v>
      </c>
      <c r="P374" s="1">
        <f>IF(OR(tblMatriculas[[#This Row],[Estado]]&lt;&gt;"activa",tblMatriculas[[#This Row],[Asistidas]]=""),"",tblMatriculas[[#This Row],[Asistencia]])</f>
        <v>0.13300000000000001</v>
      </c>
      <c r="Q374" t="b">
        <f>AND(tblMatriculas[[#This Row],[Estado]]="activa",ISNUMBER(tblMatriculas[[#This Row],[% asistencia]]),NOT(ISNUMBER(SEARCH(pPrueba,tblMatriculas[[#This Row],[Nombre]]))))</f>
        <v>1</v>
      </c>
      <c r="R3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4" s="23" t="str" cm="1">
        <f t="array" ref="S3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4" s="23" t="str" cm="1">
        <f t="array" ref="T3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4" s="14" t="str" cm="1">
        <f t="array" ref="U3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4" t="str" cm="1">
        <f t="array" ref="V3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4" t="str" cm="1">
        <f t="array" ref="W3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4" t="str">
        <f>IF(COUNTIFS('Base Estudiantes'!$C:$C,tblMatriculas[[#This Row],[Cédula]],'Base Estudiantes'!$I:$I,tblMatriculas[[#This Row],[Código]])&gt;0,"Sí","No")</f>
        <v>Sí</v>
      </c>
      <c r="Z374" s="23" cm="1">
        <f t="array" ref="Z374">_xlfn.XLOOKUP(tblMatriculas[[#This Row],[Cédula]]&amp;"|"&amp;tblMatriculas[[#This Row],[Código]],tblBase[Documento]&amp;"|"&amp;tblBase[Código grupo],tblBase[Fecha matrícula],"")</f>
        <v>46263</v>
      </c>
    </row>
    <row r="375" spans="1:26" x14ac:dyDescent="0.2">
      <c r="A375" t="s">
        <v>820</v>
      </c>
      <c r="B375" t="s">
        <v>821</v>
      </c>
      <c r="C375" t="s">
        <v>13</v>
      </c>
      <c r="D375" t="s">
        <v>805</v>
      </c>
      <c r="E375" t="s">
        <v>806</v>
      </c>
      <c r="F375" t="s">
        <v>807</v>
      </c>
      <c r="G375" s="1">
        <v>3.3000000000000002E-2</v>
      </c>
      <c r="H375" t="s">
        <v>225</v>
      </c>
      <c r="I375" t="s">
        <v>18</v>
      </c>
      <c r="J375" t="s">
        <v>113</v>
      </c>
      <c r="K375" t="s">
        <v>24</v>
      </c>
      <c r="L375" s="14">
        <f>IFERROR(VALUE(LEFT(tblMatriculas[[#This Row],[Clases]],FIND("/",tblMatriculas[[#This Row],[Clases]])-1)),"")</f>
        <v>1</v>
      </c>
      <c r="M375" s="14">
        <f>IFERROR(VALUE(MID(tblMatriculas[[#This Row],[Clases]],FIND("/",tblMatriculas[[#This Row],[Clases]])+1,5)),"")</f>
        <v>30</v>
      </c>
      <c r="N3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5" s="14">
        <f>IF(OR(tblMatriculas[[#This Row],[Estado]]&lt;&gt;"activa",tblMatriculas[[#This Row],[Clases dictadas]]=""),"",MAX(0,tblMatriculas[[#This Row],[Clases dictadas]]-tblMatriculas[[#This Row],[Asistidas]]))</f>
        <v>3</v>
      </c>
      <c r="P375" s="1">
        <f>IF(OR(tblMatriculas[[#This Row],[Estado]]&lt;&gt;"activa",tblMatriculas[[#This Row],[Asistidas]]=""),"",tblMatriculas[[#This Row],[Asistencia]])</f>
        <v>3.3000000000000002E-2</v>
      </c>
      <c r="Q375" t="b">
        <f>AND(tblMatriculas[[#This Row],[Estado]]="activa",ISNUMBER(tblMatriculas[[#This Row],[% asistencia]]),NOT(ISNUMBER(SEARCH(pPrueba,tblMatriculas[[#This Row],[Nombre]]))))</f>
        <v>1</v>
      </c>
      <c r="R3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75" s="23" t="str" cm="1">
        <f t="array" ref="S3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5" s="23" t="str" cm="1">
        <f t="array" ref="T3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5" s="14" t="str" cm="1">
        <f t="array" ref="U3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5" t="str" cm="1">
        <f t="array" ref="V3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5" t="str" cm="1">
        <f t="array" ref="W3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75" t="str">
        <f>IF(COUNTIFS('Base Estudiantes'!$C:$C,tblMatriculas[[#This Row],[Cédula]],'Base Estudiantes'!$I:$I,tblMatriculas[[#This Row],[Código]])&gt;0,"Sí","No")</f>
        <v>Sí</v>
      </c>
      <c r="Z375" s="23" cm="1">
        <f t="array" ref="Z375">_xlfn.XLOOKUP(tblMatriculas[[#This Row],[Cédula]]&amp;"|"&amp;tblMatriculas[[#This Row],[Código]],tblBase[Documento]&amp;"|"&amp;tblBase[Código grupo],tblBase[Fecha matrícula],"")</f>
        <v>46263</v>
      </c>
    </row>
    <row r="376" spans="1:26" x14ac:dyDescent="0.2">
      <c r="A376" t="s">
        <v>822</v>
      </c>
      <c r="B376" t="s">
        <v>823</v>
      </c>
      <c r="C376" t="s">
        <v>13</v>
      </c>
      <c r="D376" t="s">
        <v>805</v>
      </c>
      <c r="E376" t="s">
        <v>806</v>
      </c>
      <c r="F376" t="s">
        <v>807</v>
      </c>
      <c r="G376" s="1">
        <v>0.1</v>
      </c>
      <c r="H376" t="s">
        <v>117</v>
      </c>
      <c r="I376" t="s">
        <v>18</v>
      </c>
      <c r="J376" t="s">
        <v>113</v>
      </c>
      <c r="K376" t="s">
        <v>24</v>
      </c>
      <c r="L376" s="14">
        <f>IFERROR(VALUE(LEFT(tblMatriculas[[#This Row],[Clases]],FIND("/",tblMatriculas[[#This Row],[Clases]])-1)),"")</f>
        <v>3</v>
      </c>
      <c r="M376" s="14">
        <f>IFERROR(VALUE(MID(tblMatriculas[[#This Row],[Clases]],FIND("/",tblMatriculas[[#This Row],[Clases]])+1,5)),"")</f>
        <v>30</v>
      </c>
      <c r="N3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6" s="14">
        <f>IF(OR(tblMatriculas[[#This Row],[Estado]]&lt;&gt;"activa",tblMatriculas[[#This Row],[Clases dictadas]]=""),"",MAX(0,tblMatriculas[[#This Row],[Clases dictadas]]-tblMatriculas[[#This Row],[Asistidas]]))</f>
        <v>1</v>
      </c>
      <c r="P376" s="1">
        <f>IF(OR(tblMatriculas[[#This Row],[Estado]]&lt;&gt;"activa",tblMatriculas[[#This Row],[Asistidas]]=""),"",tblMatriculas[[#This Row],[Asistencia]])</f>
        <v>0.1</v>
      </c>
      <c r="Q376" t="b">
        <f>AND(tblMatriculas[[#This Row],[Estado]]="activa",ISNUMBER(tblMatriculas[[#This Row],[% asistencia]]),NOT(ISNUMBER(SEARCH(pPrueba,tblMatriculas[[#This Row],[Nombre]]))))</f>
        <v>1</v>
      </c>
      <c r="R3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6" s="23" t="str" cm="1">
        <f t="array" ref="S3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6" s="23" t="str" cm="1">
        <f t="array" ref="T3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6" s="14" t="str" cm="1">
        <f t="array" ref="U3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6" t="str" cm="1">
        <f t="array" ref="V3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6" t="str" cm="1">
        <f t="array" ref="W3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6" t="str">
        <f>IF(COUNTIFS('Base Estudiantes'!$C:$C,tblMatriculas[[#This Row],[Cédula]],'Base Estudiantes'!$I:$I,tblMatriculas[[#This Row],[Código]])&gt;0,"Sí","No")</f>
        <v>Sí</v>
      </c>
      <c r="Z376" s="23" cm="1">
        <f t="array" ref="Z376">_xlfn.XLOOKUP(tblMatriculas[[#This Row],[Cédula]]&amp;"|"&amp;tblMatriculas[[#This Row],[Código]],tblBase[Documento]&amp;"|"&amp;tblBase[Código grupo],tblBase[Fecha matrícula],"")</f>
        <v>46263</v>
      </c>
    </row>
    <row r="377" spans="1:26" x14ac:dyDescent="0.2">
      <c r="A377" t="s">
        <v>824</v>
      </c>
      <c r="B377" t="s">
        <v>825</v>
      </c>
      <c r="C377" t="s">
        <v>13</v>
      </c>
      <c r="D377" t="s">
        <v>805</v>
      </c>
      <c r="E377" t="s">
        <v>806</v>
      </c>
      <c r="F377" t="s">
        <v>807</v>
      </c>
      <c r="G377" s="1">
        <v>3.3000000000000002E-2</v>
      </c>
      <c r="H377" t="s">
        <v>225</v>
      </c>
      <c r="I377" t="s">
        <v>18</v>
      </c>
      <c r="J377" t="s">
        <v>113</v>
      </c>
      <c r="K377" t="s">
        <v>24</v>
      </c>
      <c r="L377" s="14">
        <f>IFERROR(VALUE(LEFT(tblMatriculas[[#This Row],[Clases]],FIND("/",tblMatriculas[[#This Row],[Clases]])-1)),"")</f>
        <v>1</v>
      </c>
      <c r="M377" s="14">
        <f>IFERROR(VALUE(MID(tblMatriculas[[#This Row],[Clases]],FIND("/",tblMatriculas[[#This Row],[Clases]])+1,5)),"")</f>
        <v>30</v>
      </c>
      <c r="N3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7" s="14">
        <f>IF(OR(tblMatriculas[[#This Row],[Estado]]&lt;&gt;"activa",tblMatriculas[[#This Row],[Clases dictadas]]=""),"",MAX(0,tblMatriculas[[#This Row],[Clases dictadas]]-tblMatriculas[[#This Row],[Asistidas]]))</f>
        <v>3</v>
      </c>
      <c r="P377" s="1">
        <f>IF(OR(tblMatriculas[[#This Row],[Estado]]&lt;&gt;"activa",tblMatriculas[[#This Row],[Asistidas]]=""),"",tblMatriculas[[#This Row],[Asistencia]])</f>
        <v>3.3000000000000002E-2</v>
      </c>
      <c r="Q377" t="b">
        <f>AND(tblMatriculas[[#This Row],[Estado]]="activa",ISNUMBER(tblMatriculas[[#This Row],[% asistencia]]),NOT(ISNUMBER(SEARCH(pPrueba,tblMatriculas[[#This Row],[Nombre]]))))</f>
        <v>1</v>
      </c>
      <c r="R3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377" s="23" t="str" cm="1">
        <f t="array" ref="S3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7" s="23" t="str" cm="1">
        <f t="array" ref="T3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7" s="14" t="str" cm="1">
        <f t="array" ref="U3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7" t="str" cm="1">
        <f t="array" ref="V3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7" t="str" cm="1">
        <f t="array" ref="W3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3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377" t="str">
        <f>IF(COUNTIFS('Base Estudiantes'!$C:$C,tblMatriculas[[#This Row],[Cédula]],'Base Estudiantes'!$I:$I,tblMatriculas[[#This Row],[Código]])&gt;0,"Sí","No")</f>
        <v>Sí</v>
      </c>
      <c r="Z377" s="23" cm="1">
        <f t="array" ref="Z377">_xlfn.XLOOKUP(tblMatriculas[[#This Row],[Cédula]]&amp;"|"&amp;tblMatriculas[[#This Row],[Código]],tblBase[Documento]&amp;"|"&amp;tblBase[Código grupo],tblBase[Fecha matrícula],"")</f>
        <v>46263</v>
      </c>
    </row>
    <row r="378" spans="1:26" x14ac:dyDescent="0.2">
      <c r="A378" t="s">
        <v>826</v>
      </c>
      <c r="B378" t="s">
        <v>827</v>
      </c>
      <c r="C378" t="s">
        <v>13</v>
      </c>
      <c r="D378" t="s">
        <v>805</v>
      </c>
      <c r="E378" t="s">
        <v>806</v>
      </c>
      <c r="F378" t="s">
        <v>807</v>
      </c>
      <c r="G378" s="1">
        <v>0.13300000000000001</v>
      </c>
      <c r="H378" t="s">
        <v>112</v>
      </c>
      <c r="I378" t="s">
        <v>18</v>
      </c>
      <c r="J378" t="s">
        <v>113</v>
      </c>
      <c r="K378" t="s">
        <v>24</v>
      </c>
      <c r="L378" s="14">
        <f>IFERROR(VALUE(LEFT(tblMatriculas[[#This Row],[Clases]],FIND("/",tblMatriculas[[#This Row],[Clases]])-1)),"")</f>
        <v>4</v>
      </c>
      <c r="M378" s="14">
        <f>IFERROR(VALUE(MID(tblMatriculas[[#This Row],[Clases]],FIND("/",tblMatriculas[[#This Row],[Clases]])+1,5)),"")</f>
        <v>30</v>
      </c>
      <c r="N3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8" s="14">
        <f>IF(OR(tblMatriculas[[#This Row],[Estado]]&lt;&gt;"activa",tblMatriculas[[#This Row],[Clases dictadas]]=""),"",MAX(0,tblMatriculas[[#This Row],[Clases dictadas]]-tblMatriculas[[#This Row],[Asistidas]]))</f>
        <v>0</v>
      </c>
      <c r="P378" s="1">
        <f>IF(OR(tblMatriculas[[#This Row],[Estado]]&lt;&gt;"activa",tblMatriculas[[#This Row],[Asistidas]]=""),"",tblMatriculas[[#This Row],[Asistencia]])</f>
        <v>0.13300000000000001</v>
      </c>
      <c r="Q378" t="b">
        <f>AND(tblMatriculas[[#This Row],[Estado]]="activa",ISNUMBER(tblMatriculas[[#This Row],[% asistencia]]),NOT(ISNUMBER(SEARCH(pPrueba,tblMatriculas[[#This Row],[Nombre]]))))</f>
        <v>1</v>
      </c>
      <c r="R3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8" s="23" t="str" cm="1">
        <f t="array" ref="S3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8" s="23" t="str" cm="1">
        <f t="array" ref="T3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8" s="14" t="str" cm="1">
        <f t="array" ref="U3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8" t="str" cm="1">
        <f t="array" ref="V3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8" t="str" cm="1">
        <f t="array" ref="W3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8" t="str">
        <f>IF(COUNTIFS('Base Estudiantes'!$C:$C,tblMatriculas[[#This Row],[Cédula]],'Base Estudiantes'!$I:$I,tblMatriculas[[#This Row],[Código]])&gt;0,"Sí","No")</f>
        <v>Sí</v>
      </c>
      <c r="Z378" s="23" cm="1">
        <f t="array" ref="Z378">_xlfn.XLOOKUP(tblMatriculas[[#This Row],[Cédula]]&amp;"|"&amp;tblMatriculas[[#This Row],[Código]],tblBase[Documento]&amp;"|"&amp;tblBase[Código grupo],tblBase[Fecha matrícula],"")</f>
        <v>46263</v>
      </c>
    </row>
    <row r="379" spans="1:26" x14ac:dyDescent="0.2">
      <c r="A379" t="s">
        <v>828</v>
      </c>
      <c r="B379" t="s">
        <v>829</v>
      </c>
      <c r="C379" t="s">
        <v>13</v>
      </c>
      <c r="D379" t="s">
        <v>805</v>
      </c>
      <c r="E379" t="s">
        <v>806</v>
      </c>
      <c r="F379" t="s">
        <v>807</v>
      </c>
      <c r="G379" s="1">
        <v>0.13300000000000001</v>
      </c>
      <c r="H379" t="s">
        <v>112</v>
      </c>
      <c r="I379" t="s">
        <v>18</v>
      </c>
      <c r="J379" t="s">
        <v>113</v>
      </c>
      <c r="K379" t="s">
        <v>24</v>
      </c>
      <c r="L379" s="14">
        <f>IFERROR(VALUE(LEFT(tblMatriculas[[#This Row],[Clases]],FIND("/",tblMatriculas[[#This Row],[Clases]])-1)),"")</f>
        <v>4</v>
      </c>
      <c r="M379" s="14">
        <f>IFERROR(VALUE(MID(tblMatriculas[[#This Row],[Clases]],FIND("/",tblMatriculas[[#This Row],[Clases]])+1,5)),"")</f>
        <v>30</v>
      </c>
      <c r="N3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79" s="14">
        <f>IF(OR(tblMatriculas[[#This Row],[Estado]]&lt;&gt;"activa",tblMatriculas[[#This Row],[Clases dictadas]]=""),"",MAX(0,tblMatriculas[[#This Row],[Clases dictadas]]-tblMatriculas[[#This Row],[Asistidas]]))</f>
        <v>0</v>
      </c>
      <c r="P379" s="1">
        <f>IF(OR(tblMatriculas[[#This Row],[Estado]]&lt;&gt;"activa",tblMatriculas[[#This Row],[Asistidas]]=""),"",tblMatriculas[[#This Row],[Asistencia]])</f>
        <v>0.13300000000000001</v>
      </c>
      <c r="Q379" t="b">
        <f>AND(tblMatriculas[[#This Row],[Estado]]="activa",ISNUMBER(tblMatriculas[[#This Row],[% asistencia]]),NOT(ISNUMBER(SEARCH(pPrueba,tblMatriculas[[#This Row],[Nombre]]))))</f>
        <v>1</v>
      </c>
      <c r="R3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79" s="23" t="str" cm="1">
        <f t="array" ref="S3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79" s="23" t="str" cm="1">
        <f t="array" ref="T3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79" s="14" t="str" cm="1">
        <f t="array" ref="U3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79" t="str" cm="1">
        <f t="array" ref="V3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79" t="str" cm="1">
        <f t="array" ref="W3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79" t="str">
        <f>IF(COUNTIFS('Base Estudiantes'!$C:$C,tblMatriculas[[#This Row],[Cédula]],'Base Estudiantes'!$I:$I,tblMatriculas[[#This Row],[Código]])&gt;0,"Sí","No")</f>
        <v>Sí</v>
      </c>
      <c r="Z379" s="23" cm="1">
        <f t="array" ref="Z379">_xlfn.XLOOKUP(tblMatriculas[[#This Row],[Cédula]]&amp;"|"&amp;tblMatriculas[[#This Row],[Código]],tblBase[Documento]&amp;"|"&amp;tblBase[Código grupo],tblBase[Fecha matrícula],"")</f>
        <v>46263</v>
      </c>
    </row>
    <row r="380" spans="1:26" x14ac:dyDescent="0.2">
      <c r="A380" t="s">
        <v>830</v>
      </c>
      <c r="B380" t="s">
        <v>831</v>
      </c>
      <c r="C380" t="s">
        <v>13</v>
      </c>
      <c r="D380" t="s">
        <v>805</v>
      </c>
      <c r="E380" t="s">
        <v>806</v>
      </c>
      <c r="F380" t="s">
        <v>807</v>
      </c>
      <c r="G380" s="1">
        <v>6.7000000000000004E-2</v>
      </c>
      <c r="H380" t="s">
        <v>166</v>
      </c>
      <c r="I380" t="s">
        <v>18</v>
      </c>
      <c r="J380" t="s">
        <v>113</v>
      </c>
      <c r="K380" t="s">
        <v>24</v>
      </c>
      <c r="L380" s="14">
        <f>IFERROR(VALUE(LEFT(tblMatriculas[[#This Row],[Clases]],FIND("/",tblMatriculas[[#This Row],[Clases]])-1)),"")</f>
        <v>2</v>
      </c>
      <c r="M380" s="14">
        <f>IFERROR(VALUE(MID(tblMatriculas[[#This Row],[Clases]],FIND("/",tblMatriculas[[#This Row],[Clases]])+1,5)),"")</f>
        <v>30</v>
      </c>
      <c r="N3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0" s="14">
        <f>IF(OR(tblMatriculas[[#This Row],[Estado]]&lt;&gt;"activa",tblMatriculas[[#This Row],[Clases dictadas]]=""),"",MAX(0,tblMatriculas[[#This Row],[Clases dictadas]]-tblMatriculas[[#This Row],[Asistidas]]))</f>
        <v>2</v>
      </c>
      <c r="P380" s="1">
        <f>IF(OR(tblMatriculas[[#This Row],[Estado]]&lt;&gt;"activa",tblMatriculas[[#This Row],[Asistidas]]=""),"",tblMatriculas[[#This Row],[Asistencia]])</f>
        <v>6.7000000000000004E-2</v>
      </c>
      <c r="Q380" t="b">
        <f>AND(tblMatriculas[[#This Row],[Estado]]="activa",ISNUMBER(tblMatriculas[[#This Row],[% asistencia]]),NOT(ISNUMBER(SEARCH(pPrueba,tblMatriculas[[#This Row],[Nombre]]))))</f>
        <v>1</v>
      </c>
      <c r="R3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80" s="23" t="str" cm="1">
        <f t="array" ref="S3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0" s="23" t="str" cm="1">
        <f t="array" ref="T3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0" s="14" t="str" cm="1">
        <f t="array" ref="U3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0" t="str" cm="1">
        <f t="array" ref="V3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0" t="str" cm="1">
        <f t="array" ref="W3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80" t="str">
        <f>IF(COUNTIFS('Base Estudiantes'!$C:$C,tblMatriculas[[#This Row],[Cédula]],'Base Estudiantes'!$I:$I,tblMatriculas[[#This Row],[Código]])&gt;0,"Sí","No")</f>
        <v>Sí</v>
      </c>
      <c r="Z380" s="23" cm="1">
        <f t="array" ref="Z380">_xlfn.XLOOKUP(tblMatriculas[[#This Row],[Cédula]]&amp;"|"&amp;tblMatriculas[[#This Row],[Código]],tblBase[Documento]&amp;"|"&amp;tblBase[Código grupo],tblBase[Fecha matrícula],"")</f>
        <v>46263</v>
      </c>
    </row>
    <row r="381" spans="1:26" x14ac:dyDescent="0.2">
      <c r="A381" t="s">
        <v>832</v>
      </c>
      <c r="B381" t="s">
        <v>833</v>
      </c>
      <c r="C381" t="s">
        <v>13</v>
      </c>
      <c r="D381" t="s">
        <v>805</v>
      </c>
      <c r="E381" t="s">
        <v>806</v>
      </c>
      <c r="F381" t="s">
        <v>807</v>
      </c>
      <c r="G381" s="1">
        <v>0.13300000000000001</v>
      </c>
      <c r="H381" t="s">
        <v>112</v>
      </c>
      <c r="I381" t="s">
        <v>18</v>
      </c>
      <c r="J381" t="s">
        <v>113</v>
      </c>
      <c r="K381" t="s">
        <v>24</v>
      </c>
      <c r="L381" s="14">
        <f>IFERROR(VALUE(LEFT(tblMatriculas[[#This Row],[Clases]],FIND("/",tblMatriculas[[#This Row],[Clases]])-1)),"")</f>
        <v>4</v>
      </c>
      <c r="M381" s="14">
        <f>IFERROR(VALUE(MID(tblMatriculas[[#This Row],[Clases]],FIND("/",tblMatriculas[[#This Row],[Clases]])+1,5)),"")</f>
        <v>30</v>
      </c>
      <c r="N3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1" s="14">
        <f>IF(OR(tblMatriculas[[#This Row],[Estado]]&lt;&gt;"activa",tblMatriculas[[#This Row],[Clases dictadas]]=""),"",MAX(0,tblMatriculas[[#This Row],[Clases dictadas]]-tblMatriculas[[#This Row],[Asistidas]]))</f>
        <v>0</v>
      </c>
      <c r="P381" s="1">
        <f>IF(OR(tblMatriculas[[#This Row],[Estado]]&lt;&gt;"activa",tblMatriculas[[#This Row],[Asistidas]]=""),"",tblMatriculas[[#This Row],[Asistencia]])</f>
        <v>0.13300000000000001</v>
      </c>
      <c r="Q381" t="b">
        <f>AND(tblMatriculas[[#This Row],[Estado]]="activa",ISNUMBER(tblMatriculas[[#This Row],[% asistencia]]),NOT(ISNUMBER(SEARCH(pPrueba,tblMatriculas[[#This Row],[Nombre]]))))</f>
        <v>1</v>
      </c>
      <c r="R3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1" s="23" t="str" cm="1">
        <f t="array" ref="S3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1" s="23" t="str" cm="1">
        <f t="array" ref="T3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1" s="14" t="str" cm="1">
        <f t="array" ref="U3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1" t="str" cm="1">
        <f t="array" ref="V3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1" t="str" cm="1">
        <f t="array" ref="W3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1" t="str">
        <f>IF(COUNTIFS('Base Estudiantes'!$C:$C,tblMatriculas[[#This Row],[Cédula]],'Base Estudiantes'!$I:$I,tblMatriculas[[#This Row],[Código]])&gt;0,"Sí","No")</f>
        <v>Sí</v>
      </c>
      <c r="Z381" s="23" cm="1">
        <f t="array" ref="Z381">_xlfn.XLOOKUP(tblMatriculas[[#This Row],[Cédula]]&amp;"|"&amp;tblMatriculas[[#This Row],[Código]],tblBase[Documento]&amp;"|"&amp;tblBase[Código grupo],tblBase[Fecha matrícula],"")</f>
        <v>46263</v>
      </c>
    </row>
    <row r="382" spans="1:26" x14ac:dyDescent="0.2">
      <c r="A382" t="s">
        <v>834</v>
      </c>
      <c r="B382" t="s">
        <v>835</v>
      </c>
      <c r="C382" t="s">
        <v>13</v>
      </c>
      <c r="D382" t="s">
        <v>805</v>
      </c>
      <c r="E382" t="s">
        <v>806</v>
      </c>
      <c r="F382" t="s">
        <v>807</v>
      </c>
      <c r="G382" s="1">
        <v>6.7000000000000004E-2</v>
      </c>
      <c r="H382" t="s">
        <v>166</v>
      </c>
      <c r="I382" t="s">
        <v>18</v>
      </c>
      <c r="J382" t="s">
        <v>113</v>
      </c>
      <c r="K382" t="s">
        <v>24</v>
      </c>
      <c r="L382" s="14">
        <f>IFERROR(VALUE(LEFT(tblMatriculas[[#This Row],[Clases]],FIND("/",tblMatriculas[[#This Row],[Clases]])-1)),"")</f>
        <v>2</v>
      </c>
      <c r="M382" s="14">
        <f>IFERROR(VALUE(MID(tblMatriculas[[#This Row],[Clases]],FIND("/",tblMatriculas[[#This Row],[Clases]])+1,5)),"")</f>
        <v>30</v>
      </c>
      <c r="N3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2" s="14">
        <f>IF(OR(tblMatriculas[[#This Row],[Estado]]&lt;&gt;"activa",tblMatriculas[[#This Row],[Clases dictadas]]=""),"",MAX(0,tblMatriculas[[#This Row],[Clases dictadas]]-tblMatriculas[[#This Row],[Asistidas]]))</f>
        <v>2</v>
      </c>
      <c r="P382" s="1">
        <f>IF(OR(tblMatriculas[[#This Row],[Estado]]&lt;&gt;"activa",tblMatriculas[[#This Row],[Asistidas]]=""),"",tblMatriculas[[#This Row],[Asistencia]])</f>
        <v>6.7000000000000004E-2</v>
      </c>
      <c r="Q382" t="b">
        <f>AND(tblMatriculas[[#This Row],[Estado]]="activa",ISNUMBER(tblMatriculas[[#This Row],[% asistencia]]),NOT(ISNUMBER(SEARCH(pPrueba,tblMatriculas[[#This Row],[Nombre]]))))</f>
        <v>1</v>
      </c>
      <c r="R3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82" s="23" t="str" cm="1">
        <f t="array" ref="S3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2" s="23" t="str" cm="1">
        <f t="array" ref="T3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2" s="14" t="str" cm="1">
        <f t="array" ref="U3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2" t="str" cm="1">
        <f t="array" ref="V3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2" t="str" cm="1">
        <f t="array" ref="W3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82" t="str">
        <f>IF(COUNTIFS('Base Estudiantes'!$C:$C,tblMatriculas[[#This Row],[Cédula]],'Base Estudiantes'!$I:$I,tblMatriculas[[#This Row],[Código]])&gt;0,"Sí","No")</f>
        <v>Sí</v>
      </c>
      <c r="Z382" s="23" cm="1">
        <f t="array" ref="Z382">_xlfn.XLOOKUP(tblMatriculas[[#This Row],[Cédula]]&amp;"|"&amp;tblMatriculas[[#This Row],[Código]],tblBase[Documento]&amp;"|"&amp;tblBase[Código grupo],tblBase[Fecha matrícula],"")</f>
        <v>46263</v>
      </c>
    </row>
    <row r="383" spans="1:26" x14ac:dyDescent="0.2">
      <c r="A383" t="s">
        <v>836</v>
      </c>
      <c r="B383" t="s">
        <v>837</v>
      </c>
      <c r="C383" t="s">
        <v>13</v>
      </c>
      <c r="D383" t="s">
        <v>805</v>
      </c>
      <c r="E383" t="s">
        <v>806</v>
      </c>
      <c r="F383" t="s">
        <v>807</v>
      </c>
      <c r="G383" s="1">
        <v>6.7000000000000004E-2</v>
      </c>
      <c r="H383" t="s">
        <v>166</v>
      </c>
      <c r="I383" t="s">
        <v>18</v>
      </c>
      <c r="J383" t="s">
        <v>113</v>
      </c>
      <c r="K383" t="s">
        <v>24</v>
      </c>
      <c r="L383" s="14">
        <f>IFERROR(VALUE(LEFT(tblMatriculas[[#This Row],[Clases]],FIND("/",tblMatriculas[[#This Row],[Clases]])-1)),"")</f>
        <v>2</v>
      </c>
      <c r="M383" s="14">
        <f>IFERROR(VALUE(MID(tblMatriculas[[#This Row],[Clases]],FIND("/",tblMatriculas[[#This Row],[Clases]])+1,5)),"")</f>
        <v>30</v>
      </c>
      <c r="N3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3" s="14">
        <f>IF(OR(tblMatriculas[[#This Row],[Estado]]&lt;&gt;"activa",tblMatriculas[[#This Row],[Clases dictadas]]=""),"",MAX(0,tblMatriculas[[#This Row],[Clases dictadas]]-tblMatriculas[[#This Row],[Asistidas]]))</f>
        <v>2</v>
      </c>
      <c r="P383" s="1">
        <f>IF(OR(tblMatriculas[[#This Row],[Estado]]&lt;&gt;"activa",tblMatriculas[[#This Row],[Asistidas]]=""),"",tblMatriculas[[#This Row],[Asistencia]])</f>
        <v>6.7000000000000004E-2</v>
      </c>
      <c r="Q383" t="b">
        <f>AND(tblMatriculas[[#This Row],[Estado]]="activa",ISNUMBER(tblMatriculas[[#This Row],[% asistencia]]),NOT(ISNUMBER(SEARCH(pPrueba,tblMatriculas[[#This Row],[Nombre]]))))</f>
        <v>1</v>
      </c>
      <c r="R3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83" s="23" t="str" cm="1">
        <f t="array" ref="S3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3" s="23" t="str" cm="1">
        <f t="array" ref="T3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3" s="14" t="str" cm="1">
        <f t="array" ref="U3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3" t="str" cm="1">
        <f t="array" ref="V3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3" t="str" cm="1">
        <f t="array" ref="W3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83" t="str">
        <f>IF(COUNTIFS('Base Estudiantes'!$C:$C,tblMatriculas[[#This Row],[Cédula]],'Base Estudiantes'!$I:$I,tblMatriculas[[#This Row],[Código]])&gt;0,"Sí","No")</f>
        <v>Sí</v>
      </c>
      <c r="Z383" s="23" cm="1">
        <f t="array" ref="Z383">_xlfn.XLOOKUP(tblMatriculas[[#This Row],[Cédula]]&amp;"|"&amp;tblMatriculas[[#This Row],[Código]],tblBase[Documento]&amp;"|"&amp;tblBase[Código grupo],tblBase[Fecha matrícula],"")</f>
        <v>46263</v>
      </c>
    </row>
    <row r="384" spans="1:26" x14ac:dyDescent="0.2">
      <c r="A384" t="s">
        <v>838</v>
      </c>
      <c r="B384" t="s">
        <v>839</v>
      </c>
      <c r="C384" t="s">
        <v>13</v>
      </c>
      <c r="D384" t="s">
        <v>805</v>
      </c>
      <c r="E384" t="s">
        <v>806</v>
      </c>
      <c r="F384" t="s">
        <v>807</v>
      </c>
      <c r="G384" s="1">
        <v>6.7000000000000004E-2</v>
      </c>
      <c r="H384" t="s">
        <v>166</v>
      </c>
      <c r="I384" t="s">
        <v>18</v>
      </c>
      <c r="J384" t="s">
        <v>113</v>
      </c>
      <c r="K384" t="s">
        <v>24</v>
      </c>
      <c r="L384" s="14">
        <f>IFERROR(VALUE(LEFT(tblMatriculas[[#This Row],[Clases]],FIND("/",tblMatriculas[[#This Row],[Clases]])-1)),"")</f>
        <v>2</v>
      </c>
      <c r="M384" s="14">
        <f>IFERROR(VALUE(MID(tblMatriculas[[#This Row],[Clases]],FIND("/",tblMatriculas[[#This Row],[Clases]])+1,5)),"")</f>
        <v>30</v>
      </c>
      <c r="N3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4" s="14">
        <f>IF(OR(tblMatriculas[[#This Row],[Estado]]&lt;&gt;"activa",tblMatriculas[[#This Row],[Clases dictadas]]=""),"",MAX(0,tblMatriculas[[#This Row],[Clases dictadas]]-tblMatriculas[[#This Row],[Asistidas]]))</f>
        <v>2</v>
      </c>
      <c r="P384" s="1">
        <f>IF(OR(tblMatriculas[[#This Row],[Estado]]&lt;&gt;"activa",tblMatriculas[[#This Row],[Asistidas]]=""),"",tblMatriculas[[#This Row],[Asistencia]])</f>
        <v>6.7000000000000004E-2</v>
      </c>
      <c r="Q384" t="b">
        <f>AND(tblMatriculas[[#This Row],[Estado]]="activa",ISNUMBER(tblMatriculas[[#This Row],[% asistencia]]),NOT(ISNUMBER(SEARCH(pPrueba,tblMatriculas[[#This Row],[Nombre]]))))</f>
        <v>1</v>
      </c>
      <c r="R3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84" s="23" t="str" cm="1">
        <f t="array" ref="S3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4" s="23" t="str" cm="1">
        <f t="array" ref="T3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4" s="14" t="str" cm="1">
        <f t="array" ref="U3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4" t="str" cm="1">
        <f t="array" ref="V3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4" t="str" cm="1">
        <f t="array" ref="W3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84" t="str">
        <f>IF(COUNTIFS('Base Estudiantes'!$C:$C,tblMatriculas[[#This Row],[Cédula]],'Base Estudiantes'!$I:$I,tblMatriculas[[#This Row],[Código]])&gt;0,"Sí","No")</f>
        <v>Sí</v>
      </c>
      <c r="Z384" s="23" cm="1">
        <f t="array" ref="Z384">_xlfn.XLOOKUP(tblMatriculas[[#This Row],[Cédula]]&amp;"|"&amp;tblMatriculas[[#This Row],[Código]],tblBase[Documento]&amp;"|"&amp;tblBase[Código grupo],tblBase[Fecha matrícula],"")</f>
        <v>46263</v>
      </c>
    </row>
    <row r="385" spans="1:26" x14ac:dyDescent="0.2">
      <c r="A385" t="s">
        <v>840</v>
      </c>
      <c r="B385" t="s">
        <v>841</v>
      </c>
      <c r="C385" t="s">
        <v>13</v>
      </c>
      <c r="D385" t="s">
        <v>805</v>
      </c>
      <c r="E385" t="s">
        <v>806</v>
      </c>
      <c r="F385" t="s">
        <v>807</v>
      </c>
      <c r="G385" s="1">
        <v>0.1</v>
      </c>
      <c r="H385" t="s">
        <v>117</v>
      </c>
      <c r="I385" t="s">
        <v>18</v>
      </c>
      <c r="J385" t="s">
        <v>113</v>
      </c>
      <c r="K385" t="s">
        <v>24</v>
      </c>
      <c r="L385" s="14">
        <f>IFERROR(VALUE(LEFT(tblMatriculas[[#This Row],[Clases]],FIND("/",tblMatriculas[[#This Row],[Clases]])-1)),"")</f>
        <v>3</v>
      </c>
      <c r="M385" s="14">
        <f>IFERROR(VALUE(MID(tblMatriculas[[#This Row],[Clases]],FIND("/",tblMatriculas[[#This Row],[Clases]])+1,5)),"")</f>
        <v>30</v>
      </c>
      <c r="N3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5" s="14">
        <f>IF(OR(tblMatriculas[[#This Row],[Estado]]&lt;&gt;"activa",tblMatriculas[[#This Row],[Clases dictadas]]=""),"",MAX(0,tblMatriculas[[#This Row],[Clases dictadas]]-tblMatriculas[[#This Row],[Asistidas]]))</f>
        <v>1</v>
      </c>
      <c r="P385" s="1">
        <f>IF(OR(tblMatriculas[[#This Row],[Estado]]&lt;&gt;"activa",tblMatriculas[[#This Row],[Asistidas]]=""),"",tblMatriculas[[#This Row],[Asistencia]])</f>
        <v>0.1</v>
      </c>
      <c r="Q385" t="b">
        <f>AND(tblMatriculas[[#This Row],[Estado]]="activa",ISNUMBER(tblMatriculas[[#This Row],[% asistencia]]),NOT(ISNUMBER(SEARCH(pPrueba,tblMatriculas[[#This Row],[Nombre]]))))</f>
        <v>1</v>
      </c>
      <c r="R3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5" s="23" t="str" cm="1">
        <f t="array" ref="S3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5" s="23" t="str" cm="1">
        <f t="array" ref="T3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5" s="14" t="str" cm="1">
        <f t="array" ref="U3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5" t="str" cm="1">
        <f t="array" ref="V3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5" t="str" cm="1">
        <f t="array" ref="W3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5" t="str">
        <f>IF(COUNTIFS('Base Estudiantes'!$C:$C,tblMatriculas[[#This Row],[Cédula]],'Base Estudiantes'!$I:$I,tblMatriculas[[#This Row],[Código]])&gt;0,"Sí","No")</f>
        <v>Sí</v>
      </c>
      <c r="Z385" s="23" cm="1">
        <f t="array" ref="Z385">_xlfn.XLOOKUP(tblMatriculas[[#This Row],[Cédula]]&amp;"|"&amp;tblMatriculas[[#This Row],[Código]],tblBase[Documento]&amp;"|"&amp;tblBase[Código grupo],tblBase[Fecha matrícula],"")</f>
        <v>46263</v>
      </c>
    </row>
    <row r="386" spans="1:26" x14ac:dyDescent="0.2">
      <c r="A386" t="s">
        <v>842</v>
      </c>
      <c r="B386" t="s">
        <v>843</v>
      </c>
      <c r="C386" t="s">
        <v>13</v>
      </c>
      <c r="D386" t="s">
        <v>805</v>
      </c>
      <c r="E386" t="s">
        <v>806</v>
      </c>
      <c r="F386" t="s">
        <v>807</v>
      </c>
      <c r="G386" s="1">
        <v>6.7000000000000004E-2</v>
      </c>
      <c r="H386" t="s">
        <v>166</v>
      </c>
      <c r="I386" t="s">
        <v>18</v>
      </c>
      <c r="J386" t="s">
        <v>113</v>
      </c>
      <c r="K386" t="s">
        <v>24</v>
      </c>
      <c r="L386" s="14">
        <f>IFERROR(VALUE(LEFT(tblMatriculas[[#This Row],[Clases]],FIND("/",tblMatriculas[[#This Row],[Clases]])-1)),"")</f>
        <v>2</v>
      </c>
      <c r="M386" s="14">
        <f>IFERROR(VALUE(MID(tblMatriculas[[#This Row],[Clases]],FIND("/",tblMatriculas[[#This Row],[Clases]])+1,5)),"")</f>
        <v>30</v>
      </c>
      <c r="N3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6" s="14">
        <f>IF(OR(tblMatriculas[[#This Row],[Estado]]&lt;&gt;"activa",tblMatriculas[[#This Row],[Clases dictadas]]=""),"",MAX(0,tblMatriculas[[#This Row],[Clases dictadas]]-tblMatriculas[[#This Row],[Asistidas]]))</f>
        <v>2</v>
      </c>
      <c r="P386" s="1">
        <f>IF(OR(tblMatriculas[[#This Row],[Estado]]&lt;&gt;"activa",tblMatriculas[[#This Row],[Asistidas]]=""),"",tblMatriculas[[#This Row],[Asistencia]])</f>
        <v>6.7000000000000004E-2</v>
      </c>
      <c r="Q386" t="b">
        <f>AND(tblMatriculas[[#This Row],[Estado]]="activa",ISNUMBER(tblMatriculas[[#This Row],[% asistencia]]),NOT(ISNUMBER(SEARCH(pPrueba,tblMatriculas[[#This Row],[Nombre]]))))</f>
        <v>1</v>
      </c>
      <c r="R3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86" s="23" t="str" cm="1">
        <f t="array" ref="S3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6" s="23" t="str" cm="1">
        <f t="array" ref="T3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6" s="14" t="str" cm="1">
        <f t="array" ref="U3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6" t="str" cm="1">
        <f t="array" ref="V3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6" t="str" cm="1">
        <f t="array" ref="W3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86" t="str">
        <f>IF(COUNTIFS('Base Estudiantes'!$C:$C,tblMatriculas[[#This Row],[Cédula]],'Base Estudiantes'!$I:$I,tblMatriculas[[#This Row],[Código]])&gt;0,"Sí","No")</f>
        <v>Sí</v>
      </c>
      <c r="Z386" s="23" cm="1">
        <f t="array" ref="Z386">_xlfn.XLOOKUP(tblMatriculas[[#This Row],[Cédula]]&amp;"|"&amp;tblMatriculas[[#This Row],[Código]],tblBase[Documento]&amp;"|"&amp;tblBase[Código grupo],tblBase[Fecha matrícula],"")</f>
        <v>46263</v>
      </c>
    </row>
    <row r="387" spans="1:26" x14ac:dyDescent="0.2">
      <c r="A387" t="s">
        <v>844</v>
      </c>
      <c r="B387" t="s">
        <v>845</v>
      </c>
      <c r="C387" t="s">
        <v>13</v>
      </c>
      <c r="D387" t="s">
        <v>805</v>
      </c>
      <c r="E387" t="s">
        <v>806</v>
      </c>
      <c r="F387" t="s">
        <v>807</v>
      </c>
      <c r="G387" s="1">
        <v>0.13300000000000001</v>
      </c>
      <c r="H387" t="s">
        <v>112</v>
      </c>
      <c r="I387" t="s">
        <v>18</v>
      </c>
      <c r="J387" t="s">
        <v>113</v>
      </c>
      <c r="K387" t="s">
        <v>24</v>
      </c>
      <c r="L387" s="14">
        <f>IFERROR(VALUE(LEFT(tblMatriculas[[#This Row],[Clases]],FIND("/",tblMatriculas[[#This Row],[Clases]])-1)),"")</f>
        <v>4</v>
      </c>
      <c r="M387" s="14">
        <f>IFERROR(VALUE(MID(tblMatriculas[[#This Row],[Clases]],FIND("/",tblMatriculas[[#This Row],[Clases]])+1,5)),"")</f>
        <v>30</v>
      </c>
      <c r="N3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7" s="14">
        <f>IF(OR(tblMatriculas[[#This Row],[Estado]]&lt;&gt;"activa",tblMatriculas[[#This Row],[Clases dictadas]]=""),"",MAX(0,tblMatriculas[[#This Row],[Clases dictadas]]-tblMatriculas[[#This Row],[Asistidas]]))</f>
        <v>0</v>
      </c>
      <c r="P387" s="1">
        <f>IF(OR(tblMatriculas[[#This Row],[Estado]]&lt;&gt;"activa",tblMatriculas[[#This Row],[Asistidas]]=""),"",tblMatriculas[[#This Row],[Asistencia]])</f>
        <v>0.13300000000000001</v>
      </c>
      <c r="Q387" t="b">
        <f>AND(tblMatriculas[[#This Row],[Estado]]="activa",ISNUMBER(tblMatriculas[[#This Row],[% asistencia]]),NOT(ISNUMBER(SEARCH(pPrueba,tblMatriculas[[#This Row],[Nombre]]))))</f>
        <v>1</v>
      </c>
      <c r="R3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7" s="23" t="str" cm="1">
        <f t="array" ref="S3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7" s="23" t="str" cm="1">
        <f t="array" ref="T3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7" s="14" t="str" cm="1">
        <f t="array" ref="U3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7" t="str" cm="1">
        <f t="array" ref="V3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7" t="str" cm="1">
        <f t="array" ref="W3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7" t="str">
        <f>IF(COUNTIFS('Base Estudiantes'!$C:$C,tblMatriculas[[#This Row],[Cédula]],'Base Estudiantes'!$I:$I,tblMatriculas[[#This Row],[Código]])&gt;0,"Sí","No")</f>
        <v>Sí</v>
      </c>
      <c r="Z387" s="23" cm="1">
        <f t="array" ref="Z387">_xlfn.XLOOKUP(tblMatriculas[[#This Row],[Cédula]]&amp;"|"&amp;tblMatriculas[[#This Row],[Código]],tblBase[Documento]&amp;"|"&amp;tblBase[Código grupo],tblBase[Fecha matrícula],"")</f>
        <v>46263</v>
      </c>
    </row>
    <row r="388" spans="1:26" x14ac:dyDescent="0.2">
      <c r="A388" t="s">
        <v>846</v>
      </c>
      <c r="B388" t="s">
        <v>847</v>
      </c>
      <c r="C388" t="s">
        <v>13</v>
      </c>
      <c r="D388" t="s">
        <v>805</v>
      </c>
      <c r="E388" t="s">
        <v>806</v>
      </c>
      <c r="F388" t="s">
        <v>807</v>
      </c>
      <c r="G388" s="1">
        <v>0.13300000000000001</v>
      </c>
      <c r="H388" t="s">
        <v>112</v>
      </c>
      <c r="I388" t="s">
        <v>18</v>
      </c>
      <c r="J388" t="s">
        <v>113</v>
      </c>
      <c r="K388" t="s">
        <v>426</v>
      </c>
      <c r="L388" s="14">
        <f>IFERROR(VALUE(LEFT(tblMatriculas[[#This Row],[Clases]],FIND("/",tblMatriculas[[#This Row],[Clases]])-1)),"")</f>
        <v>4</v>
      </c>
      <c r="M388" s="14">
        <f>IFERROR(VALUE(MID(tblMatriculas[[#This Row],[Clases]],FIND("/",tblMatriculas[[#This Row],[Clases]])+1,5)),"")</f>
        <v>30</v>
      </c>
      <c r="N3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388" s="14">
        <f>IF(OR(tblMatriculas[[#This Row],[Estado]]&lt;&gt;"activa",tblMatriculas[[#This Row],[Clases dictadas]]=""),"",MAX(0,tblMatriculas[[#This Row],[Clases dictadas]]-tblMatriculas[[#This Row],[Asistidas]]))</f>
        <v>0</v>
      </c>
      <c r="P388" s="1">
        <f>IF(OR(tblMatriculas[[#This Row],[Estado]]&lt;&gt;"activa",tblMatriculas[[#This Row],[Asistidas]]=""),"",tblMatriculas[[#This Row],[Asistencia]])</f>
        <v>0.13300000000000001</v>
      </c>
      <c r="Q388" t="b">
        <f>AND(tblMatriculas[[#This Row],[Estado]]="activa",ISNUMBER(tblMatriculas[[#This Row],[% asistencia]]),NOT(ISNUMBER(SEARCH(pPrueba,tblMatriculas[[#This Row],[Nombre]]))))</f>
        <v>1</v>
      </c>
      <c r="R3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8" s="23" t="str" cm="1">
        <f t="array" ref="S3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8" s="23" t="str" cm="1">
        <f t="array" ref="T3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8" s="14" t="str" cm="1">
        <f t="array" ref="U3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8" t="str" cm="1">
        <f t="array" ref="V3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8" t="str" cm="1">
        <f t="array" ref="W3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8" t="str">
        <f>IF(COUNTIFS('Base Estudiantes'!$C:$C,tblMatriculas[[#This Row],[Cédula]],'Base Estudiantes'!$I:$I,tblMatriculas[[#This Row],[Código]])&gt;0,"Sí","No")</f>
        <v>Sí</v>
      </c>
      <c r="Z388" s="23" cm="1">
        <f t="array" ref="Z388">_xlfn.XLOOKUP(tblMatriculas[[#This Row],[Cédula]]&amp;"|"&amp;tblMatriculas[[#This Row],[Código]],tblBase[Documento]&amp;"|"&amp;tblBase[Código grupo],tblBase[Fecha matrícula],"")</f>
        <v>46264</v>
      </c>
    </row>
    <row r="389" spans="1:26" x14ac:dyDescent="0.2">
      <c r="A389" t="s">
        <v>848</v>
      </c>
      <c r="B389" t="s">
        <v>849</v>
      </c>
      <c r="C389" t="s">
        <v>13</v>
      </c>
      <c r="D389" t="s">
        <v>850</v>
      </c>
      <c r="E389" t="s">
        <v>851</v>
      </c>
      <c r="F389" t="s">
        <v>111</v>
      </c>
      <c r="G389" s="1">
        <v>0.15</v>
      </c>
      <c r="H389" t="s">
        <v>852</v>
      </c>
      <c r="I389" t="s">
        <v>853</v>
      </c>
      <c r="J389" t="s">
        <v>854</v>
      </c>
      <c r="K389" t="s">
        <v>855</v>
      </c>
      <c r="L389" s="14">
        <f>IFERROR(VALUE(LEFT(tblMatriculas[[#This Row],[Clases]],FIND("/",tblMatriculas[[#This Row],[Clases]])-1)),"")</f>
        <v>6</v>
      </c>
      <c r="M389" s="14">
        <f>IFERROR(VALUE(MID(tblMatriculas[[#This Row],[Clases]],FIND("/",tblMatriculas[[#This Row],[Clases]])+1,5)),"")</f>
        <v>40</v>
      </c>
      <c r="N3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89" s="14">
        <f>IF(OR(tblMatriculas[[#This Row],[Estado]]&lt;&gt;"activa",tblMatriculas[[#This Row],[Clases dictadas]]=""),"",MAX(0,tblMatriculas[[#This Row],[Clases dictadas]]-tblMatriculas[[#This Row],[Asistidas]]))</f>
        <v>0</v>
      </c>
      <c r="P389" s="1">
        <f>IF(OR(tblMatriculas[[#This Row],[Estado]]&lt;&gt;"activa",tblMatriculas[[#This Row],[Asistidas]]=""),"",tblMatriculas[[#This Row],[Asistencia]])</f>
        <v>0.15</v>
      </c>
      <c r="Q389" t="b">
        <f>AND(tblMatriculas[[#This Row],[Estado]]="activa",ISNUMBER(tblMatriculas[[#This Row],[% asistencia]]),NOT(ISNUMBER(SEARCH(pPrueba,tblMatriculas[[#This Row],[Nombre]]))))</f>
        <v>1</v>
      </c>
      <c r="R3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89" s="23" t="str" cm="1">
        <f t="array" ref="S3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89" s="23" t="str" cm="1">
        <f t="array" ref="T3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89" s="14" t="str" cm="1">
        <f t="array" ref="U3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89" t="str" cm="1">
        <f t="array" ref="V3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89" t="str" cm="1">
        <f t="array" ref="W3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89" t="str">
        <f>IF(COUNTIFS('Base Estudiantes'!$C:$C,tblMatriculas[[#This Row],[Cédula]],'Base Estudiantes'!$I:$I,tblMatriculas[[#This Row],[Código]])&gt;0,"Sí","No")</f>
        <v>Sí</v>
      </c>
      <c r="Z389" s="23" cm="1">
        <f t="array" ref="Z389">_xlfn.XLOOKUP(tblMatriculas[[#This Row],[Cédula]]&amp;"|"&amp;tblMatriculas[[#This Row],[Código]],tblBase[Documento]&amp;"|"&amp;tblBase[Código grupo],tblBase[Fecha matrícula],"")</f>
        <v>46262</v>
      </c>
    </row>
    <row r="390" spans="1:26" x14ac:dyDescent="0.2">
      <c r="A390" t="s">
        <v>856</v>
      </c>
      <c r="B390" t="s">
        <v>857</v>
      </c>
      <c r="C390" t="s">
        <v>13</v>
      </c>
      <c r="D390" t="s">
        <v>850</v>
      </c>
      <c r="E390" t="s">
        <v>851</v>
      </c>
      <c r="F390" t="s">
        <v>111</v>
      </c>
      <c r="G390" s="1">
        <v>0.15</v>
      </c>
      <c r="H390" t="s">
        <v>852</v>
      </c>
      <c r="I390" t="s">
        <v>853</v>
      </c>
      <c r="J390" t="s">
        <v>854</v>
      </c>
      <c r="K390" t="s">
        <v>855</v>
      </c>
      <c r="L390" s="14">
        <f>IFERROR(VALUE(LEFT(tblMatriculas[[#This Row],[Clases]],FIND("/",tblMatriculas[[#This Row],[Clases]])-1)),"")</f>
        <v>6</v>
      </c>
      <c r="M390" s="14">
        <f>IFERROR(VALUE(MID(tblMatriculas[[#This Row],[Clases]],FIND("/",tblMatriculas[[#This Row],[Clases]])+1,5)),"")</f>
        <v>40</v>
      </c>
      <c r="N3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0" s="14">
        <f>IF(OR(tblMatriculas[[#This Row],[Estado]]&lt;&gt;"activa",tblMatriculas[[#This Row],[Clases dictadas]]=""),"",MAX(0,tblMatriculas[[#This Row],[Clases dictadas]]-tblMatriculas[[#This Row],[Asistidas]]))</f>
        <v>0</v>
      </c>
      <c r="P390" s="1">
        <f>IF(OR(tblMatriculas[[#This Row],[Estado]]&lt;&gt;"activa",tblMatriculas[[#This Row],[Asistidas]]=""),"",tblMatriculas[[#This Row],[Asistencia]])</f>
        <v>0.15</v>
      </c>
      <c r="Q390" t="b">
        <f>AND(tblMatriculas[[#This Row],[Estado]]="activa",ISNUMBER(tblMatriculas[[#This Row],[% asistencia]]),NOT(ISNUMBER(SEARCH(pPrueba,tblMatriculas[[#This Row],[Nombre]]))))</f>
        <v>1</v>
      </c>
      <c r="R3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0" s="23" t="str" cm="1">
        <f t="array" ref="S3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0" s="23" t="str" cm="1">
        <f t="array" ref="T3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0" s="14" t="str" cm="1">
        <f t="array" ref="U3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0" t="str" cm="1">
        <f t="array" ref="V3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0" t="str" cm="1">
        <f t="array" ref="W3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0" t="str">
        <f>IF(COUNTIFS('Base Estudiantes'!$C:$C,tblMatriculas[[#This Row],[Cédula]],'Base Estudiantes'!$I:$I,tblMatriculas[[#This Row],[Código]])&gt;0,"Sí","No")</f>
        <v>Sí</v>
      </c>
      <c r="Z390" s="23" cm="1">
        <f t="array" ref="Z390">_xlfn.XLOOKUP(tblMatriculas[[#This Row],[Cédula]]&amp;"|"&amp;tblMatriculas[[#This Row],[Código]],tblBase[Documento]&amp;"|"&amp;tblBase[Código grupo],tblBase[Fecha matrícula],"")</f>
        <v>46262</v>
      </c>
    </row>
    <row r="391" spans="1:26" x14ac:dyDescent="0.2">
      <c r="A391" t="s">
        <v>858</v>
      </c>
      <c r="B391" t="s">
        <v>859</v>
      </c>
      <c r="C391" t="s">
        <v>13</v>
      </c>
      <c r="D391" t="s">
        <v>850</v>
      </c>
      <c r="E391" t="s">
        <v>851</v>
      </c>
      <c r="F391" t="s">
        <v>111</v>
      </c>
      <c r="G391" s="1">
        <v>0.15</v>
      </c>
      <c r="H391" t="s">
        <v>852</v>
      </c>
      <c r="I391" t="s">
        <v>853</v>
      </c>
      <c r="J391" t="s">
        <v>854</v>
      </c>
      <c r="K391" t="s">
        <v>855</v>
      </c>
      <c r="L391" s="14">
        <f>IFERROR(VALUE(LEFT(tblMatriculas[[#This Row],[Clases]],FIND("/",tblMatriculas[[#This Row],[Clases]])-1)),"")</f>
        <v>6</v>
      </c>
      <c r="M391" s="14">
        <f>IFERROR(VALUE(MID(tblMatriculas[[#This Row],[Clases]],FIND("/",tblMatriculas[[#This Row],[Clases]])+1,5)),"")</f>
        <v>40</v>
      </c>
      <c r="N3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1" s="14">
        <f>IF(OR(tblMatriculas[[#This Row],[Estado]]&lt;&gt;"activa",tblMatriculas[[#This Row],[Clases dictadas]]=""),"",MAX(0,tblMatriculas[[#This Row],[Clases dictadas]]-tblMatriculas[[#This Row],[Asistidas]]))</f>
        <v>0</v>
      </c>
      <c r="P391" s="1">
        <f>IF(OR(tblMatriculas[[#This Row],[Estado]]&lt;&gt;"activa",tblMatriculas[[#This Row],[Asistidas]]=""),"",tblMatriculas[[#This Row],[Asistencia]])</f>
        <v>0.15</v>
      </c>
      <c r="Q391" t="b">
        <f>AND(tblMatriculas[[#This Row],[Estado]]="activa",ISNUMBER(tblMatriculas[[#This Row],[% asistencia]]),NOT(ISNUMBER(SEARCH(pPrueba,tblMatriculas[[#This Row],[Nombre]]))))</f>
        <v>1</v>
      </c>
      <c r="R3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1" s="23" t="str" cm="1">
        <f t="array" ref="S3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1" s="23" t="str" cm="1">
        <f t="array" ref="T3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1" s="14" t="str" cm="1">
        <f t="array" ref="U3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1" t="str" cm="1">
        <f t="array" ref="V3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1" t="str" cm="1">
        <f t="array" ref="W3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1" t="str">
        <f>IF(COUNTIFS('Base Estudiantes'!$C:$C,tblMatriculas[[#This Row],[Cédula]],'Base Estudiantes'!$I:$I,tblMatriculas[[#This Row],[Código]])&gt;0,"Sí","No")</f>
        <v>Sí</v>
      </c>
      <c r="Z391" s="23" cm="1">
        <f t="array" ref="Z391">_xlfn.XLOOKUP(tblMatriculas[[#This Row],[Cédula]]&amp;"|"&amp;tblMatriculas[[#This Row],[Código]],tblBase[Documento]&amp;"|"&amp;tblBase[Código grupo],tblBase[Fecha matrícula],"")</f>
        <v>46262</v>
      </c>
    </row>
    <row r="392" spans="1:26" x14ac:dyDescent="0.2">
      <c r="A392" t="s">
        <v>860</v>
      </c>
      <c r="B392" t="s">
        <v>861</v>
      </c>
      <c r="C392" t="s">
        <v>13</v>
      </c>
      <c r="D392" t="s">
        <v>850</v>
      </c>
      <c r="E392" t="s">
        <v>851</v>
      </c>
      <c r="F392" t="s">
        <v>111</v>
      </c>
      <c r="G392" s="1">
        <v>0.125</v>
      </c>
      <c r="H392" t="s">
        <v>862</v>
      </c>
      <c r="I392" t="s">
        <v>853</v>
      </c>
      <c r="J392" t="s">
        <v>854</v>
      </c>
      <c r="K392" t="s">
        <v>855</v>
      </c>
      <c r="L392" s="14">
        <f>IFERROR(VALUE(LEFT(tblMatriculas[[#This Row],[Clases]],FIND("/",tblMatriculas[[#This Row],[Clases]])-1)),"")</f>
        <v>5</v>
      </c>
      <c r="M392" s="14">
        <f>IFERROR(VALUE(MID(tblMatriculas[[#This Row],[Clases]],FIND("/",tblMatriculas[[#This Row],[Clases]])+1,5)),"")</f>
        <v>40</v>
      </c>
      <c r="N3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2" s="14">
        <f>IF(OR(tblMatriculas[[#This Row],[Estado]]&lt;&gt;"activa",tblMatriculas[[#This Row],[Clases dictadas]]=""),"",MAX(0,tblMatriculas[[#This Row],[Clases dictadas]]-tblMatriculas[[#This Row],[Asistidas]]))</f>
        <v>1</v>
      </c>
      <c r="P392" s="1">
        <f>IF(OR(tblMatriculas[[#This Row],[Estado]]&lt;&gt;"activa",tblMatriculas[[#This Row],[Asistidas]]=""),"",tblMatriculas[[#This Row],[Asistencia]])</f>
        <v>0.125</v>
      </c>
      <c r="Q392" t="b">
        <f>AND(tblMatriculas[[#This Row],[Estado]]="activa",ISNUMBER(tblMatriculas[[#This Row],[% asistencia]]),NOT(ISNUMBER(SEARCH(pPrueba,tblMatriculas[[#This Row],[Nombre]]))))</f>
        <v>1</v>
      </c>
      <c r="R3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2" s="23" t="str" cm="1">
        <f t="array" ref="S3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2" s="23" t="str" cm="1">
        <f t="array" ref="T3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2" s="14" t="str" cm="1">
        <f t="array" ref="U3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2" t="str" cm="1">
        <f t="array" ref="V3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2" t="str" cm="1">
        <f t="array" ref="W3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2" t="str">
        <f>IF(COUNTIFS('Base Estudiantes'!$C:$C,tblMatriculas[[#This Row],[Cédula]],'Base Estudiantes'!$I:$I,tblMatriculas[[#This Row],[Código]])&gt;0,"Sí","No")</f>
        <v>Sí</v>
      </c>
      <c r="Z392" s="23" cm="1">
        <f t="array" ref="Z392">_xlfn.XLOOKUP(tblMatriculas[[#This Row],[Cédula]]&amp;"|"&amp;tblMatriculas[[#This Row],[Código]],tblBase[Documento]&amp;"|"&amp;tblBase[Código grupo],tblBase[Fecha matrícula],"")</f>
        <v>46262</v>
      </c>
    </row>
    <row r="393" spans="1:26" x14ac:dyDescent="0.2">
      <c r="A393" t="s">
        <v>863</v>
      </c>
      <c r="B393" t="s">
        <v>864</v>
      </c>
      <c r="C393" t="s">
        <v>13</v>
      </c>
      <c r="D393" t="s">
        <v>850</v>
      </c>
      <c r="E393" t="s">
        <v>851</v>
      </c>
      <c r="F393" t="s">
        <v>111</v>
      </c>
      <c r="G393" s="1">
        <v>0.125</v>
      </c>
      <c r="H393" t="s">
        <v>862</v>
      </c>
      <c r="I393" t="s">
        <v>853</v>
      </c>
      <c r="J393" t="s">
        <v>854</v>
      </c>
      <c r="K393" t="s">
        <v>855</v>
      </c>
      <c r="L393" s="14">
        <f>IFERROR(VALUE(LEFT(tblMatriculas[[#This Row],[Clases]],FIND("/",tblMatriculas[[#This Row],[Clases]])-1)),"")</f>
        <v>5</v>
      </c>
      <c r="M393" s="14">
        <f>IFERROR(VALUE(MID(tblMatriculas[[#This Row],[Clases]],FIND("/",tblMatriculas[[#This Row],[Clases]])+1,5)),"")</f>
        <v>40</v>
      </c>
      <c r="N3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3" s="14">
        <f>IF(OR(tblMatriculas[[#This Row],[Estado]]&lt;&gt;"activa",tblMatriculas[[#This Row],[Clases dictadas]]=""),"",MAX(0,tblMatriculas[[#This Row],[Clases dictadas]]-tblMatriculas[[#This Row],[Asistidas]]))</f>
        <v>1</v>
      </c>
      <c r="P393" s="1">
        <f>IF(OR(tblMatriculas[[#This Row],[Estado]]&lt;&gt;"activa",tblMatriculas[[#This Row],[Asistidas]]=""),"",tblMatriculas[[#This Row],[Asistencia]])</f>
        <v>0.125</v>
      </c>
      <c r="Q393" t="b">
        <f>AND(tblMatriculas[[#This Row],[Estado]]="activa",ISNUMBER(tblMatriculas[[#This Row],[% asistencia]]),NOT(ISNUMBER(SEARCH(pPrueba,tblMatriculas[[#This Row],[Nombre]]))))</f>
        <v>1</v>
      </c>
      <c r="R3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3" s="23" t="str" cm="1">
        <f t="array" ref="S3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3" s="23" t="str" cm="1">
        <f t="array" ref="T3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3" s="14" t="str" cm="1">
        <f t="array" ref="U3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3" t="str" cm="1">
        <f t="array" ref="V3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3" t="str" cm="1">
        <f t="array" ref="W3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3" t="str">
        <f>IF(COUNTIFS('Base Estudiantes'!$C:$C,tblMatriculas[[#This Row],[Cédula]],'Base Estudiantes'!$I:$I,tblMatriculas[[#This Row],[Código]])&gt;0,"Sí","No")</f>
        <v>Sí</v>
      </c>
      <c r="Z393" s="23" cm="1">
        <f t="array" ref="Z393">_xlfn.XLOOKUP(tblMatriculas[[#This Row],[Cédula]]&amp;"|"&amp;tblMatriculas[[#This Row],[Código]],tblBase[Documento]&amp;"|"&amp;tblBase[Código grupo],tblBase[Fecha matrícula],"")</f>
        <v>46262</v>
      </c>
    </row>
    <row r="394" spans="1:26" x14ac:dyDescent="0.2">
      <c r="A394" t="s">
        <v>865</v>
      </c>
      <c r="B394" t="s">
        <v>866</v>
      </c>
      <c r="C394" t="s">
        <v>13</v>
      </c>
      <c r="D394" t="s">
        <v>850</v>
      </c>
      <c r="E394" t="s">
        <v>851</v>
      </c>
      <c r="F394" t="s">
        <v>111</v>
      </c>
      <c r="G394" s="1">
        <v>0.1</v>
      </c>
      <c r="H394" t="s">
        <v>867</v>
      </c>
      <c r="I394" t="s">
        <v>853</v>
      </c>
      <c r="J394" t="s">
        <v>854</v>
      </c>
      <c r="K394" t="s">
        <v>855</v>
      </c>
      <c r="L394" s="14">
        <f>IFERROR(VALUE(LEFT(tblMatriculas[[#This Row],[Clases]],FIND("/",tblMatriculas[[#This Row],[Clases]])-1)),"")</f>
        <v>4</v>
      </c>
      <c r="M394" s="14">
        <f>IFERROR(VALUE(MID(tblMatriculas[[#This Row],[Clases]],FIND("/",tblMatriculas[[#This Row],[Clases]])+1,5)),"")</f>
        <v>40</v>
      </c>
      <c r="N3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4" s="14">
        <f>IF(OR(tblMatriculas[[#This Row],[Estado]]&lt;&gt;"activa",tblMatriculas[[#This Row],[Clases dictadas]]=""),"",MAX(0,tblMatriculas[[#This Row],[Clases dictadas]]-tblMatriculas[[#This Row],[Asistidas]]))</f>
        <v>2</v>
      </c>
      <c r="P394" s="1">
        <f>IF(OR(tblMatriculas[[#This Row],[Estado]]&lt;&gt;"activa",tblMatriculas[[#This Row],[Asistidas]]=""),"",tblMatriculas[[#This Row],[Asistencia]])</f>
        <v>0.1</v>
      </c>
      <c r="Q394" t="b">
        <f>AND(tblMatriculas[[#This Row],[Estado]]="activa",ISNUMBER(tblMatriculas[[#This Row],[% asistencia]]),NOT(ISNUMBER(SEARCH(pPrueba,tblMatriculas[[#This Row],[Nombre]]))))</f>
        <v>1</v>
      </c>
      <c r="R3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4" s="23" t="str" cm="1">
        <f t="array" ref="S3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4" s="23" t="str" cm="1">
        <f t="array" ref="T3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4" s="14" t="str" cm="1">
        <f t="array" ref="U3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4" t="str" cm="1">
        <f t="array" ref="V3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4" t="str" cm="1">
        <f t="array" ref="W3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4" t="str">
        <f>IF(COUNTIFS('Base Estudiantes'!$C:$C,tblMatriculas[[#This Row],[Cédula]],'Base Estudiantes'!$I:$I,tblMatriculas[[#This Row],[Código]])&gt;0,"Sí","No")</f>
        <v>Sí</v>
      </c>
      <c r="Z394" s="23" cm="1">
        <f t="array" ref="Z394">_xlfn.XLOOKUP(tblMatriculas[[#This Row],[Cédula]]&amp;"|"&amp;tblMatriculas[[#This Row],[Código]],tblBase[Documento]&amp;"|"&amp;tblBase[Código grupo],tblBase[Fecha matrícula],"")</f>
        <v>46262</v>
      </c>
    </row>
    <row r="395" spans="1:26" x14ac:dyDescent="0.2">
      <c r="A395" t="s">
        <v>868</v>
      </c>
      <c r="B395" t="s">
        <v>869</v>
      </c>
      <c r="C395" t="s">
        <v>13</v>
      </c>
      <c r="D395" t="s">
        <v>850</v>
      </c>
      <c r="E395" t="s">
        <v>851</v>
      </c>
      <c r="F395" t="s">
        <v>111</v>
      </c>
      <c r="G395" s="1">
        <v>0.05</v>
      </c>
      <c r="H395" t="s">
        <v>870</v>
      </c>
      <c r="I395" t="s">
        <v>853</v>
      </c>
      <c r="J395" t="s">
        <v>854</v>
      </c>
      <c r="K395" t="s">
        <v>855</v>
      </c>
      <c r="L395" s="14">
        <f>IFERROR(VALUE(LEFT(tblMatriculas[[#This Row],[Clases]],FIND("/",tblMatriculas[[#This Row],[Clases]])-1)),"")</f>
        <v>2</v>
      </c>
      <c r="M395" s="14">
        <f>IFERROR(VALUE(MID(tblMatriculas[[#This Row],[Clases]],FIND("/",tblMatriculas[[#This Row],[Clases]])+1,5)),"")</f>
        <v>40</v>
      </c>
      <c r="N3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5" s="14">
        <f>IF(OR(tblMatriculas[[#This Row],[Estado]]&lt;&gt;"activa",tblMatriculas[[#This Row],[Clases dictadas]]=""),"",MAX(0,tblMatriculas[[#This Row],[Clases dictadas]]-tblMatriculas[[#This Row],[Asistidas]]))</f>
        <v>4</v>
      </c>
      <c r="P395" s="1">
        <f>IF(OR(tblMatriculas[[#This Row],[Estado]]&lt;&gt;"activa",tblMatriculas[[#This Row],[Asistidas]]=""),"",tblMatriculas[[#This Row],[Asistencia]])</f>
        <v>0.05</v>
      </c>
      <c r="Q395" t="b">
        <f>AND(tblMatriculas[[#This Row],[Estado]]="activa",ISNUMBER(tblMatriculas[[#This Row],[% asistencia]]),NOT(ISNUMBER(SEARCH(pPrueba,tblMatriculas[[#This Row],[Nombre]]))))</f>
        <v>1</v>
      </c>
      <c r="R3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395" s="23" t="str" cm="1">
        <f t="array" ref="S3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5" s="23" t="str" cm="1">
        <f t="array" ref="T3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5" s="14" t="str" cm="1">
        <f t="array" ref="U3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5" t="str" cm="1">
        <f t="array" ref="V3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5" t="str" cm="1">
        <f t="array" ref="W3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3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395" t="str">
        <f>IF(COUNTIFS('Base Estudiantes'!$C:$C,tblMatriculas[[#This Row],[Cédula]],'Base Estudiantes'!$I:$I,tblMatriculas[[#This Row],[Código]])&gt;0,"Sí","No")</f>
        <v>Sí</v>
      </c>
      <c r="Z395" s="23" cm="1">
        <f t="array" ref="Z395">_xlfn.XLOOKUP(tblMatriculas[[#This Row],[Cédula]]&amp;"|"&amp;tblMatriculas[[#This Row],[Código]],tblBase[Documento]&amp;"|"&amp;tblBase[Código grupo],tblBase[Fecha matrícula],"")</f>
        <v>46262</v>
      </c>
    </row>
    <row r="396" spans="1:26" x14ac:dyDescent="0.2">
      <c r="A396" t="s">
        <v>871</v>
      </c>
      <c r="B396" t="s">
        <v>872</v>
      </c>
      <c r="C396" t="s">
        <v>13</v>
      </c>
      <c r="D396" t="s">
        <v>850</v>
      </c>
      <c r="E396" t="s">
        <v>851</v>
      </c>
      <c r="F396" t="s">
        <v>111</v>
      </c>
      <c r="G396" s="1">
        <v>0.125</v>
      </c>
      <c r="H396" t="s">
        <v>862</v>
      </c>
      <c r="I396" t="s">
        <v>853</v>
      </c>
      <c r="J396" t="s">
        <v>854</v>
      </c>
      <c r="K396" t="s">
        <v>855</v>
      </c>
      <c r="L396" s="14">
        <f>IFERROR(VALUE(LEFT(tblMatriculas[[#This Row],[Clases]],FIND("/",tblMatriculas[[#This Row],[Clases]])-1)),"")</f>
        <v>5</v>
      </c>
      <c r="M396" s="14">
        <f>IFERROR(VALUE(MID(tblMatriculas[[#This Row],[Clases]],FIND("/",tblMatriculas[[#This Row],[Clases]])+1,5)),"")</f>
        <v>40</v>
      </c>
      <c r="N3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6" s="14">
        <f>IF(OR(tblMatriculas[[#This Row],[Estado]]&lt;&gt;"activa",tblMatriculas[[#This Row],[Clases dictadas]]=""),"",MAX(0,tblMatriculas[[#This Row],[Clases dictadas]]-tblMatriculas[[#This Row],[Asistidas]]))</f>
        <v>1</v>
      </c>
      <c r="P396" s="1">
        <f>IF(OR(tblMatriculas[[#This Row],[Estado]]&lt;&gt;"activa",tblMatriculas[[#This Row],[Asistidas]]=""),"",tblMatriculas[[#This Row],[Asistencia]])</f>
        <v>0.125</v>
      </c>
      <c r="Q396" t="b">
        <f>AND(tblMatriculas[[#This Row],[Estado]]="activa",ISNUMBER(tblMatriculas[[#This Row],[% asistencia]]),NOT(ISNUMBER(SEARCH(pPrueba,tblMatriculas[[#This Row],[Nombre]]))))</f>
        <v>1</v>
      </c>
      <c r="R3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6" s="23" t="str" cm="1">
        <f t="array" ref="S3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6" s="23" t="str" cm="1">
        <f t="array" ref="T3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6" s="14" t="str" cm="1">
        <f t="array" ref="U3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6" t="str" cm="1">
        <f t="array" ref="V3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6" t="str" cm="1">
        <f t="array" ref="W3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6" t="str">
        <f>IF(COUNTIFS('Base Estudiantes'!$C:$C,tblMatriculas[[#This Row],[Cédula]],'Base Estudiantes'!$I:$I,tblMatriculas[[#This Row],[Código]])&gt;0,"Sí","No")</f>
        <v>Sí</v>
      </c>
      <c r="Z396" s="23" cm="1">
        <f t="array" ref="Z396">_xlfn.XLOOKUP(tblMatriculas[[#This Row],[Cédula]]&amp;"|"&amp;tblMatriculas[[#This Row],[Código]],tblBase[Documento]&amp;"|"&amp;tblBase[Código grupo],tblBase[Fecha matrícula],"")</f>
        <v>46262</v>
      </c>
    </row>
    <row r="397" spans="1:26" x14ac:dyDescent="0.2">
      <c r="A397" t="s">
        <v>873</v>
      </c>
      <c r="B397" t="s">
        <v>874</v>
      </c>
      <c r="C397" t="s">
        <v>13</v>
      </c>
      <c r="D397" t="s">
        <v>850</v>
      </c>
      <c r="E397" t="s">
        <v>851</v>
      </c>
      <c r="F397" t="s">
        <v>111</v>
      </c>
      <c r="G397" s="1">
        <v>0.15</v>
      </c>
      <c r="H397" t="s">
        <v>852</v>
      </c>
      <c r="I397" t="s">
        <v>853</v>
      </c>
      <c r="J397" t="s">
        <v>854</v>
      </c>
      <c r="K397" t="s">
        <v>855</v>
      </c>
      <c r="L397" s="14">
        <f>IFERROR(VALUE(LEFT(tblMatriculas[[#This Row],[Clases]],FIND("/",tblMatriculas[[#This Row],[Clases]])-1)),"")</f>
        <v>6</v>
      </c>
      <c r="M397" s="14">
        <f>IFERROR(VALUE(MID(tblMatriculas[[#This Row],[Clases]],FIND("/",tblMatriculas[[#This Row],[Clases]])+1,5)),"")</f>
        <v>40</v>
      </c>
      <c r="N3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7" s="14">
        <f>IF(OR(tblMatriculas[[#This Row],[Estado]]&lt;&gt;"activa",tblMatriculas[[#This Row],[Clases dictadas]]=""),"",MAX(0,tblMatriculas[[#This Row],[Clases dictadas]]-tblMatriculas[[#This Row],[Asistidas]]))</f>
        <v>0</v>
      </c>
      <c r="P397" s="1">
        <f>IF(OR(tblMatriculas[[#This Row],[Estado]]&lt;&gt;"activa",tblMatriculas[[#This Row],[Asistidas]]=""),"",tblMatriculas[[#This Row],[Asistencia]])</f>
        <v>0.15</v>
      </c>
      <c r="Q397" t="b">
        <f>AND(tblMatriculas[[#This Row],[Estado]]="activa",ISNUMBER(tblMatriculas[[#This Row],[% asistencia]]),NOT(ISNUMBER(SEARCH(pPrueba,tblMatriculas[[#This Row],[Nombre]]))))</f>
        <v>1</v>
      </c>
      <c r="R3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7" s="23" t="str" cm="1">
        <f t="array" ref="S3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7" s="23" t="str" cm="1">
        <f t="array" ref="T3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7" s="14" t="str" cm="1">
        <f t="array" ref="U3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7" t="str" cm="1">
        <f t="array" ref="V3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7" t="str" cm="1">
        <f t="array" ref="W3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7" t="str">
        <f>IF(COUNTIFS('Base Estudiantes'!$C:$C,tblMatriculas[[#This Row],[Cédula]],'Base Estudiantes'!$I:$I,tblMatriculas[[#This Row],[Código]])&gt;0,"Sí","No")</f>
        <v>Sí</v>
      </c>
      <c r="Z397" s="23" cm="1">
        <f t="array" ref="Z397">_xlfn.XLOOKUP(tblMatriculas[[#This Row],[Cédula]]&amp;"|"&amp;tblMatriculas[[#This Row],[Código]],tblBase[Documento]&amp;"|"&amp;tblBase[Código grupo],tblBase[Fecha matrícula],"")</f>
        <v>46262</v>
      </c>
    </row>
    <row r="398" spans="1:26" x14ac:dyDescent="0.2">
      <c r="A398" t="s">
        <v>875</v>
      </c>
      <c r="B398" t="s">
        <v>876</v>
      </c>
      <c r="C398" t="s">
        <v>13</v>
      </c>
      <c r="D398" t="s">
        <v>850</v>
      </c>
      <c r="E398" t="s">
        <v>851</v>
      </c>
      <c r="F398" t="s">
        <v>111</v>
      </c>
      <c r="G398" s="1">
        <v>0.125</v>
      </c>
      <c r="H398" t="s">
        <v>862</v>
      </c>
      <c r="I398" t="s">
        <v>853</v>
      </c>
      <c r="J398" t="s">
        <v>854</v>
      </c>
      <c r="K398" t="s">
        <v>24</v>
      </c>
      <c r="L398" s="14">
        <f>IFERROR(VALUE(LEFT(tblMatriculas[[#This Row],[Clases]],FIND("/",tblMatriculas[[#This Row],[Clases]])-1)),"")</f>
        <v>5</v>
      </c>
      <c r="M398" s="14">
        <f>IFERROR(VALUE(MID(tblMatriculas[[#This Row],[Clases]],FIND("/",tblMatriculas[[#This Row],[Clases]])+1,5)),"")</f>
        <v>40</v>
      </c>
      <c r="N3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8" s="14">
        <f>IF(OR(tblMatriculas[[#This Row],[Estado]]&lt;&gt;"activa",tblMatriculas[[#This Row],[Clases dictadas]]=""),"",MAX(0,tblMatriculas[[#This Row],[Clases dictadas]]-tblMatriculas[[#This Row],[Asistidas]]))</f>
        <v>1</v>
      </c>
      <c r="P398" s="1">
        <f>IF(OR(tblMatriculas[[#This Row],[Estado]]&lt;&gt;"activa",tblMatriculas[[#This Row],[Asistidas]]=""),"",tblMatriculas[[#This Row],[Asistencia]])</f>
        <v>0.125</v>
      </c>
      <c r="Q398" t="b">
        <f>AND(tblMatriculas[[#This Row],[Estado]]="activa",ISNUMBER(tblMatriculas[[#This Row],[% asistencia]]),NOT(ISNUMBER(SEARCH(pPrueba,tblMatriculas[[#This Row],[Nombre]]))))</f>
        <v>1</v>
      </c>
      <c r="R3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8" s="23" t="str" cm="1">
        <f t="array" ref="S3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8" s="23" t="str" cm="1">
        <f t="array" ref="T3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8" s="14" t="str" cm="1">
        <f t="array" ref="U3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8" t="str" cm="1">
        <f t="array" ref="V3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8" t="str" cm="1">
        <f t="array" ref="W3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8" t="str">
        <f>IF(COUNTIFS('Base Estudiantes'!$C:$C,tblMatriculas[[#This Row],[Cédula]],'Base Estudiantes'!$I:$I,tblMatriculas[[#This Row],[Código]])&gt;0,"Sí","No")</f>
        <v>Sí</v>
      </c>
      <c r="Z398" s="23" cm="1">
        <f t="array" ref="Z398">_xlfn.XLOOKUP(tblMatriculas[[#This Row],[Cédula]]&amp;"|"&amp;tblMatriculas[[#This Row],[Código]],tblBase[Documento]&amp;"|"&amp;tblBase[Código grupo],tblBase[Fecha matrícula],"")</f>
        <v>46262</v>
      </c>
    </row>
    <row r="399" spans="1:26" x14ac:dyDescent="0.2">
      <c r="A399" t="s">
        <v>877</v>
      </c>
      <c r="B399" t="s">
        <v>878</v>
      </c>
      <c r="C399" t="s">
        <v>13</v>
      </c>
      <c r="D399" t="s">
        <v>850</v>
      </c>
      <c r="E399" t="s">
        <v>851</v>
      </c>
      <c r="F399" t="s">
        <v>111</v>
      </c>
      <c r="G399" s="1">
        <v>0.1</v>
      </c>
      <c r="H399" t="s">
        <v>867</v>
      </c>
      <c r="I399" t="s">
        <v>853</v>
      </c>
      <c r="J399" t="s">
        <v>854</v>
      </c>
      <c r="K399" t="s">
        <v>24</v>
      </c>
      <c r="L399" s="14">
        <f>IFERROR(VALUE(LEFT(tblMatriculas[[#This Row],[Clases]],FIND("/",tblMatriculas[[#This Row],[Clases]])-1)),"")</f>
        <v>4</v>
      </c>
      <c r="M399" s="14">
        <f>IFERROR(VALUE(MID(tblMatriculas[[#This Row],[Clases]],FIND("/",tblMatriculas[[#This Row],[Clases]])+1,5)),"")</f>
        <v>40</v>
      </c>
      <c r="N3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399" s="14">
        <f>IF(OR(tblMatriculas[[#This Row],[Estado]]&lt;&gt;"activa",tblMatriculas[[#This Row],[Clases dictadas]]=""),"",MAX(0,tblMatriculas[[#This Row],[Clases dictadas]]-tblMatriculas[[#This Row],[Asistidas]]))</f>
        <v>2</v>
      </c>
      <c r="P399" s="1">
        <f>IF(OR(tblMatriculas[[#This Row],[Estado]]&lt;&gt;"activa",tblMatriculas[[#This Row],[Asistidas]]=""),"",tblMatriculas[[#This Row],[Asistencia]])</f>
        <v>0.1</v>
      </c>
      <c r="Q399" t="b">
        <f>AND(tblMatriculas[[#This Row],[Estado]]="activa",ISNUMBER(tblMatriculas[[#This Row],[% asistencia]]),NOT(ISNUMBER(SEARCH(pPrueba,tblMatriculas[[#This Row],[Nombre]]))))</f>
        <v>1</v>
      </c>
      <c r="R3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399" s="23" t="str" cm="1">
        <f t="array" ref="S3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399" s="23" t="str" cm="1">
        <f t="array" ref="T3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399" s="14" t="str" cm="1">
        <f t="array" ref="U3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399" t="str" cm="1">
        <f t="array" ref="V3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399" t="str" cm="1">
        <f t="array" ref="W3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3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399" t="str">
        <f>IF(COUNTIFS('Base Estudiantes'!$C:$C,tblMatriculas[[#This Row],[Cédula]],'Base Estudiantes'!$I:$I,tblMatriculas[[#This Row],[Código]])&gt;0,"Sí","No")</f>
        <v>Sí</v>
      </c>
      <c r="Z399" s="23" cm="1">
        <f t="array" ref="Z399">_xlfn.XLOOKUP(tblMatriculas[[#This Row],[Cédula]]&amp;"|"&amp;tblMatriculas[[#This Row],[Código]],tblBase[Documento]&amp;"|"&amp;tblBase[Código grupo],tblBase[Fecha matrícula],"")</f>
        <v>46262</v>
      </c>
    </row>
    <row r="400" spans="1:26" x14ac:dyDescent="0.2">
      <c r="A400" t="s">
        <v>879</v>
      </c>
      <c r="B400" t="s">
        <v>880</v>
      </c>
      <c r="C400" t="s">
        <v>13</v>
      </c>
      <c r="D400" t="s">
        <v>850</v>
      </c>
      <c r="E400" t="s">
        <v>851</v>
      </c>
      <c r="F400" t="s">
        <v>111</v>
      </c>
      <c r="G400" s="1">
        <v>7.4999999999999997E-2</v>
      </c>
      <c r="H400" t="s">
        <v>881</v>
      </c>
      <c r="I400" t="s">
        <v>853</v>
      </c>
      <c r="J400" t="s">
        <v>854</v>
      </c>
      <c r="K400" t="s">
        <v>24</v>
      </c>
      <c r="L400" s="14">
        <f>IFERROR(VALUE(LEFT(tblMatriculas[[#This Row],[Clases]],FIND("/",tblMatriculas[[#This Row],[Clases]])-1)),"")</f>
        <v>3</v>
      </c>
      <c r="M400" s="14">
        <f>IFERROR(VALUE(MID(tblMatriculas[[#This Row],[Clases]],FIND("/",tblMatriculas[[#This Row],[Clases]])+1,5)),"")</f>
        <v>40</v>
      </c>
      <c r="N4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0" s="14">
        <f>IF(OR(tblMatriculas[[#This Row],[Estado]]&lt;&gt;"activa",tblMatriculas[[#This Row],[Clases dictadas]]=""),"",MAX(0,tblMatriculas[[#This Row],[Clases dictadas]]-tblMatriculas[[#This Row],[Asistidas]]))</f>
        <v>3</v>
      </c>
      <c r="P400" s="1">
        <f>IF(OR(tblMatriculas[[#This Row],[Estado]]&lt;&gt;"activa",tblMatriculas[[#This Row],[Asistidas]]=""),"",tblMatriculas[[#This Row],[Asistencia]])</f>
        <v>7.4999999999999997E-2</v>
      </c>
      <c r="Q400" t="b">
        <f>AND(tblMatriculas[[#This Row],[Estado]]="activa",ISNUMBER(tblMatriculas[[#This Row],[% asistencia]]),NOT(ISNUMBER(SEARCH(pPrueba,tblMatriculas[[#This Row],[Nombre]]))))</f>
        <v>1</v>
      </c>
      <c r="R4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0" s="23" t="str" cm="1">
        <f t="array" ref="S4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0" s="23" t="str" cm="1">
        <f t="array" ref="T4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0" s="14" t="str" cm="1">
        <f t="array" ref="U4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0" t="str" cm="1">
        <f t="array" ref="V4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0" t="str" cm="1">
        <f t="array" ref="W4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0" t="str">
        <f>IF(COUNTIFS('Base Estudiantes'!$C:$C,tblMatriculas[[#This Row],[Cédula]],'Base Estudiantes'!$I:$I,tblMatriculas[[#This Row],[Código]])&gt;0,"Sí","No")</f>
        <v>Sí</v>
      </c>
      <c r="Z400" s="23" cm="1">
        <f t="array" ref="Z400">_xlfn.XLOOKUP(tblMatriculas[[#This Row],[Cédula]]&amp;"|"&amp;tblMatriculas[[#This Row],[Código]],tblBase[Documento]&amp;"|"&amp;tblBase[Código grupo],tblBase[Fecha matrícula],"")</f>
        <v>46262</v>
      </c>
    </row>
    <row r="401" spans="1:26" x14ac:dyDescent="0.2">
      <c r="A401" t="s">
        <v>882</v>
      </c>
      <c r="B401" t="s">
        <v>883</v>
      </c>
      <c r="C401" t="s">
        <v>49</v>
      </c>
      <c r="D401" t="s">
        <v>850</v>
      </c>
      <c r="E401" t="s">
        <v>851</v>
      </c>
      <c r="F401" t="s">
        <v>111</v>
      </c>
      <c r="G401" s="1">
        <v>0.15</v>
      </c>
      <c r="H401" t="s">
        <v>852</v>
      </c>
      <c r="I401" t="s">
        <v>853</v>
      </c>
      <c r="J401" t="s">
        <v>854</v>
      </c>
      <c r="K401" t="s">
        <v>24</v>
      </c>
      <c r="L401" s="14">
        <f>IFERROR(VALUE(LEFT(tblMatriculas[[#This Row],[Clases]],FIND("/",tblMatriculas[[#This Row],[Clases]])-1)),"")</f>
        <v>6</v>
      </c>
      <c r="M401" s="14">
        <f>IFERROR(VALUE(MID(tblMatriculas[[#This Row],[Clases]],FIND("/",tblMatriculas[[#This Row],[Clases]])+1,5)),"")</f>
        <v>40</v>
      </c>
      <c r="N4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1" s="14" t="str">
        <f>IF(OR(tblMatriculas[[#This Row],[Estado]]&lt;&gt;"activa",tblMatriculas[[#This Row],[Clases dictadas]]=""),"",MAX(0,tblMatriculas[[#This Row],[Clases dictadas]]-tblMatriculas[[#This Row],[Asistidas]]))</f>
        <v/>
      </c>
      <c r="P401" s="1" t="str">
        <f>IF(OR(tblMatriculas[[#This Row],[Estado]]&lt;&gt;"activa",tblMatriculas[[#This Row],[Asistidas]]=""),"",tblMatriculas[[#This Row],[Asistencia]])</f>
        <v/>
      </c>
      <c r="Q401" t="b">
        <f>AND(tblMatriculas[[#This Row],[Estado]]="activa",ISNUMBER(tblMatriculas[[#This Row],[% asistencia]]),NOT(ISNUMBER(SEARCH(pPrueba,tblMatriculas[[#This Row],[Nombre]]))))</f>
        <v>0</v>
      </c>
      <c r="R4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401" s="23" t="str" cm="1">
        <f t="array" ref="S4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1" s="23" t="str" cm="1">
        <f t="array" ref="T4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1" s="14" t="str" cm="1">
        <f t="array" ref="U4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1" t="str" cm="1">
        <f t="array" ref="V4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1" t="str" cm="1">
        <f t="array" ref="W4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1" t="str">
        <f>IF(COUNTIFS('Base Estudiantes'!$C:$C,tblMatriculas[[#This Row],[Cédula]],'Base Estudiantes'!$I:$I,tblMatriculas[[#This Row],[Código]])&gt;0,"Sí","No")</f>
        <v>No</v>
      </c>
      <c r="Z401" s="23" t="str" cm="1">
        <f t="array" ref="Z401">_xlfn.XLOOKUP(tblMatriculas[[#This Row],[Cédula]]&amp;"|"&amp;tblMatriculas[[#This Row],[Código]],tblBase[Documento]&amp;"|"&amp;tblBase[Código grupo],tblBase[Fecha matrícula],"")</f>
        <v/>
      </c>
    </row>
    <row r="402" spans="1:26" x14ac:dyDescent="0.2">
      <c r="A402" t="s">
        <v>884</v>
      </c>
      <c r="B402" t="s">
        <v>885</v>
      </c>
      <c r="C402" t="s">
        <v>13</v>
      </c>
      <c r="D402" t="s">
        <v>850</v>
      </c>
      <c r="E402" t="s">
        <v>851</v>
      </c>
      <c r="F402" t="s">
        <v>111</v>
      </c>
      <c r="G402" s="1">
        <v>0.15</v>
      </c>
      <c r="H402" t="s">
        <v>852</v>
      </c>
      <c r="I402" t="s">
        <v>853</v>
      </c>
      <c r="J402" t="s">
        <v>854</v>
      </c>
      <c r="K402" t="s">
        <v>24</v>
      </c>
      <c r="L402" s="14">
        <f>IFERROR(VALUE(LEFT(tblMatriculas[[#This Row],[Clases]],FIND("/",tblMatriculas[[#This Row],[Clases]])-1)),"")</f>
        <v>6</v>
      </c>
      <c r="M402" s="14">
        <f>IFERROR(VALUE(MID(tblMatriculas[[#This Row],[Clases]],FIND("/",tblMatriculas[[#This Row],[Clases]])+1,5)),"")</f>
        <v>40</v>
      </c>
      <c r="N4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2" s="14">
        <f>IF(OR(tblMatriculas[[#This Row],[Estado]]&lt;&gt;"activa",tblMatriculas[[#This Row],[Clases dictadas]]=""),"",MAX(0,tblMatriculas[[#This Row],[Clases dictadas]]-tblMatriculas[[#This Row],[Asistidas]]))</f>
        <v>0</v>
      </c>
      <c r="P402" s="1">
        <f>IF(OR(tblMatriculas[[#This Row],[Estado]]&lt;&gt;"activa",tblMatriculas[[#This Row],[Asistidas]]=""),"",tblMatriculas[[#This Row],[Asistencia]])</f>
        <v>0.15</v>
      </c>
      <c r="Q402" t="b">
        <f>AND(tblMatriculas[[#This Row],[Estado]]="activa",ISNUMBER(tblMatriculas[[#This Row],[% asistencia]]),NOT(ISNUMBER(SEARCH(pPrueba,tblMatriculas[[#This Row],[Nombre]]))))</f>
        <v>1</v>
      </c>
      <c r="R4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2" s="23" t="str" cm="1">
        <f t="array" ref="S4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2" s="23" t="str" cm="1">
        <f t="array" ref="T4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2" s="14" t="str" cm="1">
        <f t="array" ref="U4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2" t="str" cm="1">
        <f t="array" ref="V4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2" t="str" cm="1">
        <f t="array" ref="W4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2" t="str">
        <f>IF(COUNTIFS('Base Estudiantes'!$C:$C,tblMatriculas[[#This Row],[Cédula]],'Base Estudiantes'!$I:$I,tblMatriculas[[#This Row],[Código]])&gt;0,"Sí","No")</f>
        <v>Sí</v>
      </c>
      <c r="Z402" s="23" cm="1">
        <f t="array" ref="Z402">_xlfn.XLOOKUP(tblMatriculas[[#This Row],[Cédula]]&amp;"|"&amp;tblMatriculas[[#This Row],[Código]],tblBase[Documento]&amp;"|"&amp;tblBase[Código grupo],tblBase[Fecha matrícula],"")</f>
        <v>46262</v>
      </c>
    </row>
    <row r="403" spans="1:26" x14ac:dyDescent="0.2">
      <c r="A403" t="s">
        <v>886</v>
      </c>
      <c r="B403" t="s">
        <v>887</v>
      </c>
      <c r="C403" t="s">
        <v>13</v>
      </c>
      <c r="D403" t="s">
        <v>850</v>
      </c>
      <c r="E403" t="s">
        <v>851</v>
      </c>
      <c r="F403" t="s">
        <v>111</v>
      </c>
      <c r="G403" s="1">
        <v>0.15</v>
      </c>
      <c r="H403" t="s">
        <v>852</v>
      </c>
      <c r="I403" t="s">
        <v>853</v>
      </c>
      <c r="J403" t="s">
        <v>854</v>
      </c>
      <c r="K403" t="s">
        <v>24</v>
      </c>
      <c r="L403" s="14">
        <f>IFERROR(VALUE(LEFT(tblMatriculas[[#This Row],[Clases]],FIND("/",tblMatriculas[[#This Row],[Clases]])-1)),"")</f>
        <v>6</v>
      </c>
      <c r="M403" s="14">
        <f>IFERROR(VALUE(MID(tblMatriculas[[#This Row],[Clases]],FIND("/",tblMatriculas[[#This Row],[Clases]])+1,5)),"")</f>
        <v>40</v>
      </c>
      <c r="N4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3" s="14">
        <f>IF(OR(tblMatriculas[[#This Row],[Estado]]&lt;&gt;"activa",tblMatriculas[[#This Row],[Clases dictadas]]=""),"",MAX(0,tblMatriculas[[#This Row],[Clases dictadas]]-tblMatriculas[[#This Row],[Asistidas]]))</f>
        <v>0</v>
      </c>
      <c r="P403" s="1">
        <f>IF(OR(tblMatriculas[[#This Row],[Estado]]&lt;&gt;"activa",tblMatriculas[[#This Row],[Asistidas]]=""),"",tblMatriculas[[#This Row],[Asistencia]])</f>
        <v>0.15</v>
      </c>
      <c r="Q403" t="b">
        <f>AND(tblMatriculas[[#This Row],[Estado]]="activa",ISNUMBER(tblMatriculas[[#This Row],[% asistencia]]),NOT(ISNUMBER(SEARCH(pPrueba,tblMatriculas[[#This Row],[Nombre]]))))</f>
        <v>1</v>
      </c>
      <c r="R4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3" s="23" t="str" cm="1">
        <f t="array" ref="S4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3" s="23" t="str" cm="1">
        <f t="array" ref="T4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3" s="14" t="str" cm="1">
        <f t="array" ref="U4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3" t="str" cm="1">
        <f t="array" ref="V4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3" t="str" cm="1">
        <f t="array" ref="W4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3" t="str">
        <f>IF(COUNTIFS('Base Estudiantes'!$C:$C,tblMatriculas[[#This Row],[Cédula]],'Base Estudiantes'!$I:$I,tblMatriculas[[#This Row],[Código]])&gt;0,"Sí","No")</f>
        <v>Sí</v>
      </c>
      <c r="Z403" s="23" cm="1">
        <f t="array" ref="Z403">_xlfn.XLOOKUP(tblMatriculas[[#This Row],[Cédula]]&amp;"|"&amp;tblMatriculas[[#This Row],[Código]],tblBase[Documento]&amp;"|"&amp;tblBase[Código grupo],tblBase[Fecha matrícula],"")</f>
        <v>46262</v>
      </c>
    </row>
    <row r="404" spans="1:26" x14ac:dyDescent="0.2">
      <c r="A404" t="s">
        <v>888</v>
      </c>
      <c r="B404" t="s">
        <v>889</v>
      </c>
      <c r="C404" t="s">
        <v>13</v>
      </c>
      <c r="D404" t="s">
        <v>850</v>
      </c>
      <c r="E404" t="s">
        <v>851</v>
      </c>
      <c r="F404" t="s">
        <v>111</v>
      </c>
      <c r="G404" s="1">
        <v>0.125</v>
      </c>
      <c r="H404" t="s">
        <v>862</v>
      </c>
      <c r="I404" t="s">
        <v>853</v>
      </c>
      <c r="J404" t="s">
        <v>854</v>
      </c>
      <c r="K404" t="s">
        <v>24</v>
      </c>
      <c r="L404" s="14">
        <f>IFERROR(VALUE(LEFT(tblMatriculas[[#This Row],[Clases]],FIND("/",tblMatriculas[[#This Row],[Clases]])-1)),"")</f>
        <v>5</v>
      </c>
      <c r="M404" s="14">
        <f>IFERROR(VALUE(MID(tblMatriculas[[#This Row],[Clases]],FIND("/",tblMatriculas[[#This Row],[Clases]])+1,5)),"")</f>
        <v>40</v>
      </c>
      <c r="N4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4" s="14">
        <f>IF(OR(tblMatriculas[[#This Row],[Estado]]&lt;&gt;"activa",tblMatriculas[[#This Row],[Clases dictadas]]=""),"",MAX(0,tblMatriculas[[#This Row],[Clases dictadas]]-tblMatriculas[[#This Row],[Asistidas]]))</f>
        <v>1</v>
      </c>
      <c r="P404" s="1">
        <f>IF(OR(tblMatriculas[[#This Row],[Estado]]&lt;&gt;"activa",tblMatriculas[[#This Row],[Asistidas]]=""),"",tblMatriculas[[#This Row],[Asistencia]])</f>
        <v>0.125</v>
      </c>
      <c r="Q404" t="b">
        <f>AND(tblMatriculas[[#This Row],[Estado]]="activa",ISNUMBER(tblMatriculas[[#This Row],[% asistencia]]),NOT(ISNUMBER(SEARCH(pPrueba,tblMatriculas[[#This Row],[Nombre]]))))</f>
        <v>1</v>
      </c>
      <c r="R4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4" s="23" t="str" cm="1">
        <f t="array" ref="S4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4" s="23" t="str" cm="1">
        <f t="array" ref="T4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4" s="14" t="str" cm="1">
        <f t="array" ref="U4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4" t="str" cm="1">
        <f t="array" ref="V4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4" t="str" cm="1">
        <f t="array" ref="W4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4" t="str">
        <f>IF(COUNTIFS('Base Estudiantes'!$C:$C,tblMatriculas[[#This Row],[Cédula]],'Base Estudiantes'!$I:$I,tblMatriculas[[#This Row],[Código]])&gt;0,"Sí","No")</f>
        <v>Sí</v>
      </c>
      <c r="Z404" s="23" cm="1">
        <f t="array" ref="Z404">_xlfn.XLOOKUP(tblMatriculas[[#This Row],[Cédula]]&amp;"|"&amp;tblMatriculas[[#This Row],[Código]],tblBase[Documento]&amp;"|"&amp;tblBase[Código grupo],tblBase[Fecha matrícula],"")</f>
        <v>46262</v>
      </c>
    </row>
    <row r="405" spans="1:26" x14ac:dyDescent="0.2">
      <c r="A405" t="s">
        <v>890</v>
      </c>
      <c r="B405" t="s">
        <v>891</v>
      </c>
      <c r="C405" t="s">
        <v>13</v>
      </c>
      <c r="D405" t="s">
        <v>850</v>
      </c>
      <c r="E405" t="s">
        <v>851</v>
      </c>
      <c r="F405" t="s">
        <v>111</v>
      </c>
      <c r="G405" s="1">
        <v>0.1</v>
      </c>
      <c r="H405" t="s">
        <v>867</v>
      </c>
      <c r="I405" t="s">
        <v>853</v>
      </c>
      <c r="J405" t="s">
        <v>854</v>
      </c>
      <c r="K405" t="s">
        <v>24</v>
      </c>
      <c r="L405" s="14">
        <f>IFERROR(VALUE(LEFT(tblMatriculas[[#This Row],[Clases]],FIND("/",tblMatriculas[[#This Row],[Clases]])-1)),"")</f>
        <v>4</v>
      </c>
      <c r="M405" s="14">
        <f>IFERROR(VALUE(MID(tblMatriculas[[#This Row],[Clases]],FIND("/",tblMatriculas[[#This Row],[Clases]])+1,5)),"")</f>
        <v>40</v>
      </c>
      <c r="N4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5" s="14">
        <f>IF(OR(tblMatriculas[[#This Row],[Estado]]&lt;&gt;"activa",tblMatriculas[[#This Row],[Clases dictadas]]=""),"",MAX(0,tblMatriculas[[#This Row],[Clases dictadas]]-tblMatriculas[[#This Row],[Asistidas]]))</f>
        <v>2</v>
      </c>
      <c r="P405" s="1">
        <f>IF(OR(tblMatriculas[[#This Row],[Estado]]&lt;&gt;"activa",tblMatriculas[[#This Row],[Asistidas]]=""),"",tblMatriculas[[#This Row],[Asistencia]])</f>
        <v>0.1</v>
      </c>
      <c r="Q405" t="b">
        <f>AND(tblMatriculas[[#This Row],[Estado]]="activa",ISNUMBER(tblMatriculas[[#This Row],[% asistencia]]),NOT(ISNUMBER(SEARCH(pPrueba,tblMatriculas[[#This Row],[Nombre]]))))</f>
        <v>1</v>
      </c>
      <c r="R4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5" s="23" t="str" cm="1">
        <f t="array" ref="S4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5" s="23" t="str" cm="1">
        <f t="array" ref="T4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5" s="14" t="str" cm="1">
        <f t="array" ref="U4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5" t="str" cm="1">
        <f t="array" ref="V4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5" t="str" cm="1">
        <f t="array" ref="W4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5" t="str">
        <f>IF(COUNTIFS('Base Estudiantes'!$C:$C,tblMatriculas[[#This Row],[Cédula]],'Base Estudiantes'!$I:$I,tblMatriculas[[#This Row],[Código]])&gt;0,"Sí","No")</f>
        <v>Sí</v>
      </c>
      <c r="Z405" s="23" cm="1">
        <f t="array" ref="Z405">_xlfn.XLOOKUP(tblMatriculas[[#This Row],[Cédula]]&amp;"|"&amp;tblMatriculas[[#This Row],[Código]],tblBase[Documento]&amp;"|"&amp;tblBase[Código grupo],tblBase[Fecha matrícula],"")</f>
        <v>46262</v>
      </c>
    </row>
    <row r="406" spans="1:26" x14ac:dyDescent="0.2">
      <c r="A406" t="s">
        <v>892</v>
      </c>
      <c r="B406" t="s">
        <v>893</v>
      </c>
      <c r="C406" t="s">
        <v>13</v>
      </c>
      <c r="D406" t="s">
        <v>850</v>
      </c>
      <c r="E406" t="s">
        <v>851</v>
      </c>
      <c r="F406" t="s">
        <v>111</v>
      </c>
      <c r="G406" s="1">
        <v>0.15</v>
      </c>
      <c r="H406" t="s">
        <v>852</v>
      </c>
      <c r="I406" t="s">
        <v>853</v>
      </c>
      <c r="J406" t="s">
        <v>854</v>
      </c>
      <c r="K406" t="s">
        <v>24</v>
      </c>
      <c r="L406" s="14">
        <f>IFERROR(VALUE(LEFT(tblMatriculas[[#This Row],[Clases]],FIND("/",tblMatriculas[[#This Row],[Clases]])-1)),"")</f>
        <v>6</v>
      </c>
      <c r="M406" s="14">
        <f>IFERROR(VALUE(MID(tblMatriculas[[#This Row],[Clases]],FIND("/",tblMatriculas[[#This Row],[Clases]])+1,5)),"")</f>
        <v>40</v>
      </c>
      <c r="N4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6" s="14">
        <f>IF(OR(tblMatriculas[[#This Row],[Estado]]&lt;&gt;"activa",tblMatriculas[[#This Row],[Clases dictadas]]=""),"",MAX(0,tblMatriculas[[#This Row],[Clases dictadas]]-tblMatriculas[[#This Row],[Asistidas]]))</f>
        <v>0</v>
      </c>
      <c r="P406" s="1">
        <f>IF(OR(tblMatriculas[[#This Row],[Estado]]&lt;&gt;"activa",tblMatriculas[[#This Row],[Asistidas]]=""),"",tblMatriculas[[#This Row],[Asistencia]])</f>
        <v>0.15</v>
      </c>
      <c r="Q406" t="b">
        <f>AND(tblMatriculas[[#This Row],[Estado]]="activa",ISNUMBER(tblMatriculas[[#This Row],[% asistencia]]),NOT(ISNUMBER(SEARCH(pPrueba,tblMatriculas[[#This Row],[Nombre]]))))</f>
        <v>1</v>
      </c>
      <c r="R4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6" s="23" t="str" cm="1">
        <f t="array" ref="S4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6" s="23" t="str" cm="1">
        <f t="array" ref="T4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6" s="14" t="str" cm="1">
        <f t="array" ref="U4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6" t="str" cm="1">
        <f t="array" ref="V4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6" t="str" cm="1">
        <f t="array" ref="W4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6" t="str">
        <f>IF(COUNTIFS('Base Estudiantes'!$C:$C,tblMatriculas[[#This Row],[Cédula]],'Base Estudiantes'!$I:$I,tblMatriculas[[#This Row],[Código]])&gt;0,"Sí","No")</f>
        <v>Sí</v>
      </c>
      <c r="Z406" s="23" cm="1">
        <f t="array" ref="Z406">_xlfn.XLOOKUP(tblMatriculas[[#This Row],[Cédula]]&amp;"|"&amp;tblMatriculas[[#This Row],[Código]],tblBase[Documento]&amp;"|"&amp;tblBase[Código grupo],tblBase[Fecha matrícula],"")</f>
        <v>46262</v>
      </c>
    </row>
    <row r="407" spans="1:26" x14ac:dyDescent="0.2">
      <c r="A407" t="s">
        <v>894</v>
      </c>
      <c r="B407" t="s">
        <v>895</v>
      </c>
      <c r="C407" t="s">
        <v>13</v>
      </c>
      <c r="D407" t="s">
        <v>850</v>
      </c>
      <c r="E407" t="s">
        <v>851</v>
      </c>
      <c r="F407" t="s">
        <v>111</v>
      </c>
      <c r="G407" s="1">
        <v>0.15</v>
      </c>
      <c r="H407" t="s">
        <v>852</v>
      </c>
      <c r="I407" t="s">
        <v>853</v>
      </c>
      <c r="J407" t="s">
        <v>854</v>
      </c>
      <c r="K407" t="s">
        <v>24</v>
      </c>
      <c r="L407" s="14">
        <f>IFERROR(VALUE(LEFT(tblMatriculas[[#This Row],[Clases]],FIND("/",tblMatriculas[[#This Row],[Clases]])-1)),"")</f>
        <v>6</v>
      </c>
      <c r="M407" s="14">
        <f>IFERROR(VALUE(MID(tblMatriculas[[#This Row],[Clases]],FIND("/",tblMatriculas[[#This Row],[Clases]])+1,5)),"")</f>
        <v>40</v>
      </c>
      <c r="N4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7" s="14">
        <f>IF(OR(tblMatriculas[[#This Row],[Estado]]&lt;&gt;"activa",tblMatriculas[[#This Row],[Clases dictadas]]=""),"",MAX(0,tblMatriculas[[#This Row],[Clases dictadas]]-tblMatriculas[[#This Row],[Asistidas]]))</f>
        <v>0</v>
      </c>
      <c r="P407" s="1">
        <f>IF(OR(tblMatriculas[[#This Row],[Estado]]&lt;&gt;"activa",tblMatriculas[[#This Row],[Asistidas]]=""),"",tblMatriculas[[#This Row],[Asistencia]])</f>
        <v>0.15</v>
      </c>
      <c r="Q407" t="b">
        <f>AND(tblMatriculas[[#This Row],[Estado]]="activa",ISNUMBER(tblMatriculas[[#This Row],[% asistencia]]),NOT(ISNUMBER(SEARCH(pPrueba,tblMatriculas[[#This Row],[Nombre]]))))</f>
        <v>1</v>
      </c>
      <c r="R4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7" s="23" t="str" cm="1">
        <f t="array" ref="S4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7" s="23" t="str" cm="1">
        <f t="array" ref="T4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7" s="14" t="str" cm="1">
        <f t="array" ref="U4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7" t="str" cm="1">
        <f t="array" ref="V4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7" t="str" cm="1">
        <f t="array" ref="W4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7" t="str">
        <f>IF(COUNTIFS('Base Estudiantes'!$C:$C,tblMatriculas[[#This Row],[Cédula]],'Base Estudiantes'!$I:$I,tblMatriculas[[#This Row],[Código]])&gt;0,"Sí","No")</f>
        <v>Sí</v>
      </c>
      <c r="Z407" s="23" cm="1">
        <f t="array" ref="Z407">_xlfn.XLOOKUP(tblMatriculas[[#This Row],[Cédula]]&amp;"|"&amp;tblMatriculas[[#This Row],[Código]],tblBase[Documento]&amp;"|"&amp;tblBase[Código grupo],tblBase[Fecha matrícula],"")</f>
        <v>46262</v>
      </c>
    </row>
    <row r="408" spans="1:26" x14ac:dyDescent="0.2">
      <c r="A408" t="s">
        <v>896</v>
      </c>
      <c r="B408" t="s">
        <v>897</v>
      </c>
      <c r="C408" t="s">
        <v>13</v>
      </c>
      <c r="D408" t="s">
        <v>850</v>
      </c>
      <c r="E408" t="s">
        <v>851</v>
      </c>
      <c r="F408" t="s">
        <v>111</v>
      </c>
      <c r="G408" s="1">
        <v>0.125</v>
      </c>
      <c r="H408" t="s">
        <v>862</v>
      </c>
      <c r="I408" t="s">
        <v>853</v>
      </c>
      <c r="J408" t="s">
        <v>854</v>
      </c>
      <c r="K408" t="s">
        <v>24</v>
      </c>
      <c r="L408" s="14">
        <f>IFERROR(VALUE(LEFT(tblMatriculas[[#This Row],[Clases]],FIND("/",tblMatriculas[[#This Row],[Clases]])-1)),"")</f>
        <v>5</v>
      </c>
      <c r="M408" s="14">
        <f>IFERROR(VALUE(MID(tblMatriculas[[#This Row],[Clases]],FIND("/",tblMatriculas[[#This Row],[Clases]])+1,5)),"")</f>
        <v>40</v>
      </c>
      <c r="N4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8" s="14">
        <f>IF(OR(tblMatriculas[[#This Row],[Estado]]&lt;&gt;"activa",tblMatriculas[[#This Row],[Clases dictadas]]=""),"",MAX(0,tblMatriculas[[#This Row],[Clases dictadas]]-tblMatriculas[[#This Row],[Asistidas]]))</f>
        <v>1</v>
      </c>
      <c r="P408" s="1">
        <f>IF(OR(tblMatriculas[[#This Row],[Estado]]&lt;&gt;"activa",tblMatriculas[[#This Row],[Asistidas]]=""),"",tblMatriculas[[#This Row],[Asistencia]])</f>
        <v>0.125</v>
      </c>
      <c r="Q408" t="b">
        <f>AND(tblMatriculas[[#This Row],[Estado]]="activa",ISNUMBER(tblMatriculas[[#This Row],[% asistencia]]),NOT(ISNUMBER(SEARCH(pPrueba,tblMatriculas[[#This Row],[Nombre]]))))</f>
        <v>1</v>
      </c>
      <c r="R4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8" s="23" t="str" cm="1">
        <f t="array" ref="S4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8" s="23" t="str" cm="1">
        <f t="array" ref="T4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8" s="14" t="str" cm="1">
        <f t="array" ref="U4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8" t="str" cm="1">
        <f t="array" ref="V4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8" t="str" cm="1">
        <f t="array" ref="W4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8" t="str">
        <f>IF(COUNTIFS('Base Estudiantes'!$C:$C,tblMatriculas[[#This Row],[Cédula]],'Base Estudiantes'!$I:$I,tblMatriculas[[#This Row],[Código]])&gt;0,"Sí","No")</f>
        <v>Sí</v>
      </c>
      <c r="Z408" s="23" cm="1">
        <f t="array" ref="Z408">_xlfn.XLOOKUP(tblMatriculas[[#This Row],[Cédula]]&amp;"|"&amp;tblMatriculas[[#This Row],[Código]],tblBase[Documento]&amp;"|"&amp;tblBase[Código grupo],tblBase[Fecha matrícula],"")</f>
        <v>46262</v>
      </c>
    </row>
    <row r="409" spans="1:26" x14ac:dyDescent="0.2">
      <c r="A409" t="s">
        <v>898</v>
      </c>
      <c r="B409" t="s">
        <v>899</v>
      </c>
      <c r="C409" t="s">
        <v>13</v>
      </c>
      <c r="D409" t="s">
        <v>850</v>
      </c>
      <c r="E409" t="s">
        <v>851</v>
      </c>
      <c r="F409" t="s">
        <v>111</v>
      </c>
      <c r="G409" s="1">
        <v>0.15</v>
      </c>
      <c r="H409" t="s">
        <v>852</v>
      </c>
      <c r="I409" t="s">
        <v>853</v>
      </c>
      <c r="J409" t="s">
        <v>854</v>
      </c>
      <c r="K409" t="s">
        <v>24</v>
      </c>
      <c r="L409" s="14">
        <f>IFERROR(VALUE(LEFT(tblMatriculas[[#This Row],[Clases]],FIND("/",tblMatriculas[[#This Row],[Clases]])-1)),"")</f>
        <v>6</v>
      </c>
      <c r="M409" s="14">
        <f>IFERROR(VALUE(MID(tblMatriculas[[#This Row],[Clases]],FIND("/",tblMatriculas[[#This Row],[Clases]])+1,5)),"")</f>
        <v>40</v>
      </c>
      <c r="N4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09" s="14">
        <f>IF(OR(tblMatriculas[[#This Row],[Estado]]&lt;&gt;"activa",tblMatriculas[[#This Row],[Clases dictadas]]=""),"",MAX(0,tblMatriculas[[#This Row],[Clases dictadas]]-tblMatriculas[[#This Row],[Asistidas]]))</f>
        <v>0</v>
      </c>
      <c r="P409" s="1">
        <f>IF(OR(tblMatriculas[[#This Row],[Estado]]&lt;&gt;"activa",tblMatriculas[[#This Row],[Asistidas]]=""),"",tblMatriculas[[#This Row],[Asistencia]])</f>
        <v>0.15</v>
      </c>
      <c r="Q409" t="b">
        <f>AND(tblMatriculas[[#This Row],[Estado]]="activa",ISNUMBER(tblMatriculas[[#This Row],[% asistencia]]),NOT(ISNUMBER(SEARCH(pPrueba,tblMatriculas[[#This Row],[Nombre]]))))</f>
        <v>1</v>
      </c>
      <c r="R4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09" s="23" t="str" cm="1">
        <f t="array" ref="S4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09" s="23" t="str" cm="1">
        <f t="array" ref="T4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09" s="14" t="str" cm="1">
        <f t="array" ref="U4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09" t="str" cm="1">
        <f t="array" ref="V4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09" t="str" cm="1">
        <f t="array" ref="W4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09" t="str">
        <f>IF(COUNTIFS('Base Estudiantes'!$C:$C,tblMatriculas[[#This Row],[Cédula]],'Base Estudiantes'!$I:$I,tblMatriculas[[#This Row],[Código]])&gt;0,"Sí","No")</f>
        <v>Sí</v>
      </c>
      <c r="Z409" s="23" cm="1">
        <f t="array" ref="Z409">_xlfn.XLOOKUP(tblMatriculas[[#This Row],[Cédula]]&amp;"|"&amp;tblMatriculas[[#This Row],[Código]],tblBase[Documento]&amp;"|"&amp;tblBase[Código grupo],tblBase[Fecha matrícula],"")</f>
        <v>46262</v>
      </c>
    </row>
    <row r="410" spans="1:26" x14ac:dyDescent="0.2">
      <c r="A410" t="s">
        <v>900</v>
      </c>
      <c r="B410" t="s">
        <v>901</v>
      </c>
      <c r="C410" t="s">
        <v>13</v>
      </c>
      <c r="D410" t="s">
        <v>850</v>
      </c>
      <c r="E410" t="s">
        <v>851</v>
      </c>
      <c r="F410" t="s">
        <v>111</v>
      </c>
      <c r="G410" s="1">
        <v>0.15</v>
      </c>
      <c r="H410" t="s">
        <v>852</v>
      </c>
      <c r="I410" t="s">
        <v>853</v>
      </c>
      <c r="J410" t="s">
        <v>854</v>
      </c>
      <c r="K410" t="s">
        <v>24</v>
      </c>
      <c r="L410" s="14">
        <f>IFERROR(VALUE(LEFT(tblMatriculas[[#This Row],[Clases]],FIND("/",tblMatriculas[[#This Row],[Clases]])-1)),"")</f>
        <v>6</v>
      </c>
      <c r="M410" s="14">
        <f>IFERROR(VALUE(MID(tblMatriculas[[#This Row],[Clases]],FIND("/",tblMatriculas[[#This Row],[Clases]])+1,5)),"")</f>
        <v>40</v>
      </c>
      <c r="N4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0" s="14">
        <f>IF(OR(tblMatriculas[[#This Row],[Estado]]&lt;&gt;"activa",tblMatriculas[[#This Row],[Clases dictadas]]=""),"",MAX(0,tblMatriculas[[#This Row],[Clases dictadas]]-tblMatriculas[[#This Row],[Asistidas]]))</f>
        <v>0</v>
      </c>
      <c r="P410" s="1">
        <f>IF(OR(tblMatriculas[[#This Row],[Estado]]&lt;&gt;"activa",tblMatriculas[[#This Row],[Asistidas]]=""),"",tblMatriculas[[#This Row],[Asistencia]])</f>
        <v>0.15</v>
      </c>
      <c r="Q410" t="b">
        <f>AND(tblMatriculas[[#This Row],[Estado]]="activa",ISNUMBER(tblMatriculas[[#This Row],[% asistencia]]),NOT(ISNUMBER(SEARCH(pPrueba,tblMatriculas[[#This Row],[Nombre]]))))</f>
        <v>1</v>
      </c>
      <c r="R4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0" s="23" t="str" cm="1">
        <f t="array" ref="S4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0" s="23" t="str" cm="1">
        <f t="array" ref="T4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0" s="14" t="str" cm="1">
        <f t="array" ref="U4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0" t="str" cm="1">
        <f t="array" ref="V4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0" t="str" cm="1">
        <f t="array" ref="W4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0" t="str">
        <f>IF(COUNTIFS('Base Estudiantes'!$C:$C,tblMatriculas[[#This Row],[Cédula]],'Base Estudiantes'!$I:$I,tblMatriculas[[#This Row],[Código]])&gt;0,"Sí","No")</f>
        <v>Sí</v>
      </c>
      <c r="Z410" s="23" cm="1">
        <f t="array" ref="Z410">_xlfn.XLOOKUP(tblMatriculas[[#This Row],[Cédula]]&amp;"|"&amp;tblMatriculas[[#This Row],[Código]],tblBase[Documento]&amp;"|"&amp;tblBase[Código grupo],tblBase[Fecha matrícula],"")</f>
        <v>46262</v>
      </c>
    </row>
    <row r="411" spans="1:26" x14ac:dyDescent="0.2">
      <c r="A411" t="s">
        <v>902</v>
      </c>
      <c r="B411" t="s">
        <v>903</v>
      </c>
      <c r="C411" t="s">
        <v>13</v>
      </c>
      <c r="D411" t="s">
        <v>850</v>
      </c>
      <c r="E411" t="s">
        <v>851</v>
      </c>
      <c r="F411" t="s">
        <v>111</v>
      </c>
      <c r="G411" s="1">
        <v>0.1</v>
      </c>
      <c r="H411" t="s">
        <v>867</v>
      </c>
      <c r="I411" t="s">
        <v>853</v>
      </c>
      <c r="J411" t="s">
        <v>854</v>
      </c>
      <c r="K411" t="s">
        <v>24</v>
      </c>
      <c r="L411" s="14">
        <f>IFERROR(VALUE(LEFT(tblMatriculas[[#This Row],[Clases]],FIND("/",tblMatriculas[[#This Row],[Clases]])-1)),"")</f>
        <v>4</v>
      </c>
      <c r="M411" s="14">
        <f>IFERROR(VALUE(MID(tblMatriculas[[#This Row],[Clases]],FIND("/",tblMatriculas[[#This Row],[Clases]])+1,5)),"")</f>
        <v>40</v>
      </c>
      <c r="N4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1" s="14">
        <f>IF(OR(tblMatriculas[[#This Row],[Estado]]&lt;&gt;"activa",tblMatriculas[[#This Row],[Clases dictadas]]=""),"",MAX(0,tblMatriculas[[#This Row],[Clases dictadas]]-tblMatriculas[[#This Row],[Asistidas]]))</f>
        <v>2</v>
      </c>
      <c r="P411" s="1">
        <f>IF(OR(tblMatriculas[[#This Row],[Estado]]&lt;&gt;"activa",tblMatriculas[[#This Row],[Asistidas]]=""),"",tblMatriculas[[#This Row],[Asistencia]])</f>
        <v>0.1</v>
      </c>
      <c r="Q411" t="b">
        <f>AND(tblMatriculas[[#This Row],[Estado]]="activa",ISNUMBER(tblMatriculas[[#This Row],[% asistencia]]),NOT(ISNUMBER(SEARCH(pPrueba,tblMatriculas[[#This Row],[Nombre]]))))</f>
        <v>1</v>
      </c>
      <c r="R4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1" s="23" t="str" cm="1">
        <f t="array" ref="S4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1" s="23" t="str" cm="1">
        <f t="array" ref="T4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1" s="14" t="str" cm="1">
        <f t="array" ref="U4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1" t="str" cm="1">
        <f t="array" ref="V4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1" t="str" cm="1">
        <f t="array" ref="W4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1" t="str">
        <f>IF(COUNTIFS('Base Estudiantes'!$C:$C,tblMatriculas[[#This Row],[Cédula]],'Base Estudiantes'!$I:$I,tblMatriculas[[#This Row],[Código]])&gt;0,"Sí","No")</f>
        <v>Sí</v>
      </c>
      <c r="Z411" s="23" cm="1">
        <f t="array" ref="Z411">_xlfn.XLOOKUP(tblMatriculas[[#This Row],[Cédula]]&amp;"|"&amp;tblMatriculas[[#This Row],[Código]],tblBase[Documento]&amp;"|"&amp;tblBase[Código grupo],tblBase[Fecha matrícula],"")</f>
        <v>46262</v>
      </c>
    </row>
    <row r="412" spans="1:26" x14ac:dyDescent="0.2">
      <c r="A412" t="s">
        <v>904</v>
      </c>
      <c r="B412" t="s">
        <v>905</v>
      </c>
      <c r="C412" t="s">
        <v>13</v>
      </c>
      <c r="D412" t="s">
        <v>850</v>
      </c>
      <c r="E412" t="s">
        <v>851</v>
      </c>
      <c r="F412" t="s">
        <v>111</v>
      </c>
      <c r="G412" s="1">
        <v>0.15</v>
      </c>
      <c r="H412" t="s">
        <v>852</v>
      </c>
      <c r="I412" t="s">
        <v>853</v>
      </c>
      <c r="J412" t="s">
        <v>854</v>
      </c>
      <c r="K412" t="s">
        <v>24</v>
      </c>
      <c r="L412" s="14">
        <f>IFERROR(VALUE(LEFT(tblMatriculas[[#This Row],[Clases]],FIND("/",tblMatriculas[[#This Row],[Clases]])-1)),"")</f>
        <v>6</v>
      </c>
      <c r="M412" s="14">
        <f>IFERROR(VALUE(MID(tblMatriculas[[#This Row],[Clases]],FIND("/",tblMatriculas[[#This Row],[Clases]])+1,5)),"")</f>
        <v>40</v>
      </c>
      <c r="N4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2" s="14">
        <f>IF(OR(tblMatriculas[[#This Row],[Estado]]&lt;&gt;"activa",tblMatriculas[[#This Row],[Clases dictadas]]=""),"",MAX(0,tblMatriculas[[#This Row],[Clases dictadas]]-tblMatriculas[[#This Row],[Asistidas]]))</f>
        <v>0</v>
      </c>
      <c r="P412" s="1">
        <f>IF(OR(tblMatriculas[[#This Row],[Estado]]&lt;&gt;"activa",tblMatriculas[[#This Row],[Asistidas]]=""),"",tblMatriculas[[#This Row],[Asistencia]])</f>
        <v>0.15</v>
      </c>
      <c r="Q412" t="b">
        <f>AND(tblMatriculas[[#This Row],[Estado]]="activa",ISNUMBER(tblMatriculas[[#This Row],[% asistencia]]),NOT(ISNUMBER(SEARCH(pPrueba,tblMatriculas[[#This Row],[Nombre]]))))</f>
        <v>1</v>
      </c>
      <c r="R4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2" s="23" t="str" cm="1">
        <f t="array" ref="S4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2" s="23" t="str" cm="1">
        <f t="array" ref="T4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2" s="14" t="str" cm="1">
        <f t="array" ref="U4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2" t="str" cm="1">
        <f t="array" ref="V4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2" t="str" cm="1">
        <f t="array" ref="W4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2" t="str">
        <f>IF(COUNTIFS('Base Estudiantes'!$C:$C,tblMatriculas[[#This Row],[Cédula]],'Base Estudiantes'!$I:$I,tblMatriculas[[#This Row],[Código]])&gt;0,"Sí","No")</f>
        <v>Sí</v>
      </c>
      <c r="Z412" s="23" cm="1">
        <f t="array" ref="Z412">_xlfn.XLOOKUP(tblMatriculas[[#This Row],[Cédula]]&amp;"|"&amp;tblMatriculas[[#This Row],[Código]],tblBase[Documento]&amp;"|"&amp;tblBase[Código grupo],tblBase[Fecha matrícula],"")</f>
        <v>46262</v>
      </c>
    </row>
    <row r="413" spans="1:26" x14ac:dyDescent="0.2">
      <c r="A413" t="s">
        <v>906</v>
      </c>
      <c r="B413" t="s">
        <v>907</v>
      </c>
      <c r="C413" t="s">
        <v>13</v>
      </c>
      <c r="D413" t="s">
        <v>850</v>
      </c>
      <c r="E413" t="s">
        <v>851</v>
      </c>
      <c r="F413" t="s">
        <v>111</v>
      </c>
      <c r="G413" s="1">
        <v>0.15</v>
      </c>
      <c r="H413" t="s">
        <v>852</v>
      </c>
      <c r="I413" t="s">
        <v>853</v>
      </c>
      <c r="J413" t="s">
        <v>854</v>
      </c>
      <c r="K413" t="s">
        <v>24</v>
      </c>
      <c r="L413" s="14">
        <f>IFERROR(VALUE(LEFT(tblMatriculas[[#This Row],[Clases]],FIND("/",tblMatriculas[[#This Row],[Clases]])-1)),"")</f>
        <v>6</v>
      </c>
      <c r="M413" s="14">
        <f>IFERROR(VALUE(MID(tblMatriculas[[#This Row],[Clases]],FIND("/",tblMatriculas[[#This Row],[Clases]])+1,5)),"")</f>
        <v>40</v>
      </c>
      <c r="N4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3" s="14">
        <f>IF(OR(tblMatriculas[[#This Row],[Estado]]&lt;&gt;"activa",tblMatriculas[[#This Row],[Clases dictadas]]=""),"",MAX(0,tblMatriculas[[#This Row],[Clases dictadas]]-tblMatriculas[[#This Row],[Asistidas]]))</f>
        <v>0</v>
      </c>
      <c r="P413" s="1">
        <f>IF(OR(tblMatriculas[[#This Row],[Estado]]&lt;&gt;"activa",tblMatriculas[[#This Row],[Asistidas]]=""),"",tblMatriculas[[#This Row],[Asistencia]])</f>
        <v>0.15</v>
      </c>
      <c r="Q413" t="b">
        <f>AND(tblMatriculas[[#This Row],[Estado]]="activa",ISNUMBER(tblMatriculas[[#This Row],[% asistencia]]),NOT(ISNUMBER(SEARCH(pPrueba,tblMatriculas[[#This Row],[Nombre]]))))</f>
        <v>1</v>
      </c>
      <c r="R4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3" s="23" t="str" cm="1">
        <f t="array" ref="S4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3" s="23" t="str" cm="1">
        <f t="array" ref="T4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3" s="14" t="str" cm="1">
        <f t="array" ref="U4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3" t="str" cm="1">
        <f t="array" ref="V4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3" t="str" cm="1">
        <f t="array" ref="W4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3" t="str">
        <f>IF(COUNTIFS('Base Estudiantes'!$C:$C,tblMatriculas[[#This Row],[Cédula]],'Base Estudiantes'!$I:$I,tblMatriculas[[#This Row],[Código]])&gt;0,"Sí","No")</f>
        <v>Sí</v>
      </c>
      <c r="Z413" s="23" cm="1">
        <f t="array" ref="Z413">_xlfn.XLOOKUP(tblMatriculas[[#This Row],[Cédula]]&amp;"|"&amp;tblMatriculas[[#This Row],[Código]],tblBase[Documento]&amp;"|"&amp;tblBase[Código grupo],tblBase[Fecha matrícula],"")</f>
        <v>46262</v>
      </c>
    </row>
    <row r="414" spans="1:26" x14ac:dyDescent="0.2">
      <c r="A414" t="s">
        <v>908</v>
      </c>
      <c r="B414" t="s">
        <v>909</v>
      </c>
      <c r="C414" t="s">
        <v>13</v>
      </c>
      <c r="D414" t="s">
        <v>850</v>
      </c>
      <c r="E414" t="s">
        <v>851</v>
      </c>
      <c r="F414" t="s">
        <v>111</v>
      </c>
      <c r="G414" s="1">
        <v>0.15</v>
      </c>
      <c r="H414" t="s">
        <v>852</v>
      </c>
      <c r="I414" t="s">
        <v>853</v>
      </c>
      <c r="J414" t="s">
        <v>854</v>
      </c>
      <c r="K414" t="s">
        <v>24</v>
      </c>
      <c r="L414" s="14">
        <f>IFERROR(VALUE(LEFT(tblMatriculas[[#This Row],[Clases]],FIND("/",tblMatriculas[[#This Row],[Clases]])-1)),"")</f>
        <v>6</v>
      </c>
      <c r="M414" s="14">
        <f>IFERROR(VALUE(MID(tblMatriculas[[#This Row],[Clases]],FIND("/",tblMatriculas[[#This Row],[Clases]])+1,5)),"")</f>
        <v>40</v>
      </c>
      <c r="N4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4" s="14">
        <f>IF(OR(tblMatriculas[[#This Row],[Estado]]&lt;&gt;"activa",tblMatriculas[[#This Row],[Clases dictadas]]=""),"",MAX(0,tblMatriculas[[#This Row],[Clases dictadas]]-tblMatriculas[[#This Row],[Asistidas]]))</f>
        <v>0</v>
      </c>
      <c r="P414" s="1">
        <f>IF(OR(tblMatriculas[[#This Row],[Estado]]&lt;&gt;"activa",tblMatriculas[[#This Row],[Asistidas]]=""),"",tblMatriculas[[#This Row],[Asistencia]])</f>
        <v>0.15</v>
      </c>
      <c r="Q414" t="b">
        <f>AND(tblMatriculas[[#This Row],[Estado]]="activa",ISNUMBER(tblMatriculas[[#This Row],[% asistencia]]),NOT(ISNUMBER(SEARCH(pPrueba,tblMatriculas[[#This Row],[Nombre]]))))</f>
        <v>1</v>
      </c>
      <c r="R4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4" s="23" t="str" cm="1">
        <f t="array" ref="S4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4" s="23" t="str" cm="1">
        <f t="array" ref="T4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4" s="14" t="str" cm="1">
        <f t="array" ref="U4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4" t="str" cm="1">
        <f t="array" ref="V4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4" t="str" cm="1">
        <f t="array" ref="W4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4" t="str">
        <f>IF(COUNTIFS('Base Estudiantes'!$C:$C,tblMatriculas[[#This Row],[Cédula]],'Base Estudiantes'!$I:$I,tblMatriculas[[#This Row],[Código]])&gt;0,"Sí","No")</f>
        <v>Sí</v>
      </c>
      <c r="Z414" s="23" cm="1">
        <f t="array" ref="Z414">_xlfn.XLOOKUP(tblMatriculas[[#This Row],[Cédula]]&amp;"|"&amp;tblMatriculas[[#This Row],[Código]],tblBase[Documento]&amp;"|"&amp;tblBase[Código grupo],tblBase[Fecha matrícula],"")</f>
        <v>46262</v>
      </c>
    </row>
    <row r="415" spans="1:26" x14ac:dyDescent="0.2">
      <c r="A415" t="s">
        <v>910</v>
      </c>
      <c r="B415" t="s">
        <v>911</v>
      </c>
      <c r="C415" t="s">
        <v>13</v>
      </c>
      <c r="D415" t="s">
        <v>850</v>
      </c>
      <c r="E415" t="s">
        <v>851</v>
      </c>
      <c r="F415" t="s">
        <v>111</v>
      </c>
      <c r="G415" s="1">
        <v>0.125</v>
      </c>
      <c r="H415" t="s">
        <v>862</v>
      </c>
      <c r="I415" t="s">
        <v>853</v>
      </c>
      <c r="J415" t="s">
        <v>854</v>
      </c>
      <c r="K415" t="s">
        <v>24</v>
      </c>
      <c r="L415" s="14">
        <f>IFERROR(VALUE(LEFT(tblMatriculas[[#This Row],[Clases]],FIND("/",tblMatriculas[[#This Row],[Clases]])-1)),"")</f>
        <v>5</v>
      </c>
      <c r="M415" s="14">
        <f>IFERROR(VALUE(MID(tblMatriculas[[#This Row],[Clases]],FIND("/",tblMatriculas[[#This Row],[Clases]])+1,5)),"")</f>
        <v>40</v>
      </c>
      <c r="N4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5" s="14">
        <f>IF(OR(tblMatriculas[[#This Row],[Estado]]&lt;&gt;"activa",tblMatriculas[[#This Row],[Clases dictadas]]=""),"",MAX(0,tblMatriculas[[#This Row],[Clases dictadas]]-tblMatriculas[[#This Row],[Asistidas]]))</f>
        <v>1</v>
      </c>
      <c r="P415" s="1">
        <f>IF(OR(tblMatriculas[[#This Row],[Estado]]&lt;&gt;"activa",tblMatriculas[[#This Row],[Asistidas]]=""),"",tblMatriculas[[#This Row],[Asistencia]])</f>
        <v>0.125</v>
      </c>
      <c r="Q415" t="b">
        <f>AND(tblMatriculas[[#This Row],[Estado]]="activa",ISNUMBER(tblMatriculas[[#This Row],[% asistencia]]),NOT(ISNUMBER(SEARCH(pPrueba,tblMatriculas[[#This Row],[Nombre]]))))</f>
        <v>1</v>
      </c>
      <c r="R4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5" s="23" t="str" cm="1">
        <f t="array" ref="S4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5" s="23" t="str" cm="1">
        <f t="array" ref="T4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5" s="14" t="str" cm="1">
        <f t="array" ref="U4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5" t="str" cm="1">
        <f t="array" ref="V4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5" t="str" cm="1">
        <f t="array" ref="W4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5" t="str">
        <f>IF(COUNTIFS('Base Estudiantes'!$C:$C,tblMatriculas[[#This Row],[Cédula]],'Base Estudiantes'!$I:$I,tblMatriculas[[#This Row],[Código]])&gt;0,"Sí","No")</f>
        <v>Sí</v>
      </c>
      <c r="Z415" s="23" cm="1">
        <f t="array" ref="Z415">_xlfn.XLOOKUP(tblMatriculas[[#This Row],[Cédula]]&amp;"|"&amp;tblMatriculas[[#This Row],[Código]],tblBase[Documento]&amp;"|"&amp;tblBase[Código grupo],tblBase[Fecha matrícula],"")</f>
        <v>46262</v>
      </c>
    </row>
    <row r="416" spans="1:26" x14ac:dyDescent="0.2">
      <c r="A416" t="s">
        <v>912</v>
      </c>
      <c r="B416" t="s">
        <v>913</v>
      </c>
      <c r="C416" t="s">
        <v>13</v>
      </c>
      <c r="D416" t="s">
        <v>850</v>
      </c>
      <c r="E416" t="s">
        <v>851</v>
      </c>
      <c r="F416" t="s">
        <v>111</v>
      </c>
      <c r="G416" s="1">
        <v>0.15</v>
      </c>
      <c r="H416" t="s">
        <v>852</v>
      </c>
      <c r="I416" t="s">
        <v>853</v>
      </c>
      <c r="J416" t="s">
        <v>854</v>
      </c>
      <c r="K416" t="s">
        <v>24</v>
      </c>
      <c r="L416" s="14">
        <f>IFERROR(VALUE(LEFT(tblMatriculas[[#This Row],[Clases]],FIND("/",tblMatriculas[[#This Row],[Clases]])-1)),"")</f>
        <v>6</v>
      </c>
      <c r="M416" s="14">
        <f>IFERROR(VALUE(MID(tblMatriculas[[#This Row],[Clases]],FIND("/",tblMatriculas[[#This Row],[Clases]])+1,5)),"")</f>
        <v>40</v>
      </c>
      <c r="N4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6" s="14">
        <f>IF(OR(tblMatriculas[[#This Row],[Estado]]&lt;&gt;"activa",tblMatriculas[[#This Row],[Clases dictadas]]=""),"",MAX(0,tblMatriculas[[#This Row],[Clases dictadas]]-tblMatriculas[[#This Row],[Asistidas]]))</f>
        <v>0</v>
      </c>
      <c r="P416" s="1">
        <f>IF(OR(tblMatriculas[[#This Row],[Estado]]&lt;&gt;"activa",tblMatriculas[[#This Row],[Asistidas]]=""),"",tblMatriculas[[#This Row],[Asistencia]])</f>
        <v>0.15</v>
      </c>
      <c r="Q416" t="b">
        <f>AND(tblMatriculas[[#This Row],[Estado]]="activa",ISNUMBER(tblMatriculas[[#This Row],[% asistencia]]),NOT(ISNUMBER(SEARCH(pPrueba,tblMatriculas[[#This Row],[Nombre]]))))</f>
        <v>1</v>
      </c>
      <c r="R4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6" s="23" t="str" cm="1">
        <f t="array" ref="S4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6" s="23" t="str" cm="1">
        <f t="array" ref="T4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6" s="14" t="str" cm="1">
        <f t="array" ref="U4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6" t="str" cm="1">
        <f t="array" ref="V4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6" t="str" cm="1">
        <f t="array" ref="W4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6" t="str">
        <f>IF(COUNTIFS('Base Estudiantes'!$C:$C,tblMatriculas[[#This Row],[Cédula]],'Base Estudiantes'!$I:$I,tblMatriculas[[#This Row],[Código]])&gt;0,"Sí","No")</f>
        <v>Sí</v>
      </c>
      <c r="Z416" s="23" cm="1">
        <f t="array" ref="Z416">_xlfn.XLOOKUP(tblMatriculas[[#This Row],[Cédula]]&amp;"|"&amp;tblMatriculas[[#This Row],[Código]],tblBase[Documento]&amp;"|"&amp;tblBase[Código grupo],tblBase[Fecha matrícula],"")</f>
        <v>46262</v>
      </c>
    </row>
    <row r="417" spans="1:26" x14ac:dyDescent="0.2">
      <c r="A417" t="s">
        <v>914</v>
      </c>
      <c r="B417" t="s">
        <v>915</v>
      </c>
      <c r="C417" t="s">
        <v>13</v>
      </c>
      <c r="D417" t="s">
        <v>850</v>
      </c>
      <c r="E417" t="s">
        <v>851</v>
      </c>
      <c r="F417" t="s">
        <v>111</v>
      </c>
      <c r="G417" s="1">
        <v>0.15</v>
      </c>
      <c r="H417" t="s">
        <v>852</v>
      </c>
      <c r="I417" t="s">
        <v>853</v>
      </c>
      <c r="J417" t="s">
        <v>854</v>
      </c>
      <c r="K417" t="s">
        <v>24</v>
      </c>
      <c r="L417" s="14">
        <f>IFERROR(VALUE(LEFT(tblMatriculas[[#This Row],[Clases]],FIND("/",tblMatriculas[[#This Row],[Clases]])-1)),"")</f>
        <v>6</v>
      </c>
      <c r="M417" s="14">
        <f>IFERROR(VALUE(MID(tblMatriculas[[#This Row],[Clases]],FIND("/",tblMatriculas[[#This Row],[Clases]])+1,5)),"")</f>
        <v>40</v>
      </c>
      <c r="N4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7" s="14">
        <f>IF(OR(tblMatriculas[[#This Row],[Estado]]&lt;&gt;"activa",tblMatriculas[[#This Row],[Clases dictadas]]=""),"",MAX(0,tblMatriculas[[#This Row],[Clases dictadas]]-tblMatriculas[[#This Row],[Asistidas]]))</f>
        <v>0</v>
      </c>
      <c r="P417" s="1">
        <f>IF(OR(tblMatriculas[[#This Row],[Estado]]&lt;&gt;"activa",tblMatriculas[[#This Row],[Asistidas]]=""),"",tblMatriculas[[#This Row],[Asistencia]])</f>
        <v>0.15</v>
      </c>
      <c r="Q417" t="b">
        <f>AND(tblMatriculas[[#This Row],[Estado]]="activa",ISNUMBER(tblMatriculas[[#This Row],[% asistencia]]),NOT(ISNUMBER(SEARCH(pPrueba,tblMatriculas[[#This Row],[Nombre]]))))</f>
        <v>1</v>
      </c>
      <c r="R4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17" s="23" t="str" cm="1">
        <f t="array" ref="S4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7" s="23" t="str" cm="1">
        <f t="array" ref="T4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7" s="14" t="str" cm="1">
        <f t="array" ref="U4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7" t="str" cm="1">
        <f t="array" ref="V4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7" t="str" cm="1">
        <f t="array" ref="W4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17" t="str">
        <f>IF(COUNTIFS('Base Estudiantes'!$C:$C,tblMatriculas[[#This Row],[Cédula]],'Base Estudiantes'!$I:$I,tblMatriculas[[#This Row],[Código]])&gt;0,"Sí","No")</f>
        <v>Sí</v>
      </c>
      <c r="Z417" s="23" cm="1">
        <f t="array" ref="Z417">_xlfn.XLOOKUP(tblMatriculas[[#This Row],[Cédula]]&amp;"|"&amp;tblMatriculas[[#This Row],[Código]],tblBase[Documento]&amp;"|"&amp;tblBase[Código grupo],tblBase[Fecha matrícula],"")</f>
        <v>46262</v>
      </c>
    </row>
    <row r="418" spans="1:26" x14ac:dyDescent="0.2">
      <c r="A418" t="s">
        <v>916</v>
      </c>
      <c r="B418" t="s">
        <v>917</v>
      </c>
      <c r="C418" t="s">
        <v>13</v>
      </c>
      <c r="D418" t="s">
        <v>850</v>
      </c>
      <c r="E418" t="s">
        <v>851</v>
      </c>
      <c r="F418" t="s">
        <v>111</v>
      </c>
      <c r="G418" s="1">
        <v>0</v>
      </c>
      <c r="H418" t="s">
        <v>918</v>
      </c>
      <c r="I418" t="s">
        <v>853</v>
      </c>
      <c r="J418" t="s">
        <v>854</v>
      </c>
      <c r="K418" t="s">
        <v>24</v>
      </c>
      <c r="L418" s="14">
        <f>IFERROR(VALUE(LEFT(tblMatriculas[[#This Row],[Clases]],FIND("/",tblMatriculas[[#This Row],[Clases]])-1)),"")</f>
        <v>0</v>
      </c>
      <c r="M418" s="14">
        <f>IFERROR(VALUE(MID(tblMatriculas[[#This Row],[Clases]],FIND("/",tblMatriculas[[#This Row],[Clases]])+1,5)),"")</f>
        <v>40</v>
      </c>
      <c r="N4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8" s="14">
        <f>IF(OR(tblMatriculas[[#This Row],[Estado]]&lt;&gt;"activa",tblMatriculas[[#This Row],[Clases dictadas]]=""),"",MAX(0,tblMatriculas[[#This Row],[Clases dictadas]]-tblMatriculas[[#This Row],[Asistidas]]))</f>
        <v>6</v>
      </c>
      <c r="P418" s="1">
        <f>IF(OR(tblMatriculas[[#This Row],[Estado]]&lt;&gt;"activa",tblMatriculas[[#This Row],[Asistidas]]=""),"",tblMatriculas[[#This Row],[Asistencia]])</f>
        <v>0</v>
      </c>
      <c r="Q418" t="b">
        <f>AND(tblMatriculas[[#This Row],[Estado]]="activa",ISNUMBER(tblMatriculas[[#This Row],[% asistencia]]),NOT(ISNUMBER(SEARCH(pPrueba,tblMatriculas[[#This Row],[Nombre]]))))</f>
        <v>1</v>
      </c>
      <c r="R4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18" s="23" t="str" cm="1">
        <f t="array" ref="S4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8" s="23" t="str" cm="1">
        <f t="array" ref="T4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8" s="14" t="str" cm="1">
        <f t="array" ref="U4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8" t="str" cm="1">
        <f t="array" ref="V4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8" t="str" cm="1">
        <f t="array" ref="W4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18" t="str">
        <f>IF(COUNTIFS('Base Estudiantes'!$C:$C,tblMatriculas[[#This Row],[Cédula]],'Base Estudiantes'!$I:$I,tblMatriculas[[#This Row],[Código]])&gt;0,"Sí","No")</f>
        <v>Sí</v>
      </c>
      <c r="Z418" s="23" cm="1">
        <f t="array" ref="Z418">_xlfn.XLOOKUP(tblMatriculas[[#This Row],[Cédula]]&amp;"|"&amp;tblMatriculas[[#This Row],[Código]],tblBase[Documento]&amp;"|"&amp;tblBase[Código grupo],tblBase[Fecha matrícula],"")</f>
        <v>46262</v>
      </c>
    </row>
    <row r="419" spans="1:26" x14ac:dyDescent="0.2">
      <c r="A419" t="s">
        <v>919</v>
      </c>
      <c r="B419" t="s">
        <v>920</v>
      </c>
      <c r="C419" t="s">
        <v>13</v>
      </c>
      <c r="D419" t="s">
        <v>850</v>
      </c>
      <c r="E419" t="s">
        <v>851</v>
      </c>
      <c r="F419" t="s">
        <v>111</v>
      </c>
      <c r="G419" s="1">
        <v>2.5000000000000001E-2</v>
      </c>
      <c r="H419" t="s">
        <v>921</v>
      </c>
      <c r="I419" t="s">
        <v>853</v>
      </c>
      <c r="J419" t="s">
        <v>854</v>
      </c>
      <c r="K419" t="s">
        <v>24</v>
      </c>
      <c r="L419" s="14">
        <f>IFERROR(VALUE(LEFT(tblMatriculas[[#This Row],[Clases]],FIND("/",tblMatriculas[[#This Row],[Clases]])-1)),"")</f>
        <v>1</v>
      </c>
      <c r="M419" s="14">
        <f>IFERROR(VALUE(MID(tblMatriculas[[#This Row],[Clases]],FIND("/",tblMatriculas[[#This Row],[Clases]])+1,5)),"")</f>
        <v>40</v>
      </c>
      <c r="N4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19" s="14">
        <f>IF(OR(tblMatriculas[[#This Row],[Estado]]&lt;&gt;"activa",tblMatriculas[[#This Row],[Clases dictadas]]=""),"",MAX(0,tblMatriculas[[#This Row],[Clases dictadas]]-tblMatriculas[[#This Row],[Asistidas]]))</f>
        <v>5</v>
      </c>
      <c r="P419" s="1">
        <f>IF(OR(tblMatriculas[[#This Row],[Estado]]&lt;&gt;"activa",tblMatriculas[[#This Row],[Asistidas]]=""),"",tblMatriculas[[#This Row],[Asistencia]])</f>
        <v>2.5000000000000001E-2</v>
      </c>
      <c r="Q419" t="b">
        <f>AND(tblMatriculas[[#This Row],[Estado]]="activa",ISNUMBER(tblMatriculas[[#This Row],[% asistencia]]),NOT(ISNUMBER(SEARCH(pPrueba,tblMatriculas[[#This Row],[Nombre]]))))</f>
        <v>1</v>
      </c>
      <c r="R4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19" s="23" t="str" cm="1">
        <f t="array" ref="S4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19" s="23" t="str" cm="1">
        <f t="array" ref="T4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19" s="14" t="str" cm="1">
        <f t="array" ref="U4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19" t="str" cm="1">
        <f t="array" ref="V4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19" t="str" cm="1">
        <f t="array" ref="W4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19" t="str">
        <f>IF(COUNTIFS('Base Estudiantes'!$C:$C,tblMatriculas[[#This Row],[Cédula]],'Base Estudiantes'!$I:$I,tblMatriculas[[#This Row],[Código]])&gt;0,"Sí","No")</f>
        <v>Sí</v>
      </c>
      <c r="Z419" s="23" cm="1">
        <f t="array" ref="Z419">_xlfn.XLOOKUP(tblMatriculas[[#This Row],[Cédula]]&amp;"|"&amp;tblMatriculas[[#This Row],[Código]],tblBase[Documento]&amp;"|"&amp;tblBase[Código grupo],tblBase[Fecha matrícula],"")</f>
        <v>46262</v>
      </c>
    </row>
    <row r="420" spans="1:26" x14ac:dyDescent="0.2">
      <c r="A420" t="s">
        <v>922</v>
      </c>
      <c r="B420" t="s">
        <v>923</v>
      </c>
      <c r="C420" t="s">
        <v>13</v>
      </c>
      <c r="D420" t="s">
        <v>850</v>
      </c>
      <c r="E420" t="s">
        <v>851</v>
      </c>
      <c r="F420" t="s">
        <v>111</v>
      </c>
      <c r="G420" s="1">
        <v>0.15</v>
      </c>
      <c r="H420" t="s">
        <v>852</v>
      </c>
      <c r="I420" t="s">
        <v>853</v>
      </c>
      <c r="J420" t="s">
        <v>854</v>
      </c>
      <c r="K420" t="s">
        <v>24</v>
      </c>
      <c r="L420" s="14">
        <f>IFERROR(VALUE(LEFT(tblMatriculas[[#This Row],[Clases]],FIND("/",tblMatriculas[[#This Row],[Clases]])-1)),"")</f>
        <v>6</v>
      </c>
      <c r="M420" s="14">
        <f>IFERROR(VALUE(MID(tblMatriculas[[#This Row],[Clases]],FIND("/",tblMatriculas[[#This Row],[Clases]])+1,5)),"")</f>
        <v>40</v>
      </c>
      <c r="N4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0" s="14">
        <f>IF(OR(tblMatriculas[[#This Row],[Estado]]&lt;&gt;"activa",tblMatriculas[[#This Row],[Clases dictadas]]=""),"",MAX(0,tblMatriculas[[#This Row],[Clases dictadas]]-tblMatriculas[[#This Row],[Asistidas]]))</f>
        <v>0</v>
      </c>
      <c r="P420" s="1">
        <f>IF(OR(tblMatriculas[[#This Row],[Estado]]&lt;&gt;"activa",tblMatriculas[[#This Row],[Asistidas]]=""),"",tblMatriculas[[#This Row],[Asistencia]])</f>
        <v>0.15</v>
      </c>
      <c r="Q420" t="b">
        <f>AND(tblMatriculas[[#This Row],[Estado]]="activa",ISNUMBER(tblMatriculas[[#This Row],[% asistencia]]),NOT(ISNUMBER(SEARCH(pPrueba,tblMatriculas[[#This Row],[Nombre]]))))</f>
        <v>1</v>
      </c>
      <c r="R4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0" s="23" t="str" cm="1">
        <f t="array" ref="S4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0" s="23" t="str" cm="1">
        <f t="array" ref="T4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0" s="14" t="str" cm="1">
        <f t="array" ref="U4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0" t="str" cm="1">
        <f t="array" ref="V4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0" t="str" cm="1">
        <f t="array" ref="W4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0" t="str">
        <f>IF(COUNTIFS('Base Estudiantes'!$C:$C,tblMatriculas[[#This Row],[Cédula]],'Base Estudiantes'!$I:$I,tblMatriculas[[#This Row],[Código]])&gt;0,"Sí","No")</f>
        <v>Sí</v>
      </c>
      <c r="Z420" s="23" cm="1">
        <f t="array" ref="Z420">_xlfn.XLOOKUP(tblMatriculas[[#This Row],[Cédula]]&amp;"|"&amp;tblMatriculas[[#This Row],[Código]],tblBase[Documento]&amp;"|"&amp;tblBase[Código grupo],tblBase[Fecha matrícula],"")</f>
        <v>46262</v>
      </c>
    </row>
    <row r="421" spans="1:26" x14ac:dyDescent="0.2">
      <c r="A421" t="s">
        <v>924</v>
      </c>
      <c r="B421" t="s">
        <v>925</v>
      </c>
      <c r="C421" t="s">
        <v>13</v>
      </c>
      <c r="D421" t="s">
        <v>850</v>
      </c>
      <c r="E421" t="s">
        <v>851</v>
      </c>
      <c r="F421" t="s">
        <v>111</v>
      </c>
      <c r="G421" s="1">
        <v>0.15</v>
      </c>
      <c r="H421" t="s">
        <v>852</v>
      </c>
      <c r="I421" t="s">
        <v>853</v>
      </c>
      <c r="J421" t="s">
        <v>854</v>
      </c>
      <c r="K421" t="s">
        <v>24</v>
      </c>
      <c r="L421" s="14">
        <f>IFERROR(VALUE(LEFT(tblMatriculas[[#This Row],[Clases]],FIND("/",tblMatriculas[[#This Row],[Clases]])-1)),"")</f>
        <v>6</v>
      </c>
      <c r="M421" s="14">
        <f>IFERROR(VALUE(MID(tblMatriculas[[#This Row],[Clases]],FIND("/",tblMatriculas[[#This Row],[Clases]])+1,5)),"")</f>
        <v>40</v>
      </c>
      <c r="N4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1" s="14">
        <f>IF(OR(tblMatriculas[[#This Row],[Estado]]&lt;&gt;"activa",tblMatriculas[[#This Row],[Clases dictadas]]=""),"",MAX(0,tblMatriculas[[#This Row],[Clases dictadas]]-tblMatriculas[[#This Row],[Asistidas]]))</f>
        <v>0</v>
      </c>
      <c r="P421" s="1">
        <f>IF(OR(tblMatriculas[[#This Row],[Estado]]&lt;&gt;"activa",tblMatriculas[[#This Row],[Asistidas]]=""),"",tblMatriculas[[#This Row],[Asistencia]])</f>
        <v>0.15</v>
      </c>
      <c r="Q421" t="b">
        <f>AND(tblMatriculas[[#This Row],[Estado]]="activa",ISNUMBER(tblMatriculas[[#This Row],[% asistencia]]),NOT(ISNUMBER(SEARCH(pPrueba,tblMatriculas[[#This Row],[Nombre]]))))</f>
        <v>1</v>
      </c>
      <c r="R4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1" s="23" t="str" cm="1">
        <f t="array" ref="S4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1" s="23" t="str" cm="1">
        <f t="array" ref="T4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1" s="14" t="str" cm="1">
        <f t="array" ref="U4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1" t="str" cm="1">
        <f t="array" ref="V4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1" t="str" cm="1">
        <f t="array" ref="W4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1" t="str">
        <f>IF(COUNTIFS('Base Estudiantes'!$C:$C,tblMatriculas[[#This Row],[Cédula]],'Base Estudiantes'!$I:$I,tblMatriculas[[#This Row],[Código]])&gt;0,"Sí","No")</f>
        <v>Sí</v>
      </c>
      <c r="Z421" s="23" cm="1">
        <f t="array" ref="Z421">_xlfn.XLOOKUP(tblMatriculas[[#This Row],[Cédula]]&amp;"|"&amp;tblMatriculas[[#This Row],[Código]],tblBase[Documento]&amp;"|"&amp;tblBase[Código grupo],tblBase[Fecha matrícula],"")</f>
        <v>46262</v>
      </c>
    </row>
    <row r="422" spans="1:26" x14ac:dyDescent="0.2">
      <c r="A422" t="s">
        <v>926</v>
      </c>
      <c r="B422" t="s">
        <v>927</v>
      </c>
      <c r="C422" t="s">
        <v>13</v>
      </c>
      <c r="D422" t="s">
        <v>850</v>
      </c>
      <c r="E422" t="s">
        <v>851</v>
      </c>
      <c r="F422" t="s">
        <v>111</v>
      </c>
      <c r="G422" s="1">
        <v>0.15</v>
      </c>
      <c r="H422" t="s">
        <v>852</v>
      </c>
      <c r="I422" t="s">
        <v>853</v>
      </c>
      <c r="J422" t="s">
        <v>854</v>
      </c>
      <c r="K422" t="s">
        <v>24</v>
      </c>
      <c r="L422" s="14">
        <f>IFERROR(VALUE(LEFT(tblMatriculas[[#This Row],[Clases]],FIND("/",tblMatriculas[[#This Row],[Clases]])-1)),"")</f>
        <v>6</v>
      </c>
      <c r="M422" s="14">
        <f>IFERROR(VALUE(MID(tblMatriculas[[#This Row],[Clases]],FIND("/",tblMatriculas[[#This Row],[Clases]])+1,5)),"")</f>
        <v>40</v>
      </c>
      <c r="N4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2" s="14">
        <f>IF(OR(tblMatriculas[[#This Row],[Estado]]&lt;&gt;"activa",tblMatriculas[[#This Row],[Clases dictadas]]=""),"",MAX(0,tblMatriculas[[#This Row],[Clases dictadas]]-tblMatriculas[[#This Row],[Asistidas]]))</f>
        <v>0</v>
      </c>
      <c r="P422" s="1">
        <f>IF(OR(tblMatriculas[[#This Row],[Estado]]&lt;&gt;"activa",tblMatriculas[[#This Row],[Asistidas]]=""),"",tblMatriculas[[#This Row],[Asistencia]])</f>
        <v>0.15</v>
      </c>
      <c r="Q422" t="b">
        <f>AND(tblMatriculas[[#This Row],[Estado]]="activa",ISNUMBER(tblMatriculas[[#This Row],[% asistencia]]),NOT(ISNUMBER(SEARCH(pPrueba,tblMatriculas[[#This Row],[Nombre]]))))</f>
        <v>1</v>
      </c>
      <c r="R4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2" s="23" t="str" cm="1">
        <f t="array" ref="S4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2" s="23" t="str" cm="1">
        <f t="array" ref="T4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2" s="14" t="str" cm="1">
        <f t="array" ref="U4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2" t="str" cm="1">
        <f t="array" ref="V4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2" t="str" cm="1">
        <f t="array" ref="W4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2" t="str">
        <f>IF(COUNTIFS('Base Estudiantes'!$C:$C,tblMatriculas[[#This Row],[Cédula]],'Base Estudiantes'!$I:$I,tblMatriculas[[#This Row],[Código]])&gt;0,"Sí","No")</f>
        <v>Sí</v>
      </c>
      <c r="Z422" s="23" cm="1">
        <f t="array" ref="Z422">_xlfn.XLOOKUP(tblMatriculas[[#This Row],[Cédula]]&amp;"|"&amp;tblMatriculas[[#This Row],[Código]],tblBase[Documento]&amp;"|"&amp;tblBase[Código grupo],tblBase[Fecha matrícula],"")</f>
        <v>46262</v>
      </c>
    </row>
    <row r="423" spans="1:26" x14ac:dyDescent="0.2">
      <c r="A423" t="s">
        <v>928</v>
      </c>
      <c r="B423" t="s">
        <v>929</v>
      </c>
      <c r="C423" t="s">
        <v>13</v>
      </c>
      <c r="D423" t="s">
        <v>850</v>
      </c>
      <c r="E423" t="s">
        <v>851</v>
      </c>
      <c r="F423" t="s">
        <v>111</v>
      </c>
      <c r="G423" s="1">
        <v>0.15</v>
      </c>
      <c r="H423" t="s">
        <v>852</v>
      </c>
      <c r="I423" t="s">
        <v>853</v>
      </c>
      <c r="J423" t="s">
        <v>854</v>
      </c>
      <c r="K423" t="s">
        <v>24</v>
      </c>
      <c r="L423" s="14">
        <f>IFERROR(VALUE(LEFT(tblMatriculas[[#This Row],[Clases]],FIND("/",tblMatriculas[[#This Row],[Clases]])-1)),"")</f>
        <v>6</v>
      </c>
      <c r="M423" s="14">
        <f>IFERROR(VALUE(MID(tblMatriculas[[#This Row],[Clases]],FIND("/",tblMatriculas[[#This Row],[Clases]])+1,5)),"")</f>
        <v>40</v>
      </c>
      <c r="N4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3" s="14">
        <f>IF(OR(tblMatriculas[[#This Row],[Estado]]&lt;&gt;"activa",tblMatriculas[[#This Row],[Clases dictadas]]=""),"",MAX(0,tblMatriculas[[#This Row],[Clases dictadas]]-tblMatriculas[[#This Row],[Asistidas]]))</f>
        <v>0</v>
      </c>
      <c r="P423" s="1">
        <f>IF(OR(tblMatriculas[[#This Row],[Estado]]&lt;&gt;"activa",tblMatriculas[[#This Row],[Asistidas]]=""),"",tblMatriculas[[#This Row],[Asistencia]])</f>
        <v>0.15</v>
      </c>
      <c r="Q423" t="b">
        <f>AND(tblMatriculas[[#This Row],[Estado]]="activa",ISNUMBER(tblMatriculas[[#This Row],[% asistencia]]),NOT(ISNUMBER(SEARCH(pPrueba,tblMatriculas[[#This Row],[Nombre]]))))</f>
        <v>1</v>
      </c>
      <c r="R4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3" s="23" t="str" cm="1">
        <f t="array" ref="S4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3" s="23" t="str" cm="1">
        <f t="array" ref="T4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3" s="14" t="str" cm="1">
        <f t="array" ref="U4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3" t="str" cm="1">
        <f t="array" ref="V4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3" t="str" cm="1">
        <f t="array" ref="W4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3" t="str">
        <f>IF(COUNTIFS('Base Estudiantes'!$C:$C,tblMatriculas[[#This Row],[Cédula]],'Base Estudiantes'!$I:$I,tblMatriculas[[#This Row],[Código]])&gt;0,"Sí","No")</f>
        <v>Sí</v>
      </c>
      <c r="Z423" s="23" cm="1">
        <f t="array" ref="Z423">_xlfn.XLOOKUP(tblMatriculas[[#This Row],[Cédula]]&amp;"|"&amp;tblMatriculas[[#This Row],[Código]],tblBase[Documento]&amp;"|"&amp;tblBase[Código grupo],tblBase[Fecha matrícula],"")</f>
        <v>46262</v>
      </c>
    </row>
    <row r="424" spans="1:26" x14ac:dyDescent="0.2">
      <c r="A424" t="s">
        <v>930</v>
      </c>
      <c r="B424" t="s">
        <v>931</v>
      </c>
      <c r="C424" t="s">
        <v>13</v>
      </c>
      <c r="D424" t="s">
        <v>850</v>
      </c>
      <c r="E424" t="s">
        <v>851</v>
      </c>
      <c r="F424" t="s">
        <v>111</v>
      </c>
      <c r="G424" s="1">
        <v>0.125</v>
      </c>
      <c r="H424" t="s">
        <v>862</v>
      </c>
      <c r="I424" t="s">
        <v>853</v>
      </c>
      <c r="J424" t="s">
        <v>854</v>
      </c>
      <c r="K424" t="s">
        <v>24</v>
      </c>
      <c r="L424" s="14">
        <f>IFERROR(VALUE(LEFT(tblMatriculas[[#This Row],[Clases]],FIND("/",tblMatriculas[[#This Row],[Clases]])-1)),"")</f>
        <v>5</v>
      </c>
      <c r="M424" s="14">
        <f>IFERROR(VALUE(MID(tblMatriculas[[#This Row],[Clases]],FIND("/",tblMatriculas[[#This Row],[Clases]])+1,5)),"")</f>
        <v>40</v>
      </c>
      <c r="N4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4" s="14">
        <f>IF(OR(tblMatriculas[[#This Row],[Estado]]&lt;&gt;"activa",tblMatriculas[[#This Row],[Clases dictadas]]=""),"",MAX(0,tblMatriculas[[#This Row],[Clases dictadas]]-tblMatriculas[[#This Row],[Asistidas]]))</f>
        <v>1</v>
      </c>
      <c r="P424" s="1">
        <f>IF(OR(tblMatriculas[[#This Row],[Estado]]&lt;&gt;"activa",tblMatriculas[[#This Row],[Asistidas]]=""),"",tblMatriculas[[#This Row],[Asistencia]])</f>
        <v>0.125</v>
      </c>
      <c r="Q424" t="b">
        <f>AND(tblMatriculas[[#This Row],[Estado]]="activa",ISNUMBER(tblMatriculas[[#This Row],[% asistencia]]),NOT(ISNUMBER(SEARCH(pPrueba,tblMatriculas[[#This Row],[Nombre]]))))</f>
        <v>1</v>
      </c>
      <c r="R4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4" s="23" t="str" cm="1">
        <f t="array" ref="S4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4" s="23" t="str" cm="1">
        <f t="array" ref="T4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4" s="14" t="str" cm="1">
        <f t="array" ref="U4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4" t="str" cm="1">
        <f t="array" ref="V4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4" t="str" cm="1">
        <f t="array" ref="W4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4" t="str">
        <f>IF(COUNTIFS('Base Estudiantes'!$C:$C,tblMatriculas[[#This Row],[Cédula]],'Base Estudiantes'!$I:$I,tblMatriculas[[#This Row],[Código]])&gt;0,"Sí","No")</f>
        <v>Sí</v>
      </c>
      <c r="Z424" s="23" cm="1">
        <f t="array" ref="Z424">_xlfn.XLOOKUP(tblMatriculas[[#This Row],[Cédula]]&amp;"|"&amp;tblMatriculas[[#This Row],[Código]],tblBase[Documento]&amp;"|"&amp;tblBase[Código grupo],tblBase[Fecha matrícula],"")</f>
        <v>46262</v>
      </c>
    </row>
    <row r="425" spans="1:26" x14ac:dyDescent="0.2">
      <c r="A425" t="s">
        <v>932</v>
      </c>
      <c r="B425" t="s">
        <v>933</v>
      </c>
      <c r="C425" t="s">
        <v>13</v>
      </c>
      <c r="D425" t="s">
        <v>850</v>
      </c>
      <c r="E425" t="s">
        <v>851</v>
      </c>
      <c r="F425" t="s">
        <v>111</v>
      </c>
      <c r="G425" s="1">
        <v>0.15</v>
      </c>
      <c r="H425" t="s">
        <v>852</v>
      </c>
      <c r="I425" t="s">
        <v>853</v>
      </c>
      <c r="J425" t="s">
        <v>854</v>
      </c>
      <c r="K425" t="s">
        <v>24</v>
      </c>
      <c r="L425" s="14">
        <f>IFERROR(VALUE(LEFT(tblMatriculas[[#This Row],[Clases]],FIND("/",tblMatriculas[[#This Row],[Clases]])-1)),"")</f>
        <v>6</v>
      </c>
      <c r="M425" s="14">
        <f>IFERROR(VALUE(MID(tblMatriculas[[#This Row],[Clases]],FIND("/",tblMatriculas[[#This Row],[Clases]])+1,5)),"")</f>
        <v>40</v>
      </c>
      <c r="N4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5" s="14">
        <f>IF(OR(tblMatriculas[[#This Row],[Estado]]&lt;&gt;"activa",tblMatriculas[[#This Row],[Clases dictadas]]=""),"",MAX(0,tblMatriculas[[#This Row],[Clases dictadas]]-tblMatriculas[[#This Row],[Asistidas]]))</f>
        <v>0</v>
      </c>
      <c r="P425" s="1">
        <f>IF(OR(tblMatriculas[[#This Row],[Estado]]&lt;&gt;"activa",tblMatriculas[[#This Row],[Asistidas]]=""),"",tblMatriculas[[#This Row],[Asistencia]])</f>
        <v>0.15</v>
      </c>
      <c r="Q425" t="b">
        <f>AND(tblMatriculas[[#This Row],[Estado]]="activa",ISNUMBER(tblMatriculas[[#This Row],[% asistencia]]),NOT(ISNUMBER(SEARCH(pPrueba,tblMatriculas[[#This Row],[Nombre]]))))</f>
        <v>1</v>
      </c>
      <c r="R4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5" s="23" t="str" cm="1">
        <f t="array" ref="S4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5" s="23" t="str" cm="1">
        <f t="array" ref="T4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5" s="14" t="str" cm="1">
        <f t="array" ref="U4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5" t="str" cm="1">
        <f t="array" ref="V4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5" t="str" cm="1">
        <f t="array" ref="W4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5" t="str">
        <f>IF(COUNTIFS('Base Estudiantes'!$C:$C,tblMatriculas[[#This Row],[Cédula]],'Base Estudiantes'!$I:$I,tblMatriculas[[#This Row],[Código]])&gt;0,"Sí","No")</f>
        <v>Sí</v>
      </c>
      <c r="Z425" s="23" cm="1">
        <f t="array" ref="Z425">_xlfn.XLOOKUP(tblMatriculas[[#This Row],[Cédula]]&amp;"|"&amp;tblMatriculas[[#This Row],[Código]],tblBase[Documento]&amp;"|"&amp;tblBase[Código grupo],tblBase[Fecha matrícula],"")</f>
        <v>46262</v>
      </c>
    </row>
    <row r="426" spans="1:26" x14ac:dyDescent="0.2">
      <c r="A426" t="s">
        <v>934</v>
      </c>
      <c r="B426" t="s">
        <v>935</v>
      </c>
      <c r="C426" t="s">
        <v>13</v>
      </c>
      <c r="D426" t="s">
        <v>850</v>
      </c>
      <c r="E426" t="s">
        <v>851</v>
      </c>
      <c r="F426" t="s">
        <v>111</v>
      </c>
      <c r="G426" s="1">
        <v>7.4999999999999997E-2</v>
      </c>
      <c r="H426" t="s">
        <v>881</v>
      </c>
      <c r="I426" t="s">
        <v>853</v>
      </c>
      <c r="J426" t="s">
        <v>854</v>
      </c>
      <c r="K426" t="s">
        <v>24</v>
      </c>
      <c r="L426" s="14">
        <f>IFERROR(VALUE(LEFT(tblMatriculas[[#This Row],[Clases]],FIND("/",tblMatriculas[[#This Row],[Clases]])-1)),"")</f>
        <v>3</v>
      </c>
      <c r="M426" s="14">
        <f>IFERROR(VALUE(MID(tblMatriculas[[#This Row],[Clases]],FIND("/",tblMatriculas[[#This Row],[Clases]])+1,5)),"")</f>
        <v>40</v>
      </c>
      <c r="N4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6" s="14">
        <f>IF(OR(tblMatriculas[[#This Row],[Estado]]&lt;&gt;"activa",tblMatriculas[[#This Row],[Clases dictadas]]=""),"",MAX(0,tblMatriculas[[#This Row],[Clases dictadas]]-tblMatriculas[[#This Row],[Asistidas]]))</f>
        <v>3</v>
      </c>
      <c r="P426" s="1">
        <f>IF(OR(tblMatriculas[[#This Row],[Estado]]&lt;&gt;"activa",tblMatriculas[[#This Row],[Asistidas]]=""),"",tblMatriculas[[#This Row],[Asistencia]])</f>
        <v>7.4999999999999997E-2</v>
      </c>
      <c r="Q426" t="b">
        <f>AND(tblMatriculas[[#This Row],[Estado]]="activa",ISNUMBER(tblMatriculas[[#This Row],[% asistencia]]),NOT(ISNUMBER(SEARCH(pPrueba,tblMatriculas[[#This Row],[Nombre]]))))</f>
        <v>1</v>
      </c>
      <c r="R4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6" s="23" t="str" cm="1">
        <f t="array" ref="S4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6" s="23" t="str" cm="1">
        <f t="array" ref="T4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6" s="14" t="str" cm="1">
        <f t="array" ref="U4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6" t="str" cm="1">
        <f t="array" ref="V4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6" t="str" cm="1">
        <f t="array" ref="W4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6" t="str">
        <f>IF(COUNTIFS('Base Estudiantes'!$C:$C,tblMatriculas[[#This Row],[Cédula]],'Base Estudiantes'!$I:$I,tblMatriculas[[#This Row],[Código]])&gt;0,"Sí","No")</f>
        <v>Sí</v>
      </c>
      <c r="Z426" s="23" cm="1">
        <f t="array" ref="Z426">_xlfn.XLOOKUP(tblMatriculas[[#This Row],[Cédula]]&amp;"|"&amp;tblMatriculas[[#This Row],[Código]],tblBase[Documento]&amp;"|"&amp;tblBase[Código grupo],tblBase[Fecha matrícula],"")</f>
        <v>46262</v>
      </c>
    </row>
    <row r="427" spans="1:26" x14ac:dyDescent="0.2">
      <c r="A427" t="s">
        <v>936</v>
      </c>
      <c r="B427" t="s">
        <v>937</v>
      </c>
      <c r="C427" t="s">
        <v>49</v>
      </c>
      <c r="D427" t="s">
        <v>850</v>
      </c>
      <c r="E427" t="s">
        <v>851</v>
      </c>
      <c r="F427" t="s">
        <v>111</v>
      </c>
      <c r="G427" s="1">
        <v>0.15</v>
      </c>
      <c r="H427" t="s">
        <v>852</v>
      </c>
      <c r="I427" t="s">
        <v>853</v>
      </c>
      <c r="J427" t="s">
        <v>854</v>
      </c>
      <c r="K427" t="s">
        <v>24</v>
      </c>
      <c r="L427" s="14">
        <f>IFERROR(VALUE(LEFT(tblMatriculas[[#This Row],[Clases]],FIND("/",tblMatriculas[[#This Row],[Clases]])-1)),"")</f>
        <v>6</v>
      </c>
      <c r="M427" s="14">
        <f>IFERROR(VALUE(MID(tblMatriculas[[#This Row],[Clases]],FIND("/",tblMatriculas[[#This Row],[Clases]])+1,5)),"")</f>
        <v>40</v>
      </c>
      <c r="N4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7" s="14" t="str">
        <f>IF(OR(tblMatriculas[[#This Row],[Estado]]&lt;&gt;"activa",tblMatriculas[[#This Row],[Clases dictadas]]=""),"",MAX(0,tblMatriculas[[#This Row],[Clases dictadas]]-tblMatriculas[[#This Row],[Asistidas]]))</f>
        <v/>
      </c>
      <c r="P427" s="1" t="str">
        <f>IF(OR(tblMatriculas[[#This Row],[Estado]]&lt;&gt;"activa",tblMatriculas[[#This Row],[Asistidas]]=""),"",tblMatriculas[[#This Row],[Asistencia]])</f>
        <v/>
      </c>
      <c r="Q427" t="b">
        <f>AND(tblMatriculas[[#This Row],[Estado]]="activa",ISNUMBER(tblMatriculas[[#This Row],[% asistencia]]),NOT(ISNUMBER(SEARCH(pPrueba,tblMatriculas[[#This Row],[Nombre]]))))</f>
        <v>0</v>
      </c>
      <c r="R4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427" s="23" t="str" cm="1">
        <f t="array" ref="S4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7" s="23" t="str" cm="1">
        <f t="array" ref="T4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7" s="14" t="str" cm="1">
        <f t="array" ref="U4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7" t="str" cm="1">
        <f t="array" ref="V4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7" t="str" cm="1">
        <f t="array" ref="W4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7" t="str">
        <f>IF(COUNTIFS('Base Estudiantes'!$C:$C,tblMatriculas[[#This Row],[Cédula]],'Base Estudiantes'!$I:$I,tblMatriculas[[#This Row],[Código]])&gt;0,"Sí","No")</f>
        <v>No</v>
      </c>
      <c r="Z427" s="23" t="str" cm="1">
        <f t="array" ref="Z427">_xlfn.XLOOKUP(tblMatriculas[[#This Row],[Cédula]]&amp;"|"&amp;tblMatriculas[[#This Row],[Código]],tblBase[Documento]&amp;"|"&amp;tblBase[Código grupo],tblBase[Fecha matrícula],"")</f>
        <v/>
      </c>
    </row>
    <row r="428" spans="1:26" x14ac:dyDescent="0.2">
      <c r="A428" t="s">
        <v>938</v>
      </c>
      <c r="B428" t="s">
        <v>939</v>
      </c>
      <c r="C428" t="s">
        <v>13</v>
      </c>
      <c r="D428" t="s">
        <v>850</v>
      </c>
      <c r="E428" t="s">
        <v>851</v>
      </c>
      <c r="F428" t="s">
        <v>111</v>
      </c>
      <c r="G428" s="1">
        <v>0.125</v>
      </c>
      <c r="H428" t="s">
        <v>862</v>
      </c>
      <c r="I428" t="s">
        <v>853</v>
      </c>
      <c r="J428" t="s">
        <v>854</v>
      </c>
      <c r="K428" t="s">
        <v>24</v>
      </c>
      <c r="L428" s="14">
        <f>IFERROR(VALUE(LEFT(tblMatriculas[[#This Row],[Clases]],FIND("/",tblMatriculas[[#This Row],[Clases]])-1)),"")</f>
        <v>5</v>
      </c>
      <c r="M428" s="14">
        <f>IFERROR(VALUE(MID(tblMatriculas[[#This Row],[Clases]],FIND("/",tblMatriculas[[#This Row],[Clases]])+1,5)),"")</f>
        <v>40</v>
      </c>
      <c r="N4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8" s="14">
        <f>IF(OR(tblMatriculas[[#This Row],[Estado]]&lt;&gt;"activa",tblMatriculas[[#This Row],[Clases dictadas]]=""),"",MAX(0,tblMatriculas[[#This Row],[Clases dictadas]]-tblMatriculas[[#This Row],[Asistidas]]))</f>
        <v>1</v>
      </c>
      <c r="P428" s="1">
        <f>IF(OR(tblMatriculas[[#This Row],[Estado]]&lt;&gt;"activa",tblMatriculas[[#This Row],[Asistidas]]=""),"",tblMatriculas[[#This Row],[Asistencia]])</f>
        <v>0.125</v>
      </c>
      <c r="Q428" t="b">
        <f>AND(tblMatriculas[[#This Row],[Estado]]="activa",ISNUMBER(tblMatriculas[[#This Row],[% asistencia]]),NOT(ISNUMBER(SEARCH(pPrueba,tblMatriculas[[#This Row],[Nombre]]))))</f>
        <v>1</v>
      </c>
      <c r="R4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28" s="23" t="str" cm="1">
        <f t="array" ref="S4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8" s="23" t="str" cm="1">
        <f t="array" ref="T4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8" s="14" t="str" cm="1">
        <f t="array" ref="U4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8" t="str" cm="1">
        <f t="array" ref="V4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8" t="str" cm="1">
        <f t="array" ref="W4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28" t="str">
        <f>IF(COUNTIFS('Base Estudiantes'!$C:$C,tblMatriculas[[#This Row],[Cédula]],'Base Estudiantes'!$I:$I,tblMatriculas[[#This Row],[Código]])&gt;0,"Sí","No")</f>
        <v>Sí</v>
      </c>
      <c r="Z428" s="23" cm="1">
        <f t="array" ref="Z428">_xlfn.XLOOKUP(tblMatriculas[[#This Row],[Cédula]]&amp;"|"&amp;tblMatriculas[[#This Row],[Código]],tblBase[Documento]&amp;"|"&amp;tblBase[Código grupo],tblBase[Fecha matrícula],"")</f>
        <v>46262</v>
      </c>
    </row>
    <row r="429" spans="1:26" x14ac:dyDescent="0.2">
      <c r="A429" t="s">
        <v>940</v>
      </c>
      <c r="B429" t="s">
        <v>941</v>
      </c>
      <c r="C429" t="s">
        <v>13</v>
      </c>
      <c r="D429" t="s">
        <v>850</v>
      </c>
      <c r="E429" t="s">
        <v>851</v>
      </c>
      <c r="F429" t="s">
        <v>111</v>
      </c>
      <c r="G429" s="1">
        <v>0.05</v>
      </c>
      <c r="H429" t="s">
        <v>870</v>
      </c>
      <c r="I429" t="s">
        <v>853</v>
      </c>
      <c r="J429" t="s">
        <v>854</v>
      </c>
      <c r="K429" t="s">
        <v>24</v>
      </c>
      <c r="L429" s="14">
        <f>IFERROR(VALUE(LEFT(tblMatriculas[[#This Row],[Clases]],FIND("/",tblMatriculas[[#This Row],[Clases]])-1)),"")</f>
        <v>2</v>
      </c>
      <c r="M429" s="14">
        <f>IFERROR(VALUE(MID(tblMatriculas[[#This Row],[Clases]],FIND("/",tblMatriculas[[#This Row],[Clases]])+1,5)),"")</f>
        <v>40</v>
      </c>
      <c r="N4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29" s="14">
        <f>IF(OR(tblMatriculas[[#This Row],[Estado]]&lt;&gt;"activa",tblMatriculas[[#This Row],[Clases dictadas]]=""),"",MAX(0,tblMatriculas[[#This Row],[Clases dictadas]]-tblMatriculas[[#This Row],[Asistidas]]))</f>
        <v>4</v>
      </c>
      <c r="P429" s="1">
        <f>IF(OR(tblMatriculas[[#This Row],[Estado]]&lt;&gt;"activa",tblMatriculas[[#This Row],[Asistidas]]=""),"",tblMatriculas[[#This Row],[Asistencia]])</f>
        <v>0.05</v>
      </c>
      <c r="Q429" t="b">
        <f>AND(tblMatriculas[[#This Row],[Estado]]="activa",ISNUMBER(tblMatriculas[[#This Row],[% asistencia]]),NOT(ISNUMBER(SEARCH(pPrueba,tblMatriculas[[#This Row],[Nombre]]))))</f>
        <v>1</v>
      </c>
      <c r="R4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29" s="23" t="str" cm="1">
        <f t="array" ref="S4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29" s="23" t="str" cm="1">
        <f t="array" ref="T4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29" s="14" t="str" cm="1">
        <f t="array" ref="U4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29" t="str" cm="1">
        <f t="array" ref="V4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29" t="str" cm="1">
        <f t="array" ref="W4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2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29" t="str">
        <f>IF(COUNTIFS('Base Estudiantes'!$C:$C,tblMatriculas[[#This Row],[Cédula]],'Base Estudiantes'!$I:$I,tblMatriculas[[#This Row],[Código]])&gt;0,"Sí","No")</f>
        <v>Sí</v>
      </c>
      <c r="Z429" s="23" cm="1">
        <f t="array" ref="Z429">_xlfn.XLOOKUP(tblMatriculas[[#This Row],[Cédula]]&amp;"|"&amp;tblMatriculas[[#This Row],[Código]],tblBase[Documento]&amp;"|"&amp;tblBase[Código grupo],tblBase[Fecha matrícula],"")</f>
        <v>46262</v>
      </c>
    </row>
    <row r="430" spans="1:26" x14ac:dyDescent="0.2">
      <c r="A430" t="s">
        <v>942</v>
      </c>
      <c r="B430" t="s">
        <v>943</v>
      </c>
      <c r="C430" t="s">
        <v>13</v>
      </c>
      <c r="D430" t="s">
        <v>850</v>
      </c>
      <c r="E430" t="s">
        <v>851</v>
      </c>
      <c r="F430" t="s">
        <v>111</v>
      </c>
      <c r="G430" s="1">
        <v>0.05</v>
      </c>
      <c r="H430" t="s">
        <v>870</v>
      </c>
      <c r="I430" t="s">
        <v>853</v>
      </c>
      <c r="J430" t="s">
        <v>854</v>
      </c>
      <c r="K430" t="s">
        <v>24</v>
      </c>
      <c r="L430" s="14">
        <f>IFERROR(VALUE(LEFT(tblMatriculas[[#This Row],[Clases]],FIND("/",tblMatriculas[[#This Row],[Clases]])-1)),"")</f>
        <v>2</v>
      </c>
      <c r="M430" s="14">
        <f>IFERROR(VALUE(MID(tblMatriculas[[#This Row],[Clases]],FIND("/",tblMatriculas[[#This Row],[Clases]])+1,5)),"")</f>
        <v>40</v>
      </c>
      <c r="N4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30" s="14">
        <f>IF(OR(tblMatriculas[[#This Row],[Estado]]&lt;&gt;"activa",tblMatriculas[[#This Row],[Clases dictadas]]=""),"",MAX(0,tblMatriculas[[#This Row],[Clases dictadas]]-tblMatriculas[[#This Row],[Asistidas]]))</f>
        <v>4</v>
      </c>
      <c r="P430" s="1">
        <f>IF(OR(tblMatriculas[[#This Row],[Estado]]&lt;&gt;"activa",tblMatriculas[[#This Row],[Asistidas]]=""),"",tblMatriculas[[#This Row],[Asistencia]])</f>
        <v>0.05</v>
      </c>
      <c r="Q430" t="b">
        <f>AND(tblMatriculas[[#This Row],[Estado]]="activa",ISNUMBER(tblMatriculas[[#This Row],[% asistencia]]),NOT(ISNUMBER(SEARCH(pPrueba,tblMatriculas[[#This Row],[Nombre]]))))</f>
        <v>1</v>
      </c>
      <c r="R4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30" s="23" t="str" cm="1">
        <f t="array" ref="S4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0" s="23" t="str" cm="1">
        <f t="array" ref="T4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0" s="14" t="str" cm="1">
        <f t="array" ref="U4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0" t="str" cm="1">
        <f t="array" ref="V4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0" t="str" cm="1">
        <f t="array" ref="W4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30" t="str">
        <f>IF(COUNTIFS('Base Estudiantes'!$C:$C,tblMatriculas[[#This Row],[Cédula]],'Base Estudiantes'!$I:$I,tblMatriculas[[#This Row],[Código]])&gt;0,"Sí","No")</f>
        <v>Sí</v>
      </c>
      <c r="Z430" s="23" cm="1">
        <f t="array" ref="Z430">_xlfn.XLOOKUP(tblMatriculas[[#This Row],[Cédula]]&amp;"|"&amp;tblMatriculas[[#This Row],[Código]],tblBase[Documento]&amp;"|"&amp;tblBase[Código grupo],tblBase[Fecha matrícula],"")</f>
        <v>46263</v>
      </c>
    </row>
    <row r="431" spans="1:26" x14ac:dyDescent="0.2">
      <c r="A431" t="s">
        <v>944</v>
      </c>
      <c r="B431" t="s">
        <v>945</v>
      </c>
      <c r="C431" t="s">
        <v>13</v>
      </c>
      <c r="D431" t="s">
        <v>850</v>
      </c>
      <c r="E431" t="s">
        <v>851</v>
      </c>
      <c r="F431" t="s">
        <v>111</v>
      </c>
      <c r="G431" s="1">
        <v>7.4999999999999997E-2</v>
      </c>
      <c r="H431" t="s">
        <v>881</v>
      </c>
      <c r="I431" t="s">
        <v>853</v>
      </c>
      <c r="J431" t="s">
        <v>854</v>
      </c>
      <c r="K431" t="s">
        <v>24</v>
      </c>
      <c r="L431" s="14">
        <f>IFERROR(VALUE(LEFT(tblMatriculas[[#This Row],[Clases]],FIND("/",tblMatriculas[[#This Row],[Clases]])-1)),"")</f>
        <v>3</v>
      </c>
      <c r="M431" s="14">
        <f>IFERROR(VALUE(MID(tblMatriculas[[#This Row],[Clases]],FIND("/",tblMatriculas[[#This Row],[Clases]])+1,5)),"")</f>
        <v>40</v>
      </c>
      <c r="N4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31" s="14">
        <f>IF(OR(tblMatriculas[[#This Row],[Estado]]&lt;&gt;"activa",tblMatriculas[[#This Row],[Clases dictadas]]=""),"",MAX(0,tblMatriculas[[#This Row],[Clases dictadas]]-tblMatriculas[[#This Row],[Asistidas]]))</f>
        <v>3</v>
      </c>
      <c r="P431" s="1">
        <f>IF(OR(tblMatriculas[[#This Row],[Estado]]&lt;&gt;"activa",tblMatriculas[[#This Row],[Asistidas]]=""),"",tblMatriculas[[#This Row],[Asistencia]])</f>
        <v>7.4999999999999997E-2</v>
      </c>
      <c r="Q431" t="b">
        <f>AND(tblMatriculas[[#This Row],[Estado]]="activa",ISNUMBER(tblMatriculas[[#This Row],[% asistencia]]),NOT(ISNUMBER(SEARCH(pPrueba,tblMatriculas[[#This Row],[Nombre]]))))</f>
        <v>1</v>
      </c>
      <c r="R4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1" s="23" t="str" cm="1">
        <f t="array" ref="S4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1" s="23" t="str" cm="1">
        <f t="array" ref="T4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1" s="14" t="str" cm="1">
        <f t="array" ref="U4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1" t="str" cm="1">
        <f t="array" ref="V4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1" t="str" cm="1">
        <f t="array" ref="W4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1" t="str">
        <f>IF(COUNTIFS('Base Estudiantes'!$C:$C,tblMatriculas[[#This Row],[Cédula]],'Base Estudiantes'!$I:$I,tblMatriculas[[#This Row],[Código]])&gt;0,"Sí","No")</f>
        <v>Sí</v>
      </c>
      <c r="Z431" s="23" cm="1">
        <f t="array" ref="Z431">_xlfn.XLOOKUP(tblMatriculas[[#This Row],[Cédula]]&amp;"|"&amp;tblMatriculas[[#This Row],[Código]],tblBase[Documento]&amp;"|"&amp;tblBase[Código grupo],tblBase[Fecha matrícula],"")</f>
        <v>46263</v>
      </c>
    </row>
    <row r="432" spans="1:26" x14ac:dyDescent="0.2">
      <c r="A432" t="s">
        <v>946</v>
      </c>
      <c r="B432" t="s">
        <v>947</v>
      </c>
      <c r="C432" t="s">
        <v>13</v>
      </c>
      <c r="D432" t="s">
        <v>850</v>
      </c>
      <c r="E432" t="s">
        <v>851</v>
      </c>
      <c r="F432" t="s">
        <v>111</v>
      </c>
      <c r="G432" s="1">
        <v>0.15</v>
      </c>
      <c r="H432" t="s">
        <v>852</v>
      </c>
      <c r="I432" t="s">
        <v>853</v>
      </c>
      <c r="J432" t="s">
        <v>854</v>
      </c>
      <c r="K432" t="s">
        <v>24</v>
      </c>
      <c r="L432" s="14">
        <f>IFERROR(VALUE(LEFT(tblMatriculas[[#This Row],[Clases]],FIND("/",tblMatriculas[[#This Row],[Clases]])-1)),"")</f>
        <v>6</v>
      </c>
      <c r="M432" s="14">
        <f>IFERROR(VALUE(MID(tblMatriculas[[#This Row],[Clases]],FIND("/",tblMatriculas[[#This Row],[Clases]])+1,5)),"")</f>
        <v>40</v>
      </c>
      <c r="N4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32" s="14">
        <f>IF(OR(tblMatriculas[[#This Row],[Estado]]&lt;&gt;"activa",tblMatriculas[[#This Row],[Clases dictadas]]=""),"",MAX(0,tblMatriculas[[#This Row],[Clases dictadas]]-tblMatriculas[[#This Row],[Asistidas]]))</f>
        <v>0</v>
      </c>
      <c r="P432" s="1">
        <f>IF(OR(tblMatriculas[[#This Row],[Estado]]&lt;&gt;"activa",tblMatriculas[[#This Row],[Asistidas]]=""),"",tblMatriculas[[#This Row],[Asistencia]])</f>
        <v>0.15</v>
      </c>
      <c r="Q432" t="b">
        <f>AND(tblMatriculas[[#This Row],[Estado]]="activa",ISNUMBER(tblMatriculas[[#This Row],[% asistencia]]),NOT(ISNUMBER(SEARCH(pPrueba,tblMatriculas[[#This Row],[Nombre]]))))</f>
        <v>1</v>
      </c>
      <c r="R4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2" s="23" t="str" cm="1">
        <f t="array" ref="S4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2" s="23" t="str" cm="1">
        <f t="array" ref="T4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2" s="14" t="str" cm="1">
        <f t="array" ref="U4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2" t="str" cm="1">
        <f t="array" ref="V4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2" t="str" cm="1">
        <f t="array" ref="W4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2" t="str">
        <f>IF(COUNTIFS('Base Estudiantes'!$C:$C,tblMatriculas[[#This Row],[Cédula]],'Base Estudiantes'!$I:$I,tblMatriculas[[#This Row],[Código]])&gt;0,"Sí","No")</f>
        <v>Sí</v>
      </c>
      <c r="Z432" s="23" cm="1">
        <f t="array" ref="Z432">_xlfn.XLOOKUP(tblMatriculas[[#This Row],[Cédula]]&amp;"|"&amp;tblMatriculas[[#This Row],[Código]],tblBase[Documento]&amp;"|"&amp;tblBase[Código grupo],tblBase[Fecha matrícula],"")</f>
        <v>46263</v>
      </c>
    </row>
    <row r="433" spans="1:26" x14ac:dyDescent="0.2">
      <c r="A433" t="s">
        <v>948</v>
      </c>
      <c r="B433" t="s">
        <v>949</v>
      </c>
      <c r="C433" t="s">
        <v>13</v>
      </c>
      <c r="D433" t="s">
        <v>850</v>
      </c>
      <c r="E433" t="s">
        <v>851</v>
      </c>
      <c r="F433" t="s">
        <v>111</v>
      </c>
      <c r="G433" s="1">
        <v>0.15</v>
      </c>
      <c r="H433" t="s">
        <v>852</v>
      </c>
      <c r="I433" t="s">
        <v>853</v>
      </c>
      <c r="J433" t="s">
        <v>854</v>
      </c>
      <c r="K433" t="s">
        <v>24</v>
      </c>
      <c r="L433" s="14">
        <f>IFERROR(VALUE(LEFT(tblMatriculas[[#This Row],[Clases]],FIND("/",tblMatriculas[[#This Row],[Clases]])-1)),"")</f>
        <v>6</v>
      </c>
      <c r="M433" s="14">
        <f>IFERROR(VALUE(MID(tblMatriculas[[#This Row],[Clases]],FIND("/",tblMatriculas[[#This Row],[Clases]])+1,5)),"")</f>
        <v>40</v>
      </c>
      <c r="N4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33" s="14">
        <f>IF(OR(tblMatriculas[[#This Row],[Estado]]&lt;&gt;"activa",tblMatriculas[[#This Row],[Clases dictadas]]=""),"",MAX(0,tblMatriculas[[#This Row],[Clases dictadas]]-tblMatriculas[[#This Row],[Asistidas]]))</f>
        <v>0</v>
      </c>
      <c r="P433" s="1">
        <f>IF(OR(tblMatriculas[[#This Row],[Estado]]&lt;&gt;"activa",tblMatriculas[[#This Row],[Asistidas]]=""),"",tblMatriculas[[#This Row],[Asistencia]])</f>
        <v>0.15</v>
      </c>
      <c r="Q433" t="b">
        <f>AND(tblMatriculas[[#This Row],[Estado]]="activa",ISNUMBER(tblMatriculas[[#This Row],[% asistencia]]),NOT(ISNUMBER(SEARCH(pPrueba,tblMatriculas[[#This Row],[Nombre]]))))</f>
        <v>1</v>
      </c>
      <c r="R4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3" s="23" t="str" cm="1">
        <f t="array" ref="S4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3" s="23" t="str" cm="1">
        <f t="array" ref="T4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3" s="14" t="str" cm="1">
        <f t="array" ref="U4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3" t="str" cm="1">
        <f t="array" ref="V4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3" t="str" cm="1">
        <f t="array" ref="W4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3" t="str">
        <f>IF(COUNTIFS('Base Estudiantes'!$C:$C,tblMatriculas[[#This Row],[Cédula]],'Base Estudiantes'!$I:$I,tblMatriculas[[#This Row],[Código]])&gt;0,"Sí","No")</f>
        <v>Sí</v>
      </c>
      <c r="Z433" s="23" cm="1">
        <f t="array" ref="Z433">_xlfn.XLOOKUP(tblMatriculas[[#This Row],[Cédula]]&amp;"|"&amp;tblMatriculas[[#This Row],[Código]],tblBase[Documento]&amp;"|"&amp;tblBase[Código grupo],tblBase[Fecha matrícula],"")</f>
        <v>46263</v>
      </c>
    </row>
    <row r="434" spans="1:26" x14ac:dyDescent="0.2">
      <c r="A434" t="s">
        <v>950</v>
      </c>
      <c r="B434" t="s">
        <v>951</v>
      </c>
      <c r="C434" t="s">
        <v>13</v>
      </c>
      <c r="D434" t="s">
        <v>850</v>
      </c>
      <c r="E434" t="s">
        <v>851</v>
      </c>
      <c r="F434" t="s">
        <v>111</v>
      </c>
      <c r="G434" s="1">
        <v>2.8999999999999998E-2</v>
      </c>
      <c r="H434" t="s">
        <v>952</v>
      </c>
      <c r="I434" t="s">
        <v>853</v>
      </c>
      <c r="J434" t="s">
        <v>854</v>
      </c>
      <c r="K434" t="s">
        <v>953</v>
      </c>
      <c r="L434" s="14">
        <f>IFERROR(VALUE(LEFT(tblMatriculas[[#This Row],[Clases]],FIND("/",tblMatriculas[[#This Row],[Clases]])-1)),"")</f>
        <v>2</v>
      </c>
      <c r="M434" s="14">
        <f>IFERROR(VALUE(MID(tblMatriculas[[#This Row],[Clases]],FIND("/",tblMatriculas[[#This Row],[Clases]])+1,5)),"")</f>
        <v>70</v>
      </c>
      <c r="N4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434" s="14">
        <f>IF(OR(tblMatriculas[[#This Row],[Estado]]&lt;&gt;"activa",tblMatriculas[[#This Row],[Clases dictadas]]=""),"",MAX(0,tblMatriculas[[#This Row],[Clases dictadas]]-tblMatriculas[[#This Row],[Asistidas]]))</f>
        <v>8</v>
      </c>
      <c r="P434" s="1">
        <f>IF(OR(tblMatriculas[[#This Row],[Estado]]&lt;&gt;"activa",tblMatriculas[[#This Row],[Asistidas]]=""),"",tblMatriculas[[#This Row],[Asistencia]])</f>
        <v>2.8999999999999998E-2</v>
      </c>
      <c r="Q434" t="b">
        <f>AND(tblMatriculas[[#This Row],[Estado]]="activa",ISNUMBER(tblMatriculas[[#This Row],[% asistencia]]),NOT(ISNUMBER(SEARCH(pPrueba,tblMatriculas[[#This Row],[Nombre]]))))</f>
        <v>1</v>
      </c>
      <c r="R4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34" s="23" t="str" cm="1">
        <f t="array" ref="S4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4" s="23" t="str" cm="1">
        <f t="array" ref="T4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4" s="14" t="str" cm="1">
        <f t="array" ref="U4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4" t="str" cm="1">
        <f t="array" ref="V4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4" t="str" cm="1">
        <f t="array" ref="W4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34" t="str">
        <f>IF(COUNTIFS('Base Estudiantes'!$C:$C,tblMatriculas[[#This Row],[Cédula]],'Base Estudiantes'!$I:$I,tblMatriculas[[#This Row],[Código]])&gt;0,"Sí","No")</f>
        <v>Sí</v>
      </c>
      <c r="Z434" s="23" cm="1">
        <f t="array" ref="Z434">_xlfn.XLOOKUP(tblMatriculas[[#This Row],[Cédula]]&amp;"|"&amp;tblMatriculas[[#This Row],[Código]],tblBase[Documento]&amp;"|"&amp;tblBase[Código grupo],tblBase[Fecha matrícula],"")</f>
        <v>46265</v>
      </c>
    </row>
    <row r="435" spans="1:26" x14ac:dyDescent="0.2">
      <c r="A435" t="s">
        <v>954</v>
      </c>
      <c r="B435" t="s">
        <v>955</v>
      </c>
      <c r="C435" t="s">
        <v>13</v>
      </c>
      <c r="D435" t="s">
        <v>956</v>
      </c>
      <c r="E435" t="s">
        <v>957</v>
      </c>
      <c r="F435" t="s">
        <v>335</v>
      </c>
      <c r="G435" s="1">
        <v>0.13300000000000001</v>
      </c>
      <c r="H435" t="s">
        <v>112</v>
      </c>
      <c r="I435" t="s">
        <v>853</v>
      </c>
      <c r="J435" t="s">
        <v>854</v>
      </c>
      <c r="K435" t="s">
        <v>953</v>
      </c>
      <c r="L435" s="14">
        <f>IFERROR(VALUE(LEFT(tblMatriculas[[#This Row],[Clases]],FIND("/",tblMatriculas[[#This Row],[Clases]])-1)),"")</f>
        <v>4</v>
      </c>
      <c r="M435" s="14">
        <f>IFERROR(VALUE(MID(tblMatriculas[[#This Row],[Clases]],FIND("/",tblMatriculas[[#This Row],[Clases]])+1,5)),"")</f>
        <v>30</v>
      </c>
      <c r="N4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5" s="14">
        <f>IF(OR(tblMatriculas[[#This Row],[Estado]]&lt;&gt;"activa",tblMatriculas[[#This Row],[Clases dictadas]]=""),"",MAX(0,tblMatriculas[[#This Row],[Clases dictadas]]-tblMatriculas[[#This Row],[Asistidas]]))</f>
        <v>0</v>
      </c>
      <c r="P435" s="1">
        <f>IF(OR(tblMatriculas[[#This Row],[Estado]]&lt;&gt;"activa",tblMatriculas[[#This Row],[Asistidas]]=""),"",tblMatriculas[[#This Row],[Asistencia]])</f>
        <v>0.13300000000000001</v>
      </c>
      <c r="Q435" t="b">
        <f>AND(tblMatriculas[[#This Row],[Estado]]="activa",ISNUMBER(tblMatriculas[[#This Row],[% asistencia]]),NOT(ISNUMBER(SEARCH(pPrueba,tblMatriculas[[#This Row],[Nombre]]))))</f>
        <v>1</v>
      </c>
      <c r="R4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5" s="23" t="str" cm="1">
        <f t="array" ref="S4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5" s="23" t="str" cm="1">
        <f t="array" ref="T4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5" s="14" t="str" cm="1">
        <f t="array" ref="U4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5" t="str" cm="1">
        <f t="array" ref="V4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5" t="str" cm="1">
        <f t="array" ref="W4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5" t="str">
        <f>IF(COUNTIFS('Base Estudiantes'!$C:$C,tblMatriculas[[#This Row],[Cédula]],'Base Estudiantes'!$I:$I,tblMatriculas[[#This Row],[Código]])&gt;0,"Sí","No")</f>
        <v>Sí</v>
      </c>
      <c r="Z435" s="23" cm="1">
        <f t="array" ref="Z435">_xlfn.XLOOKUP(tblMatriculas[[#This Row],[Cédula]]&amp;"|"&amp;tblMatriculas[[#This Row],[Código]],tblBase[Documento]&amp;"|"&amp;tblBase[Código grupo],tblBase[Fecha matrícula],"")</f>
        <v>46262</v>
      </c>
    </row>
    <row r="436" spans="1:26" x14ac:dyDescent="0.2">
      <c r="A436" t="s">
        <v>958</v>
      </c>
      <c r="B436" t="s">
        <v>959</v>
      </c>
      <c r="C436" t="s">
        <v>13</v>
      </c>
      <c r="D436" t="s">
        <v>956</v>
      </c>
      <c r="E436" t="s">
        <v>957</v>
      </c>
      <c r="F436" t="s">
        <v>335</v>
      </c>
      <c r="G436" s="1">
        <v>0.1</v>
      </c>
      <c r="H436" t="s">
        <v>117</v>
      </c>
      <c r="I436" t="s">
        <v>853</v>
      </c>
      <c r="J436" t="s">
        <v>854</v>
      </c>
      <c r="K436" t="s">
        <v>960</v>
      </c>
      <c r="L436" s="14">
        <f>IFERROR(VALUE(LEFT(tblMatriculas[[#This Row],[Clases]],FIND("/",tblMatriculas[[#This Row],[Clases]])-1)),"")</f>
        <v>3</v>
      </c>
      <c r="M436" s="14">
        <f>IFERROR(VALUE(MID(tblMatriculas[[#This Row],[Clases]],FIND("/",tblMatriculas[[#This Row],[Clases]])+1,5)),"")</f>
        <v>30</v>
      </c>
      <c r="N4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6" s="14">
        <f>IF(OR(tblMatriculas[[#This Row],[Estado]]&lt;&gt;"activa",tblMatriculas[[#This Row],[Clases dictadas]]=""),"",MAX(0,tblMatriculas[[#This Row],[Clases dictadas]]-tblMatriculas[[#This Row],[Asistidas]]))</f>
        <v>1</v>
      </c>
      <c r="P436" s="1">
        <f>IF(OR(tblMatriculas[[#This Row],[Estado]]&lt;&gt;"activa",tblMatriculas[[#This Row],[Asistidas]]=""),"",tblMatriculas[[#This Row],[Asistencia]])</f>
        <v>0.1</v>
      </c>
      <c r="Q436" t="b">
        <f>AND(tblMatriculas[[#This Row],[Estado]]="activa",ISNUMBER(tblMatriculas[[#This Row],[% asistencia]]),NOT(ISNUMBER(SEARCH(pPrueba,tblMatriculas[[#This Row],[Nombre]]))))</f>
        <v>1</v>
      </c>
      <c r="R4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6" s="23" t="str" cm="1">
        <f t="array" ref="S4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6" s="23" t="str" cm="1">
        <f t="array" ref="T4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6" s="14" t="str" cm="1">
        <f t="array" ref="U4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6" t="str" cm="1">
        <f t="array" ref="V4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6" t="str" cm="1">
        <f t="array" ref="W4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6" t="str">
        <f>IF(COUNTIFS('Base Estudiantes'!$C:$C,tblMatriculas[[#This Row],[Cédula]],'Base Estudiantes'!$I:$I,tblMatriculas[[#This Row],[Código]])&gt;0,"Sí","No")</f>
        <v>Sí</v>
      </c>
      <c r="Z436" s="23" cm="1">
        <f t="array" ref="Z436">_xlfn.XLOOKUP(tblMatriculas[[#This Row],[Cédula]]&amp;"|"&amp;tblMatriculas[[#This Row],[Código]],tblBase[Documento]&amp;"|"&amp;tblBase[Código grupo],tblBase[Fecha matrícula],"")</f>
        <v>46262</v>
      </c>
    </row>
    <row r="437" spans="1:26" x14ac:dyDescent="0.2">
      <c r="A437" t="s">
        <v>961</v>
      </c>
      <c r="B437" t="s">
        <v>962</v>
      </c>
      <c r="C437" t="s">
        <v>13</v>
      </c>
      <c r="D437" t="s">
        <v>956</v>
      </c>
      <c r="E437" t="s">
        <v>957</v>
      </c>
      <c r="F437" t="s">
        <v>335</v>
      </c>
      <c r="G437" s="1">
        <v>0.13300000000000001</v>
      </c>
      <c r="H437" t="s">
        <v>112</v>
      </c>
      <c r="I437" t="s">
        <v>853</v>
      </c>
      <c r="J437" t="s">
        <v>854</v>
      </c>
      <c r="K437" t="s">
        <v>24</v>
      </c>
      <c r="L437" s="14">
        <f>IFERROR(VALUE(LEFT(tblMatriculas[[#This Row],[Clases]],FIND("/",tblMatriculas[[#This Row],[Clases]])-1)),"")</f>
        <v>4</v>
      </c>
      <c r="M437" s="14">
        <f>IFERROR(VALUE(MID(tblMatriculas[[#This Row],[Clases]],FIND("/",tblMatriculas[[#This Row],[Clases]])+1,5)),"")</f>
        <v>30</v>
      </c>
      <c r="N4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7" s="14">
        <f>IF(OR(tblMatriculas[[#This Row],[Estado]]&lt;&gt;"activa",tblMatriculas[[#This Row],[Clases dictadas]]=""),"",MAX(0,tblMatriculas[[#This Row],[Clases dictadas]]-tblMatriculas[[#This Row],[Asistidas]]))</f>
        <v>0</v>
      </c>
      <c r="P437" s="1">
        <f>IF(OR(tblMatriculas[[#This Row],[Estado]]&lt;&gt;"activa",tblMatriculas[[#This Row],[Asistidas]]=""),"",tblMatriculas[[#This Row],[Asistencia]])</f>
        <v>0.13300000000000001</v>
      </c>
      <c r="Q437" t="b">
        <f>AND(tblMatriculas[[#This Row],[Estado]]="activa",ISNUMBER(tblMatriculas[[#This Row],[% asistencia]]),NOT(ISNUMBER(SEARCH(pPrueba,tblMatriculas[[#This Row],[Nombre]]))))</f>
        <v>1</v>
      </c>
      <c r="R4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7" s="23" t="str" cm="1">
        <f t="array" ref="S4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7" s="23" t="str" cm="1">
        <f t="array" ref="T4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7" s="14" t="str" cm="1">
        <f t="array" ref="U4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7" t="str" cm="1">
        <f t="array" ref="V4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7" t="str" cm="1">
        <f t="array" ref="W4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7" t="str">
        <f>IF(COUNTIFS('Base Estudiantes'!$C:$C,tblMatriculas[[#This Row],[Cédula]],'Base Estudiantes'!$I:$I,tblMatriculas[[#This Row],[Código]])&gt;0,"Sí","No")</f>
        <v>Sí</v>
      </c>
      <c r="Z437" s="23" cm="1">
        <f t="array" ref="Z437">_xlfn.XLOOKUP(tblMatriculas[[#This Row],[Cédula]]&amp;"|"&amp;tblMatriculas[[#This Row],[Código]],tblBase[Documento]&amp;"|"&amp;tblBase[Código grupo],tblBase[Fecha matrícula],"")</f>
        <v>46262</v>
      </c>
    </row>
    <row r="438" spans="1:26" x14ac:dyDescent="0.2">
      <c r="A438" t="s">
        <v>963</v>
      </c>
      <c r="B438" t="s">
        <v>964</v>
      </c>
      <c r="C438" t="s">
        <v>13</v>
      </c>
      <c r="D438" t="s">
        <v>956</v>
      </c>
      <c r="E438" t="s">
        <v>957</v>
      </c>
      <c r="F438" t="s">
        <v>335</v>
      </c>
      <c r="G438" s="1">
        <v>0.13300000000000001</v>
      </c>
      <c r="H438" t="s">
        <v>112</v>
      </c>
      <c r="I438" t="s">
        <v>853</v>
      </c>
      <c r="J438" t="s">
        <v>854</v>
      </c>
      <c r="K438" t="s">
        <v>24</v>
      </c>
      <c r="L438" s="14">
        <f>IFERROR(VALUE(LEFT(tblMatriculas[[#This Row],[Clases]],FIND("/",tblMatriculas[[#This Row],[Clases]])-1)),"")</f>
        <v>4</v>
      </c>
      <c r="M438" s="14">
        <f>IFERROR(VALUE(MID(tblMatriculas[[#This Row],[Clases]],FIND("/",tblMatriculas[[#This Row],[Clases]])+1,5)),"")</f>
        <v>30</v>
      </c>
      <c r="N4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8" s="14">
        <f>IF(OR(tblMatriculas[[#This Row],[Estado]]&lt;&gt;"activa",tblMatriculas[[#This Row],[Clases dictadas]]=""),"",MAX(0,tblMatriculas[[#This Row],[Clases dictadas]]-tblMatriculas[[#This Row],[Asistidas]]))</f>
        <v>0</v>
      </c>
      <c r="P438" s="1">
        <f>IF(OR(tblMatriculas[[#This Row],[Estado]]&lt;&gt;"activa",tblMatriculas[[#This Row],[Asistidas]]=""),"",tblMatriculas[[#This Row],[Asistencia]])</f>
        <v>0.13300000000000001</v>
      </c>
      <c r="Q438" t="b">
        <f>AND(tblMatriculas[[#This Row],[Estado]]="activa",ISNUMBER(tblMatriculas[[#This Row],[% asistencia]]),NOT(ISNUMBER(SEARCH(pPrueba,tblMatriculas[[#This Row],[Nombre]]))))</f>
        <v>1</v>
      </c>
      <c r="R4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8" s="23" t="str" cm="1">
        <f t="array" ref="S4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8" s="23" t="str" cm="1">
        <f t="array" ref="T4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8" s="14" t="str" cm="1">
        <f t="array" ref="U4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8" t="str" cm="1">
        <f t="array" ref="V4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8" t="str" cm="1">
        <f t="array" ref="W4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8" t="str">
        <f>IF(COUNTIFS('Base Estudiantes'!$C:$C,tblMatriculas[[#This Row],[Cédula]],'Base Estudiantes'!$I:$I,tblMatriculas[[#This Row],[Código]])&gt;0,"Sí","No")</f>
        <v>Sí</v>
      </c>
      <c r="Z438" s="23" cm="1">
        <f t="array" ref="Z438">_xlfn.XLOOKUP(tblMatriculas[[#This Row],[Cédula]]&amp;"|"&amp;tblMatriculas[[#This Row],[Código]],tblBase[Documento]&amp;"|"&amp;tblBase[Código grupo],tblBase[Fecha matrícula],"")</f>
        <v>46262</v>
      </c>
    </row>
    <row r="439" spans="1:26" x14ac:dyDescent="0.2">
      <c r="A439" t="s">
        <v>965</v>
      </c>
      <c r="B439" t="s">
        <v>966</v>
      </c>
      <c r="C439" t="s">
        <v>13</v>
      </c>
      <c r="D439" t="s">
        <v>956</v>
      </c>
      <c r="E439" t="s">
        <v>957</v>
      </c>
      <c r="F439" t="s">
        <v>335</v>
      </c>
      <c r="G439" s="1">
        <v>0.1</v>
      </c>
      <c r="H439" t="s">
        <v>117</v>
      </c>
      <c r="I439" t="s">
        <v>853</v>
      </c>
      <c r="J439" t="s">
        <v>854</v>
      </c>
      <c r="K439" t="s">
        <v>24</v>
      </c>
      <c r="L439" s="14">
        <f>IFERROR(VALUE(LEFT(tblMatriculas[[#This Row],[Clases]],FIND("/",tblMatriculas[[#This Row],[Clases]])-1)),"")</f>
        <v>3</v>
      </c>
      <c r="M439" s="14">
        <f>IFERROR(VALUE(MID(tblMatriculas[[#This Row],[Clases]],FIND("/",tblMatriculas[[#This Row],[Clases]])+1,5)),"")</f>
        <v>30</v>
      </c>
      <c r="N4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39" s="14">
        <f>IF(OR(tblMatriculas[[#This Row],[Estado]]&lt;&gt;"activa",tblMatriculas[[#This Row],[Clases dictadas]]=""),"",MAX(0,tblMatriculas[[#This Row],[Clases dictadas]]-tblMatriculas[[#This Row],[Asistidas]]))</f>
        <v>1</v>
      </c>
      <c r="P439" s="1">
        <f>IF(OR(tblMatriculas[[#This Row],[Estado]]&lt;&gt;"activa",tblMatriculas[[#This Row],[Asistidas]]=""),"",tblMatriculas[[#This Row],[Asistencia]])</f>
        <v>0.1</v>
      </c>
      <c r="Q439" t="b">
        <f>AND(tblMatriculas[[#This Row],[Estado]]="activa",ISNUMBER(tblMatriculas[[#This Row],[% asistencia]]),NOT(ISNUMBER(SEARCH(pPrueba,tblMatriculas[[#This Row],[Nombre]]))))</f>
        <v>1</v>
      </c>
      <c r="R4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39" s="23" t="str" cm="1">
        <f t="array" ref="S4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39" s="23" t="str" cm="1">
        <f t="array" ref="T4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39" s="14" t="str" cm="1">
        <f t="array" ref="U4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39" t="str" cm="1">
        <f t="array" ref="V4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39" t="str" cm="1">
        <f t="array" ref="W4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39" t="str">
        <f>IF(COUNTIFS('Base Estudiantes'!$C:$C,tblMatriculas[[#This Row],[Cédula]],'Base Estudiantes'!$I:$I,tblMatriculas[[#This Row],[Código]])&gt;0,"Sí","No")</f>
        <v>Sí</v>
      </c>
      <c r="Z439" s="23" cm="1">
        <f t="array" ref="Z439">_xlfn.XLOOKUP(tblMatriculas[[#This Row],[Cédula]]&amp;"|"&amp;tblMatriculas[[#This Row],[Código]],tblBase[Documento]&amp;"|"&amp;tblBase[Código grupo],tblBase[Fecha matrícula],"")</f>
        <v>46262</v>
      </c>
    </row>
    <row r="440" spans="1:26" x14ac:dyDescent="0.2">
      <c r="A440" t="s">
        <v>967</v>
      </c>
      <c r="B440" t="s">
        <v>968</v>
      </c>
      <c r="C440" t="s">
        <v>13</v>
      </c>
      <c r="D440" t="s">
        <v>956</v>
      </c>
      <c r="E440" t="s">
        <v>957</v>
      </c>
      <c r="F440" t="s">
        <v>335</v>
      </c>
      <c r="G440" s="1">
        <v>0.13300000000000001</v>
      </c>
      <c r="H440" t="s">
        <v>112</v>
      </c>
      <c r="I440" t="s">
        <v>853</v>
      </c>
      <c r="J440" t="s">
        <v>854</v>
      </c>
      <c r="K440" t="s">
        <v>24</v>
      </c>
      <c r="L440" s="14">
        <f>IFERROR(VALUE(LEFT(tblMatriculas[[#This Row],[Clases]],FIND("/",tblMatriculas[[#This Row],[Clases]])-1)),"")</f>
        <v>4</v>
      </c>
      <c r="M440" s="14">
        <f>IFERROR(VALUE(MID(tblMatriculas[[#This Row],[Clases]],FIND("/",tblMatriculas[[#This Row],[Clases]])+1,5)),"")</f>
        <v>30</v>
      </c>
      <c r="N4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0" s="14">
        <f>IF(OR(tblMatriculas[[#This Row],[Estado]]&lt;&gt;"activa",tblMatriculas[[#This Row],[Clases dictadas]]=""),"",MAX(0,tblMatriculas[[#This Row],[Clases dictadas]]-tblMatriculas[[#This Row],[Asistidas]]))</f>
        <v>0</v>
      </c>
      <c r="P440" s="1">
        <f>IF(OR(tblMatriculas[[#This Row],[Estado]]&lt;&gt;"activa",tblMatriculas[[#This Row],[Asistidas]]=""),"",tblMatriculas[[#This Row],[Asistencia]])</f>
        <v>0.13300000000000001</v>
      </c>
      <c r="Q440" t="b">
        <f>AND(tblMatriculas[[#This Row],[Estado]]="activa",ISNUMBER(tblMatriculas[[#This Row],[% asistencia]]),NOT(ISNUMBER(SEARCH(pPrueba,tblMatriculas[[#This Row],[Nombre]]))))</f>
        <v>1</v>
      </c>
      <c r="R4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0" s="23" t="str" cm="1">
        <f t="array" ref="S4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0" s="23" t="str" cm="1">
        <f t="array" ref="T4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0" s="14" t="str" cm="1">
        <f t="array" ref="U4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0" t="str" cm="1">
        <f t="array" ref="V4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0" t="str" cm="1">
        <f t="array" ref="W4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0" t="str">
        <f>IF(COUNTIFS('Base Estudiantes'!$C:$C,tblMatriculas[[#This Row],[Cédula]],'Base Estudiantes'!$I:$I,tblMatriculas[[#This Row],[Código]])&gt;0,"Sí","No")</f>
        <v>Sí</v>
      </c>
      <c r="Z440" s="23" cm="1">
        <f t="array" ref="Z440">_xlfn.XLOOKUP(tblMatriculas[[#This Row],[Cédula]]&amp;"|"&amp;tblMatriculas[[#This Row],[Código]],tblBase[Documento]&amp;"|"&amp;tblBase[Código grupo],tblBase[Fecha matrícula],"")</f>
        <v>46262</v>
      </c>
    </row>
    <row r="441" spans="1:26" x14ac:dyDescent="0.2">
      <c r="A441" t="s">
        <v>969</v>
      </c>
      <c r="B441" t="s">
        <v>970</v>
      </c>
      <c r="C441" t="s">
        <v>13</v>
      </c>
      <c r="D441" t="s">
        <v>956</v>
      </c>
      <c r="E441" t="s">
        <v>957</v>
      </c>
      <c r="F441" t="s">
        <v>335</v>
      </c>
      <c r="G441" s="1">
        <v>0.13300000000000001</v>
      </c>
      <c r="H441" t="s">
        <v>112</v>
      </c>
      <c r="I441" t="s">
        <v>853</v>
      </c>
      <c r="J441" t="s">
        <v>854</v>
      </c>
      <c r="K441" t="s">
        <v>24</v>
      </c>
      <c r="L441" s="14">
        <f>IFERROR(VALUE(LEFT(tblMatriculas[[#This Row],[Clases]],FIND("/",tblMatriculas[[#This Row],[Clases]])-1)),"")</f>
        <v>4</v>
      </c>
      <c r="M441" s="14">
        <f>IFERROR(VALUE(MID(tblMatriculas[[#This Row],[Clases]],FIND("/",tblMatriculas[[#This Row],[Clases]])+1,5)),"")</f>
        <v>30</v>
      </c>
      <c r="N4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1" s="14">
        <f>IF(OR(tblMatriculas[[#This Row],[Estado]]&lt;&gt;"activa",tblMatriculas[[#This Row],[Clases dictadas]]=""),"",MAX(0,tblMatriculas[[#This Row],[Clases dictadas]]-tblMatriculas[[#This Row],[Asistidas]]))</f>
        <v>0</v>
      </c>
      <c r="P441" s="1">
        <f>IF(OR(tblMatriculas[[#This Row],[Estado]]&lt;&gt;"activa",tblMatriculas[[#This Row],[Asistidas]]=""),"",tblMatriculas[[#This Row],[Asistencia]])</f>
        <v>0.13300000000000001</v>
      </c>
      <c r="Q441" t="b">
        <f>AND(tblMatriculas[[#This Row],[Estado]]="activa",ISNUMBER(tblMatriculas[[#This Row],[% asistencia]]),NOT(ISNUMBER(SEARCH(pPrueba,tblMatriculas[[#This Row],[Nombre]]))))</f>
        <v>1</v>
      </c>
      <c r="R4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1" s="23" t="str" cm="1">
        <f t="array" ref="S4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1" s="23" t="str" cm="1">
        <f t="array" ref="T4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1" s="14" t="str" cm="1">
        <f t="array" ref="U4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1" t="str" cm="1">
        <f t="array" ref="V4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1" t="str" cm="1">
        <f t="array" ref="W4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1" t="str">
        <f>IF(COUNTIFS('Base Estudiantes'!$C:$C,tblMatriculas[[#This Row],[Cédula]],'Base Estudiantes'!$I:$I,tblMatriculas[[#This Row],[Código]])&gt;0,"Sí","No")</f>
        <v>Sí</v>
      </c>
      <c r="Z441" s="23" cm="1">
        <f t="array" ref="Z441">_xlfn.XLOOKUP(tblMatriculas[[#This Row],[Cédula]]&amp;"|"&amp;tblMatriculas[[#This Row],[Código]],tblBase[Documento]&amp;"|"&amp;tblBase[Código grupo],tblBase[Fecha matrícula],"")</f>
        <v>46262</v>
      </c>
    </row>
    <row r="442" spans="1:26" x14ac:dyDescent="0.2">
      <c r="A442" t="s">
        <v>971</v>
      </c>
      <c r="B442" t="s">
        <v>972</v>
      </c>
      <c r="C442" t="s">
        <v>13</v>
      </c>
      <c r="D442" t="s">
        <v>956</v>
      </c>
      <c r="E442" t="s">
        <v>957</v>
      </c>
      <c r="F442" t="s">
        <v>335</v>
      </c>
      <c r="G442" s="1">
        <v>0.13300000000000001</v>
      </c>
      <c r="H442" t="s">
        <v>112</v>
      </c>
      <c r="I442" t="s">
        <v>853</v>
      </c>
      <c r="J442" t="s">
        <v>854</v>
      </c>
      <c r="K442" t="s">
        <v>24</v>
      </c>
      <c r="L442" s="14">
        <f>IFERROR(VALUE(LEFT(tblMatriculas[[#This Row],[Clases]],FIND("/",tblMatriculas[[#This Row],[Clases]])-1)),"")</f>
        <v>4</v>
      </c>
      <c r="M442" s="14">
        <f>IFERROR(VALUE(MID(tblMatriculas[[#This Row],[Clases]],FIND("/",tblMatriculas[[#This Row],[Clases]])+1,5)),"")</f>
        <v>30</v>
      </c>
      <c r="N4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2" s="14">
        <f>IF(OR(tblMatriculas[[#This Row],[Estado]]&lt;&gt;"activa",tblMatriculas[[#This Row],[Clases dictadas]]=""),"",MAX(0,tblMatriculas[[#This Row],[Clases dictadas]]-tblMatriculas[[#This Row],[Asistidas]]))</f>
        <v>0</v>
      </c>
      <c r="P442" s="1">
        <f>IF(OR(tblMatriculas[[#This Row],[Estado]]&lt;&gt;"activa",tblMatriculas[[#This Row],[Asistidas]]=""),"",tblMatriculas[[#This Row],[Asistencia]])</f>
        <v>0.13300000000000001</v>
      </c>
      <c r="Q442" t="b">
        <f>AND(tblMatriculas[[#This Row],[Estado]]="activa",ISNUMBER(tblMatriculas[[#This Row],[% asistencia]]),NOT(ISNUMBER(SEARCH(pPrueba,tblMatriculas[[#This Row],[Nombre]]))))</f>
        <v>1</v>
      </c>
      <c r="R4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2" s="23" t="str" cm="1">
        <f t="array" ref="S4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2" s="23" t="str" cm="1">
        <f t="array" ref="T4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2" s="14" t="str" cm="1">
        <f t="array" ref="U4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2" t="str" cm="1">
        <f t="array" ref="V4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2" t="str" cm="1">
        <f t="array" ref="W4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2" t="str">
        <f>IF(COUNTIFS('Base Estudiantes'!$C:$C,tblMatriculas[[#This Row],[Cédula]],'Base Estudiantes'!$I:$I,tblMatriculas[[#This Row],[Código]])&gt;0,"Sí","No")</f>
        <v>Sí</v>
      </c>
      <c r="Z442" s="23" cm="1">
        <f t="array" ref="Z442">_xlfn.XLOOKUP(tblMatriculas[[#This Row],[Cédula]]&amp;"|"&amp;tblMatriculas[[#This Row],[Código]],tblBase[Documento]&amp;"|"&amp;tblBase[Código grupo],tblBase[Fecha matrícula],"")</f>
        <v>46262</v>
      </c>
    </row>
    <row r="443" spans="1:26" x14ac:dyDescent="0.2">
      <c r="A443" t="s">
        <v>973</v>
      </c>
      <c r="B443" t="s">
        <v>974</v>
      </c>
      <c r="C443" t="s">
        <v>13</v>
      </c>
      <c r="D443" t="s">
        <v>956</v>
      </c>
      <c r="E443" t="s">
        <v>957</v>
      </c>
      <c r="F443" t="s">
        <v>335</v>
      </c>
      <c r="G443" s="1">
        <v>0.1</v>
      </c>
      <c r="H443" t="s">
        <v>117</v>
      </c>
      <c r="I443" t="s">
        <v>853</v>
      </c>
      <c r="J443" t="s">
        <v>854</v>
      </c>
      <c r="K443" t="s">
        <v>24</v>
      </c>
      <c r="L443" s="14">
        <f>IFERROR(VALUE(LEFT(tblMatriculas[[#This Row],[Clases]],FIND("/",tblMatriculas[[#This Row],[Clases]])-1)),"")</f>
        <v>3</v>
      </c>
      <c r="M443" s="14">
        <f>IFERROR(VALUE(MID(tblMatriculas[[#This Row],[Clases]],FIND("/",tblMatriculas[[#This Row],[Clases]])+1,5)),"")</f>
        <v>30</v>
      </c>
      <c r="N4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3" s="14">
        <f>IF(OR(tblMatriculas[[#This Row],[Estado]]&lt;&gt;"activa",tblMatriculas[[#This Row],[Clases dictadas]]=""),"",MAX(0,tblMatriculas[[#This Row],[Clases dictadas]]-tblMatriculas[[#This Row],[Asistidas]]))</f>
        <v>1</v>
      </c>
      <c r="P443" s="1">
        <f>IF(OR(tblMatriculas[[#This Row],[Estado]]&lt;&gt;"activa",tblMatriculas[[#This Row],[Asistidas]]=""),"",tblMatriculas[[#This Row],[Asistencia]])</f>
        <v>0.1</v>
      </c>
      <c r="Q443" t="b">
        <f>AND(tblMatriculas[[#This Row],[Estado]]="activa",ISNUMBER(tblMatriculas[[#This Row],[% asistencia]]),NOT(ISNUMBER(SEARCH(pPrueba,tblMatriculas[[#This Row],[Nombre]]))))</f>
        <v>1</v>
      </c>
      <c r="R4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3" s="23" t="str" cm="1">
        <f t="array" ref="S4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3" s="23" t="str" cm="1">
        <f t="array" ref="T4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3" s="14" t="str" cm="1">
        <f t="array" ref="U4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3" t="str" cm="1">
        <f t="array" ref="V4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3" t="str" cm="1">
        <f t="array" ref="W4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3" t="str">
        <f>IF(COUNTIFS('Base Estudiantes'!$C:$C,tblMatriculas[[#This Row],[Cédula]],'Base Estudiantes'!$I:$I,tblMatriculas[[#This Row],[Código]])&gt;0,"Sí","No")</f>
        <v>Sí</v>
      </c>
      <c r="Z443" s="23" cm="1">
        <f t="array" ref="Z443">_xlfn.XLOOKUP(tblMatriculas[[#This Row],[Cédula]]&amp;"|"&amp;tblMatriculas[[#This Row],[Código]],tblBase[Documento]&amp;"|"&amp;tblBase[Código grupo],tblBase[Fecha matrícula],"")</f>
        <v>46262</v>
      </c>
    </row>
    <row r="444" spans="1:26" x14ac:dyDescent="0.2">
      <c r="A444" t="s">
        <v>975</v>
      </c>
      <c r="B444" t="s">
        <v>976</v>
      </c>
      <c r="C444" t="s">
        <v>13</v>
      </c>
      <c r="D444" t="s">
        <v>956</v>
      </c>
      <c r="E444" t="s">
        <v>957</v>
      </c>
      <c r="F444" t="s">
        <v>335</v>
      </c>
      <c r="G444" s="1">
        <v>0.13300000000000001</v>
      </c>
      <c r="H444" t="s">
        <v>112</v>
      </c>
      <c r="I444" t="s">
        <v>853</v>
      </c>
      <c r="J444" t="s">
        <v>854</v>
      </c>
      <c r="K444" t="s">
        <v>24</v>
      </c>
      <c r="L444" s="14">
        <f>IFERROR(VALUE(LEFT(tblMatriculas[[#This Row],[Clases]],FIND("/",tblMatriculas[[#This Row],[Clases]])-1)),"")</f>
        <v>4</v>
      </c>
      <c r="M444" s="14">
        <f>IFERROR(VALUE(MID(tblMatriculas[[#This Row],[Clases]],FIND("/",tblMatriculas[[#This Row],[Clases]])+1,5)),"")</f>
        <v>30</v>
      </c>
      <c r="N4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4" s="14">
        <f>IF(OR(tblMatriculas[[#This Row],[Estado]]&lt;&gt;"activa",tblMatriculas[[#This Row],[Clases dictadas]]=""),"",MAX(0,tblMatriculas[[#This Row],[Clases dictadas]]-tblMatriculas[[#This Row],[Asistidas]]))</f>
        <v>0</v>
      </c>
      <c r="P444" s="1">
        <f>IF(OR(tblMatriculas[[#This Row],[Estado]]&lt;&gt;"activa",tblMatriculas[[#This Row],[Asistidas]]=""),"",tblMatriculas[[#This Row],[Asistencia]])</f>
        <v>0.13300000000000001</v>
      </c>
      <c r="Q444" t="b">
        <f>AND(tblMatriculas[[#This Row],[Estado]]="activa",ISNUMBER(tblMatriculas[[#This Row],[% asistencia]]),NOT(ISNUMBER(SEARCH(pPrueba,tblMatriculas[[#This Row],[Nombre]]))))</f>
        <v>1</v>
      </c>
      <c r="R4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4" s="23" t="str" cm="1">
        <f t="array" ref="S4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4" s="23" t="str" cm="1">
        <f t="array" ref="T4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4" s="14" t="str" cm="1">
        <f t="array" ref="U4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4" t="str" cm="1">
        <f t="array" ref="V4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4" t="str" cm="1">
        <f t="array" ref="W4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4" t="str">
        <f>IF(COUNTIFS('Base Estudiantes'!$C:$C,tblMatriculas[[#This Row],[Cédula]],'Base Estudiantes'!$I:$I,tblMatriculas[[#This Row],[Código]])&gt;0,"Sí","No")</f>
        <v>Sí</v>
      </c>
      <c r="Z444" s="23" cm="1">
        <f t="array" ref="Z444">_xlfn.XLOOKUP(tblMatriculas[[#This Row],[Cédula]]&amp;"|"&amp;tblMatriculas[[#This Row],[Código]],tblBase[Documento]&amp;"|"&amp;tblBase[Código grupo],tblBase[Fecha matrícula],"")</f>
        <v>46262</v>
      </c>
    </row>
    <row r="445" spans="1:26" x14ac:dyDescent="0.2">
      <c r="A445" t="s">
        <v>977</v>
      </c>
      <c r="B445" t="s">
        <v>978</v>
      </c>
      <c r="C445" t="s">
        <v>13</v>
      </c>
      <c r="D445" t="s">
        <v>956</v>
      </c>
      <c r="E445" t="s">
        <v>957</v>
      </c>
      <c r="F445" t="s">
        <v>335</v>
      </c>
      <c r="G445" s="1">
        <v>0.1</v>
      </c>
      <c r="H445" t="s">
        <v>117</v>
      </c>
      <c r="I445" t="s">
        <v>853</v>
      </c>
      <c r="J445" t="s">
        <v>854</v>
      </c>
      <c r="K445" t="s">
        <v>24</v>
      </c>
      <c r="L445" s="14">
        <f>IFERROR(VALUE(LEFT(tblMatriculas[[#This Row],[Clases]],FIND("/",tblMatriculas[[#This Row],[Clases]])-1)),"")</f>
        <v>3</v>
      </c>
      <c r="M445" s="14">
        <f>IFERROR(VALUE(MID(tblMatriculas[[#This Row],[Clases]],FIND("/",tblMatriculas[[#This Row],[Clases]])+1,5)),"")</f>
        <v>30</v>
      </c>
      <c r="N4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5" s="14">
        <f>IF(OR(tblMatriculas[[#This Row],[Estado]]&lt;&gt;"activa",tblMatriculas[[#This Row],[Clases dictadas]]=""),"",MAX(0,tblMatriculas[[#This Row],[Clases dictadas]]-tblMatriculas[[#This Row],[Asistidas]]))</f>
        <v>1</v>
      </c>
      <c r="P445" s="1">
        <f>IF(OR(tblMatriculas[[#This Row],[Estado]]&lt;&gt;"activa",tblMatriculas[[#This Row],[Asistidas]]=""),"",tblMatriculas[[#This Row],[Asistencia]])</f>
        <v>0.1</v>
      </c>
      <c r="Q445" t="b">
        <f>AND(tblMatriculas[[#This Row],[Estado]]="activa",ISNUMBER(tblMatriculas[[#This Row],[% asistencia]]),NOT(ISNUMBER(SEARCH(pPrueba,tblMatriculas[[#This Row],[Nombre]]))))</f>
        <v>1</v>
      </c>
      <c r="R4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5" s="23" t="str" cm="1">
        <f t="array" ref="S4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5" s="23" t="str" cm="1">
        <f t="array" ref="T4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5" s="14" t="str" cm="1">
        <f t="array" ref="U4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5" t="str" cm="1">
        <f t="array" ref="V4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5" t="str" cm="1">
        <f t="array" ref="W4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5" t="str">
        <f>IF(COUNTIFS('Base Estudiantes'!$C:$C,tblMatriculas[[#This Row],[Cédula]],'Base Estudiantes'!$I:$I,tblMatriculas[[#This Row],[Código]])&gt;0,"Sí","No")</f>
        <v>Sí</v>
      </c>
      <c r="Z445" s="23" cm="1">
        <f t="array" ref="Z445">_xlfn.XLOOKUP(tblMatriculas[[#This Row],[Cédula]]&amp;"|"&amp;tblMatriculas[[#This Row],[Código]],tblBase[Documento]&amp;"|"&amp;tblBase[Código grupo],tblBase[Fecha matrícula],"")</f>
        <v>46262</v>
      </c>
    </row>
    <row r="446" spans="1:26" x14ac:dyDescent="0.2">
      <c r="A446" t="s">
        <v>979</v>
      </c>
      <c r="B446" t="s">
        <v>980</v>
      </c>
      <c r="C446" t="s">
        <v>13</v>
      </c>
      <c r="D446" t="s">
        <v>956</v>
      </c>
      <c r="E446" t="s">
        <v>957</v>
      </c>
      <c r="F446" t="s">
        <v>335</v>
      </c>
      <c r="G446" s="1">
        <v>0</v>
      </c>
      <c r="H446" t="s">
        <v>254</v>
      </c>
      <c r="I446" t="s">
        <v>853</v>
      </c>
      <c r="J446" t="s">
        <v>854</v>
      </c>
      <c r="K446" t="s">
        <v>24</v>
      </c>
      <c r="L446" s="14">
        <f>IFERROR(VALUE(LEFT(tblMatriculas[[#This Row],[Clases]],FIND("/",tblMatriculas[[#This Row],[Clases]])-1)),"")</f>
        <v>0</v>
      </c>
      <c r="M446" s="14">
        <f>IFERROR(VALUE(MID(tblMatriculas[[#This Row],[Clases]],FIND("/",tblMatriculas[[#This Row],[Clases]])+1,5)),"")</f>
        <v>30</v>
      </c>
      <c r="N4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6" s="14">
        <f>IF(OR(tblMatriculas[[#This Row],[Estado]]&lt;&gt;"activa",tblMatriculas[[#This Row],[Clases dictadas]]=""),"",MAX(0,tblMatriculas[[#This Row],[Clases dictadas]]-tblMatriculas[[#This Row],[Asistidas]]))</f>
        <v>4</v>
      </c>
      <c r="P446" s="1">
        <f>IF(OR(tblMatriculas[[#This Row],[Estado]]&lt;&gt;"activa",tblMatriculas[[#This Row],[Asistidas]]=""),"",tblMatriculas[[#This Row],[Asistencia]])</f>
        <v>0</v>
      </c>
      <c r="Q446" t="b">
        <f>AND(tblMatriculas[[#This Row],[Estado]]="activa",ISNUMBER(tblMatriculas[[#This Row],[% asistencia]]),NOT(ISNUMBER(SEARCH(pPrueba,tblMatriculas[[#This Row],[Nombre]]))))</f>
        <v>1</v>
      </c>
      <c r="R4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46" s="23" t="str" cm="1">
        <f t="array" ref="S4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6" s="23" t="str" cm="1">
        <f t="array" ref="T4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6" s="14" t="str" cm="1">
        <f t="array" ref="U4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6" t="str" cm="1">
        <f t="array" ref="V4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6" t="str" cm="1">
        <f t="array" ref="W4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46" t="str">
        <f>IF(COUNTIFS('Base Estudiantes'!$C:$C,tblMatriculas[[#This Row],[Cédula]],'Base Estudiantes'!$I:$I,tblMatriculas[[#This Row],[Código]])&gt;0,"Sí","No")</f>
        <v>Sí</v>
      </c>
      <c r="Z446" s="23" cm="1">
        <f t="array" ref="Z446">_xlfn.XLOOKUP(tblMatriculas[[#This Row],[Cédula]]&amp;"|"&amp;tblMatriculas[[#This Row],[Código]],tblBase[Documento]&amp;"|"&amp;tblBase[Código grupo],tblBase[Fecha matrícula],"")</f>
        <v>46262</v>
      </c>
    </row>
    <row r="447" spans="1:26" x14ac:dyDescent="0.2">
      <c r="A447" t="s">
        <v>981</v>
      </c>
      <c r="B447" t="s">
        <v>982</v>
      </c>
      <c r="C447" t="s">
        <v>13</v>
      </c>
      <c r="D447" t="s">
        <v>956</v>
      </c>
      <c r="E447" t="s">
        <v>957</v>
      </c>
      <c r="F447" t="s">
        <v>335</v>
      </c>
      <c r="G447" s="1">
        <v>0.13300000000000001</v>
      </c>
      <c r="H447" t="s">
        <v>112</v>
      </c>
      <c r="I447" t="s">
        <v>853</v>
      </c>
      <c r="J447" t="s">
        <v>854</v>
      </c>
      <c r="K447" t="s">
        <v>24</v>
      </c>
      <c r="L447" s="14">
        <f>IFERROR(VALUE(LEFT(tblMatriculas[[#This Row],[Clases]],FIND("/",tblMatriculas[[#This Row],[Clases]])-1)),"")</f>
        <v>4</v>
      </c>
      <c r="M447" s="14">
        <f>IFERROR(VALUE(MID(tblMatriculas[[#This Row],[Clases]],FIND("/",tblMatriculas[[#This Row],[Clases]])+1,5)),"")</f>
        <v>30</v>
      </c>
      <c r="N4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7" s="14">
        <f>IF(OR(tblMatriculas[[#This Row],[Estado]]&lt;&gt;"activa",tblMatriculas[[#This Row],[Clases dictadas]]=""),"",MAX(0,tblMatriculas[[#This Row],[Clases dictadas]]-tblMatriculas[[#This Row],[Asistidas]]))</f>
        <v>0</v>
      </c>
      <c r="P447" s="1">
        <f>IF(OR(tblMatriculas[[#This Row],[Estado]]&lt;&gt;"activa",tblMatriculas[[#This Row],[Asistidas]]=""),"",tblMatriculas[[#This Row],[Asistencia]])</f>
        <v>0.13300000000000001</v>
      </c>
      <c r="Q447" t="b">
        <f>AND(tblMatriculas[[#This Row],[Estado]]="activa",ISNUMBER(tblMatriculas[[#This Row],[% asistencia]]),NOT(ISNUMBER(SEARCH(pPrueba,tblMatriculas[[#This Row],[Nombre]]))))</f>
        <v>1</v>
      </c>
      <c r="R4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7" s="23" t="str" cm="1">
        <f t="array" ref="S4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7" s="23" t="str" cm="1">
        <f t="array" ref="T4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7" s="14" t="str" cm="1">
        <f t="array" ref="U4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7" t="str" cm="1">
        <f t="array" ref="V4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7" t="str" cm="1">
        <f t="array" ref="W4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7" t="str">
        <f>IF(COUNTIFS('Base Estudiantes'!$C:$C,tblMatriculas[[#This Row],[Cédula]],'Base Estudiantes'!$I:$I,tblMatriculas[[#This Row],[Código]])&gt;0,"Sí","No")</f>
        <v>Sí</v>
      </c>
      <c r="Z447" s="23" cm="1">
        <f t="array" ref="Z447">_xlfn.XLOOKUP(tblMatriculas[[#This Row],[Cédula]]&amp;"|"&amp;tblMatriculas[[#This Row],[Código]],tblBase[Documento]&amp;"|"&amp;tblBase[Código grupo],tblBase[Fecha matrícula],"")</f>
        <v>46262</v>
      </c>
    </row>
    <row r="448" spans="1:26" x14ac:dyDescent="0.2">
      <c r="A448" t="s">
        <v>983</v>
      </c>
      <c r="B448" t="s">
        <v>984</v>
      </c>
      <c r="C448" t="s">
        <v>13</v>
      </c>
      <c r="D448" t="s">
        <v>956</v>
      </c>
      <c r="E448" t="s">
        <v>957</v>
      </c>
      <c r="F448" t="s">
        <v>335</v>
      </c>
      <c r="G448" s="1">
        <v>0.13300000000000001</v>
      </c>
      <c r="H448" t="s">
        <v>112</v>
      </c>
      <c r="I448" t="s">
        <v>853</v>
      </c>
      <c r="J448" t="s">
        <v>854</v>
      </c>
      <c r="K448" t="s">
        <v>24</v>
      </c>
      <c r="L448" s="14">
        <f>IFERROR(VALUE(LEFT(tblMatriculas[[#This Row],[Clases]],FIND("/",tblMatriculas[[#This Row],[Clases]])-1)),"")</f>
        <v>4</v>
      </c>
      <c r="M448" s="14">
        <f>IFERROR(VALUE(MID(tblMatriculas[[#This Row],[Clases]],FIND("/",tblMatriculas[[#This Row],[Clases]])+1,5)),"")</f>
        <v>30</v>
      </c>
      <c r="N4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8" s="14">
        <f>IF(OR(tblMatriculas[[#This Row],[Estado]]&lt;&gt;"activa",tblMatriculas[[#This Row],[Clases dictadas]]=""),"",MAX(0,tblMatriculas[[#This Row],[Clases dictadas]]-tblMatriculas[[#This Row],[Asistidas]]))</f>
        <v>0</v>
      </c>
      <c r="P448" s="1">
        <f>IF(OR(tblMatriculas[[#This Row],[Estado]]&lt;&gt;"activa",tblMatriculas[[#This Row],[Asistidas]]=""),"",tblMatriculas[[#This Row],[Asistencia]])</f>
        <v>0.13300000000000001</v>
      </c>
      <c r="Q448" t="b">
        <f>AND(tblMatriculas[[#This Row],[Estado]]="activa",ISNUMBER(tblMatriculas[[#This Row],[% asistencia]]),NOT(ISNUMBER(SEARCH(pPrueba,tblMatriculas[[#This Row],[Nombre]]))))</f>
        <v>1</v>
      </c>
      <c r="R4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8" s="23" t="str" cm="1">
        <f t="array" ref="S4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8" s="23" t="str" cm="1">
        <f t="array" ref="T4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8" s="14" t="str" cm="1">
        <f t="array" ref="U4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8" t="str" cm="1">
        <f t="array" ref="V4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8" t="str" cm="1">
        <f t="array" ref="W4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8" t="str">
        <f>IF(COUNTIFS('Base Estudiantes'!$C:$C,tblMatriculas[[#This Row],[Cédula]],'Base Estudiantes'!$I:$I,tblMatriculas[[#This Row],[Código]])&gt;0,"Sí","No")</f>
        <v>Sí</v>
      </c>
      <c r="Z448" s="23" cm="1">
        <f t="array" ref="Z448">_xlfn.XLOOKUP(tblMatriculas[[#This Row],[Cédula]]&amp;"|"&amp;tblMatriculas[[#This Row],[Código]],tblBase[Documento]&amp;"|"&amp;tblBase[Código grupo],tblBase[Fecha matrícula],"")</f>
        <v>46262</v>
      </c>
    </row>
    <row r="449" spans="1:26" x14ac:dyDescent="0.2">
      <c r="A449" t="s">
        <v>985</v>
      </c>
      <c r="B449" t="s">
        <v>986</v>
      </c>
      <c r="C449" t="s">
        <v>13</v>
      </c>
      <c r="D449" t="s">
        <v>956</v>
      </c>
      <c r="E449" t="s">
        <v>957</v>
      </c>
      <c r="F449" t="s">
        <v>335</v>
      </c>
      <c r="G449" s="1">
        <v>0.1</v>
      </c>
      <c r="H449" t="s">
        <v>117</v>
      </c>
      <c r="I449" t="s">
        <v>853</v>
      </c>
      <c r="J449" t="s">
        <v>854</v>
      </c>
      <c r="K449" t="s">
        <v>24</v>
      </c>
      <c r="L449" s="14">
        <f>IFERROR(VALUE(LEFT(tblMatriculas[[#This Row],[Clases]],FIND("/",tblMatriculas[[#This Row],[Clases]])-1)),"")</f>
        <v>3</v>
      </c>
      <c r="M449" s="14">
        <f>IFERROR(VALUE(MID(tblMatriculas[[#This Row],[Clases]],FIND("/",tblMatriculas[[#This Row],[Clases]])+1,5)),"")</f>
        <v>30</v>
      </c>
      <c r="N4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49" s="14">
        <f>IF(OR(tblMatriculas[[#This Row],[Estado]]&lt;&gt;"activa",tblMatriculas[[#This Row],[Clases dictadas]]=""),"",MAX(0,tblMatriculas[[#This Row],[Clases dictadas]]-tblMatriculas[[#This Row],[Asistidas]]))</f>
        <v>1</v>
      </c>
      <c r="P449" s="1">
        <f>IF(OR(tblMatriculas[[#This Row],[Estado]]&lt;&gt;"activa",tblMatriculas[[#This Row],[Asistidas]]=""),"",tblMatriculas[[#This Row],[Asistencia]])</f>
        <v>0.1</v>
      </c>
      <c r="Q449" t="b">
        <f>AND(tblMatriculas[[#This Row],[Estado]]="activa",ISNUMBER(tblMatriculas[[#This Row],[% asistencia]]),NOT(ISNUMBER(SEARCH(pPrueba,tblMatriculas[[#This Row],[Nombre]]))))</f>
        <v>1</v>
      </c>
      <c r="R4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49" s="23" t="str" cm="1">
        <f t="array" ref="S4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49" s="23" t="str" cm="1">
        <f t="array" ref="T4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49" s="14" t="str" cm="1">
        <f t="array" ref="U4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49" t="str" cm="1">
        <f t="array" ref="V4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49" t="str" cm="1">
        <f t="array" ref="W4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49" t="str">
        <f>IF(COUNTIFS('Base Estudiantes'!$C:$C,tblMatriculas[[#This Row],[Cédula]],'Base Estudiantes'!$I:$I,tblMatriculas[[#This Row],[Código]])&gt;0,"Sí","No")</f>
        <v>Sí</v>
      </c>
      <c r="Z449" s="23" cm="1">
        <f t="array" ref="Z449">_xlfn.XLOOKUP(tblMatriculas[[#This Row],[Cédula]]&amp;"|"&amp;tblMatriculas[[#This Row],[Código]],tblBase[Documento]&amp;"|"&amp;tblBase[Código grupo],tblBase[Fecha matrícula],"")</f>
        <v>46262</v>
      </c>
    </row>
    <row r="450" spans="1:26" x14ac:dyDescent="0.2">
      <c r="A450" t="s">
        <v>987</v>
      </c>
      <c r="B450" t="s">
        <v>988</v>
      </c>
      <c r="C450" t="s">
        <v>13</v>
      </c>
      <c r="D450" t="s">
        <v>956</v>
      </c>
      <c r="E450" t="s">
        <v>957</v>
      </c>
      <c r="F450" t="s">
        <v>335</v>
      </c>
      <c r="G450" s="1">
        <v>0</v>
      </c>
      <c r="H450" t="s">
        <v>254</v>
      </c>
      <c r="I450" t="s">
        <v>853</v>
      </c>
      <c r="J450" t="s">
        <v>854</v>
      </c>
      <c r="K450" t="s">
        <v>24</v>
      </c>
      <c r="L450" s="14">
        <f>IFERROR(VALUE(LEFT(tblMatriculas[[#This Row],[Clases]],FIND("/",tblMatriculas[[#This Row],[Clases]])-1)),"")</f>
        <v>0</v>
      </c>
      <c r="M450" s="14">
        <f>IFERROR(VALUE(MID(tblMatriculas[[#This Row],[Clases]],FIND("/",tblMatriculas[[#This Row],[Clases]])+1,5)),"")</f>
        <v>30</v>
      </c>
      <c r="N4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0" s="14">
        <f>IF(OR(tblMatriculas[[#This Row],[Estado]]&lt;&gt;"activa",tblMatriculas[[#This Row],[Clases dictadas]]=""),"",MAX(0,tblMatriculas[[#This Row],[Clases dictadas]]-tblMatriculas[[#This Row],[Asistidas]]))</f>
        <v>4</v>
      </c>
      <c r="P450" s="1">
        <f>IF(OR(tblMatriculas[[#This Row],[Estado]]&lt;&gt;"activa",tblMatriculas[[#This Row],[Asistidas]]=""),"",tblMatriculas[[#This Row],[Asistencia]])</f>
        <v>0</v>
      </c>
      <c r="Q450" t="b">
        <f>AND(tblMatriculas[[#This Row],[Estado]]="activa",ISNUMBER(tblMatriculas[[#This Row],[% asistencia]]),NOT(ISNUMBER(SEARCH(pPrueba,tblMatriculas[[#This Row],[Nombre]]))))</f>
        <v>1</v>
      </c>
      <c r="R4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50" s="23" t="str" cm="1">
        <f t="array" ref="S4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0" s="23" t="str" cm="1">
        <f t="array" ref="T4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0" s="14" t="str" cm="1">
        <f t="array" ref="U4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0" t="str" cm="1">
        <f t="array" ref="V4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0" t="str" cm="1">
        <f t="array" ref="W4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50" t="str">
        <f>IF(COUNTIFS('Base Estudiantes'!$C:$C,tblMatriculas[[#This Row],[Cédula]],'Base Estudiantes'!$I:$I,tblMatriculas[[#This Row],[Código]])&gt;0,"Sí","No")</f>
        <v>Sí</v>
      </c>
      <c r="Z450" s="23" cm="1">
        <f t="array" ref="Z450">_xlfn.XLOOKUP(tblMatriculas[[#This Row],[Cédula]]&amp;"|"&amp;tblMatriculas[[#This Row],[Código]],tblBase[Documento]&amp;"|"&amp;tblBase[Código grupo],tblBase[Fecha matrícula],"")</f>
        <v>46262</v>
      </c>
    </row>
    <row r="451" spans="1:26" x14ac:dyDescent="0.2">
      <c r="A451" t="s">
        <v>989</v>
      </c>
      <c r="B451" t="s">
        <v>990</v>
      </c>
      <c r="C451" t="s">
        <v>49</v>
      </c>
      <c r="D451" t="s">
        <v>956</v>
      </c>
      <c r="E451" t="s">
        <v>957</v>
      </c>
      <c r="F451" t="s">
        <v>335</v>
      </c>
      <c r="G451" s="1">
        <v>3.3000000000000002E-2</v>
      </c>
      <c r="H451" t="s">
        <v>225</v>
      </c>
      <c r="I451" t="s">
        <v>853</v>
      </c>
      <c r="J451" t="s">
        <v>854</v>
      </c>
      <c r="K451" t="s">
        <v>24</v>
      </c>
      <c r="L451" s="14">
        <f>IFERROR(VALUE(LEFT(tblMatriculas[[#This Row],[Clases]],FIND("/",tblMatriculas[[#This Row],[Clases]])-1)),"")</f>
        <v>1</v>
      </c>
      <c r="M451" s="14">
        <f>IFERROR(VALUE(MID(tblMatriculas[[#This Row],[Clases]],FIND("/",tblMatriculas[[#This Row],[Clases]])+1,5)),"")</f>
        <v>30</v>
      </c>
      <c r="N4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1" s="14" t="str">
        <f>IF(OR(tblMatriculas[[#This Row],[Estado]]&lt;&gt;"activa",tblMatriculas[[#This Row],[Clases dictadas]]=""),"",MAX(0,tblMatriculas[[#This Row],[Clases dictadas]]-tblMatriculas[[#This Row],[Asistidas]]))</f>
        <v/>
      </c>
      <c r="P451" s="1" t="str">
        <f>IF(OR(tblMatriculas[[#This Row],[Estado]]&lt;&gt;"activa",tblMatriculas[[#This Row],[Asistidas]]=""),"",tblMatriculas[[#This Row],[Asistencia]])</f>
        <v/>
      </c>
      <c r="Q451" t="b">
        <f>AND(tblMatriculas[[#This Row],[Estado]]="activa",ISNUMBER(tblMatriculas[[#This Row],[% asistencia]]),NOT(ISNUMBER(SEARCH(pPrueba,tblMatriculas[[#This Row],[Nombre]]))))</f>
        <v>0</v>
      </c>
      <c r="R4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451" s="23" t="str" cm="1">
        <f t="array" ref="S4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1" s="23" t="str" cm="1">
        <f t="array" ref="T4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1" s="14" t="str" cm="1">
        <f t="array" ref="U4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1" t="str" cm="1">
        <f t="array" ref="V4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1" t="str" cm="1">
        <f t="array" ref="W4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1" t="str">
        <f>IF(COUNTIFS('Base Estudiantes'!$C:$C,tblMatriculas[[#This Row],[Cédula]],'Base Estudiantes'!$I:$I,tblMatriculas[[#This Row],[Código]])&gt;0,"Sí","No")</f>
        <v>No</v>
      </c>
      <c r="Z451" s="23" t="str" cm="1">
        <f t="array" ref="Z451">_xlfn.XLOOKUP(tblMatriculas[[#This Row],[Cédula]]&amp;"|"&amp;tblMatriculas[[#This Row],[Código]],tblBase[Documento]&amp;"|"&amp;tblBase[Código grupo],tblBase[Fecha matrícula],"")</f>
        <v/>
      </c>
    </row>
    <row r="452" spans="1:26" x14ac:dyDescent="0.2">
      <c r="A452" t="s">
        <v>991</v>
      </c>
      <c r="B452" t="s">
        <v>992</v>
      </c>
      <c r="C452" t="s">
        <v>13</v>
      </c>
      <c r="D452" t="s">
        <v>956</v>
      </c>
      <c r="E452" t="s">
        <v>957</v>
      </c>
      <c r="F452" t="s">
        <v>335</v>
      </c>
      <c r="G452" s="1">
        <v>0.13300000000000001</v>
      </c>
      <c r="H452" t="s">
        <v>112</v>
      </c>
      <c r="I452" t="s">
        <v>853</v>
      </c>
      <c r="J452" t="s">
        <v>854</v>
      </c>
      <c r="K452" t="s">
        <v>24</v>
      </c>
      <c r="L452" s="14">
        <f>IFERROR(VALUE(LEFT(tblMatriculas[[#This Row],[Clases]],FIND("/",tblMatriculas[[#This Row],[Clases]])-1)),"")</f>
        <v>4</v>
      </c>
      <c r="M452" s="14">
        <f>IFERROR(VALUE(MID(tblMatriculas[[#This Row],[Clases]],FIND("/",tblMatriculas[[#This Row],[Clases]])+1,5)),"")</f>
        <v>30</v>
      </c>
      <c r="N4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2" s="14">
        <f>IF(OR(tblMatriculas[[#This Row],[Estado]]&lt;&gt;"activa",tblMatriculas[[#This Row],[Clases dictadas]]=""),"",MAX(0,tblMatriculas[[#This Row],[Clases dictadas]]-tblMatriculas[[#This Row],[Asistidas]]))</f>
        <v>0</v>
      </c>
      <c r="P452" s="1">
        <f>IF(OR(tblMatriculas[[#This Row],[Estado]]&lt;&gt;"activa",tblMatriculas[[#This Row],[Asistidas]]=""),"",tblMatriculas[[#This Row],[Asistencia]])</f>
        <v>0.13300000000000001</v>
      </c>
      <c r="Q452" t="b">
        <f>AND(tblMatriculas[[#This Row],[Estado]]="activa",ISNUMBER(tblMatriculas[[#This Row],[% asistencia]]),NOT(ISNUMBER(SEARCH(pPrueba,tblMatriculas[[#This Row],[Nombre]]))))</f>
        <v>1</v>
      </c>
      <c r="R4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2" s="23" t="str" cm="1">
        <f t="array" ref="S4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2" s="23" t="str" cm="1">
        <f t="array" ref="T4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2" s="14" t="str" cm="1">
        <f t="array" ref="U4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2" t="str" cm="1">
        <f t="array" ref="V4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2" t="str" cm="1">
        <f t="array" ref="W4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2" t="str">
        <f>IF(COUNTIFS('Base Estudiantes'!$C:$C,tblMatriculas[[#This Row],[Cédula]],'Base Estudiantes'!$I:$I,tblMatriculas[[#This Row],[Código]])&gt;0,"Sí","No")</f>
        <v>Sí</v>
      </c>
      <c r="Z452" s="23" cm="1">
        <f t="array" ref="Z452">_xlfn.XLOOKUP(tblMatriculas[[#This Row],[Cédula]]&amp;"|"&amp;tblMatriculas[[#This Row],[Código]],tblBase[Documento]&amp;"|"&amp;tblBase[Código grupo],tblBase[Fecha matrícula],"")</f>
        <v>46262</v>
      </c>
    </row>
    <row r="453" spans="1:26" x14ac:dyDescent="0.2">
      <c r="A453" t="s">
        <v>993</v>
      </c>
      <c r="B453" t="s">
        <v>994</v>
      </c>
      <c r="C453" t="s">
        <v>13</v>
      </c>
      <c r="D453" t="s">
        <v>956</v>
      </c>
      <c r="E453" t="s">
        <v>957</v>
      </c>
      <c r="F453" t="s">
        <v>335</v>
      </c>
      <c r="G453" s="1">
        <v>0.13300000000000001</v>
      </c>
      <c r="H453" t="s">
        <v>112</v>
      </c>
      <c r="I453" t="s">
        <v>853</v>
      </c>
      <c r="J453" t="s">
        <v>854</v>
      </c>
      <c r="K453" t="s">
        <v>24</v>
      </c>
      <c r="L453" s="14">
        <f>IFERROR(VALUE(LEFT(tblMatriculas[[#This Row],[Clases]],FIND("/",tblMatriculas[[#This Row],[Clases]])-1)),"")</f>
        <v>4</v>
      </c>
      <c r="M453" s="14">
        <f>IFERROR(VALUE(MID(tblMatriculas[[#This Row],[Clases]],FIND("/",tblMatriculas[[#This Row],[Clases]])+1,5)),"")</f>
        <v>30</v>
      </c>
      <c r="N4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3" s="14">
        <f>IF(OR(tblMatriculas[[#This Row],[Estado]]&lt;&gt;"activa",tblMatriculas[[#This Row],[Clases dictadas]]=""),"",MAX(0,tblMatriculas[[#This Row],[Clases dictadas]]-tblMatriculas[[#This Row],[Asistidas]]))</f>
        <v>0</v>
      </c>
      <c r="P453" s="1">
        <f>IF(OR(tblMatriculas[[#This Row],[Estado]]&lt;&gt;"activa",tblMatriculas[[#This Row],[Asistidas]]=""),"",tblMatriculas[[#This Row],[Asistencia]])</f>
        <v>0.13300000000000001</v>
      </c>
      <c r="Q453" t="b">
        <f>AND(tblMatriculas[[#This Row],[Estado]]="activa",ISNUMBER(tblMatriculas[[#This Row],[% asistencia]]),NOT(ISNUMBER(SEARCH(pPrueba,tblMatriculas[[#This Row],[Nombre]]))))</f>
        <v>1</v>
      </c>
      <c r="R4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3" s="23" t="str" cm="1">
        <f t="array" ref="S4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3" s="23" t="str" cm="1">
        <f t="array" ref="T4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3" s="14" t="str" cm="1">
        <f t="array" ref="U4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3" t="str" cm="1">
        <f t="array" ref="V4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3" t="str" cm="1">
        <f t="array" ref="W4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3" t="str">
        <f>IF(COUNTIFS('Base Estudiantes'!$C:$C,tblMatriculas[[#This Row],[Cédula]],'Base Estudiantes'!$I:$I,tblMatriculas[[#This Row],[Código]])&gt;0,"Sí","No")</f>
        <v>Sí</v>
      </c>
      <c r="Z453" s="23" cm="1">
        <f t="array" ref="Z453">_xlfn.XLOOKUP(tblMatriculas[[#This Row],[Cédula]]&amp;"|"&amp;tblMatriculas[[#This Row],[Código]],tblBase[Documento]&amp;"|"&amp;tblBase[Código grupo],tblBase[Fecha matrícula],"")</f>
        <v>46262</v>
      </c>
    </row>
    <row r="454" spans="1:26" x14ac:dyDescent="0.2">
      <c r="A454" t="s">
        <v>995</v>
      </c>
      <c r="B454" t="s">
        <v>996</v>
      </c>
      <c r="C454" t="s">
        <v>13</v>
      </c>
      <c r="D454" t="s">
        <v>956</v>
      </c>
      <c r="E454" t="s">
        <v>957</v>
      </c>
      <c r="F454" t="s">
        <v>335</v>
      </c>
      <c r="G454" s="1">
        <v>0.13300000000000001</v>
      </c>
      <c r="H454" t="s">
        <v>112</v>
      </c>
      <c r="I454" t="s">
        <v>853</v>
      </c>
      <c r="J454" t="s">
        <v>854</v>
      </c>
      <c r="K454" t="s">
        <v>24</v>
      </c>
      <c r="L454" s="14">
        <f>IFERROR(VALUE(LEFT(tblMatriculas[[#This Row],[Clases]],FIND("/",tblMatriculas[[#This Row],[Clases]])-1)),"")</f>
        <v>4</v>
      </c>
      <c r="M454" s="14">
        <f>IFERROR(VALUE(MID(tblMatriculas[[#This Row],[Clases]],FIND("/",tblMatriculas[[#This Row],[Clases]])+1,5)),"")</f>
        <v>30</v>
      </c>
      <c r="N4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4" s="14">
        <f>IF(OR(tblMatriculas[[#This Row],[Estado]]&lt;&gt;"activa",tblMatriculas[[#This Row],[Clases dictadas]]=""),"",MAX(0,tblMatriculas[[#This Row],[Clases dictadas]]-tblMatriculas[[#This Row],[Asistidas]]))</f>
        <v>0</v>
      </c>
      <c r="P454" s="1">
        <f>IF(OR(tblMatriculas[[#This Row],[Estado]]&lt;&gt;"activa",tblMatriculas[[#This Row],[Asistidas]]=""),"",tblMatriculas[[#This Row],[Asistencia]])</f>
        <v>0.13300000000000001</v>
      </c>
      <c r="Q454" t="b">
        <f>AND(tblMatriculas[[#This Row],[Estado]]="activa",ISNUMBER(tblMatriculas[[#This Row],[% asistencia]]),NOT(ISNUMBER(SEARCH(pPrueba,tblMatriculas[[#This Row],[Nombre]]))))</f>
        <v>1</v>
      </c>
      <c r="R4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4" s="23" t="str" cm="1">
        <f t="array" ref="S4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4" s="23" t="str" cm="1">
        <f t="array" ref="T4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4" s="14" t="str" cm="1">
        <f t="array" ref="U4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4" t="str" cm="1">
        <f t="array" ref="V4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4" t="str" cm="1">
        <f t="array" ref="W4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4" t="str">
        <f>IF(COUNTIFS('Base Estudiantes'!$C:$C,tblMatriculas[[#This Row],[Cédula]],'Base Estudiantes'!$I:$I,tblMatriculas[[#This Row],[Código]])&gt;0,"Sí","No")</f>
        <v>Sí</v>
      </c>
      <c r="Z454" s="23" cm="1">
        <f t="array" ref="Z454">_xlfn.XLOOKUP(tblMatriculas[[#This Row],[Cédula]]&amp;"|"&amp;tblMatriculas[[#This Row],[Código]],tblBase[Documento]&amp;"|"&amp;tblBase[Código grupo],tblBase[Fecha matrícula],"")</f>
        <v>46262</v>
      </c>
    </row>
    <row r="455" spans="1:26" x14ac:dyDescent="0.2">
      <c r="A455" t="s">
        <v>997</v>
      </c>
      <c r="B455" t="s">
        <v>998</v>
      </c>
      <c r="C455" t="s">
        <v>13</v>
      </c>
      <c r="D455" t="s">
        <v>956</v>
      </c>
      <c r="E455" t="s">
        <v>957</v>
      </c>
      <c r="F455" t="s">
        <v>335</v>
      </c>
      <c r="G455" s="1">
        <v>0.13300000000000001</v>
      </c>
      <c r="H455" t="s">
        <v>112</v>
      </c>
      <c r="I455" t="s">
        <v>853</v>
      </c>
      <c r="J455" t="s">
        <v>854</v>
      </c>
      <c r="K455" t="s">
        <v>24</v>
      </c>
      <c r="L455" s="14">
        <f>IFERROR(VALUE(LEFT(tblMatriculas[[#This Row],[Clases]],FIND("/",tblMatriculas[[#This Row],[Clases]])-1)),"")</f>
        <v>4</v>
      </c>
      <c r="M455" s="14">
        <f>IFERROR(VALUE(MID(tblMatriculas[[#This Row],[Clases]],FIND("/",tblMatriculas[[#This Row],[Clases]])+1,5)),"")</f>
        <v>30</v>
      </c>
      <c r="N4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5" s="14">
        <f>IF(OR(tblMatriculas[[#This Row],[Estado]]&lt;&gt;"activa",tblMatriculas[[#This Row],[Clases dictadas]]=""),"",MAX(0,tblMatriculas[[#This Row],[Clases dictadas]]-tblMatriculas[[#This Row],[Asistidas]]))</f>
        <v>0</v>
      </c>
      <c r="P455" s="1">
        <f>IF(OR(tblMatriculas[[#This Row],[Estado]]&lt;&gt;"activa",tblMatriculas[[#This Row],[Asistidas]]=""),"",tblMatriculas[[#This Row],[Asistencia]])</f>
        <v>0.13300000000000001</v>
      </c>
      <c r="Q455" t="b">
        <f>AND(tblMatriculas[[#This Row],[Estado]]="activa",ISNUMBER(tblMatriculas[[#This Row],[% asistencia]]),NOT(ISNUMBER(SEARCH(pPrueba,tblMatriculas[[#This Row],[Nombre]]))))</f>
        <v>1</v>
      </c>
      <c r="R4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5" s="23" t="str" cm="1">
        <f t="array" ref="S4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5" s="23" t="str" cm="1">
        <f t="array" ref="T4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5" s="14" t="str" cm="1">
        <f t="array" ref="U4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5" t="str" cm="1">
        <f t="array" ref="V4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5" t="str" cm="1">
        <f t="array" ref="W4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5" t="str">
        <f>IF(COUNTIFS('Base Estudiantes'!$C:$C,tblMatriculas[[#This Row],[Cédula]],'Base Estudiantes'!$I:$I,tblMatriculas[[#This Row],[Código]])&gt;0,"Sí","No")</f>
        <v>Sí</v>
      </c>
      <c r="Z455" s="23" cm="1">
        <f t="array" ref="Z455">_xlfn.XLOOKUP(tblMatriculas[[#This Row],[Cédula]]&amp;"|"&amp;tblMatriculas[[#This Row],[Código]],tblBase[Documento]&amp;"|"&amp;tblBase[Código grupo],tblBase[Fecha matrícula],"")</f>
        <v>46262</v>
      </c>
    </row>
    <row r="456" spans="1:26" x14ac:dyDescent="0.2">
      <c r="A456" t="s">
        <v>999</v>
      </c>
      <c r="B456" t="s">
        <v>1000</v>
      </c>
      <c r="C456" t="s">
        <v>13</v>
      </c>
      <c r="D456" t="s">
        <v>956</v>
      </c>
      <c r="E456" t="s">
        <v>957</v>
      </c>
      <c r="F456" t="s">
        <v>335</v>
      </c>
      <c r="G456" s="1">
        <v>0.13300000000000001</v>
      </c>
      <c r="H456" t="s">
        <v>112</v>
      </c>
      <c r="I456" t="s">
        <v>853</v>
      </c>
      <c r="J456" t="s">
        <v>854</v>
      </c>
      <c r="K456" t="s">
        <v>24</v>
      </c>
      <c r="L456" s="14">
        <f>IFERROR(VALUE(LEFT(tblMatriculas[[#This Row],[Clases]],FIND("/",tblMatriculas[[#This Row],[Clases]])-1)),"")</f>
        <v>4</v>
      </c>
      <c r="M456" s="14">
        <f>IFERROR(VALUE(MID(tblMatriculas[[#This Row],[Clases]],FIND("/",tblMatriculas[[#This Row],[Clases]])+1,5)),"")</f>
        <v>30</v>
      </c>
      <c r="N4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6" s="14">
        <f>IF(OR(tblMatriculas[[#This Row],[Estado]]&lt;&gt;"activa",tblMatriculas[[#This Row],[Clases dictadas]]=""),"",MAX(0,tblMatriculas[[#This Row],[Clases dictadas]]-tblMatriculas[[#This Row],[Asistidas]]))</f>
        <v>0</v>
      </c>
      <c r="P456" s="1">
        <f>IF(OR(tblMatriculas[[#This Row],[Estado]]&lt;&gt;"activa",tblMatriculas[[#This Row],[Asistidas]]=""),"",tblMatriculas[[#This Row],[Asistencia]])</f>
        <v>0.13300000000000001</v>
      </c>
      <c r="Q456" t="b">
        <f>AND(tblMatriculas[[#This Row],[Estado]]="activa",ISNUMBER(tblMatriculas[[#This Row],[% asistencia]]),NOT(ISNUMBER(SEARCH(pPrueba,tblMatriculas[[#This Row],[Nombre]]))))</f>
        <v>1</v>
      </c>
      <c r="R4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6" s="23" t="str" cm="1">
        <f t="array" ref="S4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6" s="23" t="str" cm="1">
        <f t="array" ref="T4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6" s="14" t="str" cm="1">
        <f t="array" ref="U4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6" t="str" cm="1">
        <f t="array" ref="V4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6" t="str" cm="1">
        <f t="array" ref="W4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6" t="str">
        <f>IF(COUNTIFS('Base Estudiantes'!$C:$C,tblMatriculas[[#This Row],[Cédula]],'Base Estudiantes'!$I:$I,tblMatriculas[[#This Row],[Código]])&gt;0,"Sí","No")</f>
        <v>Sí</v>
      </c>
      <c r="Z456" s="23" cm="1">
        <f t="array" ref="Z456">_xlfn.XLOOKUP(tblMatriculas[[#This Row],[Cédula]]&amp;"|"&amp;tblMatriculas[[#This Row],[Código]],tblBase[Documento]&amp;"|"&amp;tblBase[Código grupo],tblBase[Fecha matrícula],"")</f>
        <v>46262</v>
      </c>
    </row>
    <row r="457" spans="1:26" x14ac:dyDescent="0.2">
      <c r="A457" t="s">
        <v>1001</v>
      </c>
      <c r="B457" t="s">
        <v>1002</v>
      </c>
      <c r="C457" t="s">
        <v>13</v>
      </c>
      <c r="D457" t="s">
        <v>956</v>
      </c>
      <c r="E457" t="s">
        <v>957</v>
      </c>
      <c r="F457" t="s">
        <v>335</v>
      </c>
      <c r="G457" s="1">
        <v>0.1</v>
      </c>
      <c r="H457" t="s">
        <v>117</v>
      </c>
      <c r="I457" t="s">
        <v>853</v>
      </c>
      <c r="J457" t="s">
        <v>854</v>
      </c>
      <c r="K457" t="s">
        <v>24</v>
      </c>
      <c r="L457" s="14">
        <f>IFERROR(VALUE(LEFT(tblMatriculas[[#This Row],[Clases]],FIND("/",tblMatriculas[[#This Row],[Clases]])-1)),"")</f>
        <v>3</v>
      </c>
      <c r="M457" s="14">
        <f>IFERROR(VALUE(MID(tblMatriculas[[#This Row],[Clases]],FIND("/",tblMatriculas[[#This Row],[Clases]])+1,5)),"")</f>
        <v>30</v>
      </c>
      <c r="N4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7" s="14">
        <f>IF(OR(tblMatriculas[[#This Row],[Estado]]&lt;&gt;"activa",tblMatriculas[[#This Row],[Clases dictadas]]=""),"",MAX(0,tblMatriculas[[#This Row],[Clases dictadas]]-tblMatriculas[[#This Row],[Asistidas]]))</f>
        <v>1</v>
      </c>
      <c r="P457" s="1">
        <f>IF(OR(tblMatriculas[[#This Row],[Estado]]&lt;&gt;"activa",tblMatriculas[[#This Row],[Asistidas]]=""),"",tblMatriculas[[#This Row],[Asistencia]])</f>
        <v>0.1</v>
      </c>
      <c r="Q457" t="b">
        <f>AND(tblMatriculas[[#This Row],[Estado]]="activa",ISNUMBER(tblMatriculas[[#This Row],[% asistencia]]),NOT(ISNUMBER(SEARCH(pPrueba,tblMatriculas[[#This Row],[Nombre]]))))</f>
        <v>1</v>
      </c>
      <c r="R4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7" s="23" t="str" cm="1">
        <f t="array" ref="S4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7" s="23" t="str" cm="1">
        <f t="array" ref="T4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7" s="14" t="str" cm="1">
        <f t="array" ref="U4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7" t="str" cm="1">
        <f t="array" ref="V4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7" t="str" cm="1">
        <f t="array" ref="W4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7" t="str">
        <f>IF(COUNTIFS('Base Estudiantes'!$C:$C,tblMatriculas[[#This Row],[Cédula]],'Base Estudiantes'!$I:$I,tblMatriculas[[#This Row],[Código]])&gt;0,"Sí","No")</f>
        <v>Sí</v>
      </c>
      <c r="Z457" s="23" cm="1">
        <f t="array" ref="Z457">_xlfn.XLOOKUP(tblMatriculas[[#This Row],[Cédula]]&amp;"|"&amp;tblMatriculas[[#This Row],[Código]],tblBase[Documento]&amp;"|"&amp;tblBase[Código grupo],tblBase[Fecha matrícula],"")</f>
        <v>46263</v>
      </c>
    </row>
    <row r="458" spans="1:26" x14ac:dyDescent="0.2">
      <c r="A458" t="s">
        <v>1003</v>
      </c>
      <c r="B458" t="s">
        <v>1004</v>
      </c>
      <c r="C458" t="s">
        <v>13</v>
      </c>
      <c r="D458" t="s">
        <v>956</v>
      </c>
      <c r="E458" t="s">
        <v>957</v>
      </c>
      <c r="F458" t="s">
        <v>335</v>
      </c>
      <c r="G458" s="1">
        <v>0.1</v>
      </c>
      <c r="H458" t="s">
        <v>117</v>
      </c>
      <c r="I458" t="s">
        <v>853</v>
      </c>
      <c r="J458" t="s">
        <v>854</v>
      </c>
      <c r="K458" t="s">
        <v>24</v>
      </c>
      <c r="L458" s="14">
        <f>IFERROR(VALUE(LEFT(tblMatriculas[[#This Row],[Clases]],FIND("/",tblMatriculas[[#This Row],[Clases]])-1)),"")</f>
        <v>3</v>
      </c>
      <c r="M458" s="14">
        <f>IFERROR(VALUE(MID(tblMatriculas[[#This Row],[Clases]],FIND("/",tblMatriculas[[#This Row],[Clases]])+1,5)),"")</f>
        <v>30</v>
      </c>
      <c r="N4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8" s="14">
        <f>IF(OR(tblMatriculas[[#This Row],[Estado]]&lt;&gt;"activa",tblMatriculas[[#This Row],[Clases dictadas]]=""),"",MAX(0,tblMatriculas[[#This Row],[Clases dictadas]]-tblMatriculas[[#This Row],[Asistidas]]))</f>
        <v>1</v>
      </c>
      <c r="P458" s="1">
        <f>IF(OR(tblMatriculas[[#This Row],[Estado]]&lt;&gt;"activa",tblMatriculas[[#This Row],[Asistidas]]=""),"",tblMatriculas[[#This Row],[Asistencia]])</f>
        <v>0.1</v>
      </c>
      <c r="Q458" t="b">
        <f>AND(tblMatriculas[[#This Row],[Estado]]="activa",ISNUMBER(tblMatriculas[[#This Row],[% asistencia]]),NOT(ISNUMBER(SEARCH(pPrueba,tblMatriculas[[#This Row],[Nombre]]))))</f>
        <v>1</v>
      </c>
      <c r="R4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58" s="23" t="str" cm="1">
        <f t="array" ref="S4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8" s="23" t="str" cm="1">
        <f t="array" ref="T4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8" s="14" t="str" cm="1">
        <f t="array" ref="U4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8" t="str" cm="1">
        <f t="array" ref="V4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8" t="str" cm="1">
        <f t="array" ref="W4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58" t="str">
        <f>IF(COUNTIFS('Base Estudiantes'!$C:$C,tblMatriculas[[#This Row],[Cédula]],'Base Estudiantes'!$I:$I,tblMatriculas[[#This Row],[Código]])&gt;0,"Sí","No")</f>
        <v>Sí</v>
      </c>
      <c r="Z458" s="23" cm="1">
        <f t="array" ref="Z458">_xlfn.XLOOKUP(tblMatriculas[[#This Row],[Cédula]]&amp;"|"&amp;tblMatriculas[[#This Row],[Código]],tblBase[Documento]&amp;"|"&amp;tblBase[Código grupo],tblBase[Fecha matrícula],"")</f>
        <v>46281</v>
      </c>
    </row>
    <row r="459" spans="1:26" x14ac:dyDescent="0.2">
      <c r="A459" t="s">
        <v>1005</v>
      </c>
      <c r="B459" t="s">
        <v>1006</v>
      </c>
      <c r="C459" t="s">
        <v>13</v>
      </c>
      <c r="D459" t="s">
        <v>956</v>
      </c>
      <c r="E459" t="s">
        <v>957</v>
      </c>
      <c r="F459" t="s">
        <v>335</v>
      </c>
      <c r="G459" s="1">
        <v>3.3000000000000002E-2</v>
      </c>
      <c r="H459" t="s">
        <v>225</v>
      </c>
      <c r="I459" t="s">
        <v>853</v>
      </c>
      <c r="J459" t="s">
        <v>854</v>
      </c>
      <c r="K459" t="s">
        <v>24</v>
      </c>
      <c r="L459" s="14">
        <f>IFERROR(VALUE(LEFT(tblMatriculas[[#This Row],[Clases]],FIND("/",tblMatriculas[[#This Row],[Clases]])-1)),"")</f>
        <v>1</v>
      </c>
      <c r="M459" s="14">
        <f>IFERROR(VALUE(MID(tblMatriculas[[#This Row],[Clases]],FIND("/",tblMatriculas[[#This Row],[Clases]])+1,5)),"")</f>
        <v>30</v>
      </c>
      <c r="N4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59" s="14">
        <f>IF(OR(tblMatriculas[[#This Row],[Estado]]&lt;&gt;"activa",tblMatriculas[[#This Row],[Clases dictadas]]=""),"",MAX(0,tblMatriculas[[#This Row],[Clases dictadas]]-tblMatriculas[[#This Row],[Asistidas]]))</f>
        <v>3</v>
      </c>
      <c r="P459" s="1">
        <f>IF(OR(tblMatriculas[[#This Row],[Estado]]&lt;&gt;"activa",tblMatriculas[[#This Row],[Asistidas]]=""),"",tblMatriculas[[#This Row],[Asistencia]])</f>
        <v>3.3000000000000002E-2</v>
      </c>
      <c r="Q459" t="b">
        <f>AND(tblMatriculas[[#This Row],[Estado]]="activa",ISNUMBER(tblMatriculas[[#This Row],[% asistencia]]),NOT(ISNUMBER(SEARCH(pPrueba,tblMatriculas[[#This Row],[Nombre]]))))</f>
        <v>1</v>
      </c>
      <c r="R4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59" s="23" t="str" cm="1">
        <f t="array" ref="S4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59" s="23" t="str" cm="1">
        <f t="array" ref="T4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59" s="14" t="str" cm="1">
        <f t="array" ref="U4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59" t="str" cm="1">
        <f t="array" ref="V4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59" t="str" cm="1">
        <f t="array" ref="W4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59" t="str">
        <f>IF(COUNTIFS('Base Estudiantes'!$C:$C,tblMatriculas[[#This Row],[Cédula]],'Base Estudiantes'!$I:$I,tblMatriculas[[#This Row],[Código]])&gt;0,"Sí","No")</f>
        <v>Sí</v>
      </c>
      <c r="Z459" s="23" cm="1">
        <f t="array" ref="Z459">_xlfn.XLOOKUP(tblMatriculas[[#This Row],[Cédula]]&amp;"|"&amp;tblMatriculas[[#This Row],[Código]],tblBase[Documento]&amp;"|"&amp;tblBase[Código grupo],tblBase[Fecha matrícula],"")</f>
        <v>46288</v>
      </c>
    </row>
    <row r="460" spans="1:26" x14ac:dyDescent="0.2">
      <c r="A460" t="s">
        <v>1007</v>
      </c>
      <c r="B460" t="s">
        <v>1008</v>
      </c>
      <c r="C460" t="s">
        <v>13</v>
      </c>
      <c r="D460" t="s">
        <v>1009</v>
      </c>
      <c r="E460" t="s">
        <v>1010</v>
      </c>
      <c r="F460" t="s">
        <v>516</v>
      </c>
      <c r="G460" s="1">
        <v>1.7000000000000001E-2</v>
      </c>
      <c r="H460" t="s">
        <v>578</v>
      </c>
      <c r="I460" t="s">
        <v>853</v>
      </c>
      <c r="J460" t="s">
        <v>1011</v>
      </c>
      <c r="K460" t="s">
        <v>953</v>
      </c>
      <c r="L460" s="14">
        <f>IFERROR(VALUE(LEFT(tblMatriculas[[#This Row],[Clases]],FIND("/",tblMatriculas[[#This Row],[Clases]])-1)),"")</f>
        <v>1</v>
      </c>
      <c r="M460" s="14">
        <f>IFERROR(VALUE(MID(tblMatriculas[[#This Row],[Clases]],FIND("/",tblMatriculas[[#This Row],[Clases]])+1,5)),"")</f>
        <v>60</v>
      </c>
      <c r="N4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460" s="14">
        <f>IF(OR(tblMatriculas[[#This Row],[Estado]]&lt;&gt;"activa",tblMatriculas[[#This Row],[Clases dictadas]]=""),"",MAX(0,tblMatriculas[[#This Row],[Clases dictadas]]-tblMatriculas[[#This Row],[Asistidas]]))</f>
        <v>5</v>
      </c>
      <c r="P460" s="1">
        <f>IF(OR(tblMatriculas[[#This Row],[Estado]]&lt;&gt;"activa",tblMatriculas[[#This Row],[Asistidas]]=""),"",tblMatriculas[[#This Row],[Asistencia]])</f>
        <v>1.7000000000000001E-2</v>
      </c>
      <c r="Q460" t="b">
        <f>AND(tblMatriculas[[#This Row],[Estado]]="activa",ISNUMBER(tblMatriculas[[#This Row],[% asistencia]]),NOT(ISNUMBER(SEARCH(pPrueba,tblMatriculas[[#This Row],[Nombre]]))))</f>
        <v>1</v>
      </c>
      <c r="R4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60" s="23" t="str" cm="1">
        <f t="array" ref="S4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0" s="23" t="str" cm="1">
        <f t="array" ref="T4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0" s="14" t="str" cm="1">
        <f t="array" ref="U4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0" t="str" cm="1">
        <f t="array" ref="V4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0" t="str" cm="1">
        <f t="array" ref="W4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60" t="str">
        <f>IF(COUNTIFS('Base Estudiantes'!$C:$C,tblMatriculas[[#This Row],[Cédula]],'Base Estudiantes'!$I:$I,tblMatriculas[[#This Row],[Código]])&gt;0,"Sí","No")</f>
        <v>Sí</v>
      </c>
      <c r="Z460" s="23" cm="1">
        <f t="array" ref="Z460">_xlfn.XLOOKUP(tblMatriculas[[#This Row],[Cédula]]&amp;"|"&amp;tblMatriculas[[#This Row],[Código]],tblBase[Documento]&amp;"|"&amp;tblBase[Código grupo],tblBase[Fecha matrícula],"")</f>
        <v>46262</v>
      </c>
    </row>
    <row r="461" spans="1:26" x14ac:dyDescent="0.2">
      <c r="A461" t="s">
        <v>1012</v>
      </c>
      <c r="B461" t="s">
        <v>1013</v>
      </c>
      <c r="C461" t="s">
        <v>13</v>
      </c>
      <c r="D461" t="s">
        <v>1009</v>
      </c>
      <c r="E461" t="s">
        <v>1010</v>
      </c>
      <c r="F461" t="s">
        <v>516</v>
      </c>
      <c r="G461" s="1">
        <v>6.7000000000000004E-2</v>
      </c>
      <c r="H461" t="s">
        <v>166</v>
      </c>
      <c r="I461" t="s">
        <v>853</v>
      </c>
      <c r="J461" t="s">
        <v>1011</v>
      </c>
      <c r="K461" t="s">
        <v>24</v>
      </c>
      <c r="L461" s="14">
        <f>IFERROR(VALUE(LEFT(tblMatriculas[[#This Row],[Clases]],FIND("/",tblMatriculas[[#This Row],[Clases]])-1)),"")</f>
        <v>2</v>
      </c>
      <c r="M461" s="14">
        <f>IFERROR(VALUE(MID(tblMatriculas[[#This Row],[Clases]],FIND("/",tblMatriculas[[#This Row],[Clases]])+1,5)),"")</f>
        <v>30</v>
      </c>
      <c r="N4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1" s="14">
        <f>IF(OR(tblMatriculas[[#This Row],[Estado]]&lt;&gt;"activa",tblMatriculas[[#This Row],[Clases dictadas]]=""),"",MAX(0,tblMatriculas[[#This Row],[Clases dictadas]]-tblMatriculas[[#This Row],[Asistidas]]))</f>
        <v>0</v>
      </c>
      <c r="P461" s="1">
        <f>IF(OR(tblMatriculas[[#This Row],[Estado]]&lt;&gt;"activa",tblMatriculas[[#This Row],[Asistidas]]=""),"",tblMatriculas[[#This Row],[Asistencia]])</f>
        <v>6.7000000000000004E-2</v>
      </c>
      <c r="Q461" t="b">
        <f>AND(tblMatriculas[[#This Row],[Estado]]="activa",ISNUMBER(tblMatriculas[[#This Row],[% asistencia]]),NOT(ISNUMBER(SEARCH(pPrueba,tblMatriculas[[#This Row],[Nombre]]))))</f>
        <v>1</v>
      </c>
      <c r="R4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61" s="23" t="str" cm="1">
        <f t="array" ref="S4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1" s="23" t="str" cm="1">
        <f t="array" ref="T4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1" s="14" t="str" cm="1">
        <f t="array" ref="U4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1" t="str" cm="1">
        <f t="array" ref="V4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1" t="str" cm="1">
        <f t="array" ref="W4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61" t="str">
        <f>IF(COUNTIFS('Base Estudiantes'!$C:$C,tblMatriculas[[#This Row],[Cédula]],'Base Estudiantes'!$I:$I,tblMatriculas[[#This Row],[Código]])&gt;0,"Sí","No")</f>
        <v>Sí</v>
      </c>
      <c r="Z461" s="23" cm="1">
        <f t="array" ref="Z461">_xlfn.XLOOKUP(tblMatriculas[[#This Row],[Cédula]]&amp;"|"&amp;tblMatriculas[[#This Row],[Código]],tblBase[Documento]&amp;"|"&amp;tblBase[Código grupo],tblBase[Fecha matrícula],"")</f>
        <v>46262</v>
      </c>
    </row>
    <row r="462" spans="1:26" x14ac:dyDescent="0.2">
      <c r="A462" t="s">
        <v>1014</v>
      </c>
      <c r="B462" t="s">
        <v>1015</v>
      </c>
      <c r="C462" t="s">
        <v>13</v>
      </c>
      <c r="D462" t="s">
        <v>1009</v>
      </c>
      <c r="E462" t="s">
        <v>1010</v>
      </c>
      <c r="F462" t="s">
        <v>516</v>
      </c>
      <c r="G462" s="1">
        <v>6.7000000000000004E-2</v>
      </c>
      <c r="H462" t="s">
        <v>166</v>
      </c>
      <c r="I462" t="s">
        <v>853</v>
      </c>
      <c r="J462" t="s">
        <v>1011</v>
      </c>
      <c r="K462" t="s">
        <v>24</v>
      </c>
      <c r="L462" s="14">
        <f>IFERROR(VALUE(LEFT(tblMatriculas[[#This Row],[Clases]],FIND("/",tblMatriculas[[#This Row],[Clases]])-1)),"")</f>
        <v>2</v>
      </c>
      <c r="M462" s="14">
        <f>IFERROR(VALUE(MID(tblMatriculas[[#This Row],[Clases]],FIND("/",tblMatriculas[[#This Row],[Clases]])+1,5)),"")</f>
        <v>30</v>
      </c>
      <c r="N4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2" s="14">
        <f>IF(OR(tblMatriculas[[#This Row],[Estado]]&lt;&gt;"activa",tblMatriculas[[#This Row],[Clases dictadas]]=""),"",MAX(0,tblMatriculas[[#This Row],[Clases dictadas]]-tblMatriculas[[#This Row],[Asistidas]]))</f>
        <v>0</v>
      </c>
      <c r="P462" s="1">
        <f>IF(OR(tblMatriculas[[#This Row],[Estado]]&lt;&gt;"activa",tblMatriculas[[#This Row],[Asistidas]]=""),"",tblMatriculas[[#This Row],[Asistencia]])</f>
        <v>6.7000000000000004E-2</v>
      </c>
      <c r="Q462" t="b">
        <f>AND(tblMatriculas[[#This Row],[Estado]]="activa",ISNUMBER(tblMatriculas[[#This Row],[% asistencia]]),NOT(ISNUMBER(SEARCH(pPrueba,tblMatriculas[[#This Row],[Nombre]]))))</f>
        <v>1</v>
      </c>
      <c r="R4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62" s="23" t="str" cm="1">
        <f t="array" ref="S4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2" s="23" t="str" cm="1">
        <f t="array" ref="T4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2" s="14" t="str" cm="1">
        <f t="array" ref="U4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2" t="str" cm="1">
        <f t="array" ref="V4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2" t="str" cm="1">
        <f t="array" ref="W4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62" t="str">
        <f>IF(COUNTIFS('Base Estudiantes'!$C:$C,tblMatriculas[[#This Row],[Cédula]],'Base Estudiantes'!$I:$I,tblMatriculas[[#This Row],[Código]])&gt;0,"Sí","No")</f>
        <v>Sí</v>
      </c>
      <c r="Z462" s="23" cm="1">
        <f t="array" ref="Z462">_xlfn.XLOOKUP(tblMatriculas[[#This Row],[Cédula]]&amp;"|"&amp;tblMatriculas[[#This Row],[Código]],tblBase[Documento]&amp;"|"&amp;tblBase[Código grupo],tblBase[Fecha matrícula],"")</f>
        <v>46262</v>
      </c>
    </row>
    <row r="463" spans="1:26" x14ac:dyDescent="0.2">
      <c r="A463" t="s">
        <v>1016</v>
      </c>
      <c r="B463" t="s">
        <v>1017</v>
      </c>
      <c r="C463" t="s">
        <v>13</v>
      </c>
      <c r="D463" t="s">
        <v>1009</v>
      </c>
      <c r="E463" t="s">
        <v>1010</v>
      </c>
      <c r="F463" t="s">
        <v>516</v>
      </c>
      <c r="G463" s="1">
        <v>3.3000000000000002E-2</v>
      </c>
      <c r="H463" t="s">
        <v>225</v>
      </c>
      <c r="I463" t="s">
        <v>853</v>
      </c>
      <c r="J463" t="s">
        <v>1011</v>
      </c>
      <c r="K463" t="s">
        <v>24</v>
      </c>
      <c r="L463" s="14">
        <f>IFERROR(VALUE(LEFT(tblMatriculas[[#This Row],[Clases]],FIND("/",tblMatriculas[[#This Row],[Clases]])-1)),"")</f>
        <v>1</v>
      </c>
      <c r="M463" s="14">
        <f>IFERROR(VALUE(MID(tblMatriculas[[#This Row],[Clases]],FIND("/",tblMatriculas[[#This Row],[Clases]])+1,5)),"")</f>
        <v>30</v>
      </c>
      <c r="N4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3" s="14">
        <f>IF(OR(tblMatriculas[[#This Row],[Estado]]&lt;&gt;"activa",tblMatriculas[[#This Row],[Clases dictadas]]=""),"",MAX(0,tblMatriculas[[#This Row],[Clases dictadas]]-tblMatriculas[[#This Row],[Asistidas]]))</f>
        <v>1</v>
      </c>
      <c r="P463" s="1">
        <f>IF(OR(tblMatriculas[[#This Row],[Estado]]&lt;&gt;"activa",tblMatriculas[[#This Row],[Asistidas]]=""),"",tblMatriculas[[#This Row],[Asistencia]])</f>
        <v>3.3000000000000002E-2</v>
      </c>
      <c r="Q463" t="b">
        <f>AND(tblMatriculas[[#This Row],[Estado]]="activa",ISNUMBER(tblMatriculas[[#This Row],[% asistencia]]),NOT(ISNUMBER(SEARCH(pPrueba,tblMatriculas[[#This Row],[Nombre]]))))</f>
        <v>1</v>
      </c>
      <c r="R4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63" s="23" t="str" cm="1">
        <f t="array" ref="S4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3" s="23" t="str" cm="1">
        <f t="array" ref="T4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3" s="14" t="str" cm="1">
        <f t="array" ref="U4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3" t="str" cm="1">
        <f t="array" ref="V4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3" t="str" cm="1">
        <f t="array" ref="W4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63" t="str">
        <f>IF(COUNTIFS('Base Estudiantes'!$C:$C,tblMatriculas[[#This Row],[Cédula]],'Base Estudiantes'!$I:$I,tblMatriculas[[#This Row],[Código]])&gt;0,"Sí","No")</f>
        <v>Sí</v>
      </c>
      <c r="Z463" s="23" cm="1">
        <f t="array" ref="Z463">_xlfn.XLOOKUP(tblMatriculas[[#This Row],[Cédula]]&amp;"|"&amp;tblMatriculas[[#This Row],[Código]],tblBase[Documento]&amp;"|"&amp;tblBase[Código grupo],tblBase[Fecha matrícula],"")</f>
        <v>46262</v>
      </c>
    </row>
    <row r="464" spans="1:26" x14ac:dyDescent="0.2">
      <c r="A464" t="s">
        <v>1018</v>
      </c>
      <c r="B464" t="s">
        <v>1019</v>
      </c>
      <c r="C464" t="s">
        <v>13</v>
      </c>
      <c r="D464" t="s">
        <v>1009</v>
      </c>
      <c r="E464" t="s">
        <v>1010</v>
      </c>
      <c r="F464" t="s">
        <v>516</v>
      </c>
      <c r="G464" s="1">
        <v>6.7000000000000004E-2</v>
      </c>
      <c r="H464" t="s">
        <v>166</v>
      </c>
      <c r="I464" t="s">
        <v>853</v>
      </c>
      <c r="J464" t="s">
        <v>1011</v>
      </c>
      <c r="K464" t="s">
        <v>24</v>
      </c>
      <c r="L464" s="14">
        <f>IFERROR(VALUE(LEFT(tblMatriculas[[#This Row],[Clases]],FIND("/",tblMatriculas[[#This Row],[Clases]])-1)),"")</f>
        <v>2</v>
      </c>
      <c r="M464" s="14">
        <f>IFERROR(VALUE(MID(tblMatriculas[[#This Row],[Clases]],FIND("/",tblMatriculas[[#This Row],[Clases]])+1,5)),"")</f>
        <v>30</v>
      </c>
      <c r="N4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4" s="14">
        <f>IF(OR(tblMatriculas[[#This Row],[Estado]]&lt;&gt;"activa",tblMatriculas[[#This Row],[Clases dictadas]]=""),"",MAX(0,tblMatriculas[[#This Row],[Clases dictadas]]-tblMatriculas[[#This Row],[Asistidas]]))</f>
        <v>0</v>
      </c>
      <c r="P464" s="1">
        <f>IF(OR(tblMatriculas[[#This Row],[Estado]]&lt;&gt;"activa",tblMatriculas[[#This Row],[Asistidas]]=""),"",tblMatriculas[[#This Row],[Asistencia]])</f>
        <v>6.7000000000000004E-2</v>
      </c>
      <c r="Q464" t="b">
        <f>AND(tblMatriculas[[#This Row],[Estado]]="activa",ISNUMBER(tblMatriculas[[#This Row],[% asistencia]]),NOT(ISNUMBER(SEARCH(pPrueba,tblMatriculas[[#This Row],[Nombre]]))))</f>
        <v>1</v>
      </c>
      <c r="R4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64" s="23" t="str" cm="1">
        <f t="array" ref="S4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4" s="23" t="str" cm="1">
        <f t="array" ref="T4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4" s="14" t="str" cm="1">
        <f t="array" ref="U4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4" t="str" cm="1">
        <f t="array" ref="V4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4" t="str" cm="1">
        <f t="array" ref="W4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64" t="str">
        <f>IF(COUNTIFS('Base Estudiantes'!$C:$C,tblMatriculas[[#This Row],[Cédula]],'Base Estudiantes'!$I:$I,tblMatriculas[[#This Row],[Código]])&gt;0,"Sí","No")</f>
        <v>Sí</v>
      </c>
      <c r="Z464" s="23" cm="1">
        <f t="array" ref="Z464">_xlfn.XLOOKUP(tblMatriculas[[#This Row],[Cédula]]&amp;"|"&amp;tblMatriculas[[#This Row],[Código]],tblBase[Documento]&amp;"|"&amp;tblBase[Código grupo],tblBase[Fecha matrícula],"")</f>
        <v>46262</v>
      </c>
    </row>
    <row r="465" spans="1:26" x14ac:dyDescent="0.2">
      <c r="A465" t="s">
        <v>1020</v>
      </c>
      <c r="B465" t="s">
        <v>1021</v>
      </c>
      <c r="C465" t="s">
        <v>13</v>
      </c>
      <c r="D465" t="s">
        <v>1009</v>
      </c>
      <c r="E465" t="s">
        <v>1010</v>
      </c>
      <c r="F465" t="s">
        <v>516</v>
      </c>
      <c r="G465" s="1">
        <v>0</v>
      </c>
      <c r="H465" t="s">
        <v>254</v>
      </c>
      <c r="I465" t="s">
        <v>853</v>
      </c>
      <c r="J465" t="s">
        <v>1011</v>
      </c>
      <c r="K465" t="s">
        <v>24</v>
      </c>
      <c r="L465" s="14">
        <f>IFERROR(VALUE(LEFT(tblMatriculas[[#This Row],[Clases]],FIND("/",tblMatriculas[[#This Row],[Clases]])-1)),"")</f>
        <v>0</v>
      </c>
      <c r="M465" s="14">
        <f>IFERROR(VALUE(MID(tblMatriculas[[#This Row],[Clases]],FIND("/",tblMatriculas[[#This Row],[Clases]])+1,5)),"")</f>
        <v>30</v>
      </c>
      <c r="N4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5" s="14">
        <f>IF(OR(tblMatriculas[[#This Row],[Estado]]&lt;&gt;"activa",tblMatriculas[[#This Row],[Clases dictadas]]=""),"",MAX(0,tblMatriculas[[#This Row],[Clases dictadas]]-tblMatriculas[[#This Row],[Asistidas]]))</f>
        <v>2</v>
      </c>
      <c r="P465" s="1">
        <f>IF(OR(tblMatriculas[[#This Row],[Estado]]&lt;&gt;"activa",tblMatriculas[[#This Row],[Asistidas]]=""),"",tblMatriculas[[#This Row],[Asistencia]])</f>
        <v>0</v>
      </c>
      <c r="Q465" t="b">
        <f>AND(tblMatriculas[[#This Row],[Estado]]="activa",ISNUMBER(tblMatriculas[[#This Row],[% asistencia]]),NOT(ISNUMBER(SEARCH(pPrueba,tblMatriculas[[#This Row],[Nombre]]))))</f>
        <v>1</v>
      </c>
      <c r="R4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65" s="23" t="str" cm="1">
        <f t="array" ref="S4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5" s="23" t="str" cm="1">
        <f t="array" ref="T4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5" s="14" t="str" cm="1">
        <f t="array" ref="U4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5" t="str" cm="1">
        <f t="array" ref="V4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5" t="str" cm="1">
        <f t="array" ref="W4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65" t="str">
        <f>IF(COUNTIFS('Base Estudiantes'!$C:$C,tblMatriculas[[#This Row],[Cédula]],'Base Estudiantes'!$I:$I,tblMatriculas[[#This Row],[Código]])&gt;0,"Sí","No")</f>
        <v>Sí</v>
      </c>
      <c r="Z465" s="23" cm="1">
        <f t="array" ref="Z465">_xlfn.XLOOKUP(tblMatriculas[[#This Row],[Cédula]]&amp;"|"&amp;tblMatriculas[[#This Row],[Código]],tblBase[Documento]&amp;"|"&amp;tblBase[Código grupo],tblBase[Fecha matrícula],"")</f>
        <v>46262</v>
      </c>
    </row>
    <row r="466" spans="1:26" x14ac:dyDescent="0.2">
      <c r="A466" t="s">
        <v>1022</v>
      </c>
      <c r="B466" t="s">
        <v>1023</v>
      </c>
      <c r="C466" t="s">
        <v>13</v>
      </c>
      <c r="D466" t="s">
        <v>1009</v>
      </c>
      <c r="E466" t="s">
        <v>1010</v>
      </c>
      <c r="F466" t="s">
        <v>516</v>
      </c>
      <c r="G466" s="1">
        <v>6.7000000000000004E-2</v>
      </c>
      <c r="H466" t="s">
        <v>166</v>
      </c>
      <c r="I466" t="s">
        <v>853</v>
      </c>
      <c r="J466" t="s">
        <v>1011</v>
      </c>
      <c r="K466" t="s">
        <v>24</v>
      </c>
      <c r="L466" s="14">
        <f>IFERROR(VALUE(LEFT(tblMatriculas[[#This Row],[Clases]],FIND("/",tblMatriculas[[#This Row],[Clases]])-1)),"")</f>
        <v>2</v>
      </c>
      <c r="M466" s="14">
        <f>IFERROR(VALUE(MID(tblMatriculas[[#This Row],[Clases]],FIND("/",tblMatriculas[[#This Row],[Clases]])+1,5)),"")</f>
        <v>30</v>
      </c>
      <c r="N4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6" s="14">
        <f>IF(OR(tblMatriculas[[#This Row],[Estado]]&lt;&gt;"activa",tblMatriculas[[#This Row],[Clases dictadas]]=""),"",MAX(0,tblMatriculas[[#This Row],[Clases dictadas]]-tblMatriculas[[#This Row],[Asistidas]]))</f>
        <v>0</v>
      </c>
      <c r="P466" s="1">
        <f>IF(OR(tblMatriculas[[#This Row],[Estado]]&lt;&gt;"activa",tblMatriculas[[#This Row],[Asistidas]]=""),"",tblMatriculas[[#This Row],[Asistencia]])</f>
        <v>6.7000000000000004E-2</v>
      </c>
      <c r="Q466" t="b">
        <f>AND(tblMatriculas[[#This Row],[Estado]]="activa",ISNUMBER(tblMatriculas[[#This Row],[% asistencia]]),NOT(ISNUMBER(SEARCH(pPrueba,tblMatriculas[[#This Row],[Nombre]]))))</f>
        <v>1</v>
      </c>
      <c r="R4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66" s="23" t="str" cm="1">
        <f t="array" ref="S4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6" s="23" t="str" cm="1">
        <f t="array" ref="T4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6" s="14" t="str" cm="1">
        <f t="array" ref="U4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6" t="str" cm="1">
        <f t="array" ref="V4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6" t="str" cm="1">
        <f t="array" ref="W4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66" t="str">
        <f>IF(COUNTIFS('Base Estudiantes'!$C:$C,tblMatriculas[[#This Row],[Cédula]],'Base Estudiantes'!$I:$I,tblMatriculas[[#This Row],[Código]])&gt;0,"Sí","No")</f>
        <v>Sí</v>
      </c>
      <c r="Z466" s="23" cm="1">
        <f t="array" ref="Z466">_xlfn.XLOOKUP(tblMatriculas[[#This Row],[Cédula]]&amp;"|"&amp;tblMatriculas[[#This Row],[Código]],tblBase[Documento]&amp;"|"&amp;tblBase[Código grupo],tblBase[Fecha matrícula],"")</f>
        <v>46262</v>
      </c>
    </row>
    <row r="467" spans="1:26" x14ac:dyDescent="0.2">
      <c r="A467" t="s">
        <v>1024</v>
      </c>
      <c r="B467" t="s">
        <v>1025</v>
      </c>
      <c r="C467" t="s">
        <v>13</v>
      </c>
      <c r="D467" t="s">
        <v>1009</v>
      </c>
      <c r="E467" t="s">
        <v>1010</v>
      </c>
      <c r="F467" t="s">
        <v>516</v>
      </c>
      <c r="G467" s="1">
        <v>0</v>
      </c>
      <c r="H467" t="s">
        <v>254</v>
      </c>
      <c r="I467" t="s">
        <v>853</v>
      </c>
      <c r="J467" t="s">
        <v>1011</v>
      </c>
      <c r="K467" t="s">
        <v>24</v>
      </c>
      <c r="L467" s="14">
        <f>IFERROR(VALUE(LEFT(tblMatriculas[[#This Row],[Clases]],FIND("/",tblMatriculas[[#This Row],[Clases]])-1)),"")</f>
        <v>0</v>
      </c>
      <c r="M467" s="14">
        <f>IFERROR(VALUE(MID(tblMatriculas[[#This Row],[Clases]],FIND("/",tblMatriculas[[#This Row],[Clases]])+1,5)),"")</f>
        <v>30</v>
      </c>
      <c r="N4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7" s="14">
        <f>IF(OR(tblMatriculas[[#This Row],[Estado]]&lt;&gt;"activa",tblMatriculas[[#This Row],[Clases dictadas]]=""),"",MAX(0,tblMatriculas[[#This Row],[Clases dictadas]]-tblMatriculas[[#This Row],[Asistidas]]))</f>
        <v>2</v>
      </c>
      <c r="P467" s="1">
        <f>IF(OR(tblMatriculas[[#This Row],[Estado]]&lt;&gt;"activa",tblMatriculas[[#This Row],[Asistidas]]=""),"",tblMatriculas[[#This Row],[Asistencia]])</f>
        <v>0</v>
      </c>
      <c r="Q467" t="b">
        <f>AND(tblMatriculas[[#This Row],[Estado]]="activa",ISNUMBER(tblMatriculas[[#This Row],[% asistencia]]),NOT(ISNUMBER(SEARCH(pPrueba,tblMatriculas[[#This Row],[Nombre]]))))</f>
        <v>1</v>
      </c>
      <c r="R4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67" s="23" t="str" cm="1">
        <f t="array" ref="S4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7" s="23" t="str" cm="1">
        <f t="array" ref="T4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7" s="14" t="str" cm="1">
        <f t="array" ref="U4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7" t="str" cm="1">
        <f t="array" ref="V4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7" t="str" cm="1">
        <f t="array" ref="W4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67" t="str">
        <f>IF(COUNTIFS('Base Estudiantes'!$C:$C,tblMatriculas[[#This Row],[Cédula]],'Base Estudiantes'!$I:$I,tblMatriculas[[#This Row],[Código]])&gt;0,"Sí","No")</f>
        <v>Sí</v>
      </c>
      <c r="Z467" s="23" cm="1">
        <f t="array" ref="Z467">_xlfn.XLOOKUP(tblMatriculas[[#This Row],[Cédula]]&amp;"|"&amp;tblMatriculas[[#This Row],[Código]],tblBase[Documento]&amp;"|"&amp;tblBase[Código grupo],tblBase[Fecha matrícula],"")</f>
        <v>46262</v>
      </c>
    </row>
    <row r="468" spans="1:26" x14ac:dyDescent="0.2">
      <c r="A468" t="s">
        <v>1026</v>
      </c>
      <c r="B468" t="s">
        <v>1027</v>
      </c>
      <c r="C468" t="s">
        <v>13</v>
      </c>
      <c r="D468" t="s">
        <v>1009</v>
      </c>
      <c r="E468" t="s">
        <v>1010</v>
      </c>
      <c r="F468" t="s">
        <v>516</v>
      </c>
      <c r="G468" s="1">
        <v>0</v>
      </c>
      <c r="H468" t="s">
        <v>254</v>
      </c>
      <c r="I468" t="s">
        <v>853</v>
      </c>
      <c r="J468" t="s">
        <v>1011</v>
      </c>
      <c r="K468" t="s">
        <v>24</v>
      </c>
      <c r="L468" s="14">
        <f>IFERROR(VALUE(LEFT(tblMatriculas[[#This Row],[Clases]],FIND("/",tblMatriculas[[#This Row],[Clases]])-1)),"")</f>
        <v>0</v>
      </c>
      <c r="M468" s="14">
        <f>IFERROR(VALUE(MID(tblMatriculas[[#This Row],[Clases]],FIND("/",tblMatriculas[[#This Row],[Clases]])+1,5)),"")</f>
        <v>30</v>
      </c>
      <c r="N4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8" s="14">
        <f>IF(OR(tblMatriculas[[#This Row],[Estado]]&lt;&gt;"activa",tblMatriculas[[#This Row],[Clases dictadas]]=""),"",MAX(0,tblMatriculas[[#This Row],[Clases dictadas]]-tblMatriculas[[#This Row],[Asistidas]]))</f>
        <v>2</v>
      </c>
      <c r="P468" s="1">
        <f>IF(OR(tblMatriculas[[#This Row],[Estado]]&lt;&gt;"activa",tblMatriculas[[#This Row],[Asistidas]]=""),"",tblMatriculas[[#This Row],[Asistencia]])</f>
        <v>0</v>
      </c>
      <c r="Q468" t="b">
        <f>AND(tblMatriculas[[#This Row],[Estado]]="activa",ISNUMBER(tblMatriculas[[#This Row],[% asistencia]]),NOT(ISNUMBER(SEARCH(pPrueba,tblMatriculas[[#This Row],[Nombre]]))))</f>
        <v>1</v>
      </c>
      <c r="R4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68" s="23" t="str" cm="1">
        <f t="array" ref="S4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8" s="23" t="str" cm="1">
        <f t="array" ref="T4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8" s="14" t="str" cm="1">
        <f t="array" ref="U4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8" t="str" cm="1">
        <f t="array" ref="V4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8" t="str" cm="1">
        <f t="array" ref="W4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68" t="str">
        <f>IF(COUNTIFS('Base Estudiantes'!$C:$C,tblMatriculas[[#This Row],[Cédula]],'Base Estudiantes'!$I:$I,tblMatriculas[[#This Row],[Código]])&gt;0,"Sí","No")</f>
        <v>Sí</v>
      </c>
      <c r="Z468" s="23" cm="1">
        <f t="array" ref="Z468">_xlfn.XLOOKUP(tblMatriculas[[#This Row],[Cédula]]&amp;"|"&amp;tblMatriculas[[#This Row],[Código]],tblBase[Documento]&amp;"|"&amp;tblBase[Código grupo],tblBase[Fecha matrícula],"")</f>
        <v>46262</v>
      </c>
    </row>
    <row r="469" spans="1:26" x14ac:dyDescent="0.2">
      <c r="A469" t="s">
        <v>1028</v>
      </c>
      <c r="B469" t="s">
        <v>1029</v>
      </c>
      <c r="C469" t="s">
        <v>13</v>
      </c>
      <c r="D469" t="s">
        <v>1009</v>
      </c>
      <c r="E469" t="s">
        <v>1010</v>
      </c>
      <c r="F469" t="s">
        <v>516</v>
      </c>
      <c r="G469" s="1">
        <v>3.3000000000000002E-2</v>
      </c>
      <c r="H469" t="s">
        <v>225</v>
      </c>
      <c r="I469" t="s">
        <v>853</v>
      </c>
      <c r="J469" t="s">
        <v>1011</v>
      </c>
      <c r="K469" t="s">
        <v>24</v>
      </c>
      <c r="L469" s="14">
        <f>IFERROR(VALUE(LEFT(tblMatriculas[[#This Row],[Clases]],FIND("/",tblMatriculas[[#This Row],[Clases]])-1)),"")</f>
        <v>1</v>
      </c>
      <c r="M469" s="14">
        <f>IFERROR(VALUE(MID(tblMatriculas[[#This Row],[Clases]],FIND("/",tblMatriculas[[#This Row],[Clases]])+1,5)),"")</f>
        <v>30</v>
      </c>
      <c r="N4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69" s="14">
        <f>IF(OR(tblMatriculas[[#This Row],[Estado]]&lt;&gt;"activa",tblMatriculas[[#This Row],[Clases dictadas]]=""),"",MAX(0,tblMatriculas[[#This Row],[Clases dictadas]]-tblMatriculas[[#This Row],[Asistidas]]))</f>
        <v>1</v>
      </c>
      <c r="P469" s="1">
        <f>IF(OR(tblMatriculas[[#This Row],[Estado]]&lt;&gt;"activa",tblMatriculas[[#This Row],[Asistidas]]=""),"",tblMatriculas[[#This Row],[Asistencia]])</f>
        <v>3.3000000000000002E-2</v>
      </c>
      <c r="Q469" t="b">
        <f>AND(tblMatriculas[[#This Row],[Estado]]="activa",ISNUMBER(tblMatriculas[[#This Row],[% asistencia]]),NOT(ISNUMBER(SEARCH(pPrueba,tblMatriculas[[#This Row],[Nombre]]))))</f>
        <v>1</v>
      </c>
      <c r="R4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69" s="23" t="str" cm="1">
        <f t="array" ref="S4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69" s="23" t="str" cm="1">
        <f t="array" ref="T4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69" s="14" t="str" cm="1">
        <f t="array" ref="U4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69" t="str" cm="1">
        <f t="array" ref="V4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69" t="str" cm="1">
        <f t="array" ref="W4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69" t="str">
        <f>IF(COUNTIFS('Base Estudiantes'!$C:$C,tblMatriculas[[#This Row],[Cédula]],'Base Estudiantes'!$I:$I,tblMatriculas[[#This Row],[Código]])&gt;0,"Sí","No")</f>
        <v>Sí</v>
      </c>
      <c r="Z469" s="23" cm="1">
        <f t="array" ref="Z469">_xlfn.XLOOKUP(tblMatriculas[[#This Row],[Cédula]]&amp;"|"&amp;tblMatriculas[[#This Row],[Código]],tblBase[Documento]&amp;"|"&amp;tblBase[Código grupo],tblBase[Fecha matrícula],"")</f>
        <v>46262</v>
      </c>
    </row>
    <row r="470" spans="1:26" x14ac:dyDescent="0.2">
      <c r="A470" t="s">
        <v>1030</v>
      </c>
      <c r="B470" t="s">
        <v>1031</v>
      </c>
      <c r="C470" t="s">
        <v>13</v>
      </c>
      <c r="D470" t="s">
        <v>1009</v>
      </c>
      <c r="E470" t="s">
        <v>1010</v>
      </c>
      <c r="F470" t="s">
        <v>516</v>
      </c>
      <c r="G470" s="1">
        <v>6.7000000000000004E-2</v>
      </c>
      <c r="H470" t="s">
        <v>166</v>
      </c>
      <c r="I470" t="s">
        <v>853</v>
      </c>
      <c r="J470" t="s">
        <v>1011</v>
      </c>
      <c r="K470" t="s">
        <v>24</v>
      </c>
      <c r="L470" s="14">
        <f>IFERROR(VALUE(LEFT(tblMatriculas[[#This Row],[Clases]],FIND("/",tblMatriculas[[#This Row],[Clases]])-1)),"")</f>
        <v>2</v>
      </c>
      <c r="M470" s="14">
        <f>IFERROR(VALUE(MID(tblMatriculas[[#This Row],[Clases]],FIND("/",tblMatriculas[[#This Row],[Clases]])+1,5)),"")</f>
        <v>30</v>
      </c>
      <c r="N4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0" s="14">
        <f>IF(OR(tblMatriculas[[#This Row],[Estado]]&lt;&gt;"activa",tblMatriculas[[#This Row],[Clases dictadas]]=""),"",MAX(0,tblMatriculas[[#This Row],[Clases dictadas]]-tblMatriculas[[#This Row],[Asistidas]]))</f>
        <v>0</v>
      </c>
      <c r="P470" s="1">
        <f>IF(OR(tblMatriculas[[#This Row],[Estado]]&lt;&gt;"activa",tblMatriculas[[#This Row],[Asistidas]]=""),"",tblMatriculas[[#This Row],[Asistencia]])</f>
        <v>6.7000000000000004E-2</v>
      </c>
      <c r="Q470" t="b">
        <f>AND(tblMatriculas[[#This Row],[Estado]]="activa",ISNUMBER(tblMatriculas[[#This Row],[% asistencia]]),NOT(ISNUMBER(SEARCH(pPrueba,tblMatriculas[[#This Row],[Nombre]]))))</f>
        <v>1</v>
      </c>
      <c r="R4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0" s="23" t="str" cm="1">
        <f t="array" ref="S4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0" s="23" t="str" cm="1">
        <f t="array" ref="T4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0" s="14" t="str" cm="1">
        <f t="array" ref="U4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0" t="str" cm="1">
        <f t="array" ref="V4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0" t="str" cm="1">
        <f t="array" ref="W4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0" t="str">
        <f>IF(COUNTIFS('Base Estudiantes'!$C:$C,tblMatriculas[[#This Row],[Cédula]],'Base Estudiantes'!$I:$I,tblMatriculas[[#This Row],[Código]])&gt;0,"Sí","No")</f>
        <v>Sí</v>
      </c>
      <c r="Z470" s="23" cm="1">
        <f t="array" ref="Z470">_xlfn.XLOOKUP(tblMatriculas[[#This Row],[Cédula]]&amp;"|"&amp;tblMatriculas[[#This Row],[Código]],tblBase[Documento]&amp;"|"&amp;tblBase[Código grupo],tblBase[Fecha matrícula],"")</f>
        <v>46262</v>
      </c>
    </row>
    <row r="471" spans="1:26" x14ac:dyDescent="0.2">
      <c r="A471" t="s">
        <v>1032</v>
      </c>
      <c r="B471" t="s">
        <v>1033</v>
      </c>
      <c r="C471" t="s">
        <v>13</v>
      </c>
      <c r="D471" t="s">
        <v>1009</v>
      </c>
      <c r="E471" t="s">
        <v>1010</v>
      </c>
      <c r="F471" t="s">
        <v>516</v>
      </c>
      <c r="G471" s="1">
        <v>3.3000000000000002E-2</v>
      </c>
      <c r="H471" t="s">
        <v>225</v>
      </c>
      <c r="I471" t="s">
        <v>853</v>
      </c>
      <c r="J471" t="s">
        <v>1011</v>
      </c>
      <c r="K471" t="s">
        <v>24</v>
      </c>
      <c r="L471" s="14">
        <f>IFERROR(VALUE(LEFT(tblMatriculas[[#This Row],[Clases]],FIND("/",tblMatriculas[[#This Row],[Clases]])-1)),"")</f>
        <v>1</v>
      </c>
      <c r="M471" s="14">
        <f>IFERROR(VALUE(MID(tblMatriculas[[#This Row],[Clases]],FIND("/",tblMatriculas[[#This Row],[Clases]])+1,5)),"")</f>
        <v>30</v>
      </c>
      <c r="N4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1" s="14">
        <f>IF(OR(tblMatriculas[[#This Row],[Estado]]&lt;&gt;"activa",tblMatriculas[[#This Row],[Clases dictadas]]=""),"",MAX(0,tblMatriculas[[#This Row],[Clases dictadas]]-tblMatriculas[[#This Row],[Asistidas]]))</f>
        <v>1</v>
      </c>
      <c r="P471" s="1">
        <f>IF(OR(tblMatriculas[[#This Row],[Estado]]&lt;&gt;"activa",tblMatriculas[[#This Row],[Asistidas]]=""),"",tblMatriculas[[#This Row],[Asistencia]])</f>
        <v>3.3000000000000002E-2</v>
      </c>
      <c r="Q471" t="b">
        <f>AND(tblMatriculas[[#This Row],[Estado]]="activa",ISNUMBER(tblMatriculas[[#This Row],[% asistencia]]),NOT(ISNUMBER(SEARCH(pPrueba,tblMatriculas[[#This Row],[Nombre]]))))</f>
        <v>1</v>
      </c>
      <c r="R4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71" s="23" t="str" cm="1">
        <f t="array" ref="S4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1" s="23" t="str" cm="1">
        <f t="array" ref="T4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1" s="14" t="str" cm="1">
        <f t="array" ref="U4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1" t="str" cm="1">
        <f t="array" ref="V4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1" t="str" cm="1">
        <f t="array" ref="W4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71" t="str">
        <f>IF(COUNTIFS('Base Estudiantes'!$C:$C,tblMatriculas[[#This Row],[Cédula]],'Base Estudiantes'!$I:$I,tblMatriculas[[#This Row],[Código]])&gt;0,"Sí","No")</f>
        <v>Sí</v>
      </c>
      <c r="Z471" s="23" cm="1">
        <f t="array" ref="Z471">_xlfn.XLOOKUP(tblMatriculas[[#This Row],[Cédula]]&amp;"|"&amp;tblMatriculas[[#This Row],[Código]],tblBase[Documento]&amp;"|"&amp;tblBase[Código grupo],tblBase[Fecha matrícula],"")</f>
        <v>46262</v>
      </c>
    </row>
    <row r="472" spans="1:26" x14ac:dyDescent="0.2">
      <c r="A472" t="s">
        <v>1034</v>
      </c>
      <c r="B472" t="s">
        <v>1035</v>
      </c>
      <c r="C472" t="s">
        <v>13</v>
      </c>
      <c r="D472" t="s">
        <v>1009</v>
      </c>
      <c r="E472" t="s">
        <v>1010</v>
      </c>
      <c r="F472" t="s">
        <v>516</v>
      </c>
      <c r="G472" s="1">
        <v>6.7000000000000004E-2</v>
      </c>
      <c r="H472" t="s">
        <v>166</v>
      </c>
      <c r="I472" t="s">
        <v>853</v>
      </c>
      <c r="J472" t="s">
        <v>1011</v>
      </c>
      <c r="K472" t="s">
        <v>24</v>
      </c>
      <c r="L472" s="14">
        <f>IFERROR(VALUE(LEFT(tblMatriculas[[#This Row],[Clases]],FIND("/",tblMatriculas[[#This Row],[Clases]])-1)),"")</f>
        <v>2</v>
      </c>
      <c r="M472" s="14">
        <f>IFERROR(VALUE(MID(tblMatriculas[[#This Row],[Clases]],FIND("/",tblMatriculas[[#This Row],[Clases]])+1,5)),"")</f>
        <v>30</v>
      </c>
      <c r="N4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2" s="14">
        <f>IF(OR(tblMatriculas[[#This Row],[Estado]]&lt;&gt;"activa",tblMatriculas[[#This Row],[Clases dictadas]]=""),"",MAX(0,tblMatriculas[[#This Row],[Clases dictadas]]-tblMatriculas[[#This Row],[Asistidas]]))</f>
        <v>0</v>
      </c>
      <c r="P472" s="1">
        <f>IF(OR(tblMatriculas[[#This Row],[Estado]]&lt;&gt;"activa",tblMatriculas[[#This Row],[Asistidas]]=""),"",tblMatriculas[[#This Row],[Asistencia]])</f>
        <v>6.7000000000000004E-2</v>
      </c>
      <c r="Q472" t="b">
        <f>AND(tblMatriculas[[#This Row],[Estado]]="activa",ISNUMBER(tblMatriculas[[#This Row],[% asistencia]]),NOT(ISNUMBER(SEARCH(pPrueba,tblMatriculas[[#This Row],[Nombre]]))))</f>
        <v>1</v>
      </c>
      <c r="R4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2" s="23" t="str" cm="1">
        <f t="array" ref="S4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2" s="23" t="str" cm="1">
        <f t="array" ref="T4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2" s="14" t="str" cm="1">
        <f t="array" ref="U4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2" t="str" cm="1">
        <f t="array" ref="V4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2" t="str" cm="1">
        <f t="array" ref="W4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2" t="str">
        <f>IF(COUNTIFS('Base Estudiantes'!$C:$C,tblMatriculas[[#This Row],[Cédula]],'Base Estudiantes'!$I:$I,tblMatriculas[[#This Row],[Código]])&gt;0,"Sí","No")</f>
        <v>Sí</v>
      </c>
      <c r="Z472" s="23" cm="1">
        <f t="array" ref="Z472">_xlfn.XLOOKUP(tblMatriculas[[#This Row],[Cédula]]&amp;"|"&amp;tblMatriculas[[#This Row],[Código]],tblBase[Documento]&amp;"|"&amp;tblBase[Código grupo],tblBase[Fecha matrícula],"")</f>
        <v>46262</v>
      </c>
    </row>
    <row r="473" spans="1:26" x14ac:dyDescent="0.2">
      <c r="A473" t="s">
        <v>1036</v>
      </c>
      <c r="B473" t="s">
        <v>1037</v>
      </c>
      <c r="C473" t="s">
        <v>13</v>
      </c>
      <c r="D473" t="s">
        <v>1009</v>
      </c>
      <c r="E473" t="s">
        <v>1010</v>
      </c>
      <c r="F473" t="s">
        <v>516</v>
      </c>
      <c r="G473" s="1">
        <v>3.3000000000000002E-2</v>
      </c>
      <c r="H473" t="s">
        <v>225</v>
      </c>
      <c r="I473" t="s">
        <v>853</v>
      </c>
      <c r="J473" t="s">
        <v>1011</v>
      </c>
      <c r="K473" t="s">
        <v>24</v>
      </c>
      <c r="L473" s="14">
        <f>IFERROR(VALUE(LEFT(tblMatriculas[[#This Row],[Clases]],FIND("/",tblMatriculas[[#This Row],[Clases]])-1)),"")</f>
        <v>1</v>
      </c>
      <c r="M473" s="14">
        <f>IFERROR(VALUE(MID(tblMatriculas[[#This Row],[Clases]],FIND("/",tblMatriculas[[#This Row],[Clases]])+1,5)),"")</f>
        <v>30</v>
      </c>
      <c r="N4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3" s="14">
        <f>IF(OR(tblMatriculas[[#This Row],[Estado]]&lt;&gt;"activa",tblMatriculas[[#This Row],[Clases dictadas]]=""),"",MAX(0,tblMatriculas[[#This Row],[Clases dictadas]]-tblMatriculas[[#This Row],[Asistidas]]))</f>
        <v>1</v>
      </c>
      <c r="P473" s="1">
        <f>IF(OR(tblMatriculas[[#This Row],[Estado]]&lt;&gt;"activa",tblMatriculas[[#This Row],[Asistidas]]=""),"",tblMatriculas[[#This Row],[Asistencia]])</f>
        <v>3.3000000000000002E-2</v>
      </c>
      <c r="Q473" t="b">
        <f>AND(tblMatriculas[[#This Row],[Estado]]="activa",ISNUMBER(tblMatriculas[[#This Row],[% asistencia]]),NOT(ISNUMBER(SEARCH(pPrueba,tblMatriculas[[#This Row],[Nombre]]))))</f>
        <v>1</v>
      </c>
      <c r="R4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73" s="23" t="str" cm="1">
        <f t="array" ref="S4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3" s="23" t="str" cm="1">
        <f t="array" ref="T4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3" s="14" t="str" cm="1">
        <f t="array" ref="U4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3" t="str" cm="1">
        <f t="array" ref="V4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3" t="str" cm="1">
        <f t="array" ref="W4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73" t="str">
        <f>IF(COUNTIFS('Base Estudiantes'!$C:$C,tblMatriculas[[#This Row],[Cédula]],'Base Estudiantes'!$I:$I,tblMatriculas[[#This Row],[Código]])&gt;0,"Sí","No")</f>
        <v>Sí</v>
      </c>
      <c r="Z473" s="23" cm="1">
        <f t="array" ref="Z473">_xlfn.XLOOKUP(tblMatriculas[[#This Row],[Cédula]]&amp;"|"&amp;tblMatriculas[[#This Row],[Código]],tblBase[Documento]&amp;"|"&amp;tblBase[Código grupo],tblBase[Fecha matrícula],"")</f>
        <v>46262</v>
      </c>
    </row>
    <row r="474" spans="1:26" x14ac:dyDescent="0.2">
      <c r="A474" t="s">
        <v>1038</v>
      </c>
      <c r="B474" t="s">
        <v>1039</v>
      </c>
      <c r="C474" t="s">
        <v>13</v>
      </c>
      <c r="D474" t="s">
        <v>1009</v>
      </c>
      <c r="E474" t="s">
        <v>1010</v>
      </c>
      <c r="F474" t="s">
        <v>516</v>
      </c>
      <c r="G474" s="1">
        <v>6.7000000000000004E-2</v>
      </c>
      <c r="H474" t="s">
        <v>166</v>
      </c>
      <c r="I474" t="s">
        <v>853</v>
      </c>
      <c r="J474" t="s">
        <v>1011</v>
      </c>
      <c r="K474" t="s">
        <v>24</v>
      </c>
      <c r="L474" s="14">
        <f>IFERROR(VALUE(LEFT(tblMatriculas[[#This Row],[Clases]],FIND("/",tblMatriculas[[#This Row],[Clases]])-1)),"")</f>
        <v>2</v>
      </c>
      <c r="M474" s="14">
        <f>IFERROR(VALUE(MID(tblMatriculas[[#This Row],[Clases]],FIND("/",tblMatriculas[[#This Row],[Clases]])+1,5)),"")</f>
        <v>30</v>
      </c>
      <c r="N4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4" s="14">
        <f>IF(OR(tblMatriculas[[#This Row],[Estado]]&lt;&gt;"activa",tblMatriculas[[#This Row],[Clases dictadas]]=""),"",MAX(0,tblMatriculas[[#This Row],[Clases dictadas]]-tblMatriculas[[#This Row],[Asistidas]]))</f>
        <v>0</v>
      </c>
      <c r="P474" s="1">
        <f>IF(OR(tblMatriculas[[#This Row],[Estado]]&lt;&gt;"activa",tblMatriculas[[#This Row],[Asistidas]]=""),"",tblMatriculas[[#This Row],[Asistencia]])</f>
        <v>6.7000000000000004E-2</v>
      </c>
      <c r="Q474" t="b">
        <f>AND(tblMatriculas[[#This Row],[Estado]]="activa",ISNUMBER(tblMatriculas[[#This Row],[% asistencia]]),NOT(ISNUMBER(SEARCH(pPrueba,tblMatriculas[[#This Row],[Nombre]]))))</f>
        <v>1</v>
      </c>
      <c r="R4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4" s="23" t="str" cm="1">
        <f t="array" ref="S4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4" s="23" t="str" cm="1">
        <f t="array" ref="T4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4" s="14" t="str" cm="1">
        <f t="array" ref="U4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4" t="str" cm="1">
        <f t="array" ref="V4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4" t="str" cm="1">
        <f t="array" ref="W4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4" t="str">
        <f>IF(COUNTIFS('Base Estudiantes'!$C:$C,tblMatriculas[[#This Row],[Cédula]],'Base Estudiantes'!$I:$I,tblMatriculas[[#This Row],[Código]])&gt;0,"Sí","No")</f>
        <v>Sí</v>
      </c>
      <c r="Z474" s="23" cm="1">
        <f t="array" ref="Z474">_xlfn.XLOOKUP(tblMatriculas[[#This Row],[Cédula]]&amp;"|"&amp;tblMatriculas[[#This Row],[Código]],tblBase[Documento]&amp;"|"&amp;tblBase[Código grupo],tblBase[Fecha matrícula],"")</f>
        <v>46262</v>
      </c>
    </row>
    <row r="475" spans="1:26" x14ac:dyDescent="0.2">
      <c r="A475" t="s">
        <v>1040</v>
      </c>
      <c r="B475" t="s">
        <v>1041</v>
      </c>
      <c r="C475" t="s">
        <v>13</v>
      </c>
      <c r="D475" t="s">
        <v>1009</v>
      </c>
      <c r="E475" t="s">
        <v>1010</v>
      </c>
      <c r="F475" t="s">
        <v>516</v>
      </c>
      <c r="G475" s="1">
        <v>6.7000000000000004E-2</v>
      </c>
      <c r="H475" t="s">
        <v>166</v>
      </c>
      <c r="I475" t="s">
        <v>853</v>
      </c>
      <c r="J475" t="s">
        <v>1011</v>
      </c>
      <c r="K475" t="s">
        <v>24</v>
      </c>
      <c r="L475" s="14">
        <f>IFERROR(VALUE(LEFT(tblMatriculas[[#This Row],[Clases]],FIND("/",tblMatriculas[[#This Row],[Clases]])-1)),"")</f>
        <v>2</v>
      </c>
      <c r="M475" s="14">
        <f>IFERROR(VALUE(MID(tblMatriculas[[#This Row],[Clases]],FIND("/",tblMatriculas[[#This Row],[Clases]])+1,5)),"")</f>
        <v>30</v>
      </c>
      <c r="N4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5" s="14">
        <f>IF(OR(tblMatriculas[[#This Row],[Estado]]&lt;&gt;"activa",tblMatriculas[[#This Row],[Clases dictadas]]=""),"",MAX(0,tblMatriculas[[#This Row],[Clases dictadas]]-tblMatriculas[[#This Row],[Asistidas]]))</f>
        <v>0</v>
      </c>
      <c r="P475" s="1">
        <f>IF(OR(tblMatriculas[[#This Row],[Estado]]&lt;&gt;"activa",tblMatriculas[[#This Row],[Asistidas]]=""),"",tblMatriculas[[#This Row],[Asistencia]])</f>
        <v>6.7000000000000004E-2</v>
      </c>
      <c r="Q475" t="b">
        <f>AND(tblMatriculas[[#This Row],[Estado]]="activa",ISNUMBER(tblMatriculas[[#This Row],[% asistencia]]),NOT(ISNUMBER(SEARCH(pPrueba,tblMatriculas[[#This Row],[Nombre]]))))</f>
        <v>1</v>
      </c>
      <c r="R4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5" s="23" t="str" cm="1">
        <f t="array" ref="S4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5" s="23" t="str" cm="1">
        <f t="array" ref="T4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5" s="14" t="str" cm="1">
        <f t="array" ref="U4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5" t="str" cm="1">
        <f t="array" ref="V4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5" t="str" cm="1">
        <f t="array" ref="W4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5" t="str">
        <f>IF(COUNTIFS('Base Estudiantes'!$C:$C,tblMatriculas[[#This Row],[Cédula]],'Base Estudiantes'!$I:$I,tblMatriculas[[#This Row],[Código]])&gt;0,"Sí","No")</f>
        <v>Sí</v>
      </c>
      <c r="Z475" s="23" cm="1">
        <f t="array" ref="Z475">_xlfn.XLOOKUP(tblMatriculas[[#This Row],[Cédula]]&amp;"|"&amp;tblMatriculas[[#This Row],[Código]],tblBase[Documento]&amp;"|"&amp;tblBase[Código grupo],tblBase[Fecha matrícula],"")</f>
        <v>46262</v>
      </c>
    </row>
    <row r="476" spans="1:26" x14ac:dyDescent="0.2">
      <c r="A476" t="s">
        <v>1042</v>
      </c>
      <c r="B476" t="s">
        <v>1043</v>
      </c>
      <c r="C476" t="s">
        <v>13</v>
      </c>
      <c r="D476" t="s">
        <v>1009</v>
      </c>
      <c r="E476" t="s">
        <v>1010</v>
      </c>
      <c r="F476" t="s">
        <v>516</v>
      </c>
      <c r="G476" s="1">
        <v>6.7000000000000004E-2</v>
      </c>
      <c r="H476" t="s">
        <v>166</v>
      </c>
      <c r="I476" t="s">
        <v>853</v>
      </c>
      <c r="J476" t="s">
        <v>1011</v>
      </c>
      <c r="K476" t="s">
        <v>24</v>
      </c>
      <c r="L476" s="14">
        <f>IFERROR(VALUE(LEFT(tblMatriculas[[#This Row],[Clases]],FIND("/",tblMatriculas[[#This Row],[Clases]])-1)),"")</f>
        <v>2</v>
      </c>
      <c r="M476" s="14">
        <f>IFERROR(VALUE(MID(tblMatriculas[[#This Row],[Clases]],FIND("/",tblMatriculas[[#This Row],[Clases]])+1,5)),"")</f>
        <v>30</v>
      </c>
      <c r="N4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6" s="14">
        <f>IF(OR(tblMatriculas[[#This Row],[Estado]]&lt;&gt;"activa",tblMatriculas[[#This Row],[Clases dictadas]]=""),"",MAX(0,tblMatriculas[[#This Row],[Clases dictadas]]-tblMatriculas[[#This Row],[Asistidas]]))</f>
        <v>0</v>
      </c>
      <c r="P476" s="1">
        <f>IF(OR(tblMatriculas[[#This Row],[Estado]]&lt;&gt;"activa",tblMatriculas[[#This Row],[Asistidas]]=""),"",tblMatriculas[[#This Row],[Asistencia]])</f>
        <v>6.7000000000000004E-2</v>
      </c>
      <c r="Q476" t="b">
        <f>AND(tblMatriculas[[#This Row],[Estado]]="activa",ISNUMBER(tblMatriculas[[#This Row],[% asistencia]]),NOT(ISNUMBER(SEARCH(pPrueba,tblMatriculas[[#This Row],[Nombre]]))))</f>
        <v>1</v>
      </c>
      <c r="R4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6" s="23" t="str" cm="1">
        <f t="array" ref="S4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6" s="23" t="str" cm="1">
        <f t="array" ref="T4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6" s="14" t="str" cm="1">
        <f t="array" ref="U4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6" t="str" cm="1">
        <f t="array" ref="V4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6" t="str" cm="1">
        <f t="array" ref="W4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6" t="str">
        <f>IF(COUNTIFS('Base Estudiantes'!$C:$C,tblMatriculas[[#This Row],[Cédula]],'Base Estudiantes'!$I:$I,tblMatriculas[[#This Row],[Código]])&gt;0,"Sí","No")</f>
        <v>Sí</v>
      </c>
      <c r="Z476" s="23" cm="1">
        <f t="array" ref="Z476">_xlfn.XLOOKUP(tblMatriculas[[#This Row],[Cédula]]&amp;"|"&amp;tblMatriculas[[#This Row],[Código]],tblBase[Documento]&amp;"|"&amp;tblBase[Código grupo],tblBase[Fecha matrícula],"")</f>
        <v>46262</v>
      </c>
    </row>
    <row r="477" spans="1:26" x14ac:dyDescent="0.2">
      <c r="A477" t="s">
        <v>1044</v>
      </c>
      <c r="B477" t="s">
        <v>1045</v>
      </c>
      <c r="C477" t="s">
        <v>13</v>
      </c>
      <c r="D477" t="s">
        <v>1009</v>
      </c>
      <c r="E477" t="s">
        <v>1010</v>
      </c>
      <c r="F477" t="s">
        <v>516</v>
      </c>
      <c r="G477" s="1">
        <v>6.7000000000000004E-2</v>
      </c>
      <c r="H477" t="s">
        <v>166</v>
      </c>
      <c r="I477" t="s">
        <v>853</v>
      </c>
      <c r="J477" t="s">
        <v>1011</v>
      </c>
      <c r="K477" t="s">
        <v>24</v>
      </c>
      <c r="L477" s="14">
        <f>IFERROR(VALUE(LEFT(tblMatriculas[[#This Row],[Clases]],FIND("/",tblMatriculas[[#This Row],[Clases]])-1)),"")</f>
        <v>2</v>
      </c>
      <c r="M477" s="14">
        <f>IFERROR(VALUE(MID(tblMatriculas[[#This Row],[Clases]],FIND("/",tblMatriculas[[#This Row],[Clases]])+1,5)),"")</f>
        <v>30</v>
      </c>
      <c r="N4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7" s="14">
        <f>IF(OR(tblMatriculas[[#This Row],[Estado]]&lt;&gt;"activa",tblMatriculas[[#This Row],[Clases dictadas]]=""),"",MAX(0,tblMatriculas[[#This Row],[Clases dictadas]]-tblMatriculas[[#This Row],[Asistidas]]))</f>
        <v>0</v>
      </c>
      <c r="P477" s="1">
        <f>IF(OR(tblMatriculas[[#This Row],[Estado]]&lt;&gt;"activa",tblMatriculas[[#This Row],[Asistidas]]=""),"",tblMatriculas[[#This Row],[Asistencia]])</f>
        <v>6.7000000000000004E-2</v>
      </c>
      <c r="Q477" t="b">
        <f>AND(tblMatriculas[[#This Row],[Estado]]="activa",ISNUMBER(tblMatriculas[[#This Row],[% asistencia]]),NOT(ISNUMBER(SEARCH(pPrueba,tblMatriculas[[#This Row],[Nombre]]))))</f>
        <v>1</v>
      </c>
      <c r="R4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7" s="23" t="str" cm="1">
        <f t="array" ref="S4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7" s="23" t="str" cm="1">
        <f t="array" ref="T4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7" s="14" t="str" cm="1">
        <f t="array" ref="U4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7" t="str" cm="1">
        <f t="array" ref="V4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7" t="str" cm="1">
        <f t="array" ref="W4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7" t="str">
        <f>IF(COUNTIFS('Base Estudiantes'!$C:$C,tblMatriculas[[#This Row],[Cédula]],'Base Estudiantes'!$I:$I,tblMatriculas[[#This Row],[Código]])&gt;0,"Sí","No")</f>
        <v>Sí</v>
      </c>
      <c r="Z477" s="23" cm="1">
        <f t="array" ref="Z477">_xlfn.XLOOKUP(tblMatriculas[[#This Row],[Cédula]]&amp;"|"&amp;tblMatriculas[[#This Row],[Código]],tblBase[Documento]&amp;"|"&amp;tblBase[Código grupo],tblBase[Fecha matrícula],"")</f>
        <v>46262</v>
      </c>
    </row>
    <row r="478" spans="1:26" x14ac:dyDescent="0.2">
      <c r="A478" t="s">
        <v>1046</v>
      </c>
      <c r="B478" t="s">
        <v>1047</v>
      </c>
      <c r="C478" t="s">
        <v>13</v>
      </c>
      <c r="D478" t="s">
        <v>1009</v>
      </c>
      <c r="E478" t="s">
        <v>1010</v>
      </c>
      <c r="F478" t="s">
        <v>516</v>
      </c>
      <c r="G478" s="1">
        <v>6.7000000000000004E-2</v>
      </c>
      <c r="H478" t="s">
        <v>166</v>
      </c>
      <c r="I478" t="s">
        <v>853</v>
      </c>
      <c r="J478" t="s">
        <v>1011</v>
      </c>
      <c r="K478" t="s">
        <v>24</v>
      </c>
      <c r="L478" s="14">
        <f>IFERROR(VALUE(LEFT(tblMatriculas[[#This Row],[Clases]],FIND("/",tblMatriculas[[#This Row],[Clases]])-1)),"")</f>
        <v>2</v>
      </c>
      <c r="M478" s="14">
        <f>IFERROR(VALUE(MID(tblMatriculas[[#This Row],[Clases]],FIND("/",tblMatriculas[[#This Row],[Clases]])+1,5)),"")</f>
        <v>30</v>
      </c>
      <c r="N4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8" s="14">
        <f>IF(OR(tblMatriculas[[#This Row],[Estado]]&lt;&gt;"activa",tblMatriculas[[#This Row],[Clases dictadas]]=""),"",MAX(0,tblMatriculas[[#This Row],[Clases dictadas]]-tblMatriculas[[#This Row],[Asistidas]]))</f>
        <v>0</v>
      </c>
      <c r="P478" s="1">
        <f>IF(OR(tblMatriculas[[#This Row],[Estado]]&lt;&gt;"activa",tblMatriculas[[#This Row],[Asistidas]]=""),"",tblMatriculas[[#This Row],[Asistencia]])</f>
        <v>6.7000000000000004E-2</v>
      </c>
      <c r="Q478" t="b">
        <f>AND(tblMatriculas[[#This Row],[Estado]]="activa",ISNUMBER(tblMatriculas[[#This Row],[% asistencia]]),NOT(ISNUMBER(SEARCH(pPrueba,tblMatriculas[[#This Row],[Nombre]]))))</f>
        <v>1</v>
      </c>
      <c r="R4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8" s="23" t="str" cm="1">
        <f t="array" ref="S4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8" s="23" t="str" cm="1">
        <f t="array" ref="T4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8" s="14" t="str" cm="1">
        <f t="array" ref="U4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8" t="str" cm="1">
        <f t="array" ref="V4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8" t="str" cm="1">
        <f t="array" ref="W4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8" t="str">
        <f>IF(COUNTIFS('Base Estudiantes'!$C:$C,tblMatriculas[[#This Row],[Cédula]],'Base Estudiantes'!$I:$I,tblMatriculas[[#This Row],[Código]])&gt;0,"Sí","No")</f>
        <v>Sí</v>
      </c>
      <c r="Z478" s="23" cm="1">
        <f t="array" ref="Z478">_xlfn.XLOOKUP(tblMatriculas[[#This Row],[Cédula]]&amp;"|"&amp;tblMatriculas[[#This Row],[Código]],tblBase[Documento]&amp;"|"&amp;tblBase[Código grupo],tblBase[Fecha matrícula],"")</f>
        <v>46262</v>
      </c>
    </row>
    <row r="479" spans="1:26" x14ac:dyDescent="0.2">
      <c r="A479" t="s">
        <v>1048</v>
      </c>
      <c r="B479" t="s">
        <v>1049</v>
      </c>
      <c r="C479" t="s">
        <v>13</v>
      </c>
      <c r="D479" t="s">
        <v>1009</v>
      </c>
      <c r="E479" t="s">
        <v>1010</v>
      </c>
      <c r="F479" t="s">
        <v>516</v>
      </c>
      <c r="G479" s="1">
        <v>6.7000000000000004E-2</v>
      </c>
      <c r="H479" t="s">
        <v>166</v>
      </c>
      <c r="I479" t="s">
        <v>853</v>
      </c>
      <c r="J479" t="s">
        <v>1011</v>
      </c>
      <c r="K479" t="s">
        <v>24</v>
      </c>
      <c r="L479" s="14">
        <f>IFERROR(VALUE(LEFT(tblMatriculas[[#This Row],[Clases]],FIND("/",tblMatriculas[[#This Row],[Clases]])-1)),"")</f>
        <v>2</v>
      </c>
      <c r="M479" s="14">
        <f>IFERROR(VALUE(MID(tblMatriculas[[#This Row],[Clases]],FIND("/",tblMatriculas[[#This Row],[Clases]])+1,5)),"")</f>
        <v>30</v>
      </c>
      <c r="N4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79" s="14">
        <f>IF(OR(tblMatriculas[[#This Row],[Estado]]&lt;&gt;"activa",tblMatriculas[[#This Row],[Clases dictadas]]=""),"",MAX(0,tblMatriculas[[#This Row],[Clases dictadas]]-tblMatriculas[[#This Row],[Asistidas]]))</f>
        <v>0</v>
      </c>
      <c r="P479" s="1">
        <f>IF(OR(tblMatriculas[[#This Row],[Estado]]&lt;&gt;"activa",tblMatriculas[[#This Row],[Asistidas]]=""),"",tblMatriculas[[#This Row],[Asistencia]])</f>
        <v>6.7000000000000004E-2</v>
      </c>
      <c r="Q479" t="b">
        <f>AND(tblMatriculas[[#This Row],[Estado]]="activa",ISNUMBER(tblMatriculas[[#This Row],[% asistencia]]),NOT(ISNUMBER(SEARCH(pPrueba,tblMatriculas[[#This Row],[Nombre]]))))</f>
        <v>1</v>
      </c>
      <c r="R4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79" s="23" t="str" cm="1">
        <f t="array" ref="S4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79" s="23" t="str" cm="1">
        <f t="array" ref="T4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79" s="14" t="str" cm="1">
        <f t="array" ref="U4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79" t="str" cm="1">
        <f t="array" ref="V4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79" t="str" cm="1">
        <f t="array" ref="W4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79" t="str">
        <f>IF(COUNTIFS('Base Estudiantes'!$C:$C,tblMatriculas[[#This Row],[Cédula]],'Base Estudiantes'!$I:$I,tblMatriculas[[#This Row],[Código]])&gt;0,"Sí","No")</f>
        <v>Sí</v>
      </c>
      <c r="Z479" s="23" cm="1">
        <f t="array" ref="Z479">_xlfn.XLOOKUP(tblMatriculas[[#This Row],[Cédula]]&amp;"|"&amp;tblMatriculas[[#This Row],[Código]],tblBase[Documento]&amp;"|"&amp;tblBase[Código grupo],tblBase[Fecha matrícula],"")</f>
        <v>46262</v>
      </c>
    </row>
    <row r="480" spans="1:26" x14ac:dyDescent="0.2">
      <c r="A480" t="s">
        <v>1050</v>
      </c>
      <c r="B480" t="s">
        <v>1051</v>
      </c>
      <c r="C480" t="s">
        <v>13</v>
      </c>
      <c r="D480" t="s">
        <v>1009</v>
      </c>
      <c r="E480" t="s">
        <v>1010</v>
      </c>
      <c r="F480" t="s">
        <v>516</v>
      </c>
      <c r="G480" s="1">
        <v>3.3000000000000002E-2</v>
      </c>
      <c r="H480" t="s">
        <v>225</v>
      </c>
      <c r="I480" t="s">
        <v>853</v>
      </c>
      <c r="J480" t="s">
        <v>1011</v>
      </c>
      <c r="K480" t="s">
        <v>24</v>
      </c>
      <c r="L480" s="14">
        <f>IFERROR(VALUE(LEFT(tblMatriculas[[#This Row],[Clases]],FIND("/",tblMatriculas[[#This Row],[Clases]])-1)),"")</f>
        <v>1</v>
      </c>
      <c r="M480" s="14">
        <f>IFERROR(VALUE(MID(tblMatriculas[[#This Row],[Clases]],FIND("/",tblMatriculas[[#This Row],[Clases]])+1,5)),"")</f>
        <v>30</v>
      </c>
      <c r="N4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0" s="14">
        <f>IF(OR(tblMatriculas[[#This Row],[Estado]]&lt;&gt;"activa",tblMatriculas[[#This Row],[Clases dictadas]]=""),"",MAX(0,tblMatriculas[[#This Row],[Clases dictadas]]-tblMatriculas[[#This Row],[Asistidas]]))</f>
        <v>1</v>
      </c>
      <c r="P480" s="1">
        <f>IF(OR(tblMatriculas[[#This Row],[Estado]]&lt;&gt;"activa",tblMatriculas[[#This Row],[Asistidas]]=""),"",tblMatriculas[[#This Row],[Asistencia]])</f>
        <v>3.3000000000000002E-2</v>
      </c>
      <c r="Q480" t="b">
        <f>AND(tblMatriculas[[#This Row],[Estado]]="activa",ISNUMBER(tblMatriculas[[#This Row],[% asistencia]]),NOT(ISNUMBER(SEARCH(pPrueba,tblMatriculas[[#This Row],[Nombre]]))))</f>
        <v>1</v>
      </c>
      <c r="R4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80" s="23" t="str" cm="1">
        <f t="array" ref="S4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0" s="23" t="str" cm="1">
        <f t="array" ref="T4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0" s="14" t="str" cm="1">
        <f t="array" ref="U4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0" t="str" cm="1">
        <f t="array" ref="V4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0" t="str" cm="1">
        <f t="array" ref="W4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80" t="str">
        <f>IF(COUNTIFS('Base Estudiantes'!$C:$C,tblMatriculas[[#This Row],[Cédula]],'Base Estudiantes'!$I:$I,tblMatriculas[[#This Row],[Código]])&gt;0,"Sí","No")</f>
        <v>Sí</v>
      </c>
      <c r="Z480" s="23" cm="1">
        <f t="array" ref="Z480">_xlfn.XLOOKUP(tblMatriculas[[#This Row],[Cédula]]&amp;"|"&amp;tblMatriculas[[#This Row],[Código]],tblBase[Documento]&amp;"|"&amp;tblBase[Código grupo],tblBase[Fecha matrícula],"")</f>
        <v>46262</v>
      </c>
    </row>
    <row r="481" spans="1:26" x14ac:dyDescent="0.2">
      <c r="A481" t="s">
        <v>1052</v>
      </c>
      <c r="B481" t="s">
        <v>1053</v>
      </c>
      <c r="C481" t="s">
        <v>49</v>
      </c>
      <c r="D481" t="s">
        <v>1009</v>
      </c>
      <c r="E481" t="s">
        <v>1010</v>
      </c>
      <c r="F481" t="s">
        <v>516</v>
      </c>
      <c r="G481" s="1">
        <v>0</v>
      </c>
      <c r="H481" t="s">
        <v>254</v>
      </c>
      <c r="I481" t="s">
        <v>853</v>
      </c>
      <c r="J481" t="s">
        <v>1011</v>
      </c>
      <c r="K481" t="s">
        <v>24</v>
      </c>
      <c r="L481" s="14">
        <f>IFERROR(VALUE(LEFT(tblMatriculas[[#This Row],[Clases]],FIND("/",tblMatriculas[[#This Row],[Clases]])-1)),"")</f>
        <v>0</v>
      </c>
      <c r="M481" s="14">
        <f>IFERROR(VALUE(MID(tblMatriculas[[#This Row],[Clases]],FIND("/",tblMatriculas[[#This Row],[Clases]])+1,5)),"")</f>
        <v>30</v>
      </c>
      <c r="N4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1" s="14" t="str">
        <f>IF(OR(tblMatriculas[[#This Row],[Estado]]&lt;&gt;"activa",tblMatriculas[[#This Row],[Clases dictadas]]=""),"",MAX(0,tblMatriculas[[#This Row],[Clases dictadas]]-tblMatriculas[[#This Row],[Asistidas]]))</f>
        <v/>
      </c>
      <c r="P481" s="1" t="str">
        <f>IF(OR(tblMatriculas[[#This Row],[Estado]]&lt;&gt;"activa",tblMatriculas[[#This Row],[Asistidas]]=""),"",tblMatriculas[[#This Row],[Asistencia]])</f>
        <v/>
      </c>
      <c r="Q481" t="b">
        <f>AND(tblMatriculas[[#This Row],[Estado]]="activa",ISNUMBER(tblMatriculas[[#This Row],[% asistencia]]),NOT(ISNUMBER(SEARCH(pPrueba,tblMatriculas[[#This Row],[Nombre]]))))</f>
        <v>0</v>
      </c>
      <c r="R4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481" s="23" t="str" cm="1">
        <f t="array" ref="S4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1" s="23" t="str" cm="1">
        <f t="array" ref="T4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1" s="14" t="str" cm="1">
        <f t="array" ref="U4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1" t="str" cm="1">
        <f t="array" ref="V4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1" t="str" cm="1">
        <f t="array" ref="W4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81" t="str">
        <f>IF(COUNTIFS('Base Estudiantes'!$C:$C,tblMatriculas[[#This Row],[Cédula]],'Base Estudiantes'!$I:$I,tblMatriculas[[#This Row],[Código]])&gt;0,"Sí","No")</f>
        <v>No</v>
      </c>
      <c r="Z481" s="23" t="str" cm="1">
        <f t="array" ref="Z481">_xlfn.XLOOKUP(tblMatriculas[[#This Row],[Cédula]]&amp;"|"&amp;tblMatriculas[[#This Row],[Código]],tblBase[Documento]&amp;"|"&amp;tblBase[Código grupo],tblBase[Fecha matrícula],"")</f>
        <v/>
      </c>
    </row>
    <row r="482" spans="1:26" x14ac:dyDescent="0.2">
      <c r="A482" t="s">
        <v>1054</v>
      </c>
      <c r="B482" t="s">
        <v>1055</v>
      </c>
      <c r="C482" t="s">
        <v>13</v>
      </c>
      <c r="D482" t="s">
        <v>1009</v>
      </c>
      <c r="E482" t="s">
        <v>1010</v>
      </c>
      <c r="F482" t="s">
        <v>516</v>
      </c>
      <c r="G482" s="1">
        <v>3.3000000000000002E-2</v>
      </c>
      <c r="H482" t="s">
        <v>225</v>
      </c>
      <c r="I482" t="s">
        <v>853</v>
      </c>
      <c r="J482" t="s">
        <v>1011</v>
      </c>
      <c r="K482" t="s">
        <v>24</v>
      </c>
      <c r="L482" s="14">
        <f>IFERROR(VALUE(LEFT(tblMatriculas[[#This Row],[Clases]],FIND("/",tblMatriculas[[#This Row],[Clases]])-1)),"")</f>
        <v>1</v>
      </c>
      <c r="M482" s="14">
        <f>IFERROR(VALUE(MID(tblMatriculas[[#This Row],[Clases]],FIND("/",tblMatriculas[[#This Row],[Clases]])+1,5)),"")</f>
        <v>30</v>
      </c>
      <c r="N4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2" s="14">
        <f>IF(OR(tblMatriculas[[#This Row],[Estado]]&lt;&gt;"activa",tblMatriculas[[#This Row],[Clases dictadas]]=""),"",MAX(0,tblMatriculas[[#This Row],[Clases dictadas]]-tblMatriculas[[#This Row],[Asistidas]]))</f>
        <v>1</v>
      </c>
      <c r="P482" s="1">
        <f>IF(OR(tblMatriculas[[#This Row],[Estado]]&lt;&gt;"activa",tblMatriculas[[#This Row],[Asistidas]]=""),"",tblMatriculas[[#This Row],[Asistencia]])</f>
        <v>3.3000000000000002E-2</v>
      </c>
      <c r="Q482" t="b">
        <f>AND(tblMatriculas[[#This Row],[Estado]]="activa",ISNUMBER(tblMatriculas[[#This Row],[% asistencia]]),NOT(ISNUMBER(SEARCH(pPrueba,tblMatriculas[[#This Row],[Nombre]]))))</f>
        <v>1</v>
      </c>
      <c r="R4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82" s="23" t="str" cm="1">
        <f t="array" ref="S4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2" s="23" t="str" cm="1">
        <f t="array" ref="T4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2" s="14" t="str" cm="1">
        <f t="array" ref="U4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2" t="str" cm="1">
        <f t="array" ref="V4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2" t="str" cm="1">
        <f t="array" ref="W4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82" t="str">
        <f>IF(COUNTIFS('Base Estudiantes'!$C:$C,tblMatriculas[[#This Row],[Cédula]],'Base Estudiantes'!$I:$I,tblMatriculas[[#This Row],[Código]])&gt;0,"Sí","No")</f>
        <v>Sí</v>
      </c>
      <c r="Z482" s="23" cm="1">
        <f t="array" ref="Z482">_xlfn.XLOOKUP(tblMatriculas[[#This Row],[Cédula]]&amp;"|"&amp;tblMatriculas[[#This Row],[Código]],tblBase[Documento]&amp;"|"&amp;tblBase[Código grupo],tblBase[Fecha matrícula],"")</f>
        <v>46262</v>
      </c>
    </row>
    <row r="483" spans="1:26" x14ac:dyDescent="0.2">
      <c r="A483" t="s">
        <v>1056</v>
      </c>
      <c r="B483" t="s">
        <v>1057</v>
      </c>
      <c r="C483" t="s">
        <v>13</v>
      </c>
      <c r="D483" t="s">
        <v>1009</v>
      </c>
      <c r="E483" t="s">
        <v>1010</v>
      </c>
      <c r="F483" t="s">
        <v>516</v>
      </c>
      <c r="G483" s="1">
        <v>3.3000000000000002E-2</v>
      </c>
      <c r="H483" t="s">
        <v>225</v>
      </c>
      <c r="I483" t="s">
        <v>853</v>
      </c>
      <c r="J483" t="s">
        <v>1011</v>
      </c>
      <c r="K483" t="s">
        <v>24</v>
      </c>
      <c r="L483" s="14">
        <f>IFERROR(VALUE(LEFT(tblMatriculas[[#This Row],[Clases]],FIND("/",tblMatriculas[[#This Row],[Clases]])-1)),"")</f>
        <v>1</v>
      </c>
      <c r="M483" s="14">
        <f>IFERROR(VALUE(MID(tblMatriculas[[#This Row],[Clases]],FIND("/",tblMatriculas[[#This Row],[Clases]])+1,5)),"")</f>
        <v>30</v>
      </c>
      <c r="N4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3" s="14">
        <f>IF(OR(tblMatriculas[[#This Row],[Estado]]&lt;&gt;"activa",tblMatriculas[[#This Row],[Clases dictadas]]=""),"",MAX(0,tblMatriculas[[#This Row],[Clases dictadas]]-tblMatriculas[[#This Row],[Asistidas]]))</f>
        <v>1</v>
      </c>
      <c r="P483" s="1">
        <f>IF(OR(tblMatriculas[[#This Row],[Estado]]&lt;&gt;"activa",tblMatriculas[[#This Row],[Asistidas]]=""),"",tblMatriculas[[#This Row],[Asistencia]])</f>
        <v>3.3000000000000002E-2</v>
      </c>
      <c r="Q483" t="b">
        <f>AND(tblMatriculas[[#This Row],[Estado]]="activa",ISNUMBER(tblMatriculas[[#This Row],[% asistencia]]),NOT(ISNUMBER(SEARCH(pPrueba,tblMatriculas[[#This Row],[Nombre]]))))</f>
        <v>1</v>
      </c>
      <c r="R4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83" s="23" t="str" cm="1">
        <f t="array" ref="S4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3" s="23" t="str" cm="1">
        <f t="array" ref="T4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3" s="14" t="str" cm="1">
        <f t="array" ref="U4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3" t="str" cm="1">
        <f t="array" ref="V4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3" t="str" cm="1">
        <f t="array" ref="W4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83" t="str">
        <f>IF(COUNTIFS('Base Estudiantes'!$C:$C,tblMatriculas[[#This Row],[Cédula]],'Base Estudiantes'!$I:$I,tblMatriculas[[#This Row],[Código]])&gt;0,"Sí","No")</f>
        <v>Sí</v>
      </c>
      <c r="Z483" s="23" cm="1">
        <f t="array" ref="Z483">_xlfn.XLOOKUP(tblMatriculas[[#This Row],[Cédula]]&amp;"|"&amp;tblMatriculas[[#This Row],[Código]],tblBase[Documento]&amp;"|"&amp;tblBase[Código grupo],tblBase[Fecha matrícula],"")</f>
        <v>46262</v>
      </c>
    </row>
    <row r="484" spans="1:26" x14ac:dyDescent="0.2">
      <c r="A484" t="s">
        <v>1058</v>
      </c>
      <c r="B484" t="s">
        <v>1059</v>
      </c>
      <c r="C484" t="s">
        <v>13</v>
      </c>
      <c r="D484" t="s">
        <v>1009</v>
      </c>
      <c r="E484" t="s">
        <v>1010</v>
      </c>
      <c r="F484" t="s">
        <v>516</v>
      </c>
      <c r="G484" s="1">
        <v>6.7000000000000004E-2</v>
      </c>
      <c r="H484" t="s">
        <v>166</v>
      </c>
      <c r="I484" t="s">
        <v>853</v>
      </c>
      <c r="J484" t="s">
        <v>1011</v>
      </c>
      <c r="K484" t="s">
        <v>24</v>
      </c>
      <c r="L484" s="14">
        <f>IFERROR(VALUE(LEFT(tblMatriculas[[#This Row],[Clases]],FIND("/",tblMatriculas[[#This Row],[Clases]])-1)),"")</f>
        <v>2</v>
      </c>
      <c r="M484" s="14">
        <f>IFERROR(VALUE(MID(tblMatriculas[[#This Row],[Clases]],FIND("/",tblMatriculas[[#This Row],[Clases]])+1,5)),"")</f>
        <v>30</v>
      </c>
      <c r="N4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4" s="14">
        <f>IF(OR(tblMatriculas[[#This Row],[Estado]]&lt;&gt;"activa",tblMatriculas[[#This Row],[Clases dictadas]]=""),"",MAX(0,tblMatriculas[[#This Row],[Clases dictadas]]-tblMatriculas[[#This Row],[Asistidas]]))</f>
        <v>0</v>
      </c>
      <c r="P484" s="1">
        <f>IF(OR(tblMatriculas[[#This Row],[Estado]]&lt;&gt;"activa",tblMatriculas[[#This Row],[Asistidas]]=""),"",tblMatriculas[[#This Row],[Asistencia]])</f>
        <v>6.7000000000000004E-2</v>
      </c>
      <c r="Q484" t="b">
        <f>AND(tblMatriculas[[#This Row],[Estado]]="activa",ISNUMBER(tblMatriculas[[#This Row],[% asistencia]]),NOT(ISNUMBER(SEARCH(pPrueba,tblMatriculas[[#This Row],[Nombre]]))))</f>
        <v>1</v>
      </c>
      <c r="R4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84" s="23" t="str" cm="1">
        <f t="array" ref="S4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4" s="23" t="str" cm="1">
        <f t="array" ref="T4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4" s="14" t="str" cm="1">
        <f t="array" ref="U4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4" t="str" cm="1">
        <f t="array" ref="V4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4" t="str" cm="1">
        <f t="array" ref="W4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84" t="str">
        <f>IF(COUNTIFS('Base Estudiantes'!$C:$C,tblMatriculas[[#This Row],[Cédula]],'Base Estudiantes'!$I:$I,tblMatriculas[[#This Row],[Código]])&gt;0,"Sí","No")</f>
        <v>Sí</v>
      </c>
      <c r="Z484" s="23" cm="1">
        <f t="array" ref="Z484">_xlfn.XLOOKUP(tblMatriculas[[#This Row],[Cédula]]&amp;"|"&amp;tblMatriculas[[#This Row],[Código]],tblBase[Documento]&amp;"|"&amp;tblBase[Código grupo],tblBase[Fecha matrícula],"")</f>
        <v>46262</v>
      </c>
    </row>
    <row r="485" spans="1:26" x14ac:dyDescent="0.2">
      <c r="A485" t="s">
        <v>1060</v>
      </c>
      <c r="B485" t="s">
        <v>1061</v>
      </c>
      <c r="C485" t="s">
        <v>13</v>
      </c>
      <c r="D485" t="s">
        <v>1009</v>
      </c>
      <c r="E485" t="s">
        <v>1010</v>
      </c>
      <c r="F485" t="s">
        <v>516</v>
      </c>
      <c r="G485" s="1">
        <v>0</v>
      </c>
      <c r="H485" t="s">
        <v>254</v>
      </c>
      <c r="I485" t="s">
        <v>853</v>
      </c>
      <c r="J485" t="s">
        <v>1011</v>
      </c>
      <c r="K485" t="s">
        <v>855</v>
      </c>
      <c r="L485" s="14">
        <f>IFERROR(VALUE(LEFT(tblMatriculas[[#This Row],[Clases]],FIND("/",tblMatriculas[[#This Row],[Clases]])-1)),"")</f>
        <v>0</v>
      </c>
      <c r="M485" s="14">
        <f>IFERROR(VALUE(MID(tblMatriculas[[#This Row],[Clases]],FIND("/",tblMatriculas[[#This Row],[Clases]])+1,5)),"")</f>
        <v>30</v>
      </c>
      <c r="N4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5" s="14">
        <f>IF(OR(tblMatriculas[[#This Row],[Estado]]&lt;&gt;"activa",tblMatriculas[[#This Row],[Clases dictadas]]=""),"",MAX(0,tblMatriculas[[#This Row],[Clases dictadas]]-tblMatriculas[[#This Row],[Asistidas]]))</f>
        <v>2</v>
      </c>
      <c r="P485" s="1">
        <f>IF(OR(tblMatriculas[[#This Row],[Estado]]&lt;&gt;"activa",tblMatriculas[[#This Row],[Asistidas]]=""),"",tblMatriculas[[#This Row],[Asistencia]])</f>
        <v>0</v>
      </c>
      <c r="Q485" t="b">
        <f>AND(tblMatriculas[[#This Row],[Estado]]="activa",ISNUMBER(tblMatriculas[[#This Row],[% asistencia]]),NOT(ISNUMBER(SEARCH(pPrueba,tblMatriculas[[#This Row],[Nombre]]))))</f>
        <v>1</v>
      </c>
      <c r="R4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85" s="23" t="str" cm="1">
        <f t="array" ref="S4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5" s="23" t="str" cm="1">
        <f t="array" ref="T4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5" s="14" t="str" cm="1">
        <f t="array" ref="U4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5" t="str" cm="1">
        <f t="array" ref="V4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5" t="str" cm="1">
        <f t="array" ref="W4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85" t="str">
        <f>IF(COUNTIFS('Base Estudiantes'!$C:$C,tblMatriculas[[#This Row],[Cédula]],'Base Estudiantes'!$I:$I,tblMatriculas[[#This Row],[Código]])&gt;0,"Sí","No")</f>
        <v>Sí</v>
      </c>
      <c r="Z485" s="23" cm="1">
        <f t="array" ref="Z485">_xlfn.XLOOKUP(tblMatriculas[[#This Row],[Cédula]]&amp;"|"&amp;tblMatriculas[[#This Row],[Código]],tblBase[Documento]&amp;"|"&amp;tblBase[Código grupo],tblBase[Fecha matrícula],"")</f>
        <v>46262</v>
      </c>
    </row>
    <row r="486" spans="1:26" x14ac:dyDescent="0.2">
      <c r="A486" t="s">
        <v>1062</v>
      </c>
      <c r="B486" t="s">
        <v>1063</v>
      </c>
      <c r="C486" t="s">
        <v>13</v>
      </c>
      <c r="D486" t="s">
        <v>1009</v>
      </c>
      <c r="E486" t="s">
        <v>1010</v>
      </c>
      <c r="F486" t="s">
        <v>516</v>
      </c>
      <c r="G486" s="1">
        <v>6.7000000000000004E-2</v>
      </c>
      <c r="H486" t="s">
        <v>166</v>
      </c>
      <c r="I486" t="s">
        <v>853</v>
      </c>
      <c r="J486" t="s">
        <v>1011</v>
      </c>
      <c r="K486" t="s">
        <v>855</v>
      </c>
      <c r="L486" s="14">
        <f>IFERROR(VALUE(LEFT(tblMatriculas[[#This Row],[Clases]],FIND("/",tblMatriculas[[#This Row],[Clases]])-1)),"")</f>
        <v>2</v>
      </c>
      <c r="M486" s="14">
        <f>IFERROR(VALUE(MID(tblMatriculas[[#This Row],[Clases]],FIND("/",tblMatriculas[[#This Row],[Clases]])+1,5)),"")</f>
        <v>30</v>
      </c>
      <c r="N4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6" s="14">
        <f>IF(OR(tblMatriculas[[#This Row],[Estado]]&lt;&gt;"activa",tblMatriculas[[#This Row],[Clases dictadas]]=""),"",MAX(0,tblMatriculas[[#This Row],[Clases dictadas]]-tblMatriculas[[#This Row],[Asistidas]]))</f>
        <v>0</v>
      </c>
      <c r="P486" s="1">
        <f>IF(OR(tblMatriculas[[#This Row],[Estado]]&lt;&gt;"activa",tblMatriculas[[#This Row],[Asistidas]]=""),"",tblMatriculas[[#This Row],[Asistencia]])</f>
        <v>6.7000000000000004E-2</v>
      </c>
      <c r="Q486" t="b">
        <f>AND(tblMatriculas[[#This Row],[Estado]]="activa",ISNUMBER(tblMatriculas[[#This Row],[% asistencia]]),NOT(ISNUMBER(SEARCH(pPrueba,tblMatriculas[[#This Row],[Nombre]]))))</f>
        <v>1</v>
      </c>
      <c r="R4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86" s="23" t="str" cm="1">
        <f t="array" ref="S4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6" s="23" t="str" cm="1">
        <f t="array" ref="T4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6" s="14" t="str" cm="1">
        <f t="array" ref="U4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6" t="str" cm="1">
        <f t="array" ref="V4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6" t="str" cm="1">
        <f t="array" ref="W4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86" t="str">
        <f>IF(COUNTIFS('Base Estudiantes'!$C:$C,tblMatriculas[[#This Row],[Cédula]],'Base Estudiantes'!$I:$I,tblMatriculas[[#This Row],[Código]])&gt;0,"Sí","No")</f>
        <v>Sí</v>
      </c>
      <c r="Z486" s="23" cm="1">
        <f t="array" ref="Z486">_xlfn.XLOOKUP(tblMatriculas[[#This Row],[Cédula]]&amp;"|"&amp;tblMatriculas[[#This Row],[Código]],tblBase[Documento]&amp;"|"&amp;tblBase[Código grupo],tblBase[Fecha matrícula],"")</f>
        <v>46262</v>
      </c>
    </row>
    <row r="487" spans="1:26" x14ac:dyDescent="0.2">
      <c r="A487" t="s">
        <v>1064</v>
      </c>
      <c r="B487" t="s">
        <v>1065</v>
      </c>
      <c r="C487" t="s">
        <v>13</v>
      </c>
      <c r="D487" t="s">
        <v>1009</v>
      </c>
      <c r="E487" t="s">
        <v>1010</v>
      </c>
      <c r="F487" t="s">
        <v>516</v>
      </c>
      <c r="G487" s="1">
        <v>3.3000000000000002E-2</v>
      </c>
      <c r="H487" t="s">
        <v>225</v>
      </c>
      <c r="I487" t="s">
        <v>853</v>
      </c>
      <c r="J487" t="s">
        <v>1011</v>
      </c>
      <c r="K487" t="s">
        <v>1066</v>
      </c>
      <c r="L487" s="14">
        <f>IFERROR(VALUE(LEFT(tblMatriculas[[#This Row],[Clases]],FIND("/",tblMatriculas[[#This Row],[Clases]])-1)),"")</f>
        <v>1</v>
      </c>
      <c r="M487" s="14">
        <f>IFERROR(VALUE(MID(tblMatriculas[[#This Row],[Clases]],FIND("/",tblMatriculas[[#This Row],[Clases]])+1,5)),"")</f>
        <v>30</v>
      </c>
      <c r="N4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7" s="14">
        <f>IF(OR(tblMatriculas[[#This Row],[Estado]]&lt;&gt;"activa",tblMatriculas[[#This Row],[Clases dictadas]]=""),"",MAX(0,tblMatriculas[[#This Row],[Clases dictadas]]-tblMatriculas[[#This Row],[Asistidas]]))</f>
        <v>1</v>
      </c>
      <c r="P487" s="1">
        <f>IF(OR(tblMatriculas[[#This Row],[Estado]]&lt;&gt;"activa",tblMatriculas[[#This Row],[Asistidas]]=""),"",tblMatriculas[[#This Row],[Asistencia]])</f>
        <v>3.3000000000000002E-2</v>
      </c>
      <c r="Q487" t="b">
        <f>AND(tblMatriculas[[#This Row],[Estado]]="activa",ISNUMBER(tblMatriculas[[#This Row],[% asistencia]]),NOT(ISNUMBER(SEARCH(pPrueba,tblMatriculas[[#This Row],[Nombre]]))))</f>
        <v>1</v>
      </c>
      <c r="R4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87" s="23" t="str" cm="1">
        <f t="array" ref="S4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7" s="23" t="str" cm="1">
        <f t="array" ref="T4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7" s="14" t="str" cm="1">
        <f t="array" ref="U4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7" t="str" cm="1">
        <f t="array" ref="V4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7" t="str" cm="1">
        <f t="array" ref="W4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87" t="str">
        <f>IF(COUNTIFS('Base Estudiantes'!$C:$C,tblMatriculas[[#This Row],[Cédula]],'Base Estudiantes'!$I:$I,tblMatriculas[[#This Row],[Código]])&gt;0,"Sí","No")</f>
        <v>Sí</v>
      </c>
      <c r="Z487" s="23" cm="1">
        <f t="array" ref="Z487">_xlfn.XLOOKUP(tblMatriculas[[#This Row],[Cédula]]&amp;"|"&amp;tblMatriculas[[#This Row],[Código]],tblBase[Documento]&amp;"|"&amp;tblBase[Código grupo],tblBase[Fecha matrícula],"")</f>
        <v>46262</v>
      </c>
    </row>
    <row r="488" spans="1:26" x14ac:dyDescent="0.2">
      <c r="A488" t="s">
        <v>1067</v>
      </c>
      <c r="B488" t="s">
        <v>1068</v>
      </c>
      <c r="C488" t="s">
        <v>13</v>
      </c>
      <c r="D488" t="s">
        <v>1009</v>
      </c>
      <c r="E488" t="s">
        <v>1010</v>
      </c>
      <c r="F488" t="s">
        <v>516</v>
      </c>
      <c r="G488" s="1">
        <v>0</v>
      </c>
      <c r="H488" t="s">
        <v>254</v>
      </c>
      <c r="I488" t="s">
        <v>853</v>
      </c>
      <c r="J488" t="s">
        <v>1011</v>
      </c>
      <c r="K488" t="s">
        <v>24</v>
      </c>
      <c r="L488" s="14">
        <f>IFERROR(VALUE(LEFT(tblMatriculas[[#This Row],[Clases]],FIND("/",tblMatriculas[[#This Row],[Clases]])-1)),"")</f>
        <v>0</v>
      </c>
      <c r="M488" s="14">
        <f>IFERROR(VALUE(MID(tblMatriculas[[#This Row],[Clases]],FIND("/",tblMatriculas[[#This Row],[Clases]])+1,5)),"")</f>
        <v>30</v>
      </c>
      <c r="N4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8" s="14">
        <f>IF(OR(tblMatriculas[[#This Row],[Estado]]&lt;&gt;"activa",tblMatriculas[[#This Row],[Clases dictadas]]=""),"",MAX(0,tblMatriculas[[#This Row],[Clases dictadas]]-tblMatriculas[[#This Row],[Asistidas]]))</f>
        <v>2</v>
      </c>
      <c r="P488" s="1">
        <f>IF(OR(tblMatriculas[[#This Row],[Estado]]&lt;&gt;"activa",tblMatriculas[[#This Row],[Asistidas]]=""),"",tblMatriculas[[#This Row],[Asistencia]])</f>
        <v>0</v>
      </c>
      <c r="Q488" t="b">
        <f>AND(tblMatriculas[[#This Row],[Estado]]="activa",ISNUMBER(tblMatriculas[[#This Row],[% asistencia]]),NOT(ISNUMBER(SEARCH(pPrueba,tblMatriculas[[#This Row],[Nombre]]))))</f>
        <v>1</v>
      </c>
      <c r="R4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88" s="23" t="str" cm="1">
        <f t="array" ref="S4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8" s="23" t="str" cm="1">
        <f t="array" ref="T4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8" s="14" t="str" cm="1">
        <f t="array" ref="U4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8" t="str" cm="1">
        <f t="array" ref="V4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8" t="str" cm="1">
        <f t="array" ref="W4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88" t="str">
        <f>IF(COUNTIFS('Base Estudiantes'!$C:$C,tblMatriculas[[#This Row],[Cédula]],'Base Estudiantes'!$I:$I,tblMatriculas[[#This Row],[Código]])&gt;0,"Sí","No")</f>
        <v>Sí</v>
      </c>
      <c r="Z488" s="23" cm="1">
        <f t="array" ref="Z488">_xlfn.XLOOKUP(tblMatriculas[[#This Row],[Cédula]]&amp;"|"&amp;tblMatriculas[[#This Row],[Código]],tblBase[Documento]&amp;"|"&amp;tblBase[Código grupo],tblBase[Fecha matrícula],"")</f>
        <v>46263</v>
      </c>
    </row>
    <row r="489" spans="1:26" x14ac:dyDescent="0.2">
      <c r="A489" t="s">
        <v>1069</v>
      </c>
      <c r="B489" t="s">
        <v>1070</v>
      </c>
      <c r="C489" t="s">
        <v>13</v>
      </c>
      <c r="D489" t="s">
        <v>1009</v>
      </c>
      <c r="E489" t="s">
        <v>1010</v>
      </c>
      <c r="F489" t="s">
        <v>516</v>
      </c>
      <c r="G489" s="1">
        <v>6.7000000000000004E-2</v>
      </c>
      <c r="H489" t="s">
        <v>166</v>
      </c>
      <c r="I489" t="s">
        <v>853</v>
      </c>
      <c r="J489" t="s">
        <v>1011</v>
      </c>
      <c r="K489" t="s">
        <v>855</v>
      </c>
      <c r="L489" s="14">
        <f>IFERROR(VALUE(LEFT(tblMatriculas[[#This Row],[Clases]],FIND("/",tblMatriculas[[#This Row],[Clases]])-1)),"")</f>
        <v>2</v>
      </c>
      <c r="M489" s="14">
        <f>IFERROR(VALUE(MID(tblMatriculas[[#This Row],[Clases]],FIND("/",tblMatriculas[[#This Row],[Clases]])+1,5)),"")</f>
        <v>30</v>
      </c>
      <c r="N4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89" s="14">
        <f>IF(OR(tblMatriculas[[#This Row],[Estado]]&lt;&gt;"activa",tblMatriculas[[#This Row],[Clases dictadas]]=""),"",MAX(0,tblMatriculas[[#This Row],[Clases dictadas]]-tblMatriculas[[#This Row],[Asistidas]]))</f>
        <v>0</v>
      </c>
      <c r="P489" s="1">
        <f>IF(OR(tblMatriculas[[#This Row],[Estado]]&lt;&gt;"activa",tblMatriculas[[#This Row],[Asistidas]]=""),"",tblMatriculas[[#This Row],[Asistencia]])</f>
        <v>6.7000000000000004E-2</v>
      </c>
      <c r="Q489" t="b">
        <f>AND(tblMatriculas[[#This Row],[Estado]]="activa",ISNUMBER(tblMatriculas[[#This Row],[% asistencia]]),NOT(ISNUMBER(SEARCH(pPrueba,tblMatriculas[[#This Row],[Nombre]]))))</f>
        <v>1</v>
      </c>
      <c r="R4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489" s="23" t="str" cm="1">
        <f t="array" ref="S4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89" s="23" t="str" cm="1">
        <f t="array" ref="T4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89" s="14" t="str" cm="1">
        <f t="array" ref="U4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89" t="str" cm="1">
        <f t="array" ref="V4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89" t="str" cm="1">
        <f t="array" ref="W4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4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489" t="str">
        <f>IF(COUNTIFS('Base Estudiantes'!$C:$C,tblMatriculas[[#This Row],[Cédula]],'Base Estudiantes'!$I:$I,tblMatriculas[[#This Row],[Código]])&gt;0,"Sí","No")</f>
        <v>Sí</v>
      </c>
      <c r="Z489" s="23" cm="1">
        <f t="array" ref="Z489">_xlfn.XLOOKUP(tblMatriculas[[#This Row],[Cédula]]&amp;"|"&amp;tblMatriculas[[#This Row],[Código]],tblBase[Documento]&amp;"|"&amp;tblBase[Código grupo],tblBase[Fecha matrícula],"")</f>
        <v>46263</v>
      </c>
    </row>
    <row r="490" spans="1:26" x14ac:dyDescent="0.2">
      <c r="A490" t="s">
        <v>1071</v>
      </c>
      <c r="B490" t="s">
        <v>1072</v>
      </c>
      <c r="C490" t="s">
        <v>13</v>
      </c>
      <c r="D490" t="s">
        <v>1009</v>
      </c>
      <c r="E490" t="s">
        <v>1010</v>
      </c>
      <c r="F490" t="s">
        <v>516</v>
      </c>
      <c r="G490" s="1">
        <v>0</v>
      </c>
      <c r="H490" t="s">
        <v>254</v>
      </c>
      <c r="I490" t="s">
        <v>853</v>
      </c>
      <c r="J490" t="s">
        <v>1011</v>
      </c>
      <c r="K490" t="s">
        <v>24</v>
      </c>
      <c r="L490" s="14">
        <f>IFERROR(VALUE(LEFT(tblMatriculas[[#This Row],[Clases]],FIND("/",tblMatriculas[[#This Row],[Clases]])-1)),"")</f>
        <v>0</v>
      </c>
      <c r="M490" s="14">
        <f>IFERROR(VALUE(MID(tblMatriculas[[#This Row],[Clases]],FIND("/",tblMatriculas[[#This Row],[Clases]])+1,5)),"")</f>
        <v>30</v>
      </c>
      <c r="N4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490" s="14">
        <f>IF(OR(tblMatriculas[[#This Row],[Estado]]&lt;&gt;"activa",tblMatriculas[[#This Row],[Clases dictadas]]=""),"",MAX(0,tblMatriculas[[#This Row],[Clases dictadas]]-tblMatriculas[[#This Row],[Asistidas]]))</f>
        <v>2</v>
      </c>
      <c r="P490" s="1">
        <f>IF(OR(tblMatriculas[[#This Row],[Estado]]&lt;&gt;"activa",tblMatriculas[[#This Row],[Asistidas]]=""),"",tblMatriculas[[#This Row],[Asistencia]])</f>
        <v>0</v>
      </c>
      <c r="Q490" t="b">
        <f>AND(tblMatriculas[[#This Row],[Estado]]="activa",ISNUMBER(tblMatriculas[[#This Row],[% asistencia]]),NOT(ISNUMBER(SEARCH(pPrueba,tblMatriculas[[#This Row],[Nombre]]))))</f>
        <v>1</v>
      </c>
      <c r="R4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490" s="23" t="str" cm="1">
        <f t="array" ref="S4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0" s="23" t="str" cm="1">
        <f t="array" ref="T4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0" s="14" t="str" cm="1">
        <f t="array" ref="U4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0" t="str" cm="1">
        <f t="array" ref="V4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0" t="str" cm="1">
        <f t="array" ref="W4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4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490" t="str">
        <f>IF(COUNTIFS('Base Estudiantes'!$C:$C,tblMatriculas[[#This Row],[Cédula]],'Base Estudiantes'!$I:$I,tblMatriculas[[#This Row],[Código]])&gt;0,"Sí","No")</f>
        <v>Sí</v>
      </c>
      <c r="Z490" s="23" cm="1">
        <f t="array" ref="Z490">_xlfn.XLOOKUP(tblMatriculas[[#This Row],[Cédula]]&amp;"|"&amp;tblMatriculas[[#This Row],[Código]],tblBase[Documento]&amp;"|"&amp;tblBase[Código grupo],tblBase[Fecha matrícula],"")</f>
        <v>46265</v>
      </c>
    </row>
    <row r="491" spans="1:26" x14ac:dyDescent="0.2">
      <c r="A491" t="s">
        <v>1073</v>
      </c>
      <c r="B491" t="s">
        <v>1074</v>
      </c>
      <c r="C491" t="s">
        <v>13</v>
      </c>
      <c r="D491" t="s">
        <v>1075</v>
      </c>
      <c r="E491" t="s">
        <v>1076</v>
      </c>
      <c r="F491" t="s">
        <v>649</v>
      </c>
      <c r="G491" s="1">
        <v>0.13300000000000001</v>
      </c>
      <c r="H491" t="s">
        <v>112</v>
      </c>
      <c r="I491" t="s">
        <v>853</v>
      </c>
      <c r="J491" t="s">
        <v>1077</v>
      </c>
      <c r="K491" t="s">
        <v>24</v>
      </c>
      <c r="L491" s="14">
        <f>IFERROR(VALUE(LEFT(tblMatriculas[[#This Row],[Clases]],FIND("/",tblMatriculas[[#This Row],[Clases]])-1)),"")</f>
        <v>4</v>
      </c>
      <c r="M491" s="14">
        <f>IFERROR(VALUE(MID(tblMatriculas[[#This Row],[Clases]],FIND("/",tblMatriculas[[#This Row],[Clases]])+1,5)),"")</f>
        <v>30</v>
      </c>
      <c r="N4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1" s="14">
        <f>IF(OR(tblMatriculas[[#This Row],[Estado]]&lt;&gt;"activa",tblMatriculas[[#This Row],[Clases dictadas]]=""),"",MAX(0,tblMatriculas[[#This Row],[Clases dictadas]]-tblMatriculas[[#This Row],[Asistidas]]))</f>
        <v>0</v>
      </c>
      <c r="P491" s="1">
        <f>IF(OR(tblMatriculas[[#This Row],[Estado]]&lt;&gt;"activa",tblMatriculas[[#This Row],[Asistidas]]=""),"",tblMatriculas[[#This Row],[Asistencia]])</f>
        <v>0.13300000000000001</v>
      </c>
      <c r="Q491" t="b">
        <f>AND(tblMatriculas[[#This Row],[Estado]]="activa",ISNUMBER(tblMatriculas[[#This Row],[% asistencia]]),NOT(ISNUMBER(SEARCH(pPrueba,tblMatriculas[[#This Row],[Nombre]]))))</f>
        <v>1</v>
      </c>
      <c r="R4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1" s="23" t="str" cm="1">
        <f t="array" ref="S4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1" s="23" t="str" cm="1">
        <f t="array" ref="T4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1" s="14" t="str" cm="1">
        <f t="array" ref="U4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1" t="str" cm="1">
        <f t="array" ref="V4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1" t="str" cm="1">
        <f t="array" ref="W4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1" t="str">
        <f>IF(COUNTIFS('Base Estudiantes'!$C:$C,tblMatriculas[[#This Row],[Cédula]],'Base Estudiantes'!$I:$I,tblMatriculas[[#This Row],[Código]])&gt;0,"Sí","No")</f>
        <v>Sí</v>
      </c>
      <c r="Z491" s="23" cm="1">
        <f t="array" ref="Z491">_xlfn.XLOOKUP(tblMatriculas[[#This Row],[Cédula]]&amp;"|"&amp;tblMatriculas[[#This Row],[Código]],tblBase[Documento]&amp;"|"&amp;tblBase[Código grupo],tblBase[Fecha matrícula],"")</f>
        <v>46262</v>
      </c>
    </row>
    <row r="492" spans="1:26" x14ac:dyDescent="0.2">
      <c r="A492" t="s">
        <v>1078</v>
      </c>
      <c r="B492" t="s">
        <v>1079</v>
      </c>
      <c r="C492" t="s">
        <v>13</v>
      </c>
      <c r="D492" t="s">
        <v>1075</v>
      </c>
      <c r="E492" t="s">
        <v>1076</v>
      </c>
      <c r="F492" t="s">
        <v>649</v>
      </c>
      <c r="G492" s="1">
        <v>3.3000000000000002E-2</v>
      </c>
      <c r="H492" t="s">
        <v>225</v>
      </c>
      <c r="I492" t="s">
        <v>853</v>
      </c>
      <c r="J492" t="s">
        <v>1077</v>
      </c>
      <c r="K492" t="s">
        <v>24</v>
      </c>
      <c r="L492" s="14">
        <f>IFERROR(VALUE(LEFT(tblMatriculas[[#This Row],[Clases]],FIND("/",tblMatriculas[[#This Row],[Clases]])-1)),"")</f>
        <v>1</v>
      </c>
      <c r="M492" s="14">
        <f>IFERROR(VALUE(MID(tblMatriculas[[#This Row],[Clases]],FIND("/",tblMatriculas[[#This Row],[Clases]])+1,5)),"")</f>
        <v>30</v>
      </c>
      <c r="N4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2" s="14">
        <f>IF(OR(tblMatriculas[[#This Row],[Estado]]&lt;&gt;"activa",tblMatriculas[[#This Row],[Clases dictadas]]=""),"",MAX(0,tblMatriculas[[#This Row],[Clases dictadas]]-tblMatriculas[[#This Row],[Asistidas]]))</f>
        <v>3</v>
      </c>
      <c r="P492" s="1">
        <f>IF(OR(tblMatriculas[[#This Row],[Estado]]&lt;&gt;"activa",tblMatriculas[[#This Row],[Asistidas]]=""),"",tblMatriculas[[#This Row],[Asistencia]])</f>
        <v>3.3000000000000002E-2</v>
      </c>
      <c r="Q492" t="b">
        <f>AND(tblMatriculas[[#This Row],[Estado]]="activa",ISNUMBER(tblMatriculas[[#This Row],[% asistencia]]),NOT(ISNUMBER(SEARCH(pPrueba,tblMatriculas[[#This Row],[Nombre]]))))</f>
        <v>1</v>
      </c>
      <c r="R4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92" s="23" t="str" cm="1">
        <f t="array" ref="S4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2" s="23" t="str" cm="1">
        <f t="array" ref="T4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2" s="14" t="str" cm="1">
        <f t="array" ref="U4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2" t="str" cm="1">
        <f t="array" ref="V4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2" t="str" cm="1">
        <f t="array" ref="W4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92" t="str">
        <f>IF(COUNTIFS('Base Estudiantes'!$C:$C,tblMatriculas[[#This Row],[Cédula]],'Base Estudiantes'!$I:$I,tblMatriculas[[#This Row],[Código]])&gt;0,"Sí","No")</f>
        <v>Sí</v>
      </c>
      <c r="Z492" s="23" cm="1">
        <f t="array" ref="Z492">_xlfn.XLOOKUP(tblMatriculas[[#This Row],[Cédula]]&amp;"|"&amp;tblMatriculas[[#This Row],[Código]],tblBase[Documento]&amp;"|"&amp;tblBase[Código grupo],tblBase[Fecha matrícula],"")</f>
        <v>46262</v>
      </c>
    </row>
    <row r="493" spans="1:26" x14ac:dyDescent="0.2">
      <c r="A493" t="s">
        <v>1080</v>
      </c>
      <c r="B493" t="s">
        <v>1081</v>
      </c>
      <c r="C493" t="s">
        <v>13</v>
      </c>
      <c r="D493" t="s">
        <v>1075</v>
      </c>
      <c r="E493" t="s">
        <v>1076</v>
      </c>
      <c r="F493" t="s">
        <v>649</v>
      </c>
      <c r="G493" s="1">
        <v>0.13300000000000001</v>
      </c>
      <c r="H493" t="s">
        <v>112</v>
      </c>
      <c r="I493" t="s">
        <v>853</v>
      </c>
      <c r="J493" t="s">
        <v>1077</v>
      </c>
      <c r="K493" t="s">
        <v>24</v>
      </c>
      <c r="L493" s="14">
        <f>IFERROR(VALUE(LEFT(tblMatriculas[[#This Row],[Clases]],FIND("/",tblMatriculas[[#This Row],[Clases]])-1)),"")</f>
        <v>4</v>
      </c>
      <c r="M493" s="14">
        <f>IFERROR(VALUE(MID(tblMatriculas[[#This Row],[Clases]],FIND("/",tblMatriculas[[#This Row],[Clases]])+1,5)),"")</f>
        <v>30</v>
      </c>
      <c r="N4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3" s="14">
        <f>IF(OR(tblMatriculas[[#This Row],[Estado]]&lt;&gt;"activa",tblMatriculas[[#This Row],[Clases dictadas]]=""),"",MAX(0,tblMatriculas[[#This Row],[Clases dictadas]]-tblMatriculas[[#This Row],[Asistidas]]))</f>
        <v>0</v>
      </c>
      <c r="P493" s="1">
        <f>IF(OR(tblMatriculas[[#This Row],[Estado]]&lt;&gt;"activa",tblMatriculas[[#This Row],[Asistidas]]=""),"",tblMatriculas[[#This Row],[Asistencia]])</f>
        <v>0.13300000000000001</v>
      </c>
      <c r="Q493" t="b">
        <f>AND(tblMatriculas[[#This Row],[Estado]]="activa",ISNUMBER(tblMatriculas[[#This Row],[% asistencia]]),NOT(ISNUMBER(SEARCH(pPrueba,tblMatriculas[[#This Row],[Nombre]]))))</f>
        <v>1</v>
      </c>
      <c r="R4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3" s="23" t="str" cm="1">
        <f t="array" ref="S4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3" s="23" t="str" cm="1">
        <f t="array" ref="T4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3" s="14" t="str" cm="1">
        <f t="array" ref="U4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3" t="str" cm="1">
        <f t="array" ref="V4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3" t="str" cm="1">
        <f t="array" ref="W4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3" t="str">
        <f>IF(COUNTIFS('Base Estudiantes'!$C:$C,tblMatriculas[[#This Row],[Cédula]],'Base Estudiantes'!$I:$I,tblMatriculas[[#This Row],[Código]])&gt;0,"Sí","No")</f>
        <v>Sí</v>
      </c>
      <c r="Z493" s="23" cm="1">
        <f t="array" ref="Z493">_xlfn.XLOOKUP(tblMatriculas[[#This Row],[Cédula]]&amp;"|"&amp;tblMatriculas[[#This Row],[Código]],tblBase[Documento]&amp;"|"&amp;tblBase[Código grupo],tblBase[Fecha matrícula],"")</f>
        <v>46262</v>
      </c>
    </row>
    <row r="494" spans="1:26" x14ac:dyDescent="0.2">
      <c r="A494" t="s">
        <v>1082</v>
      </c>
      <c r="B494" t="s">
        <v>1083</v>
      </c>
      <c r="C494" t="s">
        <v>13</v>
      </c>
      <c r="D494" t="s">
        <v>1075</v>
      </c>
      <c r="E494" t="s">
        <v>1076</v>
      </c>
      <c r="F494" t="s">
        <v>649</v>
      </c>
      <c r="G494" s="1">
        <v>0.13300000000000001</v>
      </c>
      <c r="H494" t="s">
        <v>112</v>
      </c>
      <c r="I494" t="s">
        <v>853</v>
      </c>
      <c r="J494" t="s">
        <v>1077</v>
      </c>
      <c r="K494" t="s">
        <v>24</v>
      </c>
      <c r="L494" s="14">
        <f>IFERROR(VALUE(LEFT(tblMatriculas[[#This Row],[Clases]],FIND("/",tblMatriculas[[#This Row],[Clases]])-1)),"")</f>
        <v>4</v>
      </c>
      <c r="M494" s="14">
        <f>IFERROR(VALUE(MID(tblMatriculas[[#This Row],[Clases]],FIND("/",tblMatriculas[[#This Row],[Clases]])+1,5)),"")</f>
        <v>30</v>
      </c>
      <c r="N4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4" s="14">
        <f>IF(OR(tblMatriculas[[#This Row],[Estado]]&lt;&gt;"activa",tblMatriculas[[#This Row],[Clases dictadas]]=""),"",MAX(0,tblMatriculas[[#This Row],[Clases dictadas]]-tblMatriculas[[#This Row],[Asistidas]]))</f>
        <v>0</v>
      </c>
      <c r="P494" s="1">
        <f>IF(OR(tblMatriculas[[#This Row],[Estado]]&lt;&gt;"activa",tblMatriculas[[#This Row],[Asistidas]]=""),"",tblMatriculas[[#This Row],[Asistencia]])</f>
        <v>0.13300000000000001</v>
      </c>
      <c r="Q494" t="b">
        <f>AND(tblMatriculas[[#This Row],[Estado]]="activa",ISNUMBER(tblMatriculas[[#This Row],[% asistencia]]),NOT(ISNUMBER(SEARCH(pPrueba,tblMatriculas[[#This Row],[Nombre]]))))</f>
        <v>1</v>
      </c>
      <c r="R4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4" s="23" t="str" cm="1">
        <f t="array" ref="S4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4" s="23" t="str" cm="1">
        <f t="array" ref="T4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4" s="14" t="str" cm="1">
        <f t="array" ref="U4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4" t="str" cm="1">
        <f t="array" ref="V4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4" t="str" cm="1">
        <f t="array" ref="W4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4" t="str">
        <f>IF(COUNTIFS('Base Estudiantes'!$C:$C,tblMatriculas[[#This Row],[Cédula]],'Base Estudiantes'!$I:$I,tblMatriculas[[#This Row],[Código]])&gt;0,"Sí","No")</f>
        <v>Sí</v>
      </c>
      <c r="Z494" s="23" cm="1">
        <f t="array" ref="Z494">_xlfn.XLOOKUP(tblMatriculas[[#This Row],[Cédula]]&amp;"|"&amp;tblMatriculas[[#This Row],[Código]],tblBase[Documento]&amp;"|"&amp;tblBase[Código grupo],tblBase[Fecha matrícula],"")</f>
        <v>46262</v>
      </c>
    </row>
    <row r="495" spans="1:26" x14ac:dyDescent="0.2">
      <c r="A495" t="s">
        <v>1084</v>
      </c>
      <c r="B495" t="s">
        <v>1085</v>
      </c>
      <c r="C495" t="s">
        <v>13</v>
      </c>
      <c r="D495" t="s">
        <v>1075</v>
      </c>
      <c r="E495" t="s">
        <v>1076</v>
      </c>
      <c r="F495" t="s">
        <v>649</v>
      </c>
      <c r="G495" s="1">
        <v>0.1</v>
      </c>
      <c r="H495" t="s">
        <v>117</v>
      </c>
      <c r="I495" t="s">
        <v>853</v>
      </c>
      <c r="J495" t="s">
        <v>1077</v>
      </c>
      <c r="K495" t="s">
        <v>24</v>
      </c>
      <c r="L495" s="14">
        <f>IFERROR(VALUE(LEFT(tblMatriculas[[#This Row],[Clases]],FIND("/",tblMatriculas[[#This Row],[Clases]])-1)),"")</f>
        <v>3</v>
      </c>
      <c r="M495" s="14">
        <f>IFERROR(VALUE(MID(tblMatriculas[[#This Row],[Clases]],FIND("/",tblMatriculas[[#This Row],[Clases]])+1,5)),"")</f>
        <v>30</v>
      </c>
      <c r="N4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5" s="14">
        <f>IF(OR(tblMatriculas[[#This Row],[Estado]]&lt;&gt;"activa",tblMatriculas[[#This Row],[Clases dictadas]]=""),"",MAX(0,tblMatriculas[[#This Row],[Clases dictadas]]-tblMatriculas[[#This Row],[Asistidas]]))</f>
        <v>1</v>
      </c>
      <c r="P495" s="1">
        <f>IF(OR(tblMatriculas[[#This Row],[Estado]]&lt;&gt;"activa",tblMatriculas[[#This Row],[Asistidas]]=""),"",tblMatriculas[[#This Row],[Asistencia]])</f>
        <v>0.1</v>
      </c>
      <c r="Q495" t="b">
        <f>AND(tblMatriculas[[#This Row],[Estado]]="activa",ISNUMBER(tblMatriculas[[#This Row],[% asistencia]]),NOT(ISNUMBER(SEARCH(pPrueba,tblMatriculas[[#This Row],[Nombre]]))))</f>
        <v>1</v>
      </c>
      <c r="R4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5" s="23" t="str" cm="1">
        <f t="array" ref="S4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5" s="23" t="str" cm="1">
        <f t="array" ref="T4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5" s="14" t="str" cm="1">
        <f t="array" ref="U4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5" t="str" cm="1">
        <f t="array" ref="V4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5" t="str" cm="1">
        <f t="array" ref="W4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5" t="str">
        <f>IF(COUNTIFS('Base Estudiantes'!$C:$C,tblMatriculas[[#This Row],[Cédula]],'Base Estudiantes'!$I:$I,tblMatriculas[[#This Row],[Código]])&gt;0,"Sí","No")</f>
        <v>Sí</v>
      </c>
      <c r="Z495" s="23" cm="1">
        <f t="array" ref="Z495">_xlfn.XLOOKUP(tblMatriculas[[#This Row],[Cédula]]&amp;"|"&amp;tblMatriculas[[#This Row],[Código]],tblBase[Documento]&amp;"|"&amp;tblBase[Código grupo],tblBase[Fecha matrícula],"")</f>
        <v>46262</v>
      </c>
    </row>
    <row r="496" spans="1:26" x14ac:dyDescent="0.2">
      <c r="A496" t="s">
        <v>1086</v>
      </c>
      <c r="B496" t="s">
        <v>1087</v>
      </c>
      <c r="C496" t="s">
        <v>13</v>
      </c>
      <c r="D496" t="s">
        <v>1075</v>
      </c>
      <c r="E496" t="s">
        <v>1076</v>
      </c>
      <c r="F496" t="s">
        <v>649</v>
      </c>
      <c r="G496" s="1">
        <v>0.13300000000000001</v>
      </c>
      <c r="H496" t="s">
        <v>112</v>
      </c>
      <c r="I496" t="s">
        <v>853</v>
      </c>
      <c r="J496" t="s">
        <v>1077</v>
      </c>
      <c r="K496" t="s">
        <v>24</v>
      </c>
      <c r="L496" s="14">
        <f>IFERROR(VALUE(LEFT(tblMatriculas[[#This Row],[Clases]],FIND("/",tblMatriculas[[#This Row],[Clases]])-1)),"")</f>
        <v>4</v>
      </c>
      <c r="M496" s="14">
        <f>IFERROR(VALUE(MID(tblMatriculas[[#This Row],[Clases]],FIND("/",tblMatriculas[[#This Row],[Clases]])+1,5)),"")</f>
        <v>30</v>
      </c>
      <c r="N4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6" s="14">
        <f>IF(OR(tblMatriculas[[#This Row],[Estado]]&lt;&gt;"activa",tblMatriculas[[#This Row],[Clases dictadas]]=""),"",MAX(0,tblMatriculas[[#This Row],[Clases dictadas]]-tblMatriculas[[#This Row],[Asistidas]]))</f>
        <v>0</v>
      </c>
      <c r="P496" s="1">
        <f>IF(OR(tblMatriculas[[#This Row],[Estado]]&lt;&gt;"activa",tblMatriculas[[#This Row],[Asistidas]]=""),"",tblMatriculas[[#This Row],[Asistencia]])</f>
        <v>0.13300000000000001</v>
      </c>
      <c r="Q496" t="b">
        <f>AND(tblMatriculas[[#This Row],[Estado]]="activa",ISNUMBER(tblMatriculas[[#This Row],[% asistencia]]),NOT(ISNUMBER(SEARCH(pPrueba,tblMatriculas[[#This Row],[Nombre]]))))</f>
        <v>1</v>
      </c>
      <c r="R4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6" s="23" t="str" cm="1">
        <f t="array" ref="S4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6" s="23" t="str" cm="1">
        <f t="array" ref="T4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6" s="14" t="str" cm="1">
        <f t="array" ref="U4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6" t="str" cm="1">
        <f t="array" ref="V4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6" t="str" cm="1">
        <f t="array" ref="W4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6" t="str">
        <f>IF(COUNTIFS('Base Estudiantes'!$C:$C,tblMatriculas[[#This Row],[Cédula]],'Base Estudiantes'!$I:$I,tblMatriculas[[#This Row],[Código]])&gt;0,"Sí","No")</f>
        <v>Sí</v>
      </c>
      <c r="Z496" s="23" cm="1">
        <f t="array" ref="Z496">_xlfn.XLOOKUP(tblMatriculas[[#This Row],[Cédula]]&amp;"|"&amp;tblMatriculas[[#This Row],[Código]],tblBase[Documento]&amp;"|"&amp;tblBase[Código grupo],tblBase[Fecha matrícula],"")</f>
        <v>46262</v>
      </c>
    </row>
    <row r="497" spans="1:26" x14ac:dyDescent="0.2">
      <c r="A497" t="s">
        <v>1088</v>
      </c>
      <c r="B497" t="s">
        <v>1089</v>
      </c>
      <c r="C497" t="s">
        <v>13</v>
      </c>
      <c r="D497" t="s">
        <v>1075</v>
      </c>
      <c r="E497" t="s">
        <v>1076</v>
      </c>
      <c r="F497" t="s">
        <v>649</v>
      </c>
      <c r="G497" s="1">
        <v>3.3000000000000002E-2</v>
      </c>
      <c r="H497" t="s">
        <v>225</v>
      </c>
      <c r="I497" t="s">
        <v>853</v>
      </c>
      <c r="J497" t="s">
        <v>1077</v>
      </c>
      <c r="K497" t="s">
        <v>24</v>
      </c>
      <c r="L497" s="14">
        <f>IFERROR(VALUE(LEFT(tblMatriculas[[#This Row],[Clases]],FIND("/",tblMatriculas[[#This Row],[Clases]])-1)),"")</f>
        <v>1</v>
      </c>
      <c r="M497" s="14">
        <f>IFERROR(VALUE(MID(tblMatriculas[[#This Row],[Clases]],FIND("/",tblMatriculas[[#This Row],[Clases]])+1,5)),"")</f>
        <v>30</v>
      </c>
      <c r="N4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7" s="14">
        <f>IF(OR(tblMatriculas[[#This Row],[Estado]]&lt;&gt;"activa",tblMatriculas[[#This Row],[Clases dictadas]]=""),"",MAX(0,tblMatriculas[[#This Row],[Clases dictadas]]-tblMatriculas[[#This Row],[Asistidas]]))</f>
        <v>3</v>
      </c>
      <c r="P497" s="1">
        <f>IF(OR(tblMatriculas[[#This Row],[Estado]]&lt;&gt;"activa",tblMatriculas[[#This Row],[Asistidas]]=""),"",tblMatriculas[[#This Row],[Asistencia]])</f>
        <v>3.3000000000000002E-2</v>
      </c>
      <c r="Q497" t="b">
        <f>AND(tblMatriculas[[#This Row],[Estado]]="activa",ISNUMBER(tblMatriculas[[#This Row],[% asistencia]]),NOT(ISNUMBER(SEARCH(pPrueba,tblMatriculas[[#This Row],[Nombre]]))))</f>
        <v>1</v>
      </c>
      <c r="R4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497" s="23" t="str" cm="1">
        <f t="array" ref="S4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7" s="23" t="str" cm="1">
        <f t="array" ref="T4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7" s="14" t="str" cm="1">
        <f t="array" ref="U4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7" t="str" cm="1">
        <f t="array" ref="V4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7" t="str" cm="1">
        <f t="array" ref="W4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4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497" t="str">
        <f>IF(COUNTIFS('Base Estudiantes'!$C:$C,tblMatriculas[[#This Row],[Cédula]],'Base Estudiantes'!$I:$I,tblMatriculas[[#This Row],[Código]])&gt;0,"Sí","No")</f>
        <v>Sí</v>
      </c>
      <c r="Z497" s="23" cm="1">
        <f t="array" ref="Z497">_xlfn.XLOOKUP(tblMatriculas[[#This Row],[Cédula]]&amp;"|"&amp;tblMatriculas[[#This Row],[Código]],tblBase[Documento]&amp;"|"&amp;tblBase[Código grupo],tblBase[Fecha matrícula],"")</f>
        <v>46262</v>
      </c>
    </row>
    <row r="498" spans="1:26" x14ac:dyDescent="0.2">
      <c r="A498" t="s">
        <v>1090</v>
      </c>
      <c r="B498" t="s">
        <v>1091</v>
      </c>
      <c r="C498" t="s">
        <v>13</v>
      </c>
      <c r="D498" t="s">
        <v>1075</v>
      </c>
      <c r="E498" t="s">
        <v>1076</v>
      </c>
      <c r="F498" t="s">
        <v>649</v>
      </c>
      <c r="G498" s="1">
        <v>0.13300000000000001</v>
      </c>
      <c r="H498" t="s">
        <v>112</v>
      </c>
      <c r="I498" t="s">
        <v>853</v>
      </c>
      <c r="J498" t="s">
        <v>1077</v>
      </c>
      <c r="K498" t="s">
        <v>24</v>
      </c>
      <c r="L498" s="14">
        <f>IFERROR(VALUE(LEFT(tblMatriculas[[#This Row],[Clases]],FIND("/",tblMatriculas[[#This Row],[Clases]])-1)),"")</f>
        <v>4</v>
      </c>
      <c r="M498" s="14">
        <f>IFERROR(VALUE(MID(tblMatriculas[[#This Row],[Clases]],FIND("/",tblMatriculas[[#This Row],[Clases]])+1,5)),"")</f>
        <v>30</v>
      </c>
      <c r="N4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8" s="14">
        <f>IF(OR(tblMatriculas[[#This Row],[Estado]]&lt;&gt;"activa",tblMatriculas[[#This Row],[Clases dictadas]]=""),"",MAX(0,tblMatriculas[[#This Row],[Clases dictadas]]-tblMatriculas[[#This Row],[Asistidas]]))</f>
        <v>0</v>
      </c>
      <c r="P498" s="1">
        <f>IF(OR(tblMatriculas[[#This Row],[Estado]]&lt;&gt;"activa",tblMatriculas[[#This Row],[Asistidas]]=""),"",tblMatriculas[[#This Row],[Asistencia]])</f>
        <v>0.13300000000000001</v>
      </c>
      <c r="Q498" t="b">
        <f>AND(tblMatriculas[[#This Row],[Estado]]="activa",ISNUMBER(tblMatriculas[[#This Row],[% asistencia]]),NOT(ISNUMBER(SEARCH(pPrueba,tblMatriculas[[#This Row],[Nombre]]))))</f>
        <v>1</v>
      </c>
      <c r="R4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8" s="23" t="str" cm="1">
        <f t="array" ref="S4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8" s="23" t="str" cm="1">
        <f t="array" ref="T4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8" s="14" t="str" cm="1">
        <f t="array" ref="U4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8" t="str" cm="1">
        <f t="array" ref="V4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8" t="str" cm="1">
        <f t="array" ref="W4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8" t="str">
        <f>IF(COUNTIFS('Base Estudiantes'!$C:$C,tblMatriculas[[#This Row],[Cédula]],'Base Estudiantes'!$I:$I,tblMatriculas[[#This Row],[Código]])&gt;0,"Sí","No")</f>
        <v>Sí</v>
      </c>
      <c r="Z498" s="23" cm="1">
        <f t="array" ref="Z498">_xlfn.XLOOKUP(tblMatriculas[[#This Row],[Cédula]]&amp;"|"&amp;tblMatriculas[[#This Row],[Código]],tblBase[Documento]&amp;"|"&amp;tblBase[Código grupo],tblBase[Fecha matrícula],"")</f>
        <v>46262</v>
      </c>
    </row>
    <row r="499" spans="1:26" x14ac:dyDescent="0.2">
      <c r="A499" t="s">
        <v>1092</v>
      </c>
      <c r="B499" t="s">
        <v>1093</v>
      </c>
      <c r="C499" t="s">
        <v>13</v>
      </c>
      <c r="D499" t="s">
        <v>1075</v>
      </c>
      <c r="E499" t="s">
        <v>1076</v>
      </c>
      <c r="F499" t="s">
        <v>649</v>
      </c>
      <c r="G499" s="1">
        <v>0.13300000000000001</v>
      </c>
      <c r="H499" t="s">
        <v>112</v>
      </c>
      <c r="I499" t="s">
        <v>853</v>
      </c>
      <c r="J499" t="s">
        <v>1077</v>
      </c>
      <c r="K499" t="s">
        <v>24</v>
      </c>
      <c r="L499" s="14">
        <f>IFERROR(VALUE(LEFT(tblMatriculas[[#This Row],[Clases]],FIND("/",tblMatriculas[[#This Row],[Clases]])-1)),"")</f>
        <v>4</v>
      </c>
      <c r="M499" s="14">
        <f>IFERROR(VALUE(MID(tblMatriculas[[#This Row],[Clases]],FIND("/",tblMatriculas[[#This Row],[Clases]])+1,5)),"")</f>
        <v>30</v>
      </c>
      <c r="N4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499" s="14">
        <f>IF(OR(tblMatriculas[[#This Row],[Estado]]&lt;&gt;"activa",tblMatriculas[[#This Row],[Clases dictadas]]=""),"",MAX(0,tblMatriculas[[#This Row],[Clases dictadas]]-tblMatriculas[[#This Row],[Asistidas]]))</f>
        <v>0</v>
      </c>
      <c r="P499" s="1">
        <f>IF(OR(tblMatriculas[[#This Row],[Estado]]&lt;&gt;"activa",tblMatriculas[[#This Row],[Asistidas]]=""),"",tblMatriculas[[#This Row],[Asistencia]])</f>
        <v>0.13300000000000001</v>
      </c>
      <c r="Q499" t="b">
        <f>AND(tblMatriculas[[#This Row],[Estado]]="activa",ISNUMBER(tblMatriculas[[#This Row],[% asistencia]]),NOT(ISNUMBER(SEARCH(pPrueba,tblMatriculas[[#This Row],[Nombre]]))))</f>
        <v>1</v>
      </c>
      <c r="R4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499" s="23" t="str" cm="1">
        <f t="array" ref="S4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499" s="23" t="str" cm="1">
        <f t="array" ref="T4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499" s="14" t="str" cm="1">
        <f t="array" ref="U4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499" t="str" cm="1">
        <f t="array" ref="V4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499" t="str" cm="1">
        <f t="array" ref="W4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4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499" t="str">
        <f>IF(COUNTIFS('Base Estudiantes'!$C:$C,tblMatriculas[[#This Row],[Cédula]],'Base Estudiantes'!$I:$I,tblMatriculas[[#This Row],[Código]])&gt;0,"Sí","No")</f>
        <v>Sí</v>
      </c>
      <c r="Z499" s="23" cm="1">
        <f t="array" ref="Z499">_xlfn.XLOOKUP(tblMatriculas[[#This Row],[Cédula]]&amp;"|"&amp;tblMatriculas[[#This Row],[Código]],tblBase[Documento]&amp;"|"&amp;tblBase[Código grupo],tblBase[Fecha matrícula],"")</f>
        <v>46262</v>
      </c>
    </row>
    <row r="500" spans="1:26" x14ac:dyDescent="0.2">
      <c r="A500" t="s">
        <v>1094</v>
      </c>
      <c r="B500" t="s">
        <v>1095</v>
      </c>
      <c r="C500" t="s">
        <v>13</v>
      </c>
      <c r="D500" t="s">
        <v>1075</v>
      </c>
      <c r="E500" t="s">
        <v>1076</v>
      </c>
      <c r="F500" t="s">
        <v>649</v>
      </c>
      <c r="G500" s="1">
        <v>0.13300000000000001</v>
      </c>
      <c r="H500" t="s">
        <v>112</v>
      </c>
      <c r="I500" t="s">
        <v>853</v>
      </c>
      <c r="J500" t="s">
        <v>1077</v>
      </c>
      <c r="K500" t="s">
        <v>24</v>
      </c>
      <c r="L500" s="14">
        <f>IFERROR(VALUE(LEFT(tblMatriculas[[#This Row],[Clases]],FIND("/",tblMatriculas[[#This Row],[Clases]])-1)),"")</f>
        <v>4</v>
      </c>
      <c r="M500" s="14">
        <f>IFERROR(VALUE(MID(tblMatriculas[[#This Row],[Clases]],FIND("/",tblMatriculas[[#This Row],[Clases]])+1,5)),"")</f>
        <v>30</v>
      </c>
      <c r="N5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0" s="14">
        <f>IF(OR(tblMatriculas[[#This Row],[Estado]]&lt;&gt;"activa",tblMatriculas[[#This Row],[Clases dictadas]]=""),"",MAX(0,tblMatriculas[[#This Row],[Clases dictadas]]-tblMatriculas[[#This Row],[Asistidas]]))</f>
        <v>0</v>
      </c>
      <c r="P500" s="1">
        <f>IF(OR(tblMatriculas[[#This Row],[Estado]]&lt;&gt;"activa",tblMatriculas[[#This Row],[Asistidas]]=""),"",tblMatriculas[[#This Row],[Asistencia]])</f>
        <v>0.13300000000000001</v>
      </c>
      <c r="Q500" t="b">
        <f>AND(tblMatriculas[[#This Row],[Estado]]="activa",ISNUMBER(tblMatriculas[[#This Row],[% asistencia]]),NOT(ISNUMBER(SEARCH(pPrueba,tblMatriculas[[#This Row],[Nombre]]))))</f>
        <v>1</v>
      </c>
      <c r="R5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0" s="23" t="str" cm="1">
        <f t="array" ref="S5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0" s="23" t="str" cm="1">
        <f t="array" ref="T5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0" s="14" t="str" cm="1">
        <f t="array" ref="U5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0" t="str" cm="1">
        <f t="array" ref="V5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0" t="str" cm="1">
        <f t="array" ref="W5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0" t="str">
        <f>IF(COUNTIFS('Base Estudiantes'!$C:$C,tblMatriculas[[#This Row],[Cédula]],'Base Estudiantes'!$I:$I,tblMatriculas[[#This Row],[Código]])&gt;0,"Sí","No")</f>
        <v>Sí</v>
      </c>
      <c r="Z500" s="23" cm="1">
        <f t="array" ref="Z500">_xlfn.XLOOKUP(tblMatriculas[[#This Row],[Cédula]]&amp;"|"&amp;tblMatriculas[[#This Row],[Código]],tblBase[Documento]&amp;"|"&amp;tblBase[Código grupo],tblBase[Fecha matrícula],"")</f>
        <v>46262</v>
      </c>
    </row>
    <row r="501" spans="1:26" x14ac:dyDescent="0.2">
      <c r="A501" t="s">
        <v>1096</v>
      </c>
      <c r="B501" t="s">
        <v>1097</v>
      </c>
      <c r="C501" t="s">
        <v>13</v>
      </c>
      <c r="D501" t="s">
        <v>1075</v>
      </c>
      <c r="E501" t="s">
        <v>1076</v>
      </c>
      <c r="F501" t="s">
        <v>649</v>
      </c>
      <c r="G501" s="1">
        <v>0.13300000000000001</v>
      </c>
      <c r="H501" t="s">
        <v>112</v>
      </c>
      <c r="I501" t="s">
        <v>853</v>
      </c>
      <c r="J501" t="s">
        <v>1077</v>
      </c>
      <c r="K501" t="s">
        <v>24</v>
      </c>
      <c r="L501" s="14">
        <f>IFERROR(VALUE(LEFT(tblMatriculas[[#This Row],[Clases]],FIND("/",tblMatriculas[[#This Row],[Clases]])-1)),"")</f>
        <v>4</v>
      </c>
      <c r="M501" s="14">
        <f>IFERROR(VALUE(MID(tblMatriculas[[#This Row],[Clases]],FIND("/",tblMatriculas[[#This Row],[Clases]])+1,5)),"")</f>
        <v>30</v>
      </c>
      <c r="N5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1" s="14">
        <f>IF(OR(tblMatriculas[[#This Row],[Estado]]&lt;&gt;"activa",tblMatriculas[[#This Row],[Clases dictadas]]=""),"",MAX(0,tblMatriculas[[#This Row],[Clases dictadas]]-tblMatriculas[[#This Row],[Asistidas]]))</f>
        <v>0</v>
      </c>
      <c r="P501" s="1">
        <f>IF(OR(tblMatriculas[[#This Row],[Estado]]&lt;&gt;"activa",tblMatriculas[[#This Row],[Asistidas]]=""),"",tblMatriculas[[#This Row],[Asistencia]])</f>
        <v>0.13300000000000001</v>
      </c>
      <c r="Q501" t="b">
        <f>AND(tblMatriculas[[#This Row],[Estado]]="activa",ISNUMBER(tblMatriculas[[#This Row],[% asistencia]]),NOT(ISNUMBER(SEARCH(pPrueba,tblMatriculas[[#This Row],[Nombre]]))))</f>
        <v>1</v>
      </c>
      <c r="R5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1" s="23" t="str" cm="1">
        <f t="array" ref="S5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1" s="23" t="str" cm="1">
        <f t="array" ref="T5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1" s="14" t="str" cm="1">
        <f t="array" ref="U5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1" t="str" cm="1">
        <f t="array" ref="V5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1" t="str" cm="1">
        <f t="array" ref="W5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1" t="str">
        <f>IF(COUNTIFS('Base Estudiantes'!$C:$C,tblMatriculas[[#This Row],[Cédula]],'Base Estudiantes'!$I:$I,tblMatriculas[[#This Row],[Código]])&gt;0,"Sí","No")</f>
        <v>Sí</v>
      </c>
      <c r="Z501" s="23" cm="1">
        <f t="array" ref="Z501">_xlfn.XLOOKUP(tblMatriculas[[#This Row],[Cédula]]&amp;"|"&amp;tblMatriculas[[#This Row],[Código]],tblBase[Documento]&amp;"|"&amp;tblBase[Código grupo],tblBase[Fecha matrícula],"")</f>
        <v>46262</v>
      </c>
    </row>
    <row r="502" spans="1:26" x14ac:dyDescent="0.2">
      <c r="A502" t="s">
        <v>1098</v>
      </c>
      <c r="B502" t="s">
        <v>1099</v>
      </c>
      <c r="C502" t="s">
        <v>13</v>
      </c>
      <c r="D502" t="s">
        <v>1075</v>
      </c>
      <c r="E502" t="s">
        <v>1076</v>
      </c>
      <c r="F502" t="s">
        <v>649</v>
      </c>
      <c r="G502" s="1">
        <v>0.13300000000000001</v>
      </c>
      <c r="H502" t="s">
        <v>112</v>
      </c>
      <c r="I502" t="s">
        <v>853</v>
      </c>
      <c r="J502" t="s">
        <v>1077</v>
      </c>
      <c r="K502" t="s">
        <v>24</v>
      </c>
      <c r="L502" s="14">
        <f>IFERROR(VALUE(LEFT(tblMatriculas[[#This Row],[Clases]],FIND("/",tblMatriculas[[#This Row],[Clases]])-1)),"")</f>
        <v>4</v>
      </c>
      <c r="M502" s="14">
        <f>IFERROR(VALUE(MID(tblMatriculas[[#This Row],[Clases]],FIND("/",tblMatriculas[[#This Row],[Clases]])+1,5)),"")</f>
        <v>30</v>
      </c>
      <c r="N5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2" s="14">
        <f>IF(OR(tblMatriculas[[#This Row],[Estado]]&lt;&gt;"activa",tblMatriculas[[#This Row],[Clases dictadas]]=""),"",MAX(0,tblMatriculas[[#This Row],[Clases dictadas]]-tblMatriculas[[#This Row],[Asistidas]]))</f>
        <v>0</v>
      </c>
      <c r="P502" s="1">
        <f>IF(OR(tblMatriculas[[#This Row],[Estado]]&lt;&gt;"activa",tblMatriculas[[#This Row],[Asistidas]]=""),"",tblMatriculas[[#This Row],[Asistencia]])</f>
        <v>0.13300000000000001</v>
      </c>
      <c r="Q502" t="b">
        <f>AND(tblMatriculas[[#This Row],[Estado]]="activa",ISNUMBER(tblMatriculas[[#This Row],[% asistencia]]),NOT(ISNUMBER(SEARCH(pPrueba,tblMatriculas[[#This Row],[Nombre]]))))</f>
        <v>1</v>
      </c>
      <c r="R5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2" s="23" t="str" cm="1">
        <f t="array" ref="S5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2" s="23" t="str" cm="1">
        <f t="array" ref="T5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2" s="14" t="str" cm="1">
        <f t="array" ref="U5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2" t="str" cm="1">
        <f t="array" ref="V5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2" t="str" cm="1">
        <f t="array" ref="W5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2" t="str">
        <f>IF(COUNTIFS('Base Estudiantes'!$C:$C,tblMatriculas[[#This Row],[Cédula]],'Base Estudiantes'!$I:$I,tblMatriculas[[#This Row],[Código]])&gt;0,"Sí","No")</f>
        <v>Sí</v>
      </c>
      <c r="Z502" s="23" cm="1">
        <f t="array" ref="Z502">_xlfn.XLOOKUP(tblMatriculas[[#This Row],[Cédula]]&amp;"|"&amp;tblMatriculas[[#This Row],[Código]],tblBase[Documento]&amp;"|"&amp;tblBase[Código grupo],tblBase[Fecha matrícula],"")</f>
        <v>46262</v>
      </c>
    </row>
    <row r="503" spans="1:26" x14ac:dyDescent="0.2">
      <c r="A503" t="s">
        <v>1100</v>
      </c>
      <c r="B503" t="s">
        <v>1101</v>
      </c>
      <c r="C503" t="s">
        <v>13</v>
      </c>
      <c r="D503" t="s">
        <v>1075</v>
      </c>
      <c r="E503" t="s">
        <v>1076</v>
      </c>
      <c r="F503" t="s">
        <v>649</v>
      </c>
      <c r="G503" s="1">
        <v>0.13300000000000001</v>
      </c>
      <c r="H503" t="s">
        <v>112</v>
      </c>
      <c r="I503" t="s">
        <v>853</v>
      </c>
      <c r="J503" t="s">
        <v>1077</v>
      </c>
      <c r="K503" t="s">
        <v>24</v>
      </c>
      <c r="L503" s="14">
        <f>IFERROR(VALUE(LEFT(tblMatriculas[[#This Row],[Clases]],FIND("/",tblMatriculas[[#This Row],[Clases]])-1)),"")</f>
        <v>4</v>
      </c>
      <c r="M503" s="14">
        <f>IFERROR(VALUE(MID(tblMatriculas[[#This Row],[Clases]],FIND("/",tblMatriculas[[#This Row],[Clases]])+1,5)),"")</f>
        <v>30</v>
      </c>
      <c r="N5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3" s="14">
        <f>IF(OR(tblMatriculas[[#This Row],[Estado]]&lt;&gt;"activa",tblMatriculas[[#This Row],[Clases dictadas]]=""),"",MAX(0,tblMatriculas[[#This Row],[Clases dictadas]]-tblMatriculas[[#This Row],[Asistidas]]))</f>
        <v>0</v>
      </c>
      <c r="P503" s="1">
        <f>IF(OR(tblMatriculas[[#This Row],[Estado]]&lt;&gt;"activa",tblMatriculas[[#This Row],[Asistidas]]=""),"",tblMatriculas[[#This Row],[Asistencia]])</f>
        <v>0.13300000000000001</v>
      </c>
      <c r="Q503" t="b">
        <f>AND(tblMatriculas[[#This Row],[Estado]]="activa",ISNUMBER(tblMatriculas[[#This Row],[% asistencia]]),NOT(ISNUMBER(SEARCH(pPrueba,tblMatriculas[[#This Row],[Nombre]]))))</f>
        <v>1</v>
      </c>
      <c r="R5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3" s="23" t="str" cm="1">
        <f t="array" ref="S5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3" s="23" t="str" cm="1">
        <f t="array" ref="T5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3" s="14" t="str" cm="1">
        <f t="array" ref="U5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3" t="str" cm="1">
        <f t="array" ref="V5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3" t="str" cm="1">
        <f t="array" ref="W5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3" t="str">
        <f>IF(COUNTIFS('Base Estudiantes'!$C:$C,tblMatriculas[[#This Row],[Cédula]],'Base Estudiantes'!$I:$I,tblMatriculas[[#This Row],[Código]])&gt;0,"Sí","No")</f>
        <v>Sí</v>
      </c>
      <c r="Z503" s="23" cm="1">
        <f t="array" ref="Z503">_xlfn.XLOOKUP(tblMatriculas[[#This Row],[Cédula]]&amp;"|"&amp;tblMatriculas[[#This Row],[Código]],tblBase[Documento]&amp;"|"&amp;tblBase[Código grupo],tblBase[Fecha matrícula],"")</f>
        <v>46262</v>
      </c>
    </row>
    <row r="504" spans="1:26" x14ac:dyDescent="0.2">
      <c r="A504" t="s">
        <v>1102</v>
      </c>
      <c r="B504" t="s">
        <v>1103</v>
      </c>
      <c r="C504" t="s">
        <v>13</v>
      </c>
      <c r="D504" t="s">
        <v>1075</v>
      </c>
      <c r="E504" t="s">
        <v>1076</v>
      </c>
      <c r="F504" t="s">
        <v>649</v>
      </c>
      <c r="G504" s="1">
        <v>0.13300000000000001</v>
      </c>
      <c r="H504" t="s">
        <v>112</v>
      </c>
      <c r="I504" t="s">
        <v>853</v>
      </c>
      <c r="J504" t="s">
        <v>1077</v>
      </c>
      <c r="K504" t="s">
        <v>24</v>
      </c>
      <c r="L504" s="14">
        <f>IFERROR(VALUE(LEFT(tblMatriculas[[#This Row],[Clases]],FIND("/",tblMatriculas[[#This Row],[Clases]])-1)),"")</f>
        <v>4</v>
      </c>
      <c r="M504" s="14">
        <f>IFERROR(VALUE(MID(tblMatriculas[[#This Row],[Clases]],FIND("/",tblMatriculas[[#This Row],[Clases]])+1,5)),"")</f>
        <v>30</v>
      </c>
      <c r="N5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4" s="14">
        <f>IF(OR(tblMatriculas[[#This Row],[Estado]]&lt;&gt;"activa",tblMatriculas[[#This Row],[Clases dictadas]]=""),"",MAX(0,tblMatriculas[[#This Row],[Clases dictadas]]-tblMatriculas[[#This Row],[Asistidas]]))</f>
        <v>0</v>
      </c>
      <c r="P504" s="1">
        <f>IF(OR(tblMatriculas[[#This Row],[Estado]]&lt;&gt;"activa",tblMatriculas[[#This Row],[Asistidas]]=""),"",tblMatriculas[[#This Row],[Asistencia]])</f>
        <v>0.13300000000000001</v>
      </c>
      <c r="Q504" t="b">
        <f>AND(tblMatriculas[[#This Row],[Estado]]="activa",ISNUMBER(tblMatriculas[[#This Row],[% asistencia]]),NOT(ISNUMBER(SEARCH(pPrueba,tblMatriculas[[#This Row],[Nombre]]))))</f>
        <v>1</v>
      </c>
      <c r="R5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4" s="23" t="str" cm="1">
        <f t="array" ref="S5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4" s="23" t="str" cm="1">
        <f t="array" ref="T5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4" s="14" t="str" cm="1">
        <f t="array" ref="U5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4" t="str" cm="1">
        <f t="array" ref="V5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4" t="str" cm="1">
        <f t="array" ref="W5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4" t="str">
        <f>IF(COUNTIFS('Base Estudiantes'!$C:$C,tblMatriculas[[#This Row],[Cédula]],'Base Estudiantes'!$I:$I,tblMatriculas[[#This Row],[Código]])&gt;0,"Sí","No")</f>
        <v>Sí</v>
      </c>
      <c r="Z504" s="23" cm="1">
        <f t="array" ref="Z504">_xlfn.XLOOKUP(tblMatriculas[[#This Row],[Cédula]]&amp;"|"&amp;tblMatriculas[[#This Row],[Código]],tblBase[Documento]&amp;"|"&amp;tblBase[Código grupo],tblBase[Fecha matrícula],"")</f>
        <v>46262</v>
      </c>
    </row>
    <row r="505" spans="1:26" x14ac:dyDescent="0.2">
      <c r="A505" t="s">
        <v>1104</v>
      </c>
      <c r="B505" t="s">
        <v>1105</v>
      </c>
      <c r="C505" t="s">
        <v>13</v>
      </c>
      <c r="D505" t="s">
        <v>1075</v>
      </c>
      <c r="E505" t="s">
        <v>1076</v>
      </c>
      <c r="F505" t="s">
        <v>649</v>
      </c>
      <c r="G505" s="1">
        <v>0.1</v>
      </c>
      <c r="H505" t="s">
        <v>117</v>
      </c>
      <c r="I505" t="s">
        <v>853</v>
      </c>
      <c r="J505" t="s">
        <v>1077</v>
      </c>
      <c r="K505" t="s">
        <v>24</v>
      </c>
      <c r="L505" s="14">
        <f>IFERROR(VALUE(LEFT(tblMatriculas[[#This Row],[Clases]],FIND("/",tblMatriculas[[#This Row],[Clases]])-1)),"")</f>
        <v>3</v>
      </c>
      <c r="M505" s="14">
        <f>IFERROR(VALUE(MID(tblMatriculas[[#This Row],[Clases]],FIND("/",tblMatriculas[[#This Row],[Clases]])+1,5)),"")</f>
        <v>30</v>
      </c>
      <c r="N5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5" s="14">
        <f>IF(OR(tblMatriculas[[#This Row],[Estado]]&lt;&gt;"activa",tblMatriculas[[#This Row],[Clases dictadas]]=""),"",MAX(0,tblMatriculas[[#This Row],[Clases dictadas]]-tblMatriculas[[#This Row],[Asistidas]]))</f>
        <v>1</v>
      </c>
      <c r="P505" s="1">
        <f>IF(OR(tblMatriculas[[#This Row],[Estado]]&lt;&gt;"activa",tblMatriculas[[#This Row],[Asistidas]]=""),"",tblMatriculas[[#This Row],[Asistencia]])</f>
        <v>0.1</v>
      </c>
      <c r="Q505" t="b">
        <f>AND(tblMatriculas[[#This Row],[Estado]]="activa",ISNUMBER(tblMatriculas[[#This Row],[% asistencia]]),NOT(ISNUMBER(SEARCH(pPrueba,tblMatriculas[[#This Row],[Nombre]]))))</f>
        <v>1</v>
      </c>
      <c r="R5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5" s="23" t="str" cm="1">
        <f t="array" ref="S5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5" s="23" t="str" cm="1">
        <f t="array" ref="T5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5" s="14" t="str" cm="1">
        <f t="array" ref="U5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5" t="str" cm="1">
        <f t="array" ref="V5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5" t="str" cm="1">
        <f t="array" ref="W5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5" t="str">
        <f>IF(COUNTIFS('Base Estudiantes'!$C:$C,tblMatriculas[[#This Row],[Cédula]],'Base Estudiantes'!$I:$I,tblMatriculas[[#This Row],[Código]])&gt;0,"Sí","No")</f>
        <v>Sí</v>
      </c>
      <c r="Z505" s="23" cm="1">
        <f t="array" ref="Z505">_xlfn.XLOOKUP(tblMatriculas[[#This Row],[Cédula]]&amp;"|"&amp;tblMatriculas[[#This Row],[Código]],tblBase[Documento]&amp;"|"&amp;tblBase[Código grupo],tblBase[Fecha matrícula],"")</f>
        <v>46262</v>
      </c>
    </row>
    <row r="506" spans="1:26" x14ac:dyDescent="0.2">
      <c r="A506" t="s">
        <v>1106</v>
      </c>
      <c r="B506" t="s">
        <v>1107</v>
      </c>
      <c r="C506" t="s">
        <v>13</v>
      </c>
      <c r="D506" t="s">
        <v>1075</v>
      </c>
      <c r="E506" t="s">
        <v>1076</v>
      </c>
      <c r="F506" t="s">
        <v>649</v>
      </c>
      <c r="G506" s="1">
        <v>0.13300000000000001</v>
      </c>
      <c r="H506" t="s">
        <v>112</v>
      </c>
      <c r="I506" t="s">
        <v>853</v>
      </c>
      <c r="J506" t="s">
        <v>1077</v>
      </c>
      <c r="K506" t="s">
        <v>24</v>
      </c>
      <c r="L506" s="14">
        <f>IFERROR(VALUE(LEFT(tblMatriculas[[#This Row],[Clases]],FIND("/",tblMatriculas[[#This Row],[Clases]])-1)),"")</f>
        <v>4</v>
      </c>
      <c r="M506" s="14">
        <f>IFERROR(VALUE(MID(tblMatriculas[[#This Row],[Clases]],FIND("/",tblMatriculas[[#This Row],[Clases]])+1,5)),"")</f>
        <v>30</v>
      </c>
      <c r="N5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6" s="14">
        <f>IF(OR(tblMatriculas[[#This Row],[Estado]]&lt;&gt;"activa",tblMatriculas[[#This Row],[Clases dictadas]]=""),"",MAX(0,tblMatriculas[[#This Row],[Clases dictadas]]-tblMatriculas[[#This Row],[Asistidas]]))</f>
        <v>0</v>
      </c>
      <c r="P506" s="1">
        <f>IF(OR(tblMatriculas[[#This Row],[Estado]]&lt;&gt;"activa",tblMatriculas[[#This Row],[Asistidas]]=""),"",tblMatriculas[[#This Row],[Asistencia]])</f>
        <v>0.13300000000000001</v>
      </c>
      <c r="Q506" t="b">
        <f>AND(tblMatriculas[[#This Row],[Estado]]="activa",ISNUMBER(tblMatriculas[[#This Row],[% asistencia]]),NOT(ISNUMBER(SEARCH(pPrueba,tblMatriculas[[#This Row],[Nombre]]))))</f>
        <v>1</v>
      </c>
      <c r="R5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6" s="23" t="str" cm="1">
        <f t="array" ref="S5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6" s="23" t="str" cm="1">
        <f t="array" ref="T5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6" s="14" t="str" cm="1">
        <f t="array" ref="U5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6" t="str" cm="1">
        <f t="array" ref="V5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6" t="str" cm="1">
        <f t="array" ref="W5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6" t="str">
        <f>IF(COUNTIFS('Base Estudiantes'!$C:$C,tblMatriculas[[#This Row],[Cédula]],'Base Estudiantes'!$I:$I,tblMatriculas[[#This Row],[Código]])&gt;0,"Sí","No")</f>
        <v>Sí</v>
      </c>
      <c r="Z506" s="23" cm="1">
        <f t="array" ref="Z506">_xlfn.XLOOKUP(tblMatriculas[[#This Row],[Cédula]]&amp;"|"&amp;tblMatriculas[[#This Row],[Código]],tblBase[Documento]&amp;"|"&amp;tblBase[Código grupo],tblBase[Fecha matrícula],"")</f>
        <v>46262</v>
      </c>
    </row>
    <row r="507" spans="1:26" x14ac:dyDescent="0.2">
      <c r="A507" t="s">
        <v>1108</v>
      </c>
      <c r="B507" t="s">
        <v>1109</v>
      </c>
      <c r="C507" t="s">
        <v>13</v>
      </c>
      <c r="D507" t="s">
        <v>1075</v>
      </c>
      <c r="E507" t="s">
        <v>1076</v>
      </c>
      <c r="F507" t="s">
        <v>649</v>
      </c>
      <c r="G507" s="1">
        <v>0.13300000000000001</v>
      </c>
      <c r="H507" t="s">
        <v>112</v>
      </c>
      <c r="I507" t="s">
        <v>853</v>
      </c>
      <c r="J507" t="s">
        <v>1077</v>
      </c>
      <c r="K507" t="s">
        <v>24</v>
      </c>
      <c r="L507" s="14">
        <f>IFERROR(VALUE(LEFT(tblMatriculas[[#This Row],[Clases]],FIND("/",tblMatriculas[[#This Row],[Clases]])-1)),"")</f>
        <v>4</v>
      </c>
      <c r="M507" s="14">
        <f>IFERROR(VALUE(MID(tblMatriculas[[#This Row],[Clases]],FIND("/",tblMatriculas[[#This Row],[Clases]])+1,5)),"")</f>
        <v>30</v>
      </c>
      <c r="N5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7" s="14">
        <f>IF(OR(tblMatriculas[[#This Row],[Estado]]&lt;&gt;"activa",tblMatriculas[[#This Row],[Clases dictadas]]=""),"",MAX(0,tblMatriculas[[#This Row],[Clases dictadas]]-tblMatriculas[[#This Row],[Asistidas]]))</f>
        <v>0</v>
      </c>
      <c r="P507" s="1">
        <f>IF(OR(tblMatriculas[[#This Row],[Estado]]&lt;&gt;"activa",tblMatriculas[[#This Row],[Asistidas]]=""),"",tblMatriculas[[#This Row],[Asistencia]])</f>
        <v>0.13300000000000001</v>
      </c>
      <c r="Q507" t="b">
        <f>AND(tblMatriculas[[#This Row],[Estado]]="activa",ISNUMBER(tblMatriculas[[#This Row],[% asistencia]]),NOT(ISNUMBER(SEARCH(pPrueba,tblMatriculas[[#This Row],[Nombre]]))))</f>
        <v>1</v>
      </c>
      <c r="R5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7" s="23" t="str" cm="1">
        <f t="array" ref="S5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7" s="23" t="str" cm="1">
        <f t="array" ref="T5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7" s="14" t="str" cm="1">
        <f t="array" ref="U5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7" t="str" cm="1">
        <f t="array" ref="V5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7" t="str" cm="1">
        <f t="array" ref="W5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7" t="str">
        <f>IF(COUNTIFS('Base Estudiantes'!$C:$C,tblMatriculas[[#This Row],[Cédula]],'Base Estudiantes'!$I:$I,tblMatriculas[[#This Row],[Código]])&gt;0,"Sí","No")</f>
        <v>Sí</v>
      </c>
      <c r="Z507" s="23" cm="1">
        <f t="array" ref="Z507">_xlfn.XLOOKUP(tblMatriculas[[#This Row],[Cédula]]&amp;"|"&amp;tblMatriculas[[#This Row],[Código]],tblBase[Documento]&amp;"|"&amp;tblBase[Código grupo],tblBase[Fecha matrícula],"")</f>
        <v>46262</v>
      </c>
    </row>
    <row r="508" spans="1:26" x14ac:dyDescent="0.2">
      <c r="A508" t="s">
        <v>1110</v>
      </c>
      <c r="B508" t="s">
        <v>1111</v>
      </c>
      <c r="C508" t="s">
        <v>13</v>
      </c>
      <c r="D508" t="s">
        <v>1075</v>
      </c>
      <c r="E508" t="s">
        <v>1076</v>
      </c>
      <c r="F508" t="s">
        <v>649</v>
      </c>
      <c r="G508" s="1">
        <v>0.13300000000000001</v>
      </c>
      <c r="H508" t="s">
        <v>112</v>
      </c>
      <c r="I508" t="s">
        <v>853</v>
      </c>
      <c r="J508" t="s">
        <v>1077</v>
      </c>
      <c r="K508" t="s">
        <v>24</v>
      </c>
      <c r="L508" s="14">
        <f>IFERROR(VALUE(LEFT(tblMatriculas[[#This Row],[Clases]],FIND("/",tblMatriculas[[#This Row],[Clases]])-1)),"")</f>
        <v>4</v>
      </c>
      <c r="M508" s="14">
        <f>IFERROR(VALUE(MID(tblMatriculas[[#This Row],[Clases]],FIND("/",tblMatriculas[[#This Row],[Clases]])+1,5)),"")</f>
        <v>30</v>
      </c>
      <c r="N5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8" s="14">
        <f>IF(OR(tblMatriculas[[#This Row],[Estado]]&lt;&gt;"activa",tblMatriculas[[#This Row],[Clases dictadas]]=""),"",MAX(0,tblMatriculas[[#This Row],[Clases dictadas]]-tblMatriculas[[#This Row],[Asistidas]]))</f>
        <v>0</v>
      </c>
      <c r="P508" s="1">
        <f>IF(OR(tblMatriculas[[#This Row],[Estado]]&lt;&gt;"activa",tblMatriculas[[#This Row],[Asistidas]]=""),"",tblMatriculas[[#This Row],[Asistencia]])</f>
        <v>0.13300000000000001</v>
      </c>
      <c r="Q508" t="b">
        <f>AND(tblMatriculas[[#This Row],[Estado]]="activa",ISNUMBER(tblMatriculas[[#This Row],[% asistencia]]),NOT(ISNUMBER(SEARCH(pPrueba,tblMatriculas[[#This Row],[Nombre]]))))</f>
        <v>1</v>
      </c>
      <c r="R5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8" s="23" t="str" cm="1">
        <f t="array" ref="S5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8" s="23" t="str" cm="1">
        <f t="array" ref="T5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8" s="14" t="str" cm="1">
        <f t="array" ref="U5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8" t="str" cm="1">
        <f t="array" ref="V5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8" t="str" cm="1">
        <f t="array" ref="W5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8" t="str">
        <f>IF(COUNTIFS('Base Estudiantes'!$C:$C,tblMatriculas[[#This Row],[Cédula]],'Base Estudiantes'!$I:$I,tblMatriculas[[#This Row],[Código]])&gt;0,"Sí","No")</f>
        <v>Sí</v>
      </c>
      <c r="Z508" s="23" cm="1">
        <f t="array" ref="Z508">_xlfn.XLOOKUP(tblMatriculas[[#This Row],[Cédula]]&amp;"|"&amp;tblMatriculas[[#This Row],[Código]],tblBase[Documento]&amp;"|"&amp;tblBase[Código grupo],tblBase[Fecha matrícula],"")</f>
        <v>46262</v>
      </c>
    </row>
    <row r="509" spans="1:26" x14ac:dyDescent="0.2">
      <c r="A509" t="s">
        <v>1112</v>
      </c>
      <c r="B509" t="s">
        <v>1113</v>
      </c>
      <c r="C509" t="s">
        <v>13</v>
      </c>
      <c r="D509" t="s">
        <v>1075</v>
      </c>
      <c r="E509" t="s">
        <v>1076</v>
      </c>
      <c r="F509" t="s">
        <v>649</v>
      </c>
      <c r="G509" s="1">
        <v>0.1</v>
      </c>
      <c r="H509" t="s">
        <v>117</v>
      </c>
      <c r="I509" t="s">
        <v>853</v>
      </c>
      <c r="J509" t="s">
        <v>1077</v>
      </c>
      <c r="K509" t="s">
        <v>24</v>
      </c>
      <c r="L509" s="14">
        <f>IFERROR(VALUE(LEFT(tblMatriculas[[#This Row],[Clases]],FIND("/",tblMatriculas[[#This Row],[Clases]])-1)),"")</f>
        <v>3</v>
      </c>
      <c r="M509" s="14">
        <f>IFERROR(VALUE(MID(tblMatriculas[[#This Row],[Clases]],FIND("/",tblMatriculas[[#This Row],[Clases]])+1,5)),"")</f>
        <v>30</v>
      </c>
      <c r="N5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09" s="14">
        <f>IF(OR(tblMatriculas[[#This Row],[Estado]]&lt;&gt;"activa",tblMatriculas[[#This Row],[Clases dictadas]]=""),"",MAX(0,tblMatriculas[[#This Row],[Clases dictadas]]-tblMatriculas[[#This Row],[Asistidas]]))</f>
        <v>1</v>
      </c>
      <c r="P509" s="1">
        <f>IF(OR(tblMatriculas[[#This Row],[Estado]]&lt;&gt;"activa",tblMatriculas[[#This Row],[Asistidas]]=""),"",tblMatriculas[[#This Row],[Asistencia]])</f>
        <v>0.1</v>
      </c>
      <c r="Q509" t="b">
        <f>AND(tblMatriculas[[#This Row],[Estado]]="activa",ISNUMBER(tblMatriculas[[#This Row],[% asistencia]]),NOT(ISNUMBER(SEARCH(pPrueba,tblMatriculas[[#This Row],[Nombre]]))))</f>
        <v>1</v>
      </c>
      <c r="R5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09" s="23" t="str" cm="1">
        <f t="array" ref="S5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09" s="23" t="str" cm="1">
        <f t="array" ref="T5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09" s="14" t="str" cm="1">
        <f t="array" ref="U5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09" t="str" cm="1">
        <f t="array" ref="V5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09" t="str" cm="1">
        <f t="array" ref="W5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09" t="str">
        <f>IF(COUNTIFS('Base Estudiantes'!$C:$C,tblMatriculas[[#This Row],[Cédula]],'Base Estudiantes'!$I:$I,tblMatriculas[[#This Row],[Código]])&gt;0,"Sí","No")</f>
        <v>Sí</v>
      </c>
      <c r="Z509" s="23" cm="1">
        <f t="array" ref="Z509">_xlfn.XLOOKUP(tblMatriculas[[#This Row],[Cédula]]&amp;"|"&amp;tblMatriculas[[#This Row],[Código]],tblBase[Documento]&amp;"|"&amp;tblBase[Código grupo],tblBase[Fecha matrícula],"")</f>
        <v>46262</v>
      </c>
    </row>
    <row r="510" spans="1:26" x14ac:dyDescent="0.2">
      <c r="A510" t="s">
        <v>1114</v>
      </c>
      <c r="B510" t="s">
        <v>1115</v>
      </c>
      <c r="C510" t="s">
        <v>13</v>
      </c>
      <c r="D510" t="s">
        <v>1075</v>
      </c>
      <c r="E510" t="s">
        <v>1076</v>
      </c>
      <c r="F510" t="s">
        <v>649</v>
      </c>
      <c r="G510" s="1">
        <v>0.1</v>
      </c>
      <c r="H510" t="s">
        <v>117</v>
      </c>
      <c r="I510" t="s">
        <v>853</v>
      </c>
      <c r="J510" t="s">
        <v>1077</v>
      </c>
      <c r="K510" t="s">
        <v>24</v>
      </c>
      <c r="L510" s="14">
        <f>IFERROR(VALUE(LEFT(tblMatriculas[[#This Row],[Clases]],FIND("/",tblMatriculas[[#This Row],[Clases]])-1)),"")</f>
        <v>3</v>
      </c>
      <c r="M510" s="14">
        <f>IFERROR(VALUE(MID(tblMatriculas[[#This Row],[Clases]],FIND("/",tblMatriculas[[#This Row],[Clases]])+1,5)),"")</f>
        <v>30</v>
      </c>
      <c r="N5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0" s="14">
        <f>IF(OR(tblMatriculas[[#This Row],[Estado]]&lt;&gt;"activa",tblMatriculas[[#This Row],[Clases dictadas]]=""),"",MAX(0,tblMatriculas[[#This Row],[Clases dictadas]]-tblMatriculas[[#This Row],[Asistidas]]))</f>
        <v>1</v>
      </c>
      <c r="P510" s="1">
        <f>IF(OR(tblMatriculas[[#This Row],[Estado]]&lt;&gt;"activa",tblMatriculas[[#This Row],[Asistidas]]=""),"",tblMatriculas[[#This Row],[Asistencia]])</f>
        <v>0.1</v>
      </c>
      <c r="Q510" t="b">
        <f>AND(tblMatriculas[[#This Row],[Estado]]="activa",ISNUMBER(tblMatriculas[[#This Row],[% asistencia]]),NOT(ISNUMBER(SEARCH(pPrueba,tblMatriculas[[#This Row],[Nombre]]))))</f>
        <v>1</v>
      </c>
      <c r="R5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10" s="23" t="str" cm="1">
        <f t="array" ref="S5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0" s="23" t="str" cm="1">
        <f t="array" ref="T5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0" s="14" t="str" cm="1">
        <f t="array" ref="U5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0" t="str" cm="1">
        <f t="array" ref="V5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0" t="str" cm="1">
        <f t="array" ref="W5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0" t="str">
        <f>IF(COUNTIFS('Base Estudiantes'!$C:$C,tblMatriculas[[#This Row],[Cédula]],'Base Estudiantes'!$I:$I,tblMatriculas[[#This Row],[Código]])&gt;0,"Sí","No")</f>
        <v>Sí</v>
      </c>
      <c r="Z510" s="23" cm="1">
        <f t="array" ref="Z510">_xlfn.XLOOKUP(tblMatriculas[[#This Row],[Cédula]]&amp;"|"&amp;tblMatriculas[[#This Row],[Código]],tblBase[Documento]&amp;"|"&amp;tblBase[Código grupo],tblBase[Fecha matrícula],"")</f>
        <v>46262</v>
      </c>
    </row>
    <row r="511" spans="1:26" x14ac:dyDescent="0.2">
      <c r="A511" t="s">
        <v>1116</v>
      </c>
      <c r="B511" t="s">
        <v>1117</v>
      </c>
      <c r="C511" t="s">
        <v>13</v>
      </c>
      <c r="D511" t="s">
        <v>1075</v>
      </c>
      <c r="E511" t="s">
        <v>1076</v>
      </c>
      <c r="F511" t="s">
        <v>649</v>
      </c>
      <c r="G511" s="1">
        <v>0.1</v>
      </c>
      <c r="H511" t="s">
        <v>117</v>
      </c>
      <c r="I511" t="s">
        <v>853</v>
      </c>
      <c r="J511" t="s">
        <v>1077</v>
      </c>
      <c r="K511" t="s">
        <v>24</v>
      </c>
      <c r="L511" s="14">
        <f>IFERROR(VALUE(LEFT(tblMatriculas[[#This Row],[Clases]],FIND("/",tblMatriculas[[#This Row],[Clases]])-1)),"")</f>
        <v>3</v>
      </c>
      <c r="M511" s="14">
        <f>IFERROR(VALUE(MID(tblMatriculas[[#This Row],[Clases]],FIND("/",tblMatriculas[[#This Row],[Clases]])+1,5)),"")</f>
        <v>30</v>
      </c>
      <c r="N5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1" s="14">
        <f>IF(OR(tblMatriculas[[#This Row],[Estado]]&lt;&gt;"activa",tblMatriculas[[#This Row],[Clases dictadas]]=""),"",MAX(0,tblMatriculas[[#This Row],[Clases dictadas]]-tblMatriculas[[#This Row],[Asistidas]]))</f>
        <v>1</v>
      </c>
      <c r="P511" s="1">
        <f>IF(OR(tblMatriculas[[#This Row],[Estado]]&lt;&gt;"activa",tblMatriculas[[#This Row],[Asistidas]]=""),"",tblMatriculas[[#This Row],[Asistencia]])</f>
        <v>0.1</v>
      </c>
      <c r="Q511" t="b">
        <f>AND(tblMatriculas[[#This Row],[Estado]]="activa",ISNUMBER(tblMatriculas[[#This Row],[% asistencia]]),NOT(ISNUMBER(SEARCH(pPrueba,tblMatriculas[[#This Row],[Nombre]]))))</f>
        <v>1</v>
      </c>
      <c r="R5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11" s="23" t="str" cm="1">
        <f t="array" ref="S5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1" s="23" t="str" cm="1">
        <f t="array" ref="T5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1" s="14" t="str" cm="1">
        <f t="array" ref="U5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1" t="str" cm="1">
        <f t="array" ref="V5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1" t="str" cm="1">
        <f t="array" ref="W5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1" t="str">
        <f>IF(COUNTIFS('Base Estudiantes'!$C:$C,tblMatriculas[[#This Row],[Cédula]],'Base Estudiantes'!$I:$I,tblMatriculas[[#This Row],[Código]])&gt;0,"Sí","No")</f>
        <v>Sí</v>
      </c>
      <c r="Z511" s="23" cm="1">
        <f t="array" ref="Z511">_xlfn.XLOOKUP(tblMatriculas[[#This Row],[Cédula]]&amp;"|"&amp;tblMatriculas[[#This Row],[Código]],tblBase[Documento]&amp;"|"&amp;tblBase[Código grupo],tblBase[Fecha matrícula],"")</f>
        <v>46262</v>
      </c>
    </row>
    <row r="512" spans="1:26" x14ac:dyDescent="0.2">
      <c r="A512" t="s">
        <v>1118</v>
      </c>
      <c r="B512" t="s">
        <v>1119</v>
      </c>
      <c r="C512" t="s">
        <v>13</v>
      </c>
      <c r="D512" t="s">
        <v>1075</v>
      </c>
      <c r="E512" t="s">
        <v>1076</v>
      </c>
      <c r="F512" t="s">
        <v>649</v>
      </c>
      <c r="G512" s="1">
        <v>6.7000000000000004E-2</v>
      </c>
      <c r="H512" t="s">
        <v>166</v>
      </c>
      <c r="I512" t="s">
        <v>853</v>
      </c>
      <c r="J512" t="s">
        <v>1077</v>
      </c>
      <c r="K512" t="s">
        <v>960</v>
      </c>
      <c r="L512" s="14">
        <f>IFERROR(VALUE(LEFT(tblMatriculas[[#This Row],[Clases]],FIND("/",tblMatriculas[[#This Row],[Clases]])-1)),"")</f>
        <v>2</v>
      </c>
      <c r="M512" s="14">
        <f>IFERROR(VALUE(MID(tblMatriculas[[#This Row],[Clases]],FIND("/",tblMatriculas[[#This Row],[Clases]])+1,5)),"")</f>
        <v>30</v>
      </c>
      <c r="N5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2" s="14">
        <f>IF(OR(tblMatriculas[[#This Row],[Estado]]&lt;&gt;"activa",tblMatriculas[[#This Row],[Clases dictadas]]=""),"",MAX(0,tblMatriculas[[#This Row],[Clases dictadas]]-tblMatriculas[[#This Row],[Asistidas]]))</f>
        <v>2</v>
      </c>
      <c r="P512" s="1">
        <f>IF(OR(tblMatriculas[[#This Row],[Estado]]&lt;&gt;"activa",tblMatriculas[[#This Row],[Asistidas]]=""),"",tblMatriculas[[#This Row],[Asistencia]])</f>
        <v>6.7000000000000004E-2</v>
      </c>
      <c r="Q512" t="b">
        <f>AND(tblMatriculas[[#This Row],[Estado]]="activa",ISNUMBER(tblMatriculas[[#This Row],[% asistencia]]),NOT(ISNUMBER(SEARCH(pPrueba,tblMatriculas[[#This Row],[Nombre]]))))</f>
        <v>1</v>
      </c>
      <c r="R5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512" s="23" t="str" cm="1">
        <f t="array" ref="S5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2" s="23" t="str" cm="1">
        <f t="array" ref="T5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2" s="14" t="str" cm="1">
        <f t="array" ref="U5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2" t="str" cm="1">
        <f t="array" ref="V5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2" t="str" cm="1">
        <f t="array" ref="W5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5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512" t="str">
        <f>IF(COUNTIFS('Base Estudiantes'!$C:$C,tblMatriculas[[#This Row],[Cédula]],'Base Estudiantes'!$I:$I,tblMatriculas[[#This Row],[Código]])&gt;0,"Sí","No")</f>
        <v>Sí</v>
      </c>
      <c r="Z512" s="23" cm="1">
        <f t="array" ref="Z512">_xlfn.XLOOKUP(tblMatriculas[[#This Row],[Cédula]]&amp;"|"&amp;tblMatriculas[[#This Row],[Código]],tblBase[Documento]&amp;"|"&amp;tblBase[Código grupo],tblBase[Fecha matrícula],"")</f>
        <v>46262</v>
      </c>
    </row>
    <row r="513" spans="1:26" x14ac:dyDescent="0.2">
      <c r="A513" t="s">
        <v>1120</v>
      </c>
      <c r="B513" t="s">
        <v>1121</v>
      </c>
      <c r="C513" t="s">
        <v>13</v>
      </c>
      <c r="D513" t="s">
        <v>1075</v>
      </c>
      <c r="E513" t="s">
        <v>1076</v>
      </c>
      <c r="F513" t="s">
        <v>649</v>
      </c>
      <c r="G513" s="1">
        <v>0</v>
      </c>
      <c r="H513" t="s">
        <v>254</v>
      </c>
      <c r="I513" t="s">
        <v>853</v>
      </c>
      <c r="J513" t="s">
        <v>1077</v>
      </c>
      <c r="K513" t="s">
        <v>24</v>
      </c>
      <c r="L513" s="14">
        <f>IFERROR(VALUE(LEFT(tblMatriculas[[#This Row],[Clases]],FIND("/",tblMatriculas[[#This Row],[Clases]])-1)),"")</f>
        <v>0</v>
      </c>
      <c r="M513" s="14">
        <f>IFERROR(VALUE(MID(tblMatriculas[[#This Row],[Clases]],FIND("/",tblMatriculas[[#This Row],[Clases]])+1,5)),"")</f>
        <v>30</v>
      </c>
      <c r="N5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3" s="14">
        <f>IF(OR(tblMatriculas[[#This Row],[Estado]]&lt;&gt;"activa",tblMatriculas[[#This Row],[Clases dictadas]]=""),"",MAX(0,tblMatriculas[[#This Row],[Clases dictadas]]-tblMatriculas[[#This Row],[Asistidas]]))</f>
        <v>4</v>
      </c>
      <c r="P513" s="1">
        <f>IF(OR(tblMatriculas[[#This Row],[Estado]]&lt;&gt;"activa",tblMatriculas[[#This Row],[Asistidas]]=""),"",tblMatriculas[[#This Row],[Asistencia]])</f>
        <v>0</v>
      </c>
      <c r="Q513" t="b">
        <f>AND(tblMatriculas[[#This Row],[Estado]]="activa",ISNUMBER(tblMatriculas[[#This Row],[% asistencia]]),NOT(ISNUMBER(SEARCH(pPrueba,tblMatriculas[[#This Row],[Nombre]]))))</f>
        <v>1</v>
      </c>
      <c r="R5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13" s="23" t="str" cm="1">
        <f t="array" ref="S5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3" s="23" t="str" cm="1">
        <f t="array" ref="T5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3" s="14" t="str" cm="1">
        <f t="array" ref="U5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3" t="str" cm="1">
        <f t="array" ref="V5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3" t="str" cm="1">
        <f t="array" ref="W5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13" t="str">
        <f>IF(COUNTIFS('Base Estudiantes'!$C:$C,tblMatriculas[[#This Row],[Cédula]],'Base Estudiantes'!$I:$I,tblMatriculas[[#This Row],[Código]])&gt;0,"Sí","No")</f>
        <v>Sí</v>
      </c>
      <c r="Z513" s="23" cm="1">
        <f t="array" ref="Z513">_xlfn.XLOOKUP(tblMatriculas[[#This Row],[Cédula]]&amp;"|"&amp;tblMatriculas[[#This Row],[Código]],tblBase[Documento]&amp;"|"&amp;tblBase[Código grupo],tblBase[Fecha matrícula],"")</f>
        <v>46263</v>
      </c>
    </row>
    <row r="514" spans="1:26" x14ac:dyDescent="0.2">
      <c r="A514" t="s">
        <v>1122</v>
      </c>
      <c r="B514" t="s">
        <v>1123</v>
      </c>
      <c r="C514" t="s">
        <v>13</v>
      </c>
      <c r="D514" t="s">
        <v>1075</v>
      </c>
      <c r="E514" t="s">
        <v>1076</v>
      </c>
      <c r="F514" t="s">
        <v>649</v>
      </c>
      <c r="G514" s="1">
        <v>0.13300000000000001</v>
      </c>
      <c r="H514" t="s">
        <v>112</v>
      </c>
      <c r="I514" t="s">
        <v>853</v>
      </c>
      <c r="J514" t="s">
        <v>1077</v>
      </c>
      <c r="K514" t="s">
        <v>24</v>
      </c>
      <c r="L514" s="14">
        <f>IFERROR(VALUE(LEFT(tblMatriculas[[#This Row],[Clases]],FIND("/",tblMatriculas[[#This Row],[Clases]])-1)),"")</f>
        <v>4</v>
      </c>
      <c r="M514" s="14">
        <f>IFERROR(VALUE(MID(tblMatriculas[[#This Row],[Clases]],FIND("/",tblMatriculas[[#This Row],[Clases]])+1,5)),"")</f>
        <v>30</v>
      </c>
      <c r="N5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4" s="14">
        <f>IF(OR(tblMatriculas[[#This Row],[Estado]]&lt;&gt;"activa",tblMatriculas[[#This Row],[Clases dictadas]]=""),"",MAX(0,tblMatriculas[[#This Row],[Clases dictadas]]-tblMatriculas[[#This Row],[Asistidas]]))</f>
        <v>0</v>
      </c>
      <c r="P514" s="1">
        <f>IF(OR(tblMatriculas[[#This Row],[Estado]]&lt;&gt;"activa",tblMatriculas[[#This Row],[Asistidas]]=""),"",tblMatriculas[[#This Row],[Asistencia]])</f>
        <v>0.13300000000000001</v>
      </c>
      <c r="Q514" t="b">
        <f>AND(tblMatriculas[[#This Row],[Estado]]="activa",ISNUMBER(tblMatriculas[[#This Row],[% asistencia]]),NOT(ISNUMBER(SEARCH(pPrueba,tblMatriculas[[#This Row],[Nombre]]))))</f>
        <v>1</v>
      </c>
      <c r="R5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14" s="23" t="str" cm="1">
        <f t="array" ref="S5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4" s="23" t="str" cm="1">
        <f t="array" ref="T5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4" s="14" t="str" cm="1">
        <f t="array" ref="U5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4" t="str" cm="1">
        <f t="array" ref="V5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4" t="str" cm="1">
        <f t="array" ref="W5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4" t="str">
        <f>IF(COUNTIFS('Base Estudiantes'!$C:$C,tblMatriculas[[#This Row],[Cédula]],'Base Estudiantes'!$I:$I,tblMatriculas[[#This Row],[Código]])&gt;0,"Sí","No")</f>
        <v>Sí</v>
      </c>
      <c r="Z514" s="23" cm="1">
        <f t="array" ref="Z514">_xlfn.XLOOKUP(tblMatriculas[[#This Row],[Cédula]]&amp;"|"&amp;tblMatriculas[[#This Row],[Código]],tblBase[Documento]&amp;"|"&amp;tblBase[Código grupo],tblBase[Fecha matrícula],"")</f>
        <v>46263</v>
      </c>
    </row>
    <row r="515" spans="1:26" x14ac:dyDescent="0.2">
      <c r="A515" t="s">
        <v>1124</v>
      </c>
      <c r="B515" t="s">
        <v>1125</v>
      </c>
      <c r="C515" t="s">
        <v>13</v>
      </c>
      <c r="D515" t="s">
        <v>1075</v>
      </c>
      <c r="E515" t="s">
        <v>1076</v>
      </c>
      <c r="F515" t="s">
        <v>649</v>
      </c>
      <c r="G515" s="1">
        <v>0.13300000000000001</v>
      </c>
      <c r="H515" t="s">
        <v>112</v>
      </c>
      <c r="I515" t="s">
        <v>853</v>
      </c>
      <c r="J515" t="s">
        <v>1077</v>
      </c>
      <c r="K515" t="s">
        <v>24</v>
      </c>
      <c r="L515" s="14">
        <f>IFERROR(VALUE(LEFT(tblMatriculas[[#This Row],[Clases]],FIND("/",tblMatriculas[[#This Row],[Clases]])-1)),"")</f>
        <v>4</v>
      </c>
      <c r="M515" s="14">
        <f>IFERROR(VALUE(MID(tblMatriculas[[#This Row],[Clases]],FIND("/",tblMatriculas[[#This Row],[Clases]])+1,5)),"")</f>
        <v>30</v>
      </c>
      <c r="N5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5" s="14">
        <f>IF(OR(tblMatriculas[[#This Row],[Estado]]&lt;&gt;"activa",tblMatriculas[[#This Row],[Clases dictadas]]=""),"",MAX(0,tblMatriculas[[#This Row],[Clases dictadas]]-tblMatriculas[[#This Row],[Asistidas]]))</f>
        <v>0</v>
      </c>
      <c r="P515" s="1">
        <f>IF(OR(tblMatriculas[[#This Row],[Estado]]&lt;&gt;"activa",tblMatriculas[[#This Row],[Asistidas]]=""),"",tblMatriculas[[#This Row],[Asistencia]])</f>
        <v>0.13300000000000001</v>
      </c>
      <c r="Q515" t="b">
        <f>AND(tblMatriculas[[#This Row],[Estado]]="activa",ISNUMBER(tblMatriculas[[#This Row],[% asistencia]]),NOT(ISNUMBER(SEARCH(pPrueba,tblMatriculas[[#This Row],[Nombre]]))))</f>
        <v>1</v>
      </c>
      <c r="R5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15" s="23" t="str" cm="1">
        <f t="array" ref="S5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5" s="23" t="str" cm="1">
        <f t="array" ref="T5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5" s="14" t="str" cm="1">
        <f t="array" ref="U5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5" t="str" cm="1">
        <f t="array" ref="V5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5" t="str" cm="1">
        <f t="array" ref="W5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5" t="str">
        <f>IF(COUNTIFS('Base Estudiantes'!$C:$C,tblMatriculas[[#This Row],[Cédula]],'Base Estudiantes'!$I:$I,tblMatriculas[[#This Row],[Código]])&gt;0,"Sí","No")</f>
        <v>Sí</v>
      </c>
      <c r="Z515" s="23" cm="1">
        <f t="array" ref="Z515">_xlfn.XLOOKUP(tblMatriculas[[#This Row],[Cédula]]&amp;"|"&amp;tblMatriculas[[#This Row],[Código]],tblBase[Documento]&amp;"|"&amp;tblBase[Código grupo],tblBase[Fecha matrícula],"")</f>
        <v>46263</v>
      </c>
    </row>
    <row r="516" spans="1:26" x14ac:dyDescent="0.2">
      <c r="A516" t="s">
        <v>1126</v>
      </c>
      <c r="B516" t="s">
        <v>1127</v>
      </c>
      <c r="C516" t="s">
        <v>13</v>
      </c>
      <c r="D516" t="s">
        <v>1075</v>
      </c>
      <c r="E516" t="s">
        <v>1076</v>
      </c>
      <c r="F516" t="s">
        <v>649</v>
      </c>
      <c r="G516" s="1">
        <v>0</v>
      </c>
      <c r="H516" t="s">
        <v>1128</v>
      </c>
      <c r="I516" t="s">
        <v>853</v>
      </c>
      <c r="J516" t="s">
        <v>1077</v>
      </c>
      <c r="K516" t="s">
        <v>855</v>
      </c>
      <c r="L516" s="14">
        <f>IFERROR(VALUE(LEFT(tblMatriculas[[#This Row],[Clases]],FIND("/",tblMatriculas[[#This Row],[Clases]])-1)),"")</f>
        <v>0</v>
      </c>
      <c r="M516" s="14">
        <f>IFERROR(VALUE(MID(tblMatriculas[[#This Row],[Clases]],FIND("/",tblMatriculas[[#This Row],[Clases]])+1,5)),"")</f>
        <v>60</v>
      </c>
      <c r="N5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516" s="14">
        <f>IF(OR(tblMatriculas[[#This Row],[Estado]]&lt;&gt;"activa",tblMatriculas[[#This Row],[Clases dictadas]]=""),"",MAX(0,tblMatriculas[[#This Row],[Clases dictadas]]-tblMatriculas[[#This Row],[Asistidas]]))</f>
        <v>8</v>
      </c>
      <c r="P516" s="1">
        <f>IF(OR(tblMatriculas[[#This Row],[Estado]]&lt;&gt;"activa",tblMatriculas[[#This Row],[Asistidas]]=""),"",tblMatriculas[[#This Row],[Asistencia]])</f>
        <v>0</v>
      </c>
      <c r="Q516" t="b">
        <f>AND(tblMatriculas[[#This Row],[Estado]]="activa",ISNUMBER(tblMatriculas[[#This Row],[% asistencia]]),NOT(ISNUMBER(SEARCH(pPrueba,tblMatriculas[[#This Row],[Nombre]]))))</f>
        <v>1</v>
      </c>
      <c r="R5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16" s="23" t="str" cm="1">
        <f t="array" ref="S5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6" s="23" t="str" cm="1">
        <f t="array" ref="T5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6" s="14" t="str" cm="1">
        <f t="array" ref="U5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6" t="str" cm="1">
        <f t="array" ref="V5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6" t="str" cm="1">
        <f t="array" ref="W5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16" t="str">
        <f>IF(COUNTIFS('Base Estudiantes'!$C:$C,tblMatriculas[[#This Row],[Cédula]],'Base Estudiantes'!$I:$I,tblMatriculas[[#This Row],[Código]])&gt;0,"Sí","No")</f>
        <v>Sí</v>
      </c>
      <c r="Z516" s="23" cm="1">
        <f t="array" ref="Z516">_xlfn.XLOOKUP(tblMatriculas[[#This Row],[Cédula]]&amp;"|"&amp;tblMatriculas[[#This Row],[Código]],tblBase[Documento]&amp;"|"&amp;tblBase[Código grupo],tblBase[Fecha matrícula],"")</f>
        <v>46263</v>
      </c>
    </row>
    <row r="517" spans="1:26" x14ac:dyDescent="0.2">
      <c r="A517" t="s">
        <v>1129</v>
      </c>
      <c r="B517" t="s">
        <v>1130</v>
      </c>
      <c r="C517" t="s">
        <v>49</v>
      </c>
      <c r="D517" t="s">
        <v>1075</v>
      </c>
      <c r="E517" t="s">
        <v>1076</v>
      </c>
      <c r="F517" t="s">
        <v>649</v>
      </c>
      <c r="G517" s="1">
        <v>0</v>
      </c>
      <c r="H517" t="s">
        <v>254</v>
      </c>
      <c r="I517" t="s">
        <v>853</v>
      </c>
      <c r="J517" t="s">
        <v>1077</v>
      </c>
      <c r="K517" t="s">
        <v>24</v>
      </c>
      <c r="L517" s="14">
        <f>IFERROR(VALUE(LEFT(tblMatriculas[[#This Row],[Clases]],FIND("/",tblMatriculas[[#This Row],[Clases]])-1)),"")</f>
        <v>0</v>
      </c>
      <c r="M517" s="14">
        <f>IFERROR(VALUE(MID(tblMatriculas[[#This Row],[Clases]],FIND("/",tblMatriculas[[#This Row],[Clases]])+1,5)),"")</f>
        <v>30</v>
      </c>
      <c r="N5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7" s="14" t="str">
        <f>IF(OR(tblMatriculas[[#This Row],[Estado]]&lt;&gt;"activa",tblMatriculas[[#This Row],[Clases dictadas]]=""),"",MAX(0,tblMatriculas[[#This Row],[Clases dictadas]]-tblMatriculas[[#This Row],[Asistidas]]))</f>
        <v/>
      </c>
      <c r="P517" s="1" t="str">
        <f>IF(OR(tblMatriculas[[#This Row],[Estado]]&lt;&gt;"activa",tblMatriculas[[#This Row],[Asistidas]]=""),"",tblMatriculas[[#This Row],[Asistencia]])</f>
        <v/>
      </c>
      <c r="Q517" t="b">
        <f>AND(tblMatriculas[[#This Row],[Estado]]="activa",ISNUMBER(tblMatriculas[[#This Row],[% asistencia]]),NOT(ISNUMBER(SEARCH(pPrueba,tblMatriculas[[#This Row],[Nombre]]))))</f>
        <v>0</v>
      </c>
      <c r="R5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17" s="23" t="str" cm="1">
        <f t="array" ref="S5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7" s="23" t="str" cm="1">
        <f t="array" ref="T5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7" s="14" t="str" cm="1">
        <f t="array" ref="U5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7" t="str" cm="1">
        <f t="array" ref="V5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7" t="str" cm="1">
        <f t="array" ref="W5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7" t="str">
        <f>IF(COUNTIFS('Base Estudiantes'!$C:$C,tblMatriculas[[#This Row],[Cédula]],'Base Estudiantes'!$I:$I,tblMatriculas[[#This Row],[Código]])&gt;0,"Sí","No")</f>
        <v>No</v>
      </c>
      <c r="Z517" s="23" t="str" cm="1">
        <f t="array" ref="Z517">_xlfn.XLOOKUP(tblMatriculas[[#This Row],[Cédula]]&amp;"|"&amp;tblMatriculas[[#This Row],[Código]],tblBase[Documento]&amp;"|"&amp;tblBase[Código grupo],tblBase[Fecha matrícula],"")</f>
        <v/>
      </c>
    </row>
    <row r="518" spans="1:26" x14ac:dyDescent="0.2">
      <c r="A518" t="s">
        <v>1131</v>
      </c>
      <c r="B518" t="s">
        <v>1132</v>
      </c>
      <c r="C518" t="s">
        <v>13</v>
      </c>
      <c r="D518" t="s">
        <v>1075</v>
      </c>
      <c r="E518" t="s">
        <v>1076</v>
      </c>
      <c r="F518" t="s">
        <v>649</v>
      </c>
      <c r="G518" s="1">
        <v>6.7000000000000004E-2</v>
      </c>
      <c r="H518" t="s">
        <v>166</v>
      </c>
      <c r="I518" t="s">
        <v>853</v>
      </c>
      <c r="J518" t="s">
        <v>1077</v>
      </c>
      <c r="K518" t="s">
        <v>24</v>
      </c>
      <c r="L518" s="14">
        <f>IFERROR(VALUE(LEFT(tblMatriculas[[#This Row],[Clases]],FIND("/",tblMatriculas[[#This Row],[Clases]])-1)),"")</f>
        <v>2</v>
      </c>
      <c r="M518" s="14">
        <f>IFERROR(VALUE(MID(tblMatriculas[[#This Row],[Clases]],FIND("/",tblMatriculas[[#This Row],[Clases]])+1,5)),"")</f>
        <v>30</v>
      </c>
      <c r="N5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8" s="14">
        <f>IF(OR(tblMatriculas[[#This Row],[Estado]]&lt;&gt;"activa",tblMatriculas[[#This Row],[Clases dictadas]]=""),"",MAX(0,tblMatriculas[[#This Row],[Clases dictadas]]-tblMatriculas[[#This Row],[Asistidas]]))</f>
        <v>2</v>
      </c>
      <c r="P518" s="1">
        <f>IF(OR(tblMatriculas[[#This Row],[Estado]]&lt;&gt;"activa",tblMatriculas[[#This Row],[Asistidas]]=""),"",tblMatriculas[[#This Row],[Asistencia]])</f>
        <v>6.7000000000000004E-2</v>
      </c>
      <c r="Q518" t="b">
        <f>AND(tblMatriculas[[#This Row],[Estado]]="activa",ISNUMBER(tblMatriculas[[#This Row],[% asistencia]]),NOT(ISNUMBER(SEARCH(pPrueba,tblMatriculas[[#This Row],[Nombre]]))))</f>
        <v>1</v>
      </c>
      <c r="R5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518" s="23" t="str" cm="1">
        <f t="array" ref="S5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8" s="23" t="str" cm="1">
        <f t="array" ref="T5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8" s="14" t="str" cm="1">
        <f t="array" ref="U5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8" t="str" cm="1">
        <f t="array" ref="V5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8" t="str" cm="1">
        <f t="array" ref="W5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5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518" t="str">
        <f>IF(COUNTIFS('Base Estudiantes'!$C:$C,tblMatriculas[[#This Row],[Cédula]],'Base Estudiantes'!$I:$I,tblMatriculas[[#This Row],[Código]])&gt;0,"Sí","No")</f>
        <v>Sí</v>
      </c>
      <c r="Z518" s="23" cm="1">
        <f t="array" ref="Z518">_xlfn.XLOOKUP(tblMatriculas[[#This Row],[Cédula]]&amp;"|"&amp;tblMatriculas[[#This Row],[Código]],tblBase[Documento]&amp;"|"&amp;tblBase[Código grupo],tblBase[Fecha matrícula],"")</f>
        <v>46263</v>
      </c>
    </row>
    <row r="519" spans="1:26" x14ac:dyDescent="0.2">
      <c r="A519" t="s">
        <v>1133</v>
      </c>
      <c r="B519" t="s">
        <v>1134</v>
      </c>
      <c r="C519" t="s">
        <v>49</v>
      </c>
      <c r="D519" t="s">
        <v>1075</v>
      </c>
      <c r="E519" t="s">
        <v>1076</v>
      </c>
      <c r="F519" t="s">
        <v>649</v>
      </c>
      <c r="G519" s="1">
        <v>3.3000000000000002E-2</v>
      </c>
      <c r="H519" t="s">
        <v>225</v>
      </c>
      <c r="I519" t="s">
        <v>853</v>
      </c>
      <c r="J519" t="s">
        <v>1077</v>
      </c>
      <c r="K519" t="s">
        <v>24</v>
      </c>
      <c r="L519" s="14">
        <f>IFERROR(VALUE(LEFT(tblMatriculas[[#This Row],[Clases]],FIND("/",tblMatriculas[[#This Row],[Clases]])-1)),"")</f>
        <v>1</v>
      </c>
      <c r="M519" s="14">
        <f>IFERROR(VALUE(MID(tblMatriculas[[#This Row],[Clases]],FIND("/",tblMatriculas[[#This Row],[Clases]])+1,5)),"")</f>
        <v>30</v>
      </c>
      <c r="N5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19" s="14" t="str">
        <f>IF(OR(tblMatriculas[[#This Row],[Estado]]&lt;&gt;"activa",tblMatriculas[[#This Row],[Clases dictadas]]=""),"",MAX(0,tblMatriculas[[#This Row],[Clases dictadas]]-tblMatriculas[[#This Row],[Asistidas]]))</f>
        <v/>
      </c>
      <c r="P519" s="1" t="str">
        <f>IF(OR(tblMatriculas[[#This Row],[Estado]]&lt;&gt;"activa",tblMatriculas[[#This Row],[Asistidas]]=""),"",tblMatriculas[[#This Row],[Asistencia]])</f>
        <v/>
      </c>
      <c r="Q519" t="b">
        <f>AND(tblMatriculas[[#This Row],[Estado]]="activa",ISNUMBER(tblMatriculas[[#This Row],[% asistencia]]),NOT(ISNUMBER(SEARCH(pPrueba,tblMatriculas[[#This Row],[Nombre]]))))</f>
        <v>0</v>
      </c>
      <c r="R5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19" s="23" t="str" cm="1">
        <f t="array" ref="S5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19" s="23" t="str" cm="1">
        <f t="array" ref="T5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19" s="14" t="str" cm="1">
        <f t="array" ref="U5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19" t="str" cm="1">
        <f t="array" ref="V5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19" t="str" cm="1">
        <f t="array" ref="W5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19" t="str">
        <f>IF(COUNTIFS('Base Estudiantes'!$C:$C,tblMatriculas[[#This Row],[Cédula]],'Base Estudiantes'!$I:$I,tblMatriculas[[#This Row],[Código]])&gt;0,"Sí","No")</f>
        <v>No</v>
      </c>
      <c r="Z519" s="23" t="str" cm="1">
        <f t="array" ref="Z519">_xlfn.XLOOKUP(tblMatriculas[[#This Row],[Cédula]]&amp;"|"&amp;tblMatriculas[[#This Row],[Código]],tblBase[Documento]&amp;"|"&amp;tblBase[Código grupo],tblBase[Fecha matrícula],"")</f>
        <v/>
      </c>
    </row>
    <row r="520" spans="1:26" x14ac:dyDescent="0.2">
      <c r="A520" t="s">
        <v>1135</v>
      </c>
      <c r="B520" t="s">
        <v>1136</v>
      </c>
      <c r="C520" t="s">
        <v>13</v>
      </c>
      <c r="D520" t="s">
        <v>1075</v>
      </c>
      <c r="E520" t="s">
        <v>1076</v>
      </c>
      <c r="F520" t="s">
        <v>649</v>
      </c>
      <c r="G520" s="1">
        <v>3.3000000000000002E-2</v>
      </c>
      <c r="H520" t="s">
        <v>225</v>
      </c>
      <c r="I520" t="s">
        <v>853</v>
      </c>
      <c r="J520" t="s">
        <v>1077</v>
      </c>
      <c r="K520" t="s">
        <v>24</v>
      </c>
      <c r="L520" s="14">
        <f>IFERROR(VALUE(LEFT(tblMatriculas[[#This Row],[Clases]],FIND("/",tblMatriculas[[#This Row],[Clases]])-1)),"")</f>
        <v>1</v>
      </c>
      <c r="M520" s="14">
        <f>IFERROR(VALUE(MID(tblMatriculas[[#This Row],[Clases]],FIND("/",tblMatriculas[[#This Row],[Clases]])+1,5)),"")</f>
        <v>30</v>
      </c>
      <c r="N5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20" s="14">
        <f>IF(OR(tblMatriculas[[#This Row],[Estado]]&lt;&gt;"activa",tblMatriculas[[#This Row],[Clases dictadas]]=""),"",MAX(0,tblMatriculas[[#This Row],[Clases dictadas]]-tblMatriculas[[#This Row],[Asistidas]]))</f>
        <v>3</v>
      </c>
      <c r="P520" s="1">
        <f>IF(OR(tblMatriculas[[#This Row],[Estado]]&lt;&gt;"activa",tblMatriculas[[#This Row],[Asistidas]]=""),"",tblMatriculas[[#This Row],[Asistencia]])</f>
        <v>3.3000000000000002E-2</v>
      </c>
      <c r="Q520" t="b">
        <f>AND(tblMatriculas[[#This Row],[Estado]]="activa",ISNUMBER(tblMatriculas[[#This Row],[% asistencia]]),NOT(ISNUMBER(SEARCH(pPrueba,tblMatriculas[[#This Row],[Nombre]]))))</f>
        <v>1</v>
      </c>
      <c r="R5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20" s="23" t="str" cm="1">
        <f t="array" ref="S5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0" s="23" t="str" cm="1">
        <f t="array" ref="T5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0" s="14" t="str" cm="1">
        <f t="array" ref="U5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0" t="str" cm="1">
        <f t="array" ref="V5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0" t="str" cm="1">
        <f t="array" ref="W5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20" t="str">
        <f>IF(COUNTIFS('Base Estudiantes'!$C:$C,tblMatriculas[[#This Row],[Cédula]],'Base Estudiantes'!$I:$I,tblMatriculas[[#This Row],[Código]])&gt;0,"Sí","No")</f>
        <v>Sí</v>
      </c>
      <c r="Z520" s="23" cm="1">
        <f t="array" ref="Z520">_xlfn.XLOOKUP(tblMatriculas[[#This Row],[Cédula]]&amp;"|"&amp;tblMatriculas[[#This Row],[Código]],tblBase[Documento]&amp;"|"&amp;tblBase[Código grupo],tblBase[Fecha matrícula],"")</f>
        <v>46265</v>
      </c>
    </row>
    <row r="521" spans="1:26" x14ac:dyDescent="0.2">
      <c r="A521" t="s">
        <v>1137</v>
      </c>
      <c r="B521" t="s">
        <v>1138</v>
      </c>
      <c r="C521" t="s">
        <v>13</v>
      </c>
      <c r="D521" t="s">
        <v>1075</v>
      </c>
      <c r="E521" t="s">
        <v>1076</v>
      </c>
      <c r="F521" t="s">
        <v>649</v>
      </c>
      <c r="G521" s="1">
        <v>0.13300000000000001</v>
      </c>
      <c r="H521" t="s">
        <v>112</v>
      </c>
      <c r="I521" t="s">
        <v>853</v>
      </c>
      <c r="J521" t="s">
        <v>1077</v>
      </c>
      <c r="K521" t="s">
        <v>24</v>
      </c>
      <c r="L521" s="14">
        <f>IFERROR(VALUE(LEFT(tblMatriculas[[#This Row],[Clases]],FIND("/",tblMatriculas[[#This Row],[Clases]])-1)),"")</f>
        <v>4</v>
      </c>
      <c r="M521" s="14">
        <f>IFERROR(VALUE(MID(tblMatriculas[[#This Row],[Clases]],FIND("/",tblMatriculas[[#This Row],[Clases]])+1,5)),"")</f>
        <v>30</v>
      </c>
      <c r="N5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21" s="14">
        <f>IF(OR(tblMatriculas[[#This Row],[Estado]]&lt;&gt;"activa",tblMatriculas[[#This Row],[Clases dictadas]]=""),"",MAX(0,tblMatriculas[[#This Row],[Clases dictadas]]-tblMatriculas[[#This Row],[Asistidas]]))</f>
        <v>0</v>
      </c>
      <c r="P521" s="1">
        <f>IF(OR(tblMatriculas[[#This Row],[Estado]]&lt;&gt;"activa",tblMatriculas[[#This Row],[Asistidas]]=""),"",tblMatriculas[[#This Row],[Asistencia]])</f>
        <v>0.13300000000000001</v>
      </c>
      <c r="Q521" t="b">
        <f>AND(tblMatriculas[[#This Row],[Estado]]="activa",ISNUMBER(tblMatriculas[[#This Row],[% asistencia]]),NOT(ISNUMBER(SEARCH(pPrueba,tblMatriculas[[#This Row],[Nombre]]))))</f>
        <v>1</v>
      </c>
      <c r="R5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1" s="23" t="str" cm="1">
        <f t="array" ref="S5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1" s="23" t="str" cm="1">
        <f t="array" ref="T5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1" s="14" t="str" cm="1">
        <f t="array" ref="U5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1" t="str" cm="1">
        <f t="array" ref="V5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1" t="str" cm="1">
        <f t="array" ref="W5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1" t="str">
        <f>IF(COUNTIFS('Base Estudiantes'!$C:$C,tblMatriculas[[#This Row],[Cédula]],'Base Estudiantes'!$I:$I,tblMatriculas[[#This Row],[Código]])&gt;0,"Sí","No")</f>
        <v>Sí</v>
      </c>
      <c r="Z521" s="23" cm="1">
        <f t="array" ref="Z521">_xlfn.XLOOKUP(tblMatriculas[[#This Row],[Cédula]]&amp;"|"&amp;tblMatriculas[[#This Row],[Código]],tblBase[Documento]&amp;"|"&amp;tblBase[Código grupo],tblBase[Fecha matrícula],"")</f>
        <v>46272</v>
      </c>
    </row>
    <row r="522" spans="1:26" x14ac:dyDescent="0.2">
      <c r="A522" t="s">
        <v>1139</v>
      </c>
      <c r="B522" t="s">
        <v>1140</v>
      </c>
      <c r="C522" t="s">
        <v>13</v>
      </c>
      <c r="D522" t="s">
        <v>1075</v>
      </c>
      <c r="E522" t="s">
        <v>1076</v>
      </c>
      <c r="F522" t="s">
        <v>649</v>
      </c>
      <c r="G522" s="1">
        <v>0.13300000000000001</v>
      </c>
      <c r="H522" t="s">
        <v>112</v>
      </c>
      <c r="I522" t="s">
        <v>853</v>
      </c>
      <c r="J522" t="s">
        <v>1077</v>
      </c>
      <c r="K522" t="s">
        <v>1066</v>
      </c>
      <c r="L522" s="14">
        <f>IFERROR(VALUE(LEFT(tblMatriculas[[#This Row],[Clases]],FIND("/",tblMatriculas[[#This Row],[Clases]])-1)),"")</f>
        <v>4</v>
      </c>
      <c r="M522" s="14">
        <f>IFERROR(VALUE(MID(tblMatriculas[[#This Row],[Clases]],FIND("/",tblMatriculas[[#This Row],[Clases]])+1,5)),"")</f>
        <v>30</v>
      </c>
      <c r="N5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22" s="14">
        <f>IF(OR(tblMatriculas[[#This Row],[Estado]]&lt;&gt;"activa",tblMatriculas[[#This Row],[Clases dictadas]]=""),"",MAX(0,tblMatriculas[[#This Row],[Clases dictadas]]-tblMatriculas[[#This Row],[Asistidas]]))</f>
        <v>0</v>
      </c>
      <c r="P522" s="1">
        <f>IF(OR(tblMatriculas[[#This Row],[Estado]]&lt;&gt;"activa",tblMatriculas[[#This Row],[Asistidas]]=""),"",tblMatriculas[[#This Row],[Asistencia]])</f>
        <v>0.13300000000000001</v>
      </c>
      <c r="Q522" t="b">
        <f>AND(tblMatriculas[[#This Row],[Estado]]="activa",ISNUMBER(tblMatriculas[[#This Row],[% asistencia]]),NOT(ISNUMBER(SEARCH(pPrueba,tblMatriculas[[#This Row],[Nombre]]))))</f>
        <v>1</v>
      </c>
      <c r="R5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2" s="23" t="str" cm="1">
        <f t="array" ref="S5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2" s="23" t="str" cm="1">
        <f t="array" ref="T5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2" s="14" t="str" cm="1">
        <f t="array" ref="U5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2" t="str" cm="1">
        <f t="array" ref="V5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2" t="str" cm="1">
        <f t="array" ref="W5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2" t="str">
        <f>IF(COUNTIFS('Base Estudiantes'!$C:$C,tblMatriculas[[#This Row],[Cédula]],'Base Estudiantes'!$I:$I,tblMatriculas[[#This Row],[Código]])&gt;0,"Sí","No")</f>
        <v>Sí</v>
      </c>
      <c r="Z522" s="23" cm="1">
        <f t="array" ref="Z522">_xlfn.XLOOKUP(tblMatriculas[[#This Row],[Cédula]]&amp;"|"&amp;tblMatriculas[[#This Row],[Código]],tblBase[Documento]&amp;"|"&amp;tblBase[Código grupo],tblBase[Fecha matrícula],"")</f>
        <v>46273</v>
      </c>
    </row>
    <row r="523" spans="1:26" x14ac:dyDescent="0.2">
      <c r="A523" t="s">
        <v>710</v>
      </c>
      <c r="B523" t="s">
        <v>711</v>
      </c>
      <c r="C523" t="s">
        <v>13</v>
      </c>
      <c r="D523" t="s">
        <v>1075</v>
      </c>
      <c r="E523" t="s">
        <v>1076</v>
      </c>
      <c r="F523" t="s">
        <v>649</v>
      </c>
      <c r="G523" s="1">
        <v>0.1</v>
      </c>
      <c r="H523" t="s">
        <v>117</v>
      </c>
      <c r="I523" t="s">
        <v>853</v>
      </c>
      <c r="J523" t="s">
        <v>1077</v>
      </c>
      <c r="K523" t="s">
        <v>24</v>
      </c>
      <c r="L523" s="14">
        <f>IFERROR(VALUE(LEFT(tblMatriculas[[#This Row],[Clases]],FIND("/",tblMatriculas[[#This Row],[Clases]])-1)),"")</f>
        <v>3</v>
      </c>
      <c r="M523" s="14">
        <f>IFERROR(VALUE(MID(tblMatriculas[[#This Row],[Clases]],FIND("/",tblMatriculas[[#This Row],[Clases]])+1,5)),"")</f>
        <v>30</v>
      </c>
      <c r="N5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523" s="14">
        <f>IF(OR(tblMatriculas[[#This Row],[Estado]]&lt;&gt;"activa",tblMatriculas[[#This Row],[Clases dictadas]]=""),"",MAX(0,tblMatriculas[[#This Row],[Clases dictadas]]-tblMatriculas[[#This Row],[Asistidas]]))</f>
        <v>1</v>
      </c>
      <c r="P523" s="1">
        <f>IF(OR(tblMatriculas[[#This Row],[Estado]]&lt;&gt;"activa",tblMatriculas[[#This Row],[Asistidas]]=""),"",tblMatriculas[[#This Row],[Asistencia]])</f>
        <v>0.1</v>
      </c>
      <c r="Q523" t="b">
        <f>AND(tblMatriculas[[#This Row],[Estado]]="activa",ISNUMBER(tblMatriculas[[#This Row],[% asistencia]]),NOT(ISNUMBER(SEARCH(pPrueba,tblMatriculas[[#This Row],[Nombre]]))))</f>
        <v>1</v>
      </c>
      <c r="R5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3" s="23" t="str" cm="1">
        <f t="array" ref="S5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3" s="23" t="str" cm="1">
        <f t="array" ref="T5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3" s="14" t="str" cm="1">
        <f t="array" ref="U5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3" t="str" cm="1">
        <f t="array" ref="V5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3" t="str" cm="1">
        <f t="array" ref="W5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3" t="str">
        <f>IF(COUNTIFS('Base Estudiantes'!$C:$C,tblMatriculas[[#This Row],[Cédula]],'Base Estudiantes'!$I:$I,tblMatriculas[[#This Row],[Código]])&gt;0,"Sí","No")</f>
        <v>Sí</v>
      </c>
      <c r="Z523" s="23" cm="1">
        <f t="array" ref="Z523">_xlfn.XLOOKUP(tblMatriculas[[#This Row],[Cédula]]&amp;"|"&amp;tblMatriculas[[#This Row],[Código]],tblBase[Documento]&amp;"|"&amp;tblBase[Código grupo],tblBase[Fecha matrícula],"")</f>
        <v>46281</v>
      </c>
    </row>
    <row r="524" spans="1:26" x14ac:dyDescent="0.2">
      <c r="A524" t="s">
        <v>1141</v>
      </c>
      <c r="B524" t="s">
        <v>1142</v>
      </c>
      <c r="C524" t="s">
        <v>13</v>
      </c>
      <c r="D524" t="s">
        <v>1143</v>
      </c>
      <c r="E524" t="s">
        <v>1144</v>
      </c>
      <c r="F524" t="s">
        <v>16</v>
      </c>
      <c r="G524" s="1">
        <v>0.156</v>
      </c>
      <c r="H524" t="s">
        <v>42</v>
      </c>
      <c r="I524" t="s">
        <v>1145</v>
      </c>
      <c r="J524" t="s">
        <v>1146</v>
      </c>
      <c r="K524" t="s">
        <v>24</v>
      </c>
      <c r="L524" s="14">
        <f>IFERROR(VALUE(LEFT(tblMatriculas[[#This Row],[Clases]],FIND("/",tblMatriculas[[#This Row],[Clases]])-1)),"")</f>
        <v>7</v>
      </c>
      <c r="M524" s="14">
        <f>IFERROR(VALUE(MID(tblMatriculas[[#This Row],[Clases]],FIND("/",tblMatriculas[[#This Row],[Clases]])+1,5)),"")</f>
        <v>45</v>
      </c>
      <c r="N5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4" s="14">
        <f>IF(OR(tblMatriculas[[#This Row],[Estado]]&lt;&gt;"activa",tblMatriculas[[#This Row],[Clases dictadas]]=""),"",MAX(0,tblMatriculas[[#This Row],[Clases dictadas]]-tblMatriculas[[#This Row],[Asistidas]]))</f>
        <v>0</v>
      </c>
      <c r="P524" s="1">
        <f>IF(OR(tblMatriculas[[#This Row],[Estado]]&lt;&gt;"activa",tblMatriculas[[#This Row],[Asistidas]]=""),"",tblMatriculas[[#This Row],[Asistencia]])</f>
        <v>0.156</v>
      </c>
      <c r="Q524" t="b">
        <f>AND(tblMatriculas[[#This Row],[Estado]]="activa",ISNUMBER(tblMatriculas[[#This Row],[% asistencia]]),NOT(ISNUMBER(SEARCH(pPrueba,tblMatriculas[[#This Row],[Nombre]]))))</f>
        <v>1</v>
      </c>
      <c r="R5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4" s="23" t="str" cm="1">
        <f t="array" ref="S5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4" s="23" t="str" cm="1">
        <f t="array" ref="T5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4" s="14" t="str" cm="1">
        <f t="array" ref="U5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4" t="str" cm="1">
        <f t="array" ref="V5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4" t="str" cm="1">
        <f t="array" ref="W5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4" t="str">
        <f>IF(COUNTIFS('Base Estudiantes'!$C:$C,tblMatriculas[[#This Row],[Cédula]],'Base Estudiantes'!$I:$I,tblMatriculas[[#This Row],[Código]])&gt;0,"Sí","No")</f>
        <v>Sí</v>
      </c>
      <c r="Z524" s="23" cm="1">
        <f t="array" ref="Z524">_xlfn.XLOOKUP(tblMatriculas[[#This Row],[Cédula]]&amp;"|"&amp;tblMatriculas[[#This Row],[Código]],tblBase[Documento]&amp;"|"&amp;tblBase[Código grupo],tblBase[Fecha matrícula],"")</f>
        <v>46262</v>
      </c>
    </row>
    <row r="525" spans="1:26" x14ac:dyDescent="0.2">
      <c r="A525" t="s">
        <v>1147</v>
      </c>
      <c r="B525" t="s">
        <v>1148</v>
      </c>
      <c r="C525" t="s">
        <v>13</v>
      </c>
      <c r="D525" t="s">
        <v>1143</v>
      </c>
      <c r="E525" t="s">
        <v>1144</v>
      </c>
      <c r="F525" t="s">
        <v>16</v>
      </c>
      <c r="G525" s="1">
        <v>6.7000000000000004E-2</v>
      </c>
      <c r="H525" t="s">
        <v>50</v>
      </c>
      <c r="I525" t="s">
        <v>1145</v>
      </c>
      <c r="J525" t="s">
        <v>1146</v>
      </c>
      <c r="K525" t="s">
        <v>24</v>
      </c>
      <c r="L525" s="14">
        <f>IFERROR(VALUE(LEFT(tblMatriculas[[#This Row],[Clases]],FIND("/",tblMatriculas[[#This Row],[Clases]])-1)),"")</f>
        <v>3</v>
      </c>
      <c r="M525" s="14">
        <f>IFERROR(VALUE(MID(tblMatriculas[[#This Row],[Clases]],FIND("/",tblMatriculas[[#This Row],[Clases]])+1,5)),"")</f>
        <v>45</v>
      </c>
      <c r="N5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5" s="14">
        <f>IF(OR(tblMatriculas[[#This Row],[Estado]]&lt;&gt;"activa",tblMatriculas[[#This Row],[Clases dictadas]]=""),"",MAX(0,tblMatriculas[[#This Row],[Clases dictadas]]-tblMatriculas[[#This Row],[Asistidas]]))</f>
        <v>4</v>
      </c>
      <c r="P525" s="1">
        <f>IF(OR(tblMatriculas[[#This Row],[Estado]]&lt;&gt;"activa",tblMatriculas[[#This Row],[Asistidas]]=""),"",tblMatriculas[[#This Row],[Asistencia]])</f>
        <v>6.7000000000000004E-2</v>
      </c>
      <c r="Q525" t="b">
        <f>AND(tblMatriculas[[#This Row],[Estado]]="activa",ISNUMBER(tblMatriculas[[#This Row],[% asistencia]]),NOT(ISNUMBER(SEARCH(pPrueba,tblMatriculas[[#This Row],[Nombre]]))))</f>
        <v>1</v>
      </c>
      <c r="R5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525" s="23" t="str" cm="1">
        <f t="array" ref="S5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5" s="23" t="str" cm="1">
        <f t="array" ref="T5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5" s="14" t="str" cm="1">
        <f t="array" ref="U5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5" t="str" cm="1">
        <f t="array" ref="V5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5" t="str" cm="1">
        <f t="array" ref="W5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5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525" t="str">
        <f>IF(COUNTIFS('Base Estudiantes'!$C:$C,tblMatriculas[[#This Row],[Cédula]],'Base Estudiantes'!$I:$I,tblMatriculas[[#This Row],[Código]])&gt;0,"Sí","No")</f>
        <v>Sí</v>
      </c>
      <c r="Z525" s="23" cm="1">
        <f t="array" ref="Z525">_xlfn.XLOOKUP(tblMatriculas[[#This Row],[Cédula]]&amp;"|"&amp;tblMatriculas[[#This Row],[Código]],tblBase[Documento]&amp;"|"&amp;tblBase[Código grupo],tblBase[Fecha matrícula],"")</f>
        <v>46262</v>
      </c>
    </row>
    <row r="526" spans="1:26" x14ac:dyDescent="0.2">
      <c r="A526" t="s">
        <v>105</v>
      </c>
      <c r="B526" t="s">
        <v>106</v>
      </c>
      <c r="C526" t="s">
        <v>49</v>
      </c>
      <c r="D526" t="s">
        <v>1143</v>
      </c>
      <c r="E526" t="s">
        <v>1144</v>
      </c>
      <c r="F526" t="s">
        <v>16</v>
      </c>
      <c r="G526" s="1">
        <v>0</v>
      </c>
      <c r="H526" t="s">
        <v>1149</v>
      </c>
      <c r="I526" t="s">
        <v>1145</v>
      </c>
      <c r="J526" t="s">
        <v>1146</v>
      </c>
      <c r="K526" t="s">
        <v>24</v>
      </c>
      <c r="L526" s="14">
        <f>IFERROR(VALUE(LEFT(tblMatriculas[[#This Row],[Clases]],FIND("/",tblMatriculas[[#This Row],[Clases]])-1)),"")</f>
        <v>0</v>
      </c>
      <c r="M526" s="14">
        <f>IFERROR(VALUE(MID(tblMatriculas[[#This Row],[Clases]],FIND("/",tblMatriculas[[#This Row],[Clases]])+1,5)),"")</f>
        <v>45</v>
      </c>
      <c r="N5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6" s="14" t="str">
        <f>IF(OR(tblMatriculas[[#This Row],[Estado]]&lt;&gt;"activa",tblMatriculas[[#This Row],[Clases dictadas]]=""),"",MAX(0,tblMatriculas[[#This Row],[Clases dictadas]]-tblMatriculas[[#This Row],[Asistidas]]))</f>
        <v/>
      </c>
      <c r="P526" s="1" t="str">
        <f>IF(OR(tblMatriculas[[#This Row],[Estado]]&lt;&gt;"activa",tblMatriculas[[#This Row],[Asistidas]]=""),"",tblMatriculas[[#This Row],[Asistencia]])</f>
        <v/>
      </c>
      <c r="Q526" t="b">
        <f>AND(tblMatriculas[[#This Row],[Estado]]="activa",ISNUMBER(tblMatriculas[[#This Row],[% asistencia]]),NOT(ISNUMBER(SEARCH(pPrueba,tblMatriculas[[#This Row],[Nombre]]))))</f>
        <v>0</v>
      </c>
      <c r="R5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26" s="23" t="str" cm="1">
        <f t="array" ref="S5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6" s="23" t="str" cm="1">
        <f t="array" ref="T5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6" s="14" t="str" cm="1">
        <f t="array" ref="U5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6" t="str" cm="1">
        <f t="array" ref="V5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6" t="str" cm="1">
        <f t="array" ref="W5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6" t="str">
        <f>IF(COUNTIFS('Base Estudiantes'!$C:$C,tblMatriculas[[#This Row],[Cédula]],'Base Estudiantes'!$I:$I,tblMatriculas[[#This Row],[Código]])&gt;0,"Sí","No")</f>
        <v>No</v>
      </c>
      <c r="Z526" s="23" t="str" cm="1">
        <f t="array" ref="Z526">_xlfn.XLOOKUP(tblMatriculas[[#This Row],[Cédula]]&amp;"|"&amp;tblMatriculas[[#This Row],[Código]],tblBase[Documento]&amp;"|"&amp;tblBase[Código grupo],tblBase[Fecha matrícula],"")</f>
        <v/>
      </c>
    </row>
    <row r="527" spans="1:26" x14ac:dyDescent="0.2">
      <c r="A527" t="s">
        <v>1150</v>
      </c>
      <c r="B527" t="s">
        <v>1151</v>
      </c>
      <c r="C527" t="s">
        <v>13</v>
      </c>
      <c r="D527" t="s">
        <v>1143</v>
      </c>
      <c r="E527" t="s">
        <v>1144</v>
      </c>
      <c r="F527" t="s">
        <v>16</v>
      </c>
      <c r="G527" s="1">
        <v>0.156</v>
      </c>
      <c r="H527" t="s">
        <v>42</v>
      </c>
      <c r="I527" t="s">
        <v>1145</v>
      </c>
      <c r="J527" t="s">
        <v>1146</v>
      </c>
      <c r="K527" t="s">
        <v>24</v>
      </c>
      <c r="L527" s="14">
        <f>IFERROR(VALUE(LEFT(tblMatriculas[[#This Row],[Clases]],FIND("/",tblMatriculas[[#This Row],[Clases]])-1)),"")</f>
        <v>7</v>
      </c>
      <c r="M527" s="14">
        <f>IFERROR(VALUE(MID(tblMatriculas[[#This Row],[Clases]],FIND("/",tblMatriculas[[#This Row],[Clases]])+1,5)),"")</f>
        <v>45</v>
      </c>
      <c r="N5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7" s="14">
        <f>IF(OR(tblMatriculas[[#This Row],[Estado]]&lt;&gt;"activa",tblMatriculas[[#This Row],[Clases dictadas]]=""),"",MAX(0,tblMatriculas[[#This Row],[Clases dictadas]]-tblMatriculas[[#This Row],[Asistidas]]))</f>
        <v>0</v>
      </c>
      <c r="P527" s="1">
        <f>IF(OR(tblMatriculas[[#This Row],[Estado]]&lt;&gt;"activa",tblMatriculas[[#This Row],[Asistidas]]=""),"",tblMatriculas[[#This Row],[Asistencia]])</f>
        <v>0.156</v>
      </c>
      <c r="Q527" t="b">
        <f>AND(tblMatriculas[[#This Row],[Estado]]="activa",ISNUMBER(tblMatriculas[[#This Row],[% asistencia]]),NOT(ISNUMBER(SEARCH(pPrueba,tblMatriculas[[#This Row],[Nombre]]))))</f>
        <v>1</v>
      </c>
      <c r="R5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7" s="23" t="str" cm="1">
        <f t="array" ref="S5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7" s="23" t="str" cm="1">
        <f t="array" ref="T5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7" s="14" t="str" cm="1">
        <f t="array" ref="U5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7" t="str" cm="1">
        <f t="array" ref="V5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7" t="str" cm="1">
        <f t="array" ref="W5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7" t="str">
        <f>IF(COUNTIFS('Base Estudiantes'!$C:$C,tblMatriculas[[#This Row],[Cédula]],'Base Estudiantes'!$I:$I,tblMatriculas[[#This Row],[Código]])&gt;0,"Sí","No")</f>
        <v>Sí</v>
      </c>
      <c r="Z527" s="23" cm="1">
        <f t="array" ref="Z527">_xlfn.XLOOKUP(tblMatriculas[[#This Row],[Cédula]]&amp;"|"&amp;tblMatriculas[[#This Row],[Código]],tblBase[Documento]&amp;"|"&amp;tblBase[Código grupo],tblBase[Fecha matrícula],"")</f>
        <v>46262</v>
      </c>
    </row>
    <row r="528" spans="1:26" x14ac:dyDescent="0.2">
      <c r="A528" t="s">
        <v>1152</v>
      </c>
      <c r="B528" t="s">
        <v>1153</v>
      </c>
      <c r="C528" t="s">
        <v>13</v>
      </c>
      <c r="D528" t="s">
        <v>1143</v>
      </c>
      <c r="E528" t="s">
        <v>1144</v>
      </c>
      <c r="F528" t="s">
        <v>16</v>
      </c>
      <c r="G528" s="1">
        <v>0.13300000000000001</v>
      </c>
      <c r="H528" t="s">
        <v>36</v>
      </c>
      <c r="I528" t="s">
        <v>1145</v>
      </c>
      <c r="J528" t="s">
        <v>1146</v>
      </c>
      <c r="K528" t="s">
        <v>24</v>
      </c>
      <c r="L528" s="14">
        <f>IFERROR(VALUE(LEFT(tblMatriculas[[#This Row],[Clases]],FIND("/",tblMatriculas[[#This Row],[Clases]])-1)),"")</f>
        <v>6</v>
      </c>
      <c r="M528" s="14">
        <f>IFERROR(VALUE(MID(tblMatriculas[[#This Row],[Clases]],FIND("/",tblMatriculas[[#This Row],[Clases]])+1,5)),"")</f>
        <v>45</v>
      </c>
      <c r="N5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8" s="14">
        <f>IF(OR(tblMatriculas[[#This Row],[Estado]]&lt;&gt;"activa",tblMatriculas[[#This Row],[Clases dictadas]]=""),"",MAX(0,tblMatriculas[[#This Row],[Clases dictadas]]-tblMatriculas[[#This Row],[Asistidas]]))</f>
        <v>1</v>
      </c>
      <c r="P528" s="1">
        <f>IF(OR(tblMatriculas[[#This Row],[Estado]]&lt;&gt;"activa",tblMatriculas[[#This Row],[Asistidas]]=""),"",tblMatriculas[[#This Row],[Asistencia]])</f>
        <v>0.13300000000000001</v>
      </c>
      <c r="Q528" t="b">
        <f>AND(tblMatriculas[[#This Row],[Estado]]="activa",ISNUMBER(tblMatriculas[[#This Row],[% asistencia]]),NOT(ISNUMBER(SEARCH(pPrueba,tblMatriculas[[#This Row],[Nombre]]))))</f>
        <v>1</v>
      </c>
      <c r="R5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8" s="23" t="str" cm="1">
        <f t="array" ref="S5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8" s="23" t="str" cm="1">
        <f t="array" ref="T5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8" s="14" t="str" cm="1">
        <f t="array" ref="U5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8" t="str" cm="1">
        <f t="array" ref="V5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8" t="str" cm="1">
        <f t="array" ref="W5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8" t="str">
        <f>IF(COUNTIFS('Base Estudiantes'!$C:$C,tblMatriculas[[#This Row],[Cédula]],'Base Estudiantes'!$I:$I,tblMatriculas[[#This Row],[Código]])&gt;0,"Sí","No")</f>
        <v>Sí</v>
      </c>
      <c r="Z528" s="23" cm="1">
        <f t="array" ref="Z528">_xlfn.XLOOKUP(tblMatriculas[[#This Row],[Cédula]]&amp;"|"&amp;tblMatriculas[[#This Row],[Código]],tblBase[Documento]&amp;"|"&amp;tblBase[Código grupo],tblBase[Fecha matrícula],"")</f>
        <v>46262</v>
      </c>
    </row>
    <row r="529" spans="1:26" x14ac:dyDescent="0.2">
      <c r="A529" t="s">
        <v>1154</v>
      </c>
      <c r="B529" t="s">
        <v>1155</v>
      </c>
      <c r="C529" t="s">
        <v>13</v>
      </c>
      <c r="D529" t="s">
        <v>1143</v>
      </c>
      <c r="E529" t="s">
        <v>1144</v>
      </c>
      <c r="F529" t="s">
        <v>16</v>
      </c>
      <c r="G529" s="1">
        <v>0.156</v>
      </c>
      <c r="H529" t="s">
        <v>42</v>
      </c>
      <c r="I529" t="s">
        <v>1145</v>
      </c>
      <c r="J529" t="s">
        <v>1146</v>
      </c>
      <c r="K529" t="s">
        <v>24</v>
      </c>
      <c r="L529" s="14">
        <f>IFERROR(VALUE(LEFT(tblMatriculas[[#This Row],[Clases]],FIND("/",tblMatriculas[[#This Row],[Clases]])-1)),"")</f>
        <v>7</v>
      </c>
      <c r="M529" s="14">
        <f>IFERROR(VALUE(MID(tblMatriculas[[#This Row],[Clases]],FIND("/",tblMatriculas[[#This Row],[Clases]])+1,5)),"")</f>
        <v>45</v>
      </c>
      <c r="N5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29" s="14">
        <f>IF(OR(tblMatriculas[[#This Row],[Estado]]&lt;&gt;"activa",tblMatriculas[[#This Row],[Clases dictadas]]=""),"",MAX(0,tblMatriculas[[#This Row],[Clases dictadas]]-tblMatriculas[[#This Row],[Asistidas]]))</f>
        <v>0</v>
      </c>
      <c r="P529" s="1">
        <f>IF(OR(tblMatriculas[[#This Row],[Estado]]&lt;&gt;"activa",tblMatriculas[[#This Row],[Asistidas]]=""),"",tblMatriculas[[#This Row],[Asistencia]])</f>
        <v>0.156</v>
      </c>
      <c r="Q529" t="b">
        <f>AND(tblMatriculas[[#This Row],[Estado]]="activa",ISNUMBER(tblMatriculas[[#This Row],[% asistencia]]),NOT(ISNUMBER(SEARCH(pPrueba,tblMatriculas[[#This Row],[Nombre]]))))</f>
        <v>1</v>
      </c>
      <c r="R5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29" s="23" t="str" cm="1">
        <f t="array" ref="S5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29" s="23" t="str" cm="1">
        <f t="array" ref="T5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29" s="14" t="str" cm="1">
        <f t="array" ref="U5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29" t="str" cm="1">
        <f t="array" ref="V5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29" t="str" cm="1">
        <f t="array" ref="W5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29" t="str">
        <f>IF(COUNTIFS('Base Estudiantes'!$C:$C,tblMatriculas[[#This Row],[Cédula]],'Base Estudiantes'!$I:$I,tblMatriculas[[#This Row],[Código]])&gt;0,"Sí","No")</f>
        <v>Sí</v>
      </c>
      <c r="Z529" s="23" cm="1">
        <f t="array" ref="Z529">_xlfn.XLOOKUP(tblMatriculas[[#This Row],[Cédula]]&amp;"|"&amp;tblMatriculas[[#This Row],[Código]],tblBase[Documento]&amp;"|"&amp;tblBase[Código grupo],tblBase[Fecha matrícula],"")</f>
        <v>46262</v>
      </c>
    </row>
    <row r="530" spans="1:26" x14ac:dyDescent="0.2">
      <c r="A530" t="s">
        <v>1156</v>
      </c>
      <c r="B530" t="s">
        <v>1157</v>
      </c>
      <c r="C530" t="s">
        <v>13</v>
      </c>
      <c r="D530" t="s">
        <v>1143</v>
      </c>
      <c r="E530" t="s">
        <v>1144</v>
      </c>
      <c r="F530" t="s">
        <v>16</v>
      </c>
      <c r="G530" s="1">
        <v>4.4000000000000004E-2</v>
      </c>
      <c r="H530" t="s">
        <v>76</v>
      </c>
      <c r="I530" t="s">
        <v>1145</v>
      </c>
      <c r="J530" t="s">
        <v>1146</v>
      </c>
      <c r="K530" t="s">
        <v>24</v>
      </c>
      <c r="L530" s="14">
        <f>IFERROR(VALUE(LEFT(tblMatriculas[[#This Row],[Clases]],FIND("/",tblMatriculas[[#This Row],[Clases]])-1)),"")</f>
        <v>2</v>
      </c>
      <c r="M530" s="14">
        <f>IFERROR(VALUE(MID(tblMatriculas[[#This Row],[Clases]],FIND("/",tblMatriculas[[#This Row],[Clases]])+1,5)),"")</f>
        <v>45</v>
      </c>
      <c r="N5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0" s="14">
        <f>IF(OR(tblMatriculas[[#This Row],[Estado]]&lt;&gt;"activa",tblMatriculas[[#This Row],[Clases dictadas]]=""),"",MAX(0,tblMatriculas[[#This Row],[Clases dictadas]]-tblMatriculas[[#This Row],[Asistidas]]))</f>
        <v>5</v>
      </c>
      <c r="P530" s="1">
        <f>IF(OR(tblMatriculas[[#This Row],[Estado]]&lt;&gt;"activa",tblMatriculas[[#This Row],[Asistidas]]=""),"",tblMatriculas[[#This Row],[Asistencia]])</f>
        <v>4.4000000000000004E-2</v>
      </c>
      <c r="Q530" t="b">
        <f>AND(tblMatriculas[[#This Row],[Estado]]="activa",ISNUMBER(tblMatriculas[[#This Row],[% asistencia]]),NOT(ISNUMBER(SEARCH(pPrueba,tblMatriculas[[#This Row],[Nombre]]))))</f>
        <v>1</v>
      </c>
      <c r="R5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530" s="23" t="str" cm="1">
        <f t="array" ref="S5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0" s="23" t="str" cm="1">
        <f t="array" ref="T5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0" s="14" t="str" cm="1">
        <f t="array" ref="U5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0" t="str" cm="1">
        <f t="array" ref="V5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0" t="str" cm="1">
        <f t="array" ref="W5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5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530" t="str">
        <f>IF(COUNTIFS('Base Estudiantes'!$C:$C,tblMatriculas[[#This Row],[Cédula]],'Base Estudiantes'!$I:$I,tblMatriculas[[#This Row],[Código]])&gt;0,"Sí","No")</f>
        <v>Sí</v>
      </c>
      <c r="Z530" s="23" cm="1">
        <f t="array" ref="Z530">_xlfn.XLOOKUP(tblMatriculas[[#This Row],[Cédula]]&amp;"|"&amp;tblMatriculas[[#This Row],[Código]],tblBase[Documento]&amp;"|"&amp;tblBase[Código grupo],tblBase[Fecha matrícula],"")</f>
        <v>46262</v>
      </c>
    </row>
    <row r="531" spans="1:26" x14ac:dyDescent="0.2">
      <c r="A531" t="s">
        <v>1158</v>
      </c>
      <c r="B531" t="s">
        <v>1159</v>
      </c>
      <c r="C531" t="s">
        <v>49</v>
      </c>
      <c r="D531" t="s">
        <v>1143</v>
      </c>
      <c r="E531" t="s">
        <v>1144</v>
      </c>
      <c r="F531" t="s">
        <v>16</v>
      </c>
      <c r="G531" s="1">
        <v>0</v>
      </c>
      <c r="H531" t="s">
        <v>1149</v>
      </c>
      <c r="I531" t="s">
        <v>1145</v>
      </c>
      <c r="J531" t="s">
        <v>1146</v>
      </c>
      <c r="K531" t="s">
        <v>24</v>
      </c>
      <c r="L531" s="14">
        <f>IFERROR(VALUE(LEFT(tblMatriculas[[#This Row],[Clases]],FIND("/",tblMatriculas[[#This Row],[Clases]])-1)),"")</f>
        <v>0</v>
      </c>
      <c r="M531" s="14">
        <f>IFERROR(VALUE(MID(tblMatriculas[[#This Row],[Clases]],FIND("/",tblMatriculas[[#This Row],[Clases]])+1,5)),"")</f>
        <v>45</v>
      </c>
      <c r="N5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1" s="14" t="str">
        <f>IF(OR(tblMatriculas[[#This Row],[Estado]]&lt;&gt;"activa",tblMatriculas[[#This Row],[Clases dictadas]]=""),"",MAX(0,tblMatriculas[[#This Row],[Clases dictadas]]-tblMatriculas[[#This Row],[Asistidas]]))</f>
        <v/>
      </c>
      <c r="P531" s="1" t="str">
        <f>IF(OR(tblMatriculas[[#This Row],[Estado]]&lt;&gt;"activa",tblMatriculas[[#This Row],[Asistidas]]=""),"",tblMatriculas[[#This Row],[Asistencia]])</f>
        <v/>
      </c>
      <c r="Q531" t="b">
        <f>AND(tblMatriculas[[#This Row],[Estado]]="activa",ISNUMBER(tblMatriculas[[#This Row],[% asistencia]]),NOT(ISNUMBER(SEARCH(pPrueba,tblMatriculas[[#This Row],[Nombre]]))))</f>
        <v>0</v>
      </c>
      <c r="R5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31" s="23" t="str" cm="1">
        <f t="array" ref="S5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1" s="23" t="str" cm="1">
        <f t="array" ref="T5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1" s="14" t="str" cm="1">
        <f t="array" ref="U5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1" t="str" cm="1">
        <f t="array" ref="V5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1" t="str" cm="1">
        <f t="array" ref="W5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1" t="str">
        <f>IF(COUNTIFS('Base Estudiantes'!$C:$C,tblMatriculas[[#This Row],[Cédula]],'Base Estudiantes'!$I:$I,tblMatriculas[[#This Row],[Código]])&gt;0,"Sí","No")</f>
        <v>No</v>
      </c>
      <c r="Z531" s="23" t="str" cm="1">
        <f t="array" ref="Z531">_xlfn.XLOOKUP(tblMatriculas[[#This Row],[Cédula]]&amp;"|"&amp;tblMatriculas[[#This Row],[Código]],tblBase[Documento]&amp;"|"&amp;tblBase[Código grupo],tblBase[Fecha matrícula],"")</f>
        <v/>
      </c>
    </row>
    <row r="532" spans="1:26" x14ac:dyDescent="0.2">
      <c r="A532" t="s">
        <v>1160</v>
      </c>
      <c r="B532" t="s">
        <v>1161</v>
      </c>
      <c r="C532" t="s">
        <v>13</v>
      </c>
      <c r="D532" t="s">
        <v>1143</v>
      </c>
      <c r="E532" t="s">
        <v>1144</v>
      </c>
      <c r="F532" t="s">
        <v>16</v>
      </c>
      <c r="G532" s="1">
        <v>0.156</v>
      </c>
      <c r="H532" t="s">
        <v>42</v>
      </c>
      <c r="I532" t="s">
        <v>1145</v>
      </c>
      <c r="J532" t="s">
        <v>1146</v>
      </c>
      <c r="K532" t="s">
        <v>24</v>
      </c>
      <c r="L532" s="14">
        <f>IFERROR(VALUE(LEFT(tblMatriculas[[#This Row],[Clases]],FIND("/",tblMatriculas[[#This Row],[Clases]])-1)),"")</f>
        <v>7</v>
      </c>
      <c r="M532" s="14">
        <f>IFERROR(VALUE(MID(tblMatriculas[[#This Row],[Clases]],FIND("/",tblMatriculas[[#This Row],[Clases]])+1,5)),"")</f>
        <v>45</v>
      </c>
      <c r="N5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2" s="14">
        <f>IF(OR(tblMatriculas[[#This Row],[Estado]]&lt;&gt;"activa",tblMatriculas[[#This Row],[Clases dictadas]]=""),"",MAX(0,tblMatriculas[[#This Row],[Clases dictadas]]-tblMatriculas[[#This Row],[Asistidas]]))</f>
        <v>0</v>
      </c>
      <c r="P532" s="1">
        <f>IF(OR(tblMatriculas[[#This Row],[Estado]]&lt;&gt;"activa",tblMatriculas[[#This Row],[Asistidas]]=""),"",tblMatriculas[[#This Row],[Asistencia]])</f>
        <v>0.156</v>
      </c>
      <c r="Q532" t="b">
        <f>AND(tblMatriculas[[#This Row],[Estado]]="activa",ISNUMBER(tblMatriculas[[#This Row],[% asistencia]]),NOT(ISNUMBER(SEARCH(pPrueba,tblMatriculas[[#This Row],[Nombre]]))))</f>
        <v>1</v>
      </c>
      <c r="R5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2" s="23" t="str" cm="1">
        <f t="array" ref="S5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2" s="23" t="str" cm="1">
        <f t="array" ref="T5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2" s="14" t="str" cm="1">
        <f t="array" ref="U5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2" t="str" cm="1">
        <f t="array" ref="V5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2" t="str" cm="1">
        <f t="array" ref="W5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2" t="str">
        <f>IF(COUNTIFS('Base Estudiantes'!$C:$C,tblMatriculas[[#This Row],[Cédula]],'Base Estudiantes'!$I:$I,tblMatriculas[[#This Row],[Código]])&gt;0,"Sí","No")</f>
        <v>Sí</v>
      </c>
      <c r="Z532" s="23" cm="1">
        <f t="array" ref="Z532">_xlfn.XLOOKUP(tblMatriculas[[#This Row],[Cédula]]&amp;"|"&amp;tblMatriculas[[#This Row],[Código]],tblBase[Documento]&amp;"|"&amp;tblBase[Código grupo],tblBase[Fecha matrícula],"")</f>
        <v>46262</v>
      </c>
    </row>
    <row r="533" spans="1:26" x14ac:dyDescent="0.2">
      <c r="A533" t="s">
        <v>1162</v>
      </c>
      <c r="B533" t="s">
        <v>1163</v>
      </c>
      <c r="C533" t="s">
        <v>13</v>
      </c>
      <c r="D533" t="s">
        <v>1143</v>
      </c>
      <c r="E533" t="s">
        <v>1144</v>
      </c>
      <c r="F533" t="s">
        <v>16</v>
      </c>
      <c r="G533" s="1">
        <v>0.13300000000000001</v>
      </c>
      <c r="H533" t="s">
        <v>36</v>
      </c>
      <c r="I533" t="s">
        <v>1145</v>
      </c>
      <c r="J533" t="s">
        <v>1146</v>
      </c>
      <c r="K533" t="s">
        <v>24</v>
      </c>
      <c r="L533" s="14">
        <f>IFERROR(VALUE(LEFT(tblMatriculas[[#This Row],[Clases]],FIND("/",tblMatriculas[[#This Row],[Clases]])-1)),"")</f>
        <v>6</v>
      </c>
      <c r="M533" s="14">
        <f>IFERROR(VALUE(MID(tblMatriculas[[#This Row],[Clases]],FIND("/",tblMatriculas[[#This Row],[Clases]])+1,5)),"")</f>
        <v>45</v>
      </c>
      <c r="N5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3" s="14">
        <f>IF(OR(tblMatriculas[[#This Row],[Estado]]&lt;&gt;"activa",tblMatriculas[[#This Row],[Clases dictadas]]=""),"",MAX(0,tblMatriculas[[#This Row],[Clases dictadas]]-tblMatriculas[[#This Row],[Asistidas]]))</f>
        <v>1</v>
      </c>
      <c r="P533" s="1">
        <f>IF(OR(tblMatriculas[[#This Row],[Estado]]&lt;&gt;"activa",tblMatriculas[[#This Row],[Asistidas]]=""),"",tblMatriculas[[#This Row],[Asistencia]])</f>
        <v>0.13300000000000001</v>
      </c>
      <c r="Q533" t="b">
        <f>AND(tblMatriculas[[#This Row],[Estado]]="activa",ISNUMBER(tblMatriculas[[#This Row],[% asistencia]]),NOT(ISNUMBER(SEARCH(pPrueba,tblMatriculas[[#This Row],[Nombre]]))))</f>
        <v>1</v>
      </c>
      <c r="R5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3" s="23" t="str" cm="1">
        <f t="array" ref="S5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3" s="23" t="str" cm="1">
        <f t="array" ref="T5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3" s="14" t="str" cm="1">
        <f t="array" ref="U5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3" t="str" cm="1">
        <f t="array" ref="V5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3" t="str" cm="1">
        <f t="array" ref="W5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3" t="str">
        <f>IF(COUNTIFS('Base Estudiantes'!$C:$C,tblMatriculas[[#This Row],[Cédula]],'Base Estudiantes'!$I:$I,tblMatriculas[[#This Row],[Código]])&gt;0,"Sí","No")</f>
        <v>Sí</v>
      </c>
      <c r="Z533" s="23" cm="1">
        <f t="array" ref="Z533">_xlfn.XLOOKUP(tblMatriculas[[#This Row],[Cédula]]&amp;"|"&amp;tblMatriculas[[#This Row],[Código]],tblBase[Documento]&amp;"|"&amp;tblBase[Código grupo],tblBase[Fecha matrícula],"")</f>
        <v>46262</v>
      </c>
    </row>
    <row r="534" spans="1:26" x14ac:dyDescent="0.2">
      <c r="A534" t="s">
        <v>103</v>
      </c>
      <c r="B534" t="s">
        <v>104</v>
      </c>
      <c r="C534" t="s">
        <v>49</v>
      </c>
      <c r="D534" t="s">
        <v>1143</v>
      </c>
      <c r="E534" t="s">
        <v>1144</v>
      </c>
      <c r="F534" t="s">
        <v>16</v>
      </c>
      <c r="G534" s="1">
        <v>0</v>
      </c>
      <c r="H534" t="s">
        <v>1149</v>
      </c>
      <c r="I534" t="s">
        <v>1145</v>
      </c>
      <c r="J534" t="s">
        <v>1146</v>
      </c>
      <c r="K534" t="s">
        <v>24</v>
      </c>
      <c r="L534" s="14">
        <f>IFERROR(VALUE(LEFT(tblMatriculas[[#This Row],[Clases]],FIND("/",tblMatriculas[[#This Row],[Clases]])-1)),"")</f>
        <v>0</v>
      </c>
      <c r="M534" s="14">
        <f>IFERROR(VALUE(MID(tblMatriculas[[#This Row],[Clases]],FIND("/",tblMatriculas[[#This Row],[Clases]])+1,5)),"")</f>
        <v>45</v>
      </c>
      <c r="N5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4" s="14" t="str">
        <f>IF(OR(tblMatriculas[[#This Row],[Estado]]&lt;&gt;"activa",tblMatriculas[[#This Row],[Clases dictadas]]=""),"",MAX(0,tblMatriculas[[#This Row],[Clases dictadas]]-tblMatriculas[[#This Row],[Asistidas]]))</f>
        <v/>
      </c>
      <c r="P534" s="1" t="str">
        <f>IF(OR(tblMatriculas[[#This Row],[Estado]]&lt;&gt;"activa",tblMatriculas[[#This Row],[Asistidas]]=""),"",tblMatriculas[[#This Row],[Asistencia]])</f>
        <v/>
      </c>
      <c r="Q534" t="b">
        <f>AND(tblMatriculas[[#This Row],[Estado]]="activa",ISNUMBER(tblMatriculas[[#This Row],[% asistencia]]),NOT(ISNUMBER(SEARCH(pPrueba,tblMatriculas[[#This Row],[Nombre]]))))</f>
        <v>0</v>
      </c>
      <c r="R5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34" s="23" t="str" cm="1">
        <f t="array" ref="S5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4" s="23" t="str" cm="1">
        <f t="array" ref="T5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4" s="14" t="str" cm="1">
        <f t="array" ref="U5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4" t="str" cm="1">
        <f t="array" ref="V5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4" t="str" cm="1">
        <f t="array" ref="W5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4" t="str">
        <f>IF(COUNTIFS('Base Estudiantes'!$C:$C,tblMatriculas[[#This Row],[Cédula]],'Base Estudiantes'!$I:$I,tblMatriculas[[#This Row],[Código]])&gt;0,"Sí","No")</f>
        <v>No</v>
      </c>
      <c r="Z534" s="23" t="str" cm="1">
        <f t="array" ref="Z534">_xlfn.XLOOKUP(tblMatriculas[[#This Row],[Cédula]]&amp;"|"&amp;tblMatriculas[[#This Row],[Código]],tblBase[Documento]&amp;"|"&amp;tblBase[Código grupo],tblBase[Fecha matrícula],"")</f>
        <v/>
      </c>
    </row>
    <row r="535" spans="1:26" x14ac:dyDescent="0.2">
      <c r="A535" t="s">
        <v>1164</v>
      </c>
      <c r="B535" t="s">
        <v>1165</v>
      </c>
      <c r="C535" t="s">
        <v>13</v>
      </c>
      <c r="D535" t="s">
        <v>1143</v>
      </c>
      <c r="E535" t="s">
        <v>1144</v>
      </c>
      <c r="F535" t="s">
        <v>16</v>
      </c>
      <c r="G535" s="1">
        <v>0</v>
      </c>
      <c r="H535" t="s">
        <v>1149</v>
      </c>
      <c r="I535" t="s">
        <v>1145</v>
      </c>
      <c r="J535" t="s">
        <v>1146</v>
      </c>
      <c r="K535" t="s">
        <v>24</v>
      </c>
      <c r="L535" s="14">
        <f>IFERROR(VALUE(LEFT(tblMatriculas[[#This Row],[Clases]],FIND("/",tblMatriculas[[#This Row],[Clases]])-1)),"")</f>
        <v>0</v>
      </c>
      <c r="M535" s="14">
        <f>IFERROR(VALUE(MID(tblMatriculas[[#This Row],[Clases]],FIND("/",tblMatriculas[[#This Row],[Clases]])+1,5)),"")</f>
        <v>45</v>
      </c>
      <c r="N5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5" s="14">
        <f>IF(OR(tblMatriculas[[#This Row],[Estado]]&lt;&gt;"activa",tblMatriculas[[#This Row],[Clases dictadas]]=""),"",MAX(0,tblMatriculas[[#This Row],[Clases dictadas]]-tblMatriculas[[#This Row],[Asistidas]]))</f>
        <v>7</v>
      </c>
      <c r="P535" s="1">
        <f>IF(OR(tblMatriculas[[#This Row],[Estado]]&lt;&gt;"activa",tblMatriculas[[#This Row],[Asistidas]]=""),"",tblMatriculas[[#This Row],[Asistencia]])</f>
        <v>0</v>
      </c>
      <c r="Q535" t="b">
        <f>AND(tblMatriculas[[#This Row],[Estado]]="activa",ISNUMBER(tblMatriculas[[#This Row],[% asistencia]]),NOT(ISNUMBER(SEARCH(pPrueba,tblMatriculas[[#This Row],[Nombre]]))))</f>
        <v>1</v>
      </c>
      <c r="R5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35" s="23" t="str" cm="1">
        <f t="array" ref="S5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5" s="23" t="str" cm="1">
        <f t="array" ref="T5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5" s="14" t="str" cm="1">
        <f t="array" ref="U5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5" t="str" cm="1">
        <f t="array" ref="V5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5" t="str" cm="1">
        <f t="array" ref="W5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35" t="str">
        <f>IF(COUNTIFS('Base Estudiantes'!$C:$C,tblMatriculas[[#This Row],[Cédula]],'Base Estudiantes'!$I:$I,tblMatriculas[[#This Row],[Código]])&gt;0,"Sí","No")</f>
        <v>Sí</v>
      </c>
      <c r="Z535" s="23" cm="1">
        <f t="array" ref="Z535">_xlfn.XLOOKUP(tblMatriculas[[#This Row],[Cédula]]&amp;"|"&amp;tblMatriculas[[#This Row],[Código]],tblBase[Documento]&amp;"|"&amp;tblBase[Código grupo],tblBase[Fecha matrícula],"")</f>
        <v>46262</v>
      </c>
    </row>
    <row r="536" spans="1:26" x14ac:dyDescent="0.2">
      <c r="A536" t="s">
        <v>1166</v>
      </c>
      <c r="B536" t="s">
        <v>1167</v>
      </c>
      <c r="C536" t="s">
        <v>13</v>
      </c>
      <c r="D536" t="s">
        <v>1143</v>
      </c>
      <c r="E536" t="s">
        <v>1144</v>
      </c>
      <c r="F536" t="s">
        <v>16</v>
      </c>
      <c r="G536" s="1">
        <v>0.156</v>
      </c>
      <c r="H536" t="s">
        <v>42</v>
      </c>
      <c r="I536" t="s">
        <v>1145</v>
      </c>
      <c r="J536" t="s">
        <v>1146</v>
      </c>
      <c r="K536" t="s">
        <v>24</v>
      </c>
      <c r="L536" s="14">
        <f>IFERROR(VALUE(LEFT(tblMatriculas[[#This Row],[Clases]],FIND("/",tblMatriculas[[#This Row],[Clases]])-1)),"")</f>
        <v>7</v>
      </c>
      <c r="M536" s="14">
        <f>IFERROR(VALUE(MID(tblMatriculas[[#This Row],[Clases]],FIND("/",tblMatriculas[[#This Row],[Clases]])+1,5)),"")</f>
        <v>45</v>
      </c>
      <c r="N5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6" s="14">
        <f>IF(OR(tblMatriculas[[#This Row],[Estado]]&lt;&gt;"activa",tblMatriculas[[#This Row],[Clases dictadas]]=""),"",MAX(0,tblMatriculas[[#This Row],[Clases dictadas]]-tblMatriculas[[#This Row],[Asistidas]]))</f>
        <v>0</v>
      </c>
      <c r="P536" s="1">
        <f>IF(OR(tblMatriculas[[#This Row],[Estado]]&lt;&gt;"activa",tblMatriculas[[#This Row],[Asistidas]]=""),"",tblMatriculas[[#This Row],[Asistencia]])</f>
        <v>0.156</v>
      </c>
      <c r="Q536" t="b">
        <f>AND(tblMatriculas[[#This Row],[Estado]]="activa",ISNUMBER(tblMatriculas[[#This Row],[% asistencia]]),NOT(ISNUMBER(SEARCH(pPrueba,tblMatriculas[[#This Row],[Nombre]]))))</f>
        <v>1</v>
      </c>
      <c r="R5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6" s="23" t="str" cm="1">
        <f t="array" ref="S5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6" s="23" t="str" cm="1">
        <f t="array" ref="T5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6" s="14" t="str" cm="1">
        <f t="array" ref="U5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6" t="str" cm="1">
        <f t="array" ref="V5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6" t="str" cm="1">
        <f t="array" ref="W5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6" t="str">
        <f>IF(COUNTIFS('Base Estudiantes'!$C:$C,tblMatriculas[[#This Row],[Cédula]],'Base Estudiantes'!$I:$I,tblMatriculas[[#This Row],[Código]])&gt;0,"Sí","No")</f>
        <v>Sí</v>
      </c>
      <c r="Z536" s="23" cm="1">
        <f t="array" ref="Z536">_xlfn.XLOOKUP(tblMatriculas[[#This Row],[Cédula]]&amp;"|"&amp;tblMatriculas[[#This Row],[Código]],tblBase[Documento]&amp;"|"&amp;tblBase[Código grupo],tblBase[Fecha matrícula],"")</f>
        <v>46262</v>
      </c>
    </row>
    <row r="537" spans="1:26" x14ac:dyDescent="0.2">
      <c r="A537" t="s">
        <v>1168</v>
      </c>
      <c r="B537" t="s">
        <v>1169</v>
      </c>
      <c r="C537" t="s">
        <v>13</v>
      </c>
      <c r="D537" t="s">
        <v>1143</v>
      </c>
      <c r="E537" t="s">
        <v>1144</v>
      </c>
      <c r="F537" t="s">
        <v>16</v>
      </c>
      <c r="G537" s="1">
        <v>0.156</v>
      </c>
      <c r="H537" t="s">
        <v>42</v>
      </c>
      <c r="I537" t="s">
        <v>1145</v>
      </c>
      <c r="J537" t="s">
        <v>1146</v>
      </c>
      <c r="K537" t="s">
        <v>24</v>
      </c>
      <c r="L537" s="14">
        <f>IFERROR(VALUE(LEFT(tblMatriculas[[#This Row],[Clases]],FIND("/",tblMatriculas[[#This Row],[Clases]])-1)),"")</f>
        <v>7</v>
      </c>
      <c r="M537" s="14">
        <f>IFERROR(VALUE(MID(tblMatriculas[[#This Row],[Clases]],FIND("/",tblMatriculas[[#This Row],[Clases]])+1,5)),"")</f>
        <v>45</v>
      </c>
      <c r="N5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7" s="14">
        <f>IF(OR(tblMatriculas[[#This Row],[Estado]]&lt;&gt;"activa",tblMatriculas[[#This Row],[Clases dictadas]]=""),"",MAX(0,tblMatriculas[[#This Row],[Clases dictadas]]-tblMatriculas[[#This Row],[Asistidas]]))</f>
        <v>0</v>
      </c>
      <c r="P537" s="1">
        <f>IF(OR(tblMatriculas[[#This Row],[Estado]]&lt;&gt;"activa",tblMatriculas[[#This Row],[Asistidas]]=""),"",tblMatriculas[[#This Row],[Asistencia]])</f>
        <v>0.156</v>
      </c>
      <c r="Q537" t="b">
        <f>AND(tblMatriculas[[#This Row],[Estado]]="activa",ISNUMBER(tblMatriculas[[#This Row],[% asistencia]]),NOT(ISNUMBER(SEARCH(pPrueba,tblMatriculas[[#This Row],[Nombre]]))))</f>
        <v>1</v>
      </c>
      <c r="R5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7" s="23" t="str" cm="1">
        <f t="array" ref="S5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7" s="23" t="str" cm="1">
        <f t="array" ref="T5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7" s="14" t="str" cm="1">
        <f t="array" ref="U5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7" t="str" cm="1">
        <f t="array" ref="V5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7" t="str" cm="1">
        <f t="array" ref="W5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7" t="str">
        <f>IF(COUNTIFS('Base Estudiantes'!$C:$C,tblMatriculas[[#This Row],[Cédula]],'Base Estudiantes'!$I:$I,tblMatriculas[[#This Row],[Código]])&gt;0,"Sí","No")</f>
        <v>Sí</v>
      </c>
      <c r="Z537" s="23" cm="1">
        <f t="array" ref="Z537">_xlfn.XLOOKUP(tblMatriculas[[#This Row],[Cédula]]&amp;"|"&amp;tblMatriculas[[#This Row],[Código]],tblBase[Documento]&amp;"|"&amp;tblBase[Código grupo],tblBase[Fecha matrícula],"")</f>
        <v>46262</v>
      </c>
    </row>
    <row r="538" spans="1:26" x14ac:dyDescent="0.2">
      <c r="A538" t="s">
        <v>1170</v>
      </c>
      <c r="B538" t="s">
        <v>1171</v>
      </c>
      <c r="C538" t="s">
        <v>13</v>
      </c>
      <c r="D538" t="s">
        <v>1143</v>
      </c>
      <c r="E538" t="s">
        <v>1144</v>
      </c>
      <c r="F538" t="s">
        <v>16</v>
      </c>
      <c r="G538" s="1">
        <v>0.13300000000000001</v>
      </c>
      <c r="H538" t="s">
        <v>36</v>
      </c>
      <c r="I538" t="s">
        <v>1145</v>
      </c>
      <c r="J538" t="s">
        <v>1146</v>
      </c>
      <c r="K538" t="s">
        <v>24</v>
      </c>
      <c r="L538" s="14">
        <f>IFERROR(VALUE(LEFT(tblMatriculas[[#This Row],[Clases]],FIND("/",tblMatriculas[[#This Row],[Clases]])-1)),"")</f>
        <v>6</v>
      </c>
      <c r="M538" s="14">
        <f>IFERROR(VALUE(MID(tblMatriculas[[#This Row],[Clases]],FIND("/",tblMatriculas[[#This Row],[Clases]])+1,5)),"")</f>
        <v>45</v>
      </c>
      <c r="N5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8" s="14">
        <f>IF(OR(tblMatriculas[[#This Row],[Estado]]&lt;&gt;"activa",tblMatriculas[[#This Row],[Clases dictadas]]=""),"",MAX(0,tblMatriculas[[#This Row],[Clases dictadas]]-tblMatriculas[[#This Row],[Asistidas]]))</f>
        <v>1</v>
      </c>
      <c r="P538" s="1">
        <f>IF(OR(tblMatriculas[[#This Row],[Estado]]&lt;&gt;"activa",tblMatriculas[[#This Row],[Asistidas]]=""),"",tblMatriculas[[#This Row],[Asistencia]])</f>
        <v>0.13300000000000001</v>
      </c>
      <c r="Q538" t="b">
        <f>AND(tblMatriculas[[#This Row],[Estado]]="activa",ISNUMBER(tblMatriculas[[#This Row],[% asistencia]]),NOT(ISNUMBER(SEARCH(pPrueba,tblMatriculas[[#This Row],[Nombre]]))))</f>
        <v>1</v>
      </c>
      <c r="R5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38" s="23" t="str" cm="1">
        <f t="array" ref="S5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8" s="23" t="str" cm="1">
        <f t="array" ref="T5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8" s="14" t="str" cm="1">
        <f t="array" ref="U5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8" t="str" cm="1">
        <f t="array" ref="V5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8" t="str" cm="1">
        <f t="array" ref="W5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38" t="str">
        <f>IF(COUNTIFS('Base Estudiantes'!$C:$C,tblMatriculas[[#This Row],[Cédula]],'Base Estudiantes'!$I:$I,tblMatriculas[[#This Row],[Código]])&gt;0,"Sí","No")</f>
        <v>Sí</v>
      </c>
      <c r="Z538" s="23" cm="1">
        <f t="array" ref="Z538">_xlfn.XLOOKUP(tblMatriculas[[#This Row],[Cédula]]&amp;"|"&amp;tblMatriculas[[#This Row],[Código]],tblBase[Documento]&amp;"|"&amp;tblBase[Código grupo],tblBase[Fecha matrícula],"")</f>
        <v>46262</v>
      </c>
    </row>
    <row r="539" spans="1:26" x14ac:dyDescent="0.2">
      <c r="A539" t="s">
        <v>1172</v>
      </c>
      <c r="B539" t="s">
        <v>1173</v>
      </c>
      <c r="C539" t="s">
        <v>13</v>
      </c>
      <c r="D539" t="s">
        <v>1143</v>
      </c>
      <c r="E539" t="s">
        <v>1144</v>
      </c>
      <c r="F539" t="s">
        <v>16</v>
      </c>
      <c r="G539" s="1">
        <v>6.7000000000000004E-2</v>
      </c>
      <c r="H539" t="s">
        <v>50</v>
      </c>
      <c r="I539" t="s">
        <v>1145</v>
      </c>
      <c r="J539" t="s">
        <v>1146</v>
      </c>
      <c r="K539" t="s">
        <v>24</v>
      </c>
      <c r="L539" s="14">
        <f>IFERROR(VALUE(LEFT(tblMatriculas[[#This Row],[Clases]],FIND("/",tblMatriculas[[#This Row],[Clases]])-1)),"")</f>
        <v>3</v>
      </c>
      <c r="M539" s="14">
        <f>IFERROR(VALUE(MID(tblMatriculas[[#This Row],[Clases]],FIND("/",tblMatriculas[[#This Row],[Clases]])+1,5)),"")</f>
        <v>45</v>
      </c>
      <c r="N5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39" s="14">
        <f>IF(OR(tblMatriculas[[#This Row],[Estado]]&lt;&gt;"activa",tblMatriculas[[#This Row],[Clases dictadas]]=""),"",MAX(0,tblMatriculas[[#This Row],[Clases dictadas]]-tblMatriculas[[#This Row],[Asistidas]]))</f>
        <v>4</v>
      </c>
      <c r="P539" s="1">
        <f>IF(OR(tblMatriculas[[#This Row],[Estado]]&lt;&gt;"activa",tblMatriculas[[#This Row],[Asistidas]]=""),"",tblMatriculas[[#This Row],[Asistencia]])</f>
        <v>6.7000000000000004E-2</v>
      </c>
      <c r="Q539" t="b">
        <f>AND(tblMatriculas[[#This Row],[Estado]]="activa",ISNUMBER(tblMatriculas[[#This Row],[% asistencia]]),NOT(ISNUMBER(SEARCH(pPrueba,tblMatriculas[[#This Row],[Nombre]]))))</f>
        <v>1</v>
      </c>
      <c r="R5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539" s="23" t="str" cm="1">
        <f t="array" ref="S5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39" s="23" t="str" cm="1">
        <f t="array" ref="T5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39" s="14" t="str" cm="1">
        <f t="array" ref="U5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39" t="str" cm="1">
        <f t="array" ref="V5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39" t="str" cm="1">
        <f t="array" ref="W5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5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539" t="str">
        <f>IF(COUNTIFS('Base Estudiantes'!$C:$C,tblMatriculas[[#This Row],[Cédula]],'Base Estudiantes'!$I:$I,tblMatriculas[[#This Row],[Código]])&gt;0,"Sí","No")</f>
        <v>Sí</v>
      </c>
      <c r="Z539" s="23" cm="1">
        <f t="array" ref="Z539">_xlfn.XLOOKUP(tblMatriculas[[#This Row],[Cédula]]&amp;"|"&amp;tblMatriculas[[#This Row],[Código]],tblBase[Documento]&amp;"|"&amp;tblBase[Código grupo],tblBase[Fecha matrícula],"")</f>
        <v>46262</v>
      </c>
    </row>
    <row r="540" spans="1:26" x14ac:dyDescent="0.2">
      <c r="A540" t="s">
        <v>1174</v>
      </c>
      <c r="B540" t="s">
        <v>1175</v>
      </c>
      <c r="C540" t="s">
        <v>13</v>
      </c>
      <c r="D540" t="s">
        <v>1143</v>
      </c>
      <c r="E540" t="s">
        <v>1144</v>
      </c>
      <c r="F540" t="s">
        <v>16</v>
      </c>
      <c r="G540" s="1">
        <v>0.13300000000000001</v>
      </c>
      <c r="H540" t="s">
        <v>36</v>
      </c>
      <c r="I540" t="s">
        <v>1145</v>
      </c>
      <c r="J540" t="s">
        <v>1146</v>
      </c>
      <c r="K540" t="s">
        <v>24</v>
      </c>
      <c r="L540" s="14">
        <f>IFERROR(VALUE(LEFT(tblMatriculas[[#This Row],[Clases]],FIND("/",tblMatriculas[[#This Row],[Clases]])-1)),"")</f>
        <v>6</v>
      </c>
      <c r="M540" s="14">
        <f>IFERROR(VALUE(MID(tblMatriculas[[#This Row],[Clases]],FIND("/",tblMatriculas[[#This Row],[Clases]])+1,5)),"")</f>
        <v>45</v>
      </c>
      <c r="N5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0" s="14">
        <f>IF(OR(tblMatriculas[[#This Row],[Estado]]&lt;&gt;"activa",tblMatriculas[[#This Row],[Clases dictadas]]=""),"",MAX(0,tblMatriculas[[#This Row],[Clases dictadas]]-tblMatriculas[[#This Row],[Asistidas]]))</f>
        <v>1</v>
      </c>
      <c r="P540" s="1">
        <f>IF(OR(tblMatriculas[[#This Row],[Estado]]&lt;&gt;"activa",tblMatriculas[[#This Row],[Asistidas]]=""),"",tblMatriculas[[#This Row],[Asistencia]])</f>
        <v>0.13300000000000001</v>
      </c>
      <c r="Q540" t="b">
        <f>AND(tblMatriculas[[#This Row],[Estado]]="activa",ISNUMBER(tblMatriculas[[#This Row],[% asistencia]]),NOT(ISNUMBER(SEARCH(pPrueba,tblMatriculas[[#This Row],[Nombre]]))))</f>
        <v>1</v>
      </c>
      <c r="R5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0" s="23" t="str" cm="1">
        <f t="array" ref="S5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0" s="23" t="str" cm="1">
        <f t="array" ref="T5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0" s="14" t="str" cm="1">
        <f t="array" ref="U5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0" t="str" cm="1">
        <f t="array" ref="V5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0" t="str" cm="1">
        <f t="array" ref="W5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0" t="str">
        <f>IF(COUNTIFS('Base Estudiantes'!$C:$C,tblMatriculas[[#This Row],[Cédula]],'Base Estudiantes'!$I:$I,tblMatriculas[[#This Row],[Código]])&gt;0,"Sí","No")</f>
        <v>Sí</v>
      </c>
      <c r="Z540" s="23" cm="1">
        <f t="array" ref="Z540">_xlfn.XLOOKUP(tblMatriculas[[#This Row],[Cédula]]&amp;"|"&amp;tblMatriculas[[#This Row],[Código]],tblBase[Documento]&amp;"|"&amp;tblBase[Código grupo],tblBase[Fecha matrícula],"")</f>
        <v>46262</v>
      </c>
    </row>
    <row r="541" spans="1:26" x14ac:dyDescent="0.2">
      <c r="A541" t="s">
        <v>1176</v>
      </c>
      <c r="B541" t="s">
        <v>1177</v>
      </c>
      <c r="C541" t="s">
        <v>13</v>
      </c>
      <c r="D541" t="s">
        <v>1143</v>
      </c>
      <c r="E541" t="s">
        <v>1144</v>
      </c>
      <c r="F541" t="s">
        <v>16</v>
      </c>
      <c r="G541" s="1">
        <v>2.2000000000000002E-2</v>
      </c>
      <c r="H541" t="s">
        <v>23</v>
      </c>
      <c r="I541" t="s">
        <v>1145</v>
      </c>
      <c r="J541" t="s">
        <v>1146</v>
      </c>
      <c r="K541" t="s">
        <v>24</v>
      </c>
      <c r="L541" s="14">
        <f>IFERROR(VALUE(LEFT(tblMatriculas[[#This Row],[Clases]],FIND("/",tblMatriculas[[#This Row],[Clases]])-1)),"")</f>
        <v>1</v>
      </c>
      <c r="M541" s="14">
        <f>IFERROR(VALUE(MID(tblMatriculas[[#This Row],[Clases]],FIND("/",tblMatriculas[[#This Row],[Clases]])+1,5)),"")</f>
        <v>45</v>
      </c>
      <c r="N5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1" s="14">
        <f>IF(OR(tblMatriculas[[#This Row],[Estado]]&lt;&gt;"activa",tblMatriculas[[#This Row],[Clases dictadas]]=""),"",MAX(0,tblMatriculas[[#This Row],[Clases dictadas]]-tblMatriculas[[#This Row],[Asistidas]]))</f>
        <v>6</v>
      </c>
      <c r="P541" s="1">
        <f>IF(OR(tblMatriculas[[#This Row],[Estado]]&lt;&gt;"activa",tblMatriculas[[#This Row],[Asistidas]]=""),"",tblMatriculas[[#This Row],[Asistencia]])</f>
        <v>2.2000000000000002E-2</v>
      </c>
      <c r="Q541" t="b">
        <f>AND(tblMatriculas[[#This Row],[Estado]]="activa",ISNUMBER(tblMatriculas[[#This Row],[% asistencia]]),NOT(ISNUMBER(SEARCH(pPrueba,tblMatriculas[[#This Row],[Nombre]]))))</f>
        <v>1</v>
      </c>
      <c r="R5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41" s="23" t="str" cm="1">
        <f t="array" ref="S5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1" s="23" t="str" cm="1">
        <f t="array" ref="T5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1" s="14" t="str" cm="1">
        <f t="array" ref="U5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1" t="str" cm="1">
        <f t="array" ref="V5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1" t="str" cm="1">
        <f t="array" ref="W5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41" t="str">
        <f>IF(COUNTIFS('Base Estudiantes'!$C:$C,tblMatriculas[[#This Row],[Cédula]],'Base Estudiantes'!$I:$I,tblMatriculas[[#This Row],[Código]])&gt;0,"Sí","No")</f>
        <v>Sí</v>
      </c>
      <c r="Z541" s="23" cm="1">
        <f t="array" ref="Z541">_xlfn.XLOOKUP(tblMatriculas[[#This Row],[Cédula]]&amp;"|"&amp;tblMatriculas[[#This Row],[Código]],tblBase[Documento]&amp;"|"&amp;tblBase[Código grupo],tblBase[Fecha matrícula],"")</f>
        <v>46262</v>
      </c>
    </row>
    <row r="542" spans="1:26" x14ac:dyDescent="0.2">
      <c r="A542" t="s">
        <v>1178</v>
      </c>
      <c r="B542" t="s">
        <v>1179</v>
      </c>
      <c r="C542" t="s">
        <v>49</v>
      </c>
      <c r="D542" t="s">
        <v>1143</v>
      </c>
      <c r="E542" t="s">
        <v>1144</v>
      </c>
      <c r="F542" t="s">
        <v>16</v>
      </c>
      <c r="G542" s="1">
        <v>0</v>
      </c>
      <c r="H542" t="s">
        <v>1149</v>
      </c>
      <c r="I542" t="s">
        <v>1145</v>
      </c>
      <c r="J542" t="s">
        <v>1146</v>
      </c>
      <c r="K542" t="s">
        <v>24</v>
      </c>
      <c r="L542" s="14">
        <f>IFERROR(VALUE(LEFT(tblMatriculas[[#This Row],[Clases]],FIND("/",tblMatriculas[[#This Row],[Clases]])-1)),"")</f>
        <v>0</v>
      </c>
      <c r="M542" s="14">
        <f>IFERROR(VALUE(MID(tblMatriculas[[#This Row],[Clases]],FIND("/",tblMatriculas[[#This Row],[Clases]])+1,5)),"")</f>
        <v>45</v>
      </c>
      <c r="N5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2" s="14" t="str">
        <f>IF(OR(tblMatriculas[[#This Row],[Estado]]&lt;&gt;"activa",tblMatriculas[[#This Row],[Clases dictadas]]=""),"",MAX(0,tblMatriculas[[#This Row],[Clases dictadas]]-tblMatriculas[[#This Row],[Asistidas]]))</f>
        <v/>
      </c>
      <c r="P542" s="1" t="str">
        <f>IF(OR(tblMatriculas[[#This Row],[Estado]]&lt;&gt;"activa",tblMatriculas[[#This Row],[Asistidas]]=""),"",tblMatriculas[[#This Row],[Asistencia]])</f>
        <v/>
      </c>
      <c r="Q542" t="b">
        <f>AND(tblMatriculas[[#This Row],[Estado]]="activa",ISNUMBER(tblMatriculas[[#This Row],[% asistencia]]),NOT(ISNUMBER(SEARCH(pPrueba,tblMatriculas[[#This Row],[Nombre]]))))</f>
        <v>0</v>
      </c>
      <c r="R5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42" s="23" t="str" cm="1">
        <f t="array" ref="S5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2" s="23" t="str" cm="1">
        <f t="array" ref="T5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2" s="14" t="str" cm="1">
        <f t="array" ref="U5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2" t="str" cm="1">
        <f t="array" ref="V5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2" t="str" cm="1">
        <f t="array" ref="W5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2" t="str">
        <f>IF(COUNTIFS('Base Estudiantes'!$C:$C,tblMatriculas[[#This Row],[Cédula]],'Base Estudiantes'!$I:$I,tblMatriculas[[#This Row],[Código]])&gt;0,"Sí","No")</f>
        <v>No</v>
      </c>
      <c r="Z542" s="23" t="str" cm="1">
        <f t="array" ref="Z542">_xlfn.XLOOKUP(tblMatriculas[[#This Row],[Cédula]]&amp;"|"&amp;tblMatriculas[[#This Row],[Código]],tblBase[Documento]&amp;"|"&amp;tblBase[Código grupo],tblBase[Fecha matrícula],"")</f>
        <v/>
      </c>
    </row>
    <row r="543" spans="1:26" x14ac:dyDescent="0.2">
      <c r="A543" t="s">
        <v>1180</v>
      </c>
      <c r="B543" t="s">
        <v>1181</v>
      </c>
      <c r="C543" t="s">
        <v>13</v>
      </c>
      <c r="D543" t="s">
        <v>1143</v>
      </c>
      <c r="E543" t="s">
        <v>1144</v>
      </c>
      <c r="F543" t="s">
        <v>16</v>
      </c>
      <c r="G543" s="1">
        <v>8.900000000000001E-2</v>
      </c>
      <c r="H543" t="s">
        <v>17</v>
      </c>
      <c r="I543" t="s">
        <v>1145</v>
      </c>
      <c r="J543" t="s">
        <v>1146</v>
      </c>
      <c r="K543" t="s">
        <v>24</v>
      </c>
      <c r="L543" s="14">
        <f>IFERROR(VALUE(LEFT(tblMatriculas[[#This Row],[Clases]],FIND("/",tblMatriculas[[#This Row],[Clases]])-1)),"")</f>
        <v>4</v>
      </c>
      <c r="M543" s="14">
        <f>IFERROR(VALUE(MID(tblMatriculas[[#This Row],[Clases]],FIND("/",tblMatriculas[[#This Row],[Clases]])+1,5)),"")</f>
        <v>45</v>
      </c>
      <c r="N5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3" s="14">
        <f>IF(OR(tblMatriculas[[#This Row],[Estado]]&lt;&gt;"activa",tblMatriculas[[#This Row],[Clases dictadas]]=""),"",MAX(0,tblMatriculas[[#This Row],[Clases dictadas]]-tblMatriculas[[#This Row],[Asistidas]]))</f>
        <v>3</v>
      </c>
      <c r="P543" s="1">
        <f>IF(OR(tblMatriculas[[#This Row],[Estado]]&lt;&gt;"activa",tblMatriculas[[#This Row],[Asistidas]]=""),"",tblMatriculas[[#This Row],[Asistencia]])</f>
        <v>8.900000000000001E-2</v>
      </c>
      <c r="Q543" t="b">
        <f>AND(tblMatriculas[[#This Row],[Estado]]="activa",ISNUMBER(tblMatriculas[[#This Row],[% asistencia]]),NOT(ISNUMBER(SEARCH(pPrueba,tblMatriculas[[#This Row],[Nombre]]))))</f>
        <v>1</v>
      </c>
      <c r="R5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3" s="23" t="str" cm="1">
        <f t="array" ref="S5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3" s="23" t="str" cm="1">
        <f t="array" ref="T5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3" s="14" t="str" cm="1">
        <f t="array" ref="U5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3" t="str" cm="1">
        <f t="array" ref="V5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3" t="str" cm="1">
        <f t="array" ref="W5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3" t="str">
        <f>IF(COUNTIFS('Base Estudiantes'!$C:$C,tblMatriculas[[#This Row],[Cédula]],'Base Estudiantes'!$I:$I,tblMatriculas[[#This Row],[Código]])&gt;0,"Sí","No")</f>
        <v>Sí</v>
      </c>
      <c r="Z543" s="23" cm="1">
        <f t="array" ref="Z543">_xlfn.XLOOKUP(tblMatriculas[[#This Row],[Cédula]]&amp;"|"&amp;tblMatriculas[[#This Row],[Código]],tblBase[Documento]&amp;"|"&amp;tblBase[Código grupo],tblBase[Fecha matrícula],"")</f>
        <v>46262</v>
      </c>
    </row>
    <row r="544" spans="1:26" x14ac:dyDescent="0.2">
      <c r="A544" t="s">
        <v>1182</v>
      </c>
      <c r="B544" t="s">
        <v>1183</v>
      </c>
      <c r="C544" t="s">
        <v>13</v>
      </c>
      <c r="D544" t="s">
        <v>1143</v>
      </c>
      <c r="E544" t="s">
        <v>1144</v>
      </c>
      <c r="F544" t="s">
        <v>16</v>
      </c>
      <c r="G544" s="1">
        <v>0.111</v>
      </c>
      <c r="H544" t="s">
        <v>55</v>
      </c>
      <c r="I544" t="s">
        <v>1145</v>
      </c>
      <c r="J544" t="s">
        <v>1146</v>
      </c>
      <c r="K544" t="s">
        <v>24</v>
      </c>
      <c r="L544" s="14">
        <f>IFERROR(VALUE(LEFT(tblMatriculas[[#This Row],[Clases]],FIND("/",tblMatriculas[[#This Row],[Clases]])-1)),"")</f>
        <v>5</v>
      </c>
      <c r="M544" s="14">
        <f>IFERROR(VALUE(MID(tblMatriculas[[#This Row],[Clases]],FIND("/",tblMatriculas[[#This Row],[Clases]])+1,5)),"")</f>
        <v>45</v>
      </c>
      <c r="N5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4" s="14">
        <f>IF(OR(tblMatriculas[[#This Row],[Estado]]&lt;&gt;"activa",tblMatriculas[[#This Row],[Clases dictadas]]=""),"",MAX(0,tblMatriculas[[#This Row],[Clases dictadas]]-tblMatriculas[[#This Row],[Asistidas]]))</f>
        <v>2</v>
      </c>
      <c r="P544" s="1">
        <f>IF(OR(tblMatriculas[[#This Row],[Estado]]&lt;&gt;"activa",tblMatriculas[[#This Row],[Asistidas]]=""),"",tblMatriculas[[#This Row],[Asistencia]])</f>
        <v>0.111</v>
      </c>
      <c r="Q544" t="b">
        <f>AND(tblMatriculas[[#This Row],[Estado]]="activa",ISNUMBER(tblMatriculas[[#This Row],[% asistencia]]),NOT(ISNUMBER(SEARCH(pPrueba,tblMatriculas[[#This Row],[Nombre]]))))</f>
        <v>1</v>
      </c>
      <c r="R5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4" s="23" t="str" cm="1">
        <f t="array" ref="S5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4" s="23" t="str" cm="1">
        <f t="array" ref="T5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4" s="14" t="str" cm="1">
        <f t="array" ref="U5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4" t="str" cm="1">
        <f t="array" ref="V5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4" t="str" cm="1">
        <f t="array" ref="W5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4" t="str">
        <f>IF(COUNTIFS('Base Estudiantes'!$C:$C,tblMatriculas[[#This Row],[Cédula]],'Base Estudiantes'!$I:$I,tblMatriculas[[#This Row],[Código]])&gt;0,"Sí","No")</f>
        <v>Sí</v>
      </c>
      <c r="Z544" s="23" cm="1">
        <f t="array" ref="Z544">_xlfn.XLOOKUP(tblMatriculas[[#This Row],[Cédula]]&amp;"|"&amp;tblMatriculas[[#This Row],[Código]],tblBase[Documento]&amp;"|"&amp;tblBase[Código grupo],tblBase[Fecha matrícula],"")</f>
        <v>46262</v>
      </c>
    </row>
    <row r="545" spans="1:26" x14ac:dyDescent="0.2">
      <c r="A545" t="s">
        <v>1184</v>
      </c>
      <c r="B545" t="s">
        <v>1185</v>
      </c>
      <c r="C545" t="s">
        <v>13</v>
      </c>
      <c r="D545" t="s">
        <v>1143</v>
      </c>
      <c r="E545" t="s">
        <v>1144</v>
      </c>
      <c r="F545" t="s">
        <v>16</v>
      </c>
      <c r="G545" s="1">
        <v>0</v>
      </c>
      <c r="H545" t="s">
        <v>1149</v>
      </c>
      <c r="I545" t="s">
        <v>1145</v>
      </c>
      <c r="J545" t="s">
        <v>1146</v>
      </c>
      <c r="K545" t="s">
        <v>24</v>
      </c>
      <c r="L545" s="14">
        <f>IFERROR(VALUE(LEFT(tblMatriculas[[#This Row],[Clases]],FIND("/",tblMatriculas[[#This Row],[Clases]])-1)),"")</f>
        <v>0</v>
      </c>
      <c r="M545" s="14">
        <f>IFERROR(VALUE(MID(tblMatriculas[[#This Row],[Clases]],FIND("/",tblMatriculas[[#This Row],[Clases]])+1,5)),"")</f>
        <v>45</v>
      </c>
      <c r="N5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5" s="14">
        <f>IF(OR(tblMatriculas[[#This Row],[Estado]]&lt;&gt;"activa",tblMatriculas[[#This Row],[Clases dictadas]]=""),"",MAX(0,tblMatriculas[[#This Row],[Clases dictadas]]-tblMatriculas[[#This Row],[Asistidas]]))</f>
        <v>7</v>
      </c>
      <c r="P545" s="1">
        <f>IF(OR(tblMatriculas[[#This Row],[Estado]]&lt;&gt;"activa",tblMatriculas[[#This Row],[Asistidas]]=""),"",tblMatriculas[[#This Row],[Asistencia]])</f>
        <v>0</v>
      </c>
      <c r="Q545" t="b">
        <f>AND(tblMatriculas[[#This Row],[Estado]]="activa",ISNUMBER(tblMatriculas[[#This Row],[% asistencia]]),NOT(ISNUMBER(SEARCH(pPrueba,tblMatriculas[[#This Row],[Nombre]]))))</f>
        <v>1</v>
      </c>
      <c r="R5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45" s="23" t="str" cm="1">
        <f t="array" ref="S5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5" s="23" t="str" cm="1">
        <f t="array" ref="T5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5" s="14" t="str" cm="1">
        <f t="array" ref="U5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5" t="str" cm="1">
        <f t="array" ref="V5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5" t="str" cm="1">
        <f t="array" ref="W5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45" t="str">
        <f>IF(COUNTIFS('Base Estudiantes'!$C:$C,tblMatriculas[[#This Row],[Cédula]],'Base Estudiantes'!$I:$I,tblMatriculas[[#This Row],[Código]])&gt;0,"Sí","No")</f>
        <v>Sí</v>
      </c>
      <c r="Z545" s="23" cm="1">
        <f t="array" ref="Z545">_xlfn.XLOOKUP(tblMatriculas[[#This Row],[Cédula]]&amp;"|"&amp;tblMatriculas[[#This Row],[Código]],tblBase[Documento]&amp;"|"&amp;tblBase[Código grupo],tblBase[Fecha matrícula],"")</f>
        <v>46262</v>
      </c>
    </row>
    <row r="546" spans="1:26" x14ac:dyDescent="0.2">
      <c r="A546" t="s">
        <v>1186</v>
      </c>
      <c r="B546" t="s">
        <v>1187</v>
      </c>
      <c r="C546" t="s">
        <v>13</v>
      </c>
      <c r="D546" t="s">
        <v>1143</v>
      </c>
      <c r="E546" t="s">
        <v>1144</v>
      </c>
      <c r="F546" t="s">
        <v>16</v>
      </c>
      <c r="G546" s="1">
        <v>8.900000000000001E-2</v>
      </c>
      <c r="H546" t="s">
        <v>17</v>
      </c>
      <c r="I546" t="s">
        <v>1145</v>
      </c>
      <c r="J546" t="s">
        <v>1146</v>
      </c>
      <c r="K546" t="s">
        <v>24</v>
      </c>
      <c r="L546" s="14">
        <f>IFERROR(VALUE(LEFT(tblMatriculas[[#This Row],[Clases]],FIND("/",tblMatriculas[[#This Row],[Clases]])-1)),"")</f>
        <v>4</v>
      </c>
      <c r="M546" s="14">
        <f>IFERROR(VALUE(MID(tblMatriculas[[#This Row],[Clases]],FIND("/",tblMatriculas[[#This Row],[Clases]])+1,5)),"")</f>
        <v>45</v>
      </c>
      <c r="N5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6" s="14">
        <f>IF(OR(tblMatriculas[[#This Row],[Estado]]&lt;&gt;"activa",tblMatriculas[[#This Row],[Clases dictadas]]=""),"",MAX(0,tblMatriculas[[#This Row],[Clases dictadas]]-tblMatriculas[[#This Row],[Asistidas]]))</f>
        <v>3</v>
      </c>
      <c r="P546" s="1">
        <f>IF(OR(tblMatriculas[[#This Row],[Estado]]&lt;&gt;"activa",tblMatriculas[[#This Row],[Asistidas]]=""),"",tblMatriculas[[#This Row],[Asistencia]])</f>
        <v>8.900000000000001E-2</v>
      </c>
      <c r="Q546" t="b">
        <f>AND(tblMatriculas[[#This Row],[Estado]]="activa",ISNUMBER(tblMatriculas[[#This Row],[% asistencia]]),NOT(ISNUMBER(SEARCH(pPrueba,tblMatriculas[[#This Row],[Nombre]]))))</f>
        <v>1</v>
      </c>
      <c r="R5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6" s="23" t="str" cm="1">
        <f t="array" ref="S5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6" s="23" t="str" cm="1">
        <f t="array" ref="T5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6" s="14" t="str" cm="1">
        <f t="array" ref="U5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6" t="str" cm="1">
        <f t="array" ref="V5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6" t="str" cm="1">
        <f t="array" ref="W5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6" t="str">
        <f>IF(COUNTIFS('Base Estudiantes'!$C:$C,tblMatriculas[[#This Row],[Cédula]],'Base Estudiantes'!$I:$I,tblMatriculas[[#This Row],[Código]])&gt;0,"Sí","No")</f>
        <v>Sí</v>
      </c>
      <c r="Z546" s="23" cm="1">
        <f t="array" ref="Z546">_xlfn.XLOOKUP(tblMatriculas[[#This Row],[Cédula]]&amp;"|"&amp;tblMatriculas[[#This Row],[Código]],tblBase[Documento]&amp;"|"&amp;tblBase[Código grupo],tblBase[Fecha matrícula],"")</f>
        <v>46262</v>
      </c>
    </row>
    <row r="547" spans="1:26" x14ac:dyDescent="0.2">
      <c r="A547" t="s">
        <v>1188</v>
      </c>
      <c r="B547" t="s">
        <v>1189</v>
      </c>
      <c r="C547" t="s">
        <v>13</v>
      </c>
      <c r="D547" t="s">
        <v>1143</v>
      </c>
      <c r="E547" t="s">
        <v>1144</v>
      </c>
      <c r="F547" t="s">
        <v>16</v>
      </c>
      <c r="G547" s="1">
        <v>0</v>
      </c>
      <c r="H547" t="s">
        <v>1149</v>
      </c>
      <c r="I547" t="s">
        <v>1145</v>
      </c>
      <c r="J547" t="s">
        <v>1146</v>
      </c>
      <c r="K547" t="s">
        <v>24</v>
      </c>
      <c r="L547" s="14">
        <f>IFERROR(VALUE(LEFT(tblMatriculas[[#This Row],[Clases]],FIND("/",tblMatriculas[[#This Row],[Clases]])-1)),"")</f>
        <v>0</v>
      </c>
      <c r="M547" s="14">
        <f>IFERROR(VALUE(MID(tblMatriculas[[#This Row],[Clases]],FIND("/",tblMatriculas[[#This Row],[Clases]])+1,5)),"")</f>
        <v>45</v>
      </c>
      <c r="N5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7" s="14">
        <f>IF(OR(tblMatriculas[[#This Row],[Estado]]&lt;&gt;"activa",tblMatriculas[[#This Row],[Clases dictadas]]=""),"",MAX(0,tblMatriculas[[#This Row],[Clases dictadas]]-tblMatriculas[[#This Row],[Asistidas]]))</f>
        <v>7</v>
      </c>
      <c r="P547" s="1">
        <f>IF(OR(tblMatriculas[[#This Row],[Estado]]&lt;&gt;"activa",tblMatriculas[[#This Row],[Asistidas]]=""),"",tblMatriculas[[#This Row],[Asistencia]])</f>
        <v>0</v>
      </c>
      <c r="Q547" t="b">
        <f>AND(tblMatriculas[[#This Row],[Estado]]="activa",ISNUMBER(tblMatriculas[[#This Row],[% asistencia]]),NOT(ISNUMBER(SEARCH(pPrueba,tblMatriculas[[#This Row],[Nombre]]))))</f>
        <v>1</v>
      </c>
      <c r="R5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47" s="23" t="str" cm="1">
        <f t="array" ref="S5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7" s="23" t="str" cm="1">
        <f t="array" ref="T5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7" s="14" t="str" cm="1">
        <f t="array" ref="U5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7" t="str" cm="1">
        <f t="array" ref="V5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7" t="str" cm="1">
        <f t="array" ref="W5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47" t="str">
        <f>IF(COUNTIFS('Base Estudiantes'!$C:$C,tblMatriculas[[#This Row],[Cédula]],'Base Estudiantes'!$I:$I,tblMatriculas[[#This Row],[Código]])&gt;0,"Sí","No")</f>
        <v>Sí</v>
      </c>
      <c r="Z547" s="23" cm="1">
        <f t="array" ref="Z547">_xlfn.XLOOKUP(tblMatriculas[[#This Row],[Cédula]]&amp;"|"&amp;tblMatriculas[[#This Row],[Código]],tblBase[Documento]&amp;"|"&amp;tblBase[Código grupo],tblBase[Fecha matrícula],"")</f>
        <v>46262</v>
      </c>
    </row>
    <row r="548" spans="1:26" x14ac:dyDescent="0.2">
      <c r="A548" t="s">
        <v>1190</v>
      </c>
      <c r="B548" t="s">
        <v>1191</v>
      </c>
      <c r="C548" t="s">
        <v>13</v>
      </c>
      <c r="D548" t="s">
        <v>1143</v>
      </c>
      <c r="E548" t="s">
        <v>1144</v>
      </c>
      <c r="F548" t="s">
        <v>16</v>
      </c>
      <c r="G548" s="1">
        <v>0</v>
      </c>
      <c r="H548" t="s">
        <v>1149</v>
      </c>
      <c r="I548" t="s">
        <v>1145</v>
      </c>
      <c r="J548" t="s">
        <v>1146</v>
      </c>
      <c r="K548" t="s">
        <v>24</v>
      </c>
      <c r="L548" s="14">
        <f>IFERROR(VALUE(LEFT(tblMatriculas[[#This Row],[Clases]],FIND("/",tblMatriculas[[#This Row],[Clases]])-1)),"")</f>
        <v>0</v>
      </c>
      <c r="M548" s="14">
        <f>IFERROR(VALUE(MID(tblMatriculas[[#This Row],[Clases]],FIND("/",tblMatriculas[[#This Row],[Clases]])+1,5)),"")</f>
        <v>45</v>
      </c>
      <c r="N5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8" s="14">
        <f>IF(OR(tblMatriculas[[#This Row],[Estado]]&lt;&gt;"activa",tblMatriculas[[#This Row],[Clases dictadas]]=""),"",MAX(0,tblMatriculas[[#This Row],[Clases dictadas]]-tblMatriculas[[#This Row],[Asistidas]]))</f>
        <v>7</v>
      </c>
      <c r="P548" s="1">
        <f>IF(OR(tblMatriculas[[#This Row],[Estado]]&lt;&gt;"activa",tblMatriculas[[#This Row],[Asistidas]]=""),"",tblMatriculas[[#This Row],[Asistencia]])</f>
        <v>0</v>
      </c>
      <c r="Q548" t="b">
        <f>AND(tblMatriculas[[#This Row],[Estado]]="activa",ISNUMBER(tblMatriculas[[#This Row],[% asistencia]]),NOT(ISNUMBER(SEARCH(pPrueba,tblMatriculas[[#This Row],[Nombre]]))))</f>
        <v>1</v>
      </c>
      <c r="R5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48" s="23" t="str" cm="1">
        <f t="array" ref="S5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8" s="23" t="str" cm="1">
        <f t="array" ref="T5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8" s="14" t="str" cm="1">
        <f t="array" ref="U5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8" t="str" cm="1">
        <f t="array" ref="V5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8" t="str" cm="1">
        <f t="array" ref="W5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48" t="str">
        <f>IF(COUNTIFS('Base Estudiantes'!$C:$C,tblMatriculas[[#This Row],[Cédula]],'Base Estudiantes'!$I:$I,tblMatriculas[[#This Row],[Código]])&gt;0,"Sí","No")</f>
        <v>Sí</v>
      </c>
      <c r="Z548" s="23" cm="1">
        <f t="array" ref="Z548">_xlfn.XLOOKUP(tblMatriculas[[#This Row],[Cédula]]&amp;"|"&amp;tblMatriculas[[#This Row],[Código]],tblBase[Documento]&amp;"|"&amp;tblBase[Código grupo],tblBase[Fecha matrícula],"")</f>
        <v>46262</v>
      </c>
    </row>
    <row r="549" spans="1:26" x14ac:dyDescent="0.2">
      <c r="A549" t="s">
        <v>1192</v>
      </c>
      <c r="B549" t="s">
        <v>1193</v>
      </c>
      <c r="C549" t="s">
        <v>13</v>
      </c>
      <c r="D549" t="s">
        <v>1143</v>
      </c>
      <c r="E549" t="s">
        <v>1144</v>
      </c>
      <c r="F549" t="s">
        <v>16</v>
      </c>
      <c r="G549" s="1">
        <v>0.156</v>
      </c>
      <c r="H549" t="s">
        <v>42</v>
      </c>
      <c r="I549" t="s">
        <v>1145</v>
      </c>
      <c r="J549" t="s">
        <v>1146</v>
      </c>
      <c r="K549" t="s">
        <v>24</v>
      </c>
      <c r="L549" s="14">
        <f>IFERROR(VALUE(LEFT(tblMatriculas[[#This Row],[Clases]],FIND("/",tblMatriculas[[#This Row],[Clases]])-1)),"")</f>
        <v>7</v>
      </c>
      <c r="M549" s="14">
        <f>IFERROR(VALUE(MID(tblMatriculas[[#This Row],[Clases]],FIND("/",tblMatriculas[[#This Row],[Clases]])+1,5)),"")</f>
        <v>45</v>
      </c>
      <c r="N5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49" s="14">
        <f>IF(OR(tblMatriculas[[#This Row],[Estado]]&lt;&gt;"activa",tblMatriculas[[#This Row],[Clases dictadas]]=""),"",MAX(0,tblMatriculas[[#This Row],[Clases dictadas]]-tblMatriculas[[#This Row],[Asistidas]]))</f>
        <v>0</v>
      </c>
      <c r="P549" s="1">
        <f>IF(OR(tblMatriculas[[#This Row],[Estado]]&lt;&gt;"activa",tblMatriculas[[#This Row],[Asistidas]]=""),"",tblMatriculas[[#This Row],[Asistencia]])</f>
        <v>0.156</v>
      </c>
      <c r="Q549" t="b">
        <f>AND(tblMatriculas[[#This Row],[Estado]]="activa",ISNUMBER(tblMatriculas[[#This Row],[% asistencia]]),NOT(ISNUMBER(SEARCH(pPrueba,tblMatriculas[[#This Row],[Nombre]]))))</f>
        <v>1</v>
      </c>
      <c r="R5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49" s="23" t="str" cm="1">
        <f t="array" ref="S5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49" s="23" t="str" cm="1">
        <f t="array" ref="T5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49" s="14" t="str" cm="1">
        <f t="array" ref="U5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49" t="str" cm="1">
        <f t="array" ref="V5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49" t="str" cm="1">
        <f t="array" ref="W5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49" t="str">
        <f>IF(COUNTIFS('Base Estudiantes'!$C:$C,tblMatriculas[[#This Row],[Cédula]],'Base Estudiantes'!$I:$I,tblMatriculas[[#This Row],[Código]])&gt;0,"Sí","No")</f>
        <v>Sí</v>
      </c>
      <c r="Z549" s="23" cm="1">
        <f t="array" ref="Z549">_xlfn.XLOOKUP(tblMatriculas[[#This Row],[Cédula]]&amp;"|"&amp;tblMatriculas[[#This Row],[Código]],tblBase[Documento]&amp;"|"&amp;tblBase[Código grupo],tblBase[Fecha matrícula],"")</f>
        <v>46262</v>
      </c>
    </row>
    <row r="550" spans="1:26" x14ac:dyDescent="0.2">
      <c r="A550" t="s">
        <v>1194</v>
      </c>
      <c r="B550" t="s">
        <v>1195</v>
      </c>
      <c r="C550" t="s">
        <v>13</v>
      </c>
      <c r="D550" t="s">
        <v>1143</v>
      </c>
      <c r="E550" t="s">
        <v>1144</v>
      </c>
      <c r="F550" t="s">
        <v>16</v>
      </c>
      <c r="G550" s="1">
        <v>0.156</v>
      </c>
      <c r="H550" t="s">
        <v>42</v>
      </c>
      <c r="I550" t="s">
        <v>1145</v>
      </c>
      <c r="J550" t="s">
        <v>1146</v>
      </c>
      <c r="K550" t="s">
        <v>24</v>
      </c>
      <c r="L550" s="14">
        <f>IFERROR(VALUE(LEFT(tblMatriculas[[#This Row],[Clases]],FIND("/",tblMatriculas[[#This Row],[Clases]])-1)),"")</f>
        <v>7</v>
      </c>
      <c r="M550" s="14">
        <f>IFERROR(VALUE(MID(tblMatriculas[[#This Row],[Clases]],FIND("/",tblMatriculas[[#This Row],[Clases]])+1,5)),"")</f>
        <v>45</v>
      </c>
      <c r="N5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0" s="14">
        <f>IF(OR(tblMatriculas[[#This Row],[Estado]]&lt;&gt;"activa",tblMatriculas[[#This Row],[Clases dictadas]]=""),"",MAX(0,tblMatriculas[[#This Row],[Clases dictadas]]-tblMatriculas[[#This Row],[Asistidas]]))</f>
        <v>0</v>
      </c>
      <c r="P550" s="1">
        <f>IF(OR(tblMatriculas[[#This Row],[Estado]]&lt;&gt;"activa",tblMatriculas[[#This Row],[Asistidas]]=""),"",tblMatriculas[[#This Row],[Asistencia]])</f>
        <v>0.156</v>
      </c>
      <c r="Q550" t="b">
        <f>AND(tblMatriculas[[#This Row],[Estado]]="activa",ISNUMBER(tblMatriculas[[#This Row],[% asistencia]]),NOT(ISNUMBER(SEARCH(pPrueba,tblMatriculas[[#This Row],[Nombre]]))))</f>
        <v>1</v>
      </c>
      <c r="R5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0" s="23" t="str" cm="1">
        <f t="array" ref="S5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0" s="23" t="str" cm="1">
        <f t="array" ref="T5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0" s="14" t="str" cm="1">
        <f t="array" ref="U5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0" t="str" cm="1">
        <f t="array" ref="V5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0" t="str" cm="1">
        <f t="array" ref="W5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0" t="str">
        <f>IF(COUNTIFS('Base Estudiantes'!$C:$C,tblMatriculas[[#This Row],[Cédula]],'Base Estudiantes'!$I:$I,tblMatriculas[[#This Row],[Código]])&gt;0,"Sí","No")</f>
        <v>Sí</v>
      </c>
      <c r="Z550" s="23" cm="1">
        <f t="array" ref="Z550">_xlfn.XLOOKUP(tblMatriculas[[#This Row],[Cédula]]&amp;"|"&amp;tblMatriculas[[#This Row],[Código]],tblBase[Documento]&amp;"|"&amp;tblBase[Código grupo],tblBase[Fecha matrícula],"")</f>
        <v>46262</v>
      </c>
    </row>
    <row r="551" spans="1:26" x14ac:dyDescent="0.2">
      <c r="A551" t="s">
        <v>1196</v>
      </c>
      <c r="B551" t="s">
        <v>1197</v>
      </c>
      <c r="C551" t="s">
        <v>13</v>
      </c>
      <c r="D551" t="s">
        <v>1143</v>
      </c>
      <c r="E551" t="s">
        <v>1144</v>
      </c>
      <c r="F551" t="s">
        <v>16</v>
      </c>
      <c r="G551" s="1">
        <v>0.13300000000000001</v>
      </c>
      <c r="H551" t="s">
        <v>36</v>
      </c>
      <c r="I551" t="s">
        <v>1145</v>
      </c>
      <c r="J551" t="s">
        <v>1146</v>
      </c>
      <c r="K551" t="s">
        <v>24</v>
      </c>
      <c r="L551" s="14">
        <f>IFERROR(VALUE(LEFT(tblMatriculas[[#This Row],[Clases]],FIND("/",tblMatriculas[[#This Row],[Clases]])-1)),"")</f>
        <v>6</v>
      </c>
      <c r="M551" s="14">
        <f>IFERROR(VALUE(MID(tblMatriculas[[#This Row],[Clases]],FIND("/",tblMatriculas[[#This Row],[Clases]])+1,5)),"")</f>
        <v>45</v>
      </c>
      <c r="N5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1" s="14">
        <f>IF(OR(tblMatriculas[[#This Row],[Estado]]&lt;&gt;"activa",tblMatriculas[[#This Row],[Clases dictadas]]=""),"",MAX(0,tblMatriculas[[#This Row],[Clases dictadas]]-tblMatriculas[[#This Row],[Asistidas]]))</f>
        <v>1</v>
      </c>
      <c r="P551" s="1">
        <f>IF(OR(tblMatriculas[[#This Row],[Estado]]&lt;&gt;"activa",tblMatriculas[[#This Row],[Asistidas]]=""),"",tblMatriculas[[#This Row],[Asistencia]])</f>
        <v>0.13300000000000001</v>
      </c>
      <c r="Q551" t="b">
        <f>AND(tblMatriculas[[#This Row],[Estado]]="activa",ISNUMBER(tblMatriculas[[#This Row],[% asistencia]]),NOT(ISNUMBER(SEARCH(pPrueba,tblMatriculas[[#This Row],[Nombre]]))))</f>
        <v>1</v>
      </c>
      <c r="R5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1" s="23" t="str" cm="1">
        <f t="array" ref="S5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1" s="23" t="str" cm="1">
        <f t="array" ref="T5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1" s="14" t="str" cm="1">
        <f t="array" ref="U5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1" t="str" cm="1">
        <f t="array" ref="V5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1" t="str" cm="1">
        <f t="array" ref="W5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1" t="str">
        <f>IF(COUNTIFS('Base Estudiantes'!$C:$C,tblMatriculas[[#This Row],[Cédula]],'Base Estudiantes'!$I:$I,tblMatriculas[[#This Row],[Código]])&gt;0,"Sí","No")</f>
        <v>Sí</v>
      </c>
      <c r="Z551" s="23" cm="1">
        <f t="array" ref="Z551">_xlfn.XLOOKUP(tblMatriculas[[#This Row],[Cédula]]&amp;"|"&amp;tblMatriculas[[#This Row],[Código]],tblBase[Documento]&amp;"|"&amp;tblBase[Código grupo],tblBase[Fecha matrícula],"")</f>
        <v>46262</v>
      </c>
    </row>
    <row r="552" spans="1:26" x14ac:dyDescent="0.2">
      <c r="A552" t="s">
        <v>1198</v>
      </c>
      <c r="B552" t="s">
        <v>1199</v>
      </c>
      <c r="C552" t="s">
        <v>13</v>
      </c>
      <c r="D552" t="s">
        <v>1143</v>
      </c>
      <c r="E552" t="s">
        <v>1144</v>
      </c>
      <c r="F552" t="s">
        <v>16</v>
      </c>
      <c r="G552" s="1">
        <v>0.156</v>
      </c>
      <c r="H552" t="s">
        <v>42</v>
      </c>
      <c r="I552" t="s">
        <v>1145</v>
      </c>
      <c r="J552" t="s">
        <v>1146</v>
      </c>
      <c r="K552" t="s">
        <v>24</v>
      </c>
      <c r="L552" s="14">
        <f>IFERROR(VALUE(LEFT(tblMatriculas[[#This Row],[Clases]],FIND("/",tblMatriculas[[#This Row],[Clases]])-1)),"")</f>
        <v>7</v>
      </c>
      <c r="M552" s="14">
        <f>IFERROR(VALUE(MID(tblMatriculas[[#This Row],[Clases]],FIND("/",tblMatriculas[[#This Row],[Clases]])+1,5)),"")</f>
        <v>45</v>
      </c>
      <c r="N5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2" s="14">
        <f>IF(OR(tblMatriculas[[#This Row],[Estado]]&lt;&gt;"activa",tblMatriculas[[#This Row],[Clases dictadas]]=""),"",MAX(0,tblMatriculas[[#This Row],[Clases dictadas]]-tblMatriculas[[#This Row],[Asistidas]]))</f>
        <v>0</v>
      </c>
      <c r="P552" s="1">
        <f>IF(OR(tblMatriculas[[#This Row],[Estado]]&lt;&gt;"activa",tblMatriculas[[#This Row],[Asistidas]]=""),"",tblMatriculas[[#This Row],[Asistencia]])</f>
        <v>0.156</v>
      </c>
      <c r="Q552" t="b">
        <f>AND(tblMatriculas[[#This Row],[Estado]]="activa",ISNUMBER(tblMatriculas[[#This Row],[% asistencia]]),NOT(ISNUMBER(SEARCH(pPrueba,tblMatriculas[[#This Row],[Nombre]]))))</f>
        <v>1</v>
      </c>
      <c r="R5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2" s="23" t="str" cm="1">
        <f t="array" ref="S5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2" s="23" t="str" cm="1">
        <f t="array" ref="T5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2" s="14" t="str" cm="1">
        <f t="array" ref="U5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2" t="str" cm="1">
        <f t="array" ref="V5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2" t="str" cm="1">
        <f t="array" ref="W5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2" t="str">
        <f>IF(COUNTIFS('Base Estudiantes'!$C:$C,tblMatriculas[[#This Row],[Cédula]],'Base Estudiantes'!$I:$I,tblMatriculas[[#This Row],[Código]])&gt;0,"Sí","No")</f>
        <v>Sí</v>
      </c>
      <c r="Z552" s="23" cm="1">
        <f t="array" ref="Z552">_xlfn.XLOOKUP(tblMatriculas[[#This Row],[Cédula]]&amp;"|"&amp;tblMatriculas[[#This Row],[Código]],tblBase[Documento]&amp;"|"&amp;tblBase[Código grupo],tblBase[Fecha matrícula],"")</f>
        <v>46262</v>
      </c>
    </row>
    <row r="553" spans="1:26" x14ac:dyDescent="0.2">
      <c r="A553" t="s">
        <v>1200</v>
      </c>
      <c r="B553" t="s">
        <v>1201</v>
      </c>
      <c r="C553" t="s">
        <v>13</v>
      </c>
      <c r="D553" t="s">
        <v>1143</v>
      </c>
      <c r="E553" t="s">
        <v>1144</v>
      </c>
      <c r="F553" t="s">
        <v>16</v>
      </c>
      <c r="G553" s="1">
        <v>0.156</v>
      </c>
      <c r="H553" t="s">
        <v>42</v>
      </c>
      <c r="I553" t="s">
        <v>1145</v>
      </c>
      <c r="J553" t="s">
        <v>1146</v>
      </c>
      <c r="K553" t="s">
        <v>24</v>
      </c>
      <c r="L553" s="14">
        <f>IFERROR(VALUE(LEFT(tblMatriculas[[#This Row],[Clases]],FIND("/",tblMatriculas[[#This Row],[Clases]])-1)),"")</f>
        <v>7</v>
      </c>
      <c r="M553" s="14">
        <f>IFERROR(VALUE(MID(tblMatriculas[[#This Row],[Clases]],FIND("/",tblMatriculas[[#This Row],[Clases]])+1,5)),"")</f>
        <v>45</v>
      </c>
      <c r="N5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3" s="14">
        <f>IF(OR(tblMatriculas[[#This Row],[Estado]]&lt;&gt;"activa",tblMatriculas[[#This Row],[Clases dictadas]]=""),"",MAX(0,tblMatriculas[[#This Row],[Clases dictadas]]-tblMatriculas[[#This Row],[Asistidas]]))</f>
        <v>0</v>
      </c>
      <c r="P553" s="1">
        <f>IF(OR(tblMatriculas[[#This Row],[Estado]]&lt;&gt;"activa",tblMatriculas[[#This Row],[Asistidas]]=""),"",tblMatriculas[[#This Row],[Asistencia]])</f>
        <v>0.156</v>
      </c>
      <c r="Q553" t="b">
        <f>AND(tblMatriculas[[#This Row],[Estado]]="activa",ISNUMBER(tblMatriculas[[#This Row],[% asistencia]]),NOT(ISNUMBER(SEARCH(pPrueba,tblMatriculas[[#This Row],[Nombre]]))))</f>
        <v>1</v>
      </c>
      <c r="R5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3" s="23" t="str" cm="1">
        <f t="array" ref="S5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3" s="23" t="str" cm="1">
        <f t="array" ref="T5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3" s="14" t="str" cm="1">
        <f t="array" ref="U5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3" t="str" cm="1">
        <f t="array" ref="V5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3" t="str" cm="1">
        <f t="array" ref="W5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3" t="str">
        <f>IF(COUNTIFS('Base Estudiantes'!$C:$C,tblMatriculas[[#This Row],[Cédula]],'Base Estudiantes'!$I:$I,tblMatriculas[[#This Row],[Código]])&gt;0,"Sí","No")</f>
        <v>Sí</v>
      </c>
      <c r="Z553" s="23" cm="1">
        <f t="array" ref="Z553">_xlfn.XLOOKUP(tblMatriculas[[#This Row],[Cédula]]&amp;"|"&amp;tblMatriculas[[#This Row],[Código]],tblBase[Documento]&amp;"|"&amp;tblBase[Código grupo],tblBase[Fecha matrícula],"")</f>
        <v>46262</v>
      </c>
    </row>
    <row r="554" spans="1:26" x14ac:dyDescent="0.2">
      <c r="A554" t="s">
        <v>1202</v>
      </c>
      <c r="B554" t="s">
        <v>1203</v>
      </c>
      <c r="C554" t="s">
        <v>13</v>
      </c>
      <c r="D554" t="s">
        <v>1143</v>
      </c>
      <c r="E554" t="s">
        <v>1144</v>
      </c>
      <c r="F554" t="s">
        <v>16</v>
      </c>
      <c r="G554" s="1">
        <v>0.111</v>
      </c>
      <c r="H554" t="s">
        <v>55</v>
      </c>
      <c r="I554" t="s">
        <v>1145</v>
      </c>
      <c r="J554" t="s">
        <v>1146</v>
      </c>
      <c r="K554" t="s">
        <v>24</v>
      </c>
      <c r="L554" s="14">
        <f>IFERROR(VALUE(LEFT(tblMatriculas[[#This Row],[Clases]],FIND("/",tblMatriculas[[#This Row],[Clases]])-1)),"")</f>
        <v>5</v>
      </c>
      <c r="M554" s="14">
        <f>IFERROR(VALUE(MID(tblMatriculas[[#This Row],[Clases]],FIND("/",tblMatriculas[[#This Row],[Clases]])+1,5)),"")</f>
        <v>45</v>
      </c>
      <c r="N5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4" s="14">
        <f>IF(OR(tblMatriculas[[#This Row],[Estado]]&lt;&gt;"activa",tblMatriculas[[#This Row],[Clases dictadas]]=""),"",MAX(0,tblMatriculas[[#This Row],[Clases dictadas]]-tblMatriculas[[#This Row],[Asistidas]]))</f>
        <v>2</v>
      </c>
      <c r="P554" s="1">
        <f>IF(OR(tblMatriculas[[#This Row],[Estado]]&lt;&gt;"activa",tblMatriculas[[#This Row],[Asistidas]]=""),"",tblMatriculas[[#This Row],[Asistencia]])</f>
        <v>0.111</v>
      </c>
      <c r="Q554" t="b">
        <f>AND(tblMatriculas[[#This Row],[Estado]]="activa",ISNUMBER(tblMatriculas[[#This Row],[% asistencia]]),NOT(ISNUMBER(SEARCH(pPrueba,tblMatriculas[[#This Row],[Nombre]]))))</f>
        <v>1</v>
      </c>
      <c r="R5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4" s="23" t="str" cm="1">
        <f t="array" ref="S5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4" s="23" t="str" cm="1">
        <f t="array" ref="T5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4" s="14" t="str" cm="1">
        <f t="array" ref="U5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4" t="str" cm="1">
        <f t="array" ref="V5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4" t="str" cm="1">
        <f t="array" ref="W5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4" t="str">
        <f>IF(COUNTIFS('Base Estudiantes'!$C:$C,tblMatriculas[[#This Row],[Cédula]],'Base Estudiantes'!$I:$I,tblMatriculas[[#This Row],[Código]])&gt;0,"Sí","No")</f>
        <v>Sí</v>
      </c>
      <c r="Z554" s="23" cm="1">
        <f t="array" ref="Z554">_xlfn.XLOOKUP(tblMatriculas[[#This Row],[Cédula]]&amp;"|"&amp;tblMatriculas[[#This Row],[Código]],tblBase[Documento]&amp;"|"&amp;tblBase[Código grupo],tblBase[Fecha matrícula],"")</f>
        <v>46262</v>
      </c>
    </row>
    <row r="555" spans="1:26" x14ac:dyDescent="0.2">
      <c r="A555" t="s">
        <v>1204</v>
      </c>
      <c r="B555" t="s">
        <v>1205</v>
      </c>
      <c r="C555" t="s">
        <v>13</v>
      </c>
      <c r="D555" t="s">
        <v>1143</v>
      </c>
      <c r="E555" t="s">
        <v>1144</v>
      </c>
      <c r="F555" t="s">
        <v>16</v>
      </c>
      <c r="G555" s="1">
        <v>2.2000000000000002E-2</v>
      </c>
      <c r="H555" t="s">
        <v>23</v>
      </c>
      <c r="I555" t="s">
        <v>1145</v>
      </c>
      <c r="J555" t="s">
        <v>1146</v>
      </c>
      <c r="K555" t="s">
        <v>24</v>
      </c>
      <c r="L555" s="14">
        <f>IFERROR(VALUE(LEFT(tblMatriculas[[#This Row],[Clases]],FIND("/",tblMatriculas[[#This Row],[Clases]])-1)),"")</f>
        <v>1</v>
      </c>
      <c r="M555" s="14">
        <f>IFERROR(VALUE(MID(tblMatriculas[[#This Row],[Clases]],FIND("/",tblMatriculas[[#This Row],[Clases]])+1,5)),"")</f>
        <v>45</v>
      </c>
      <c r="N5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5" s="14">
        <f>IF(OR(tblMatriculas[[#This Row],[Estado]]&lt;&gt;"activa",tblMatriculas[[#This Row],[Clases dictadas]]=""),"",MAX(0,tblMatriculas[[#This Row],[Clases dictadas]]-tblMatriculas[[#This Row],[Asistidas]]))</f>
        <v>6</v>
      </c>
      <c r="P555" s="1">
        <f>IF(OR(tblMatriculas[[#This Row],[Estado]]&lt;&gt;"activa",tblMatriculas[[#This Row],[Asistidas]]=""),"",tblMatriculas[[#This Row],[Asistencia]])</f>
        <v>2.2000000000000002E-2</v>
      </c>
      <c r="Q555" t="b">
        <f>AND(tblMatriculas[[#This Row],[Estado]]="activa",ISNUMBER(tblMatriculas[[#This Row],[% asistencia]]),NOT(ISNUMBER(SEARCH(pPrueba,tblMatriculas[[#This Row],[Nombre]]))))</f>
        <v>1</v>
      </c>
      <c r="R5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55" s="23" t="str" cm="1">
        <f t="array" ref="S5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5" s="23" t="str" cm="1">
        <f t="array" ref="T5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5" s="14" t="str" cm="1">
        <f t="array" ref="U5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5" t="str" cm="1">
        <f t="array" ref="V5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5" t="str" cm="1">
        <f t="array" ref="W5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55" t="str">
        <f>IF(COUNTIFS('Base Estudiantes'!$C:$C,tblMatriculas[[#This Row],[Cédula]],'Base Estudiantes'!$I:$I,tblMatriculas[[#This Row],[Código]])&gt;0,"Sí","No")</f>
        <v>Sí</v>
      </c>
      <c r="Z555" s="23" cm="1">
        <f t="array" ref="Z555">_xlfn.XLOOKUP(tblMatriculas[[#This Row],[Cédula]]&amp;"|"&amp;tblMatriculas[[#This Row],[Código]],tblBase[Documento]&amp;"|"&amp;tblBase[Código grupo],tblBase[Fecha matrícula],"")</f>
        <v>46262</v>
      </c>
    </row>
    <row r="556" spans="1:26" x14ac:dyDescent="0.2">
      <c r="A556" t="s">
        <v>1206</v>
      </c>
      <c r="B556" t="s">
        <v>1207</v>
      </c>
      <c r="C556" t="s">
        <v>13</v>
      </c>
      <c r="D556" t="s">
        <v>1143</v>
      </c>
      <c r="E556" t="s">
        <v>1144</v>
      </c>
      <c r="F556" t="s">
        <v>16</v>
      </c>
      <c r="G556" s="1">
        <v>0.156</v>
      </c>
      <c r="H556" t="s">
        <v>42</v>
      </c>
      <c r="I556" t="s">
        <v>1145</v>
      </c>
      <c r="J556" t="s">
        <v>1146</v>
      </c>
      <c r="K556" t="s">
        <v>24</v>
      </c>
      <c r="L556" s="14">
        <f>IFERROR(VALUE(LEFT(tblMatriculas[[#This Row],[Clases]],FIND("/",tblMatriculas[[#This Row],[Clases]])-1)),"")</f>
        <v>7</v>
      </c>
      <c r="M556" s="14">
        <f>IFERROR(VALUE(MID(tblMatriculas[[#This Row],[Clases]],FIND("/",tblMatriculas[[#This Row],[Clases]])+1,5)),"")</f>
        <v>45</v>
      </c>
      <c r="N5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6" s="14">
        <f>IF(OR(tblMatriculas[[#This Row],[Estado]]&lt;&gt;"activa",tblMatriculas[[#This Row],[Clases dictadas]]=""),"",MAX(0,tblMatriculas[[#This Row],[Clases dictadas]]-tblMatriculas[[#This Row],[Asistidas]]))</f>
        <v>0</v>
      </c>
      <c r="P556" s="1">
        <f>IF(OR(tblMatriculas[[#This Row],[Estado]]&lt;&gt;"activa",tblMatriculas[[#This Row],[Asistidas]]=""),"",tblMatriculas[[#This Row],[Asistencia]])</f>
        <v>0.156</v>
      </c>
      <c r="Q556" t="b">
        <f>AND(tblMatriculas[[#This Row],[Estado]]="activa",ISNUMBER(tblMatriculas[[#This Row],[% asistencia]]),NOT(ISNUMBER(SEARCH(pPrueba,tblMatriculas[[#This Row],[Nombre]]))))</f>
        <v>1</v>
      </c>
      <c r="R5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6" s="23" t="str" cm="1">
        <f t="array" ref="S5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6" s="23" t="str" cm="1">
        <f t="array" ref="T5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6" s="14" t="str" cm="1">
        <f t="array" ref="U5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6" t="str" cm="1">
        <f t="array" ref="V5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6" t="str" cm="1">
        <f t="array" ref="W5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6" t="str">
        <f>IF(COUNTIFS('Base Estudiantes'!$C:$C,tblMatriculas[[#This Row],[Cédula]],'Base Estudiantes'!$I:$I,tblMatriculas[[#This Row],[Código]])&gt;0,"Sí","No")</f>
        <v>Sí</v>
      </c>
      <c r="Z556" s="23" cm="1">
        <f t="array" ref="Z556">_xlfn.XLOOKUP(tblMatriculas[[#This Row],[Cédula]]&amp;"|"&amp;tblMatriculas[[#This Row],[Código]],tblBase[Documento]&amp;"|"&amp;tblBase[Código grupo],tblBase[Fecha matrícula],"")</f>
        <v>46262</v>
      </c>
    </row>
    <row r="557" spans="1:26" x14ac:dyDescent="0.2">
      <c r="A557" t="s">
        <v>1208</v>
      </c>
      <c r="B557" t="s">
        <v>1209</v>
      </c>
      <c r="C557" t="s">
        <v>13</v>
      </c>
      <c r="D557" t="s">
        <v>1143</v>
      </c>
      <c r="E557" t="s">
        <v>1144</v>
      </c>
      <c r="F557" t="s">
        <v>16</v>
      </c>
      <c r="G557" s="1">
        <v>0.156</v>
      </c>
      <c r="H557" t="s">
        <v>42</v>
      </c>
      <c r="I557" t="s">
        <v>1145</v>
      </c>
      <c r="J557" t="s">
        <v>1146</v>
      </c>
      <c r="K557" t="s">
        <v>24</v>
      </c>
      <c r="L557" s="14">
        <f>IFERROR(VALUE(LEFT(tblMatriculas[[#This Row],[Clases]],FIND("/",tblMatriculas[[#This Row],[Clases]])-1)),"")</f>
        <v>7</v>
      </c>
      <c r="M557" s="14">
        <f>IFERROR(VALUE(MID(tblMatriculas[[#This Row],[Clases]],FIND("/",tblMatriculas[[#This Row],[Clases]])+1,5)),"")</f>
        <v>45</v>
      </c>
      <c r="N5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7" s="14">
        <f>IF(OR(tblMatriculas[[#This Row],[Estado]]&lt;&gt;"activa",tblMatriculas[[#This Row],[Clases dictadas]]=""),"",MAX(0,tblMatriculas[[#This Row],[Clases dictadas]]-tblMatriculas[[#This Row],[Asistidas]]))</f>
        <v>0</v>
      </c>
      <c r="P557" s="1">
        <f>IF(OR(tblMatriculas[[#This Row],[Estado]]&lt;&gt;"activa",tblMatriculas[[#This Row],[Asistidas]]=""),"",tblMatriculas[[#This Row],[Asistencia]])</f>
        <v>0.156</v>
      </c>
      <c r="Q557" t="b">
        <f>AND(tblMatriculas[[#This Row],[Estado]]="activa",ISNUMBER(tblMatriculas[[#This Row],[% asistencia]]),NOT(ISNUMBER(SEARCH(pPrueba,tblMatriculas[[#This Row],[Nombre]]))))</f>
        <v>1</v>
      </c>
      <c r="R5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7" s="23" t="str" cm="1">
        <f t="array" ref="S5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7" s="23" t="str" cm="1">
        <f t="array" ref="T5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7" s="14" t="str" cm="1">
        <f t="array" ref="U5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7" t="str" cm="1">
        <f t="array" ref="V5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7" t="str" cm="1">
        <f t="array" ref="W5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7" t="str">
        <f>IF(COUNTIFS('Base Estudiantes'!$C:$C,tblMatriculas[[#This Row],[Cédula]],'Base Estudiantes'!$I:$I,tblMatriculas[[#This Row],[Código]])&gt;0,"Sí","No")</f>
        <v>Sí</v>
      </c>
      <c r="Z557" s="23" cm="1">
        <f t="array" ref="Z557">_xlfn.XLOOKUP(tblMatriculas[[#This Row],[Cédula]]&amp;"|"&amp;tblMatriculas[[#This Row],[Código]],tblBase[Documento]&amp;"|"&amp;tblBase[Código grupo],tblBase[Fecha matrícula],"")</f>
        <v>46262</v>
      </c>
    </row>
    <row r="558" spans="1:26" x14ac:dyDescent="0.2">
      <c r="A558" t="s">
        <v>1210</v>
      </c>
      <c r="B558" t="s">
        <v>1211</v>
      </c>
      <c r="C558" t="s">
        <v>13</v>
      </c>
      <c r="D558" t="s">
        <v>1143</v>
      </c>
      <c r="E558" t="s">
        <v>1144</v>
      </c>
      <c r="F558" t="s">
        <v>16</v>
      </c>
      <c r="G558" s="1">
        <v>0.13300000000000001</v>
      </c>
      <c r="H558" t="s">
        <v>36</v>
      </c>
      <c r="I558" t="s">
        <v>1145</v>
      </c>
      <c r="J558" t="s">
        <v>1146</v>
      </c>
      <c r="K558" t="s">
        <v>24</v>
      </c>
      <c r="L558" s="14">
        <f>IFERROR(VALUE(LEFT(tblMatriculas[[#This Row],[Clases]],FIND("/",tblMatriculas[[#This Row],[Clases]])-1)),"")</f>
        <v>6</v>
      </c>
      <c r="M558" s="14">
        <f>IFERROR(VALUE(MID(tblMatriculas[[#This Row],[Clases]],FIND("/",tblMatriculas[[#This Row],[Clases]])+1,5)),"")</f>
        <v>45</v>
      </c>
      <c r="N5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8" s="14">
        <f>IF(OR(tblMatriculas[[#This Row],[Estado]]&lt;&gt;"activa",tblMatriculas[[#This Row],[Clases dictadas]]=""),"",MAX(0,tblMatriculas[[#This Row],[Clases dictadas]]-tblMatriculas[[#This Row],[Asistidas]]))</f>
        <v>1</v>
      </c>
      <c r="P558" s="1">
        <f>IF(OR(tblMatriculas[[#This Row],[Estado]]&lt;&gt;"activa",tblMatriculas[[#This Row],[Asistidas]]=""),"",tblMatriculas[[#This Row],[Asistencia]])</f>
        <v>0.13300000000000001</v>
      </c>
      <c r="Q558" t="b">
        <f>AND(tblMatriculas[[#This Row],[Estado]]="activa",ISNUMBER(tblMatriculas[[#This Row],[% asistencia]]),NOT(ISNUMBER(SEARCH(pPrueba,tblMatriculas[[#This Row],[Nombre]]))))</f>
        <v>1</v>
      </c>
      <c r="R5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58" s="23" t="str" cm="1">
        <f t="array" ref="S5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8" s="23" t="str" cm="1">
        <f t="array" ref="T5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8" s="14" t="str" cm="1">
        <f t="array" ref="U5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8" t="str" cm="1">
        <f t="array" ref="V5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8" t="str" cm="1">
        <f t="array" ref="W5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58" t="str">
        <f>IF(COUNTIFS('Base Estudiantes'!$C:$C,tblMatriculas[[#This Row],[Cédula]],'Base Estudiantes'!$I:$I,tblMatriculas[[#This Row],[Código]])&gt;0,"Sí","No")</f>
        <v>Sí</v>
      </c>
      <c r="Z558" s="23" cm="1">
        <f t="array" ref="Z558">_xlfn.XLOOKUP(tblMatriculas[[#This Row],[Cédula]]&amp;"|"&amp;tblMatriculas[[#This Row],[Código]],tblBase[Documento]&amp;"|"&amp;tblBase[Código grupo],tblBase[Fecha matrícula],"")</f>
        <v>46262</v>
      </c>
    </row>
    <row r="559" spans="1:26" x14ac:dyDescent="0.2">
      <c r="A559" t="s">
        <v>1212</v>
      </c>
      <c r="B559" t="s">
        <v>1213</v>
      </c>
      <c r="C559" t="s">
        <v>13</v>
      </c>
      <c r="D559" t="s">
        <v>1143</v>
      </c>
      <c r="E559" t="s">
        <v>1144</v>
      </c>
      <c r="F559" t="s">
        <v>16</v>
      </c>
      <c r="G559" s="1">
        <v>0</v>
      </c>
      <c r="H559" t="s">
        <v>1149</v>
      </c>
      <c r="I559" t="s">
        <v>1145</v>
      </c>
      <c r="J559" t="s">
        <v>1146</v>
      </c>
      <c r="K559" t="s">
        <v>1214</v>
      </c>
      <c r="L559" s="14">
        <f>IFERROR(VALUE(LEFT(tblMatriculas[[#This Row],[Clases]],FIND("/",tblMatriculas[[#This Row],[Clases]])-1)),"")</f>
        <v>0</v>
      </c>
      <c r="M559" s="14">
        <f>IFERROR(VALUE(MID(tblMatriculas[[#This Row],[Clases]],FIND("/",tblMatriculas[[#This Row],[Clases]])+1,5)),"")</f>
        <v>45</v>
      </c>
      <c r="N5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559" s="14">
        <f>IF(OR(tblMatriculas[[#This Row],[Estado]]&lt;&gt;"activa",tblMatriculas[[#This Row],[Clases dictadas]]=""),"",MAX(0,tblMatriculas[[#This Row],[Clases dictadas]]-tblMatriculas[[#This Row],[Asistidas]]))</f>
        <v>7</v>
      </c>
      <c r="P559" s="1">
        <f>IF(OR(tblMatriculas[[#This Row],[Estado]]&lt;&gt;"activa",tblMatriculas[[#This Row],[Asistidas]]=""),"",tblMatriculas[[#This Row],[Asistencia]])</f>
        <v>0</v>
      </c>
      <c r="Q559" t="b">
        <f>AND(tblMatriculas[[#This Row],[Estado]]="activa",ISNUMBER(tblMatriculas[[#This Row],[% asistencia]]),NOT(ISNUMBER(SEARCH(pPrueba,tblMatriculas[[#This Row],[Nombre]]))))</f>
        <v>1</v>
      </c>
      <c r="R5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59" s="23" t="str" cm="1">
        <f t="array" ref="S5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59" s="23" t="str" cm="1">
        <f t="array" ref="T5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59" s="14" t="str" cm="1">
        <f t="array" ref="U5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59" t="str" cm="1">
        <f t="array" ref="V5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59" t="str" cm="1">
        <f t="array" ref="W5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59" t="str">
        <f>IF(COUNTIFS('Base Estudiantes'!$C:$C,tblMatriculas[[#This Row],[Cédula]],'Base Estudiantes'!$I:$I,tblMatriculas[[#This Row],[Código]])&gt;0,"Sí","No")</f>
        <v>Sí</v>
      </c>
      <c r="Z559" s="23" cm="1">
        <f t="array" ref="Z559">_xlfn.XLOOKUP(tblMatriculas[[#This Row],[Cédula]]&amp;"|"&amp;tblMatriculas[[#This Row],[Código]],tblBase[Documento]&amp;"|"&amp;tblBase[Código grupo],tblBase[Fecha matrícula],"")</f>
        <v>46265</v>
      </c>
    </row>
    <row r="560" spans="1:26" x14ac:dyDescent="0.2">
      <c r="A560" t="s">
        <v>1215</v>
      </c>
      <c r="B560" t="s">
        <v>1216</v>
      </c>
      <c r="C560" t="s">
        <v>13</v>
      </c>
      <c r="D560" t="s">
        <v>1217</v>
      </c>
      <c r="E560" t="s">
        <v>1218</v>
      </c>
      <c r="F560" t="s">
        <v>335</v>
      </c>
      <c r="G560" s="1">
        <v>0.16699999999999998</v>
      </c>
      <c r="H560" t="s">
        <v>229</v>
      </c>
      <c r="I560" t="s">
        <v>1145</v>
      </c>
      <c r="J560" t="s">
        <v>1219</v>
      </c>
      <c r="K560" t="s">
        <v>1220</v>
      </c>
      <c r="L560" s="14">
        <f>IFERROR(VALUE(LEFT(tblMatriculas[[#This Row],[Clases]],FIND("/",tblMatriculas[[#This Row],[Clases]])-1)),"")</f>
        <v>5</v>
      </c>
      <c r="M560" s="14">
        <f>IFERROR(VALUE(MID(tblMatriculas[[#This Row],[Clases]],FIND("/",tblMatriculas[[#This Row],[Clases]])+1,5)),"")</f>
        <v>30</v>
      </c>
      <c r="N5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0" s="14">
        <f>IF(OR(tblMatriculas[[#This Row],[Estado]]&lt;&gt;"activa",tblMatriculas[[#This Row],[Clases dictadas]]=""),"",MAX(0,tblMatriculas[[#This Row],[Clases dictadas]]-tblMatriculas[[#This Row],[Asistidas]]))</f>
        <v>0</v>
      </c>
      <c r="P560" s="1">
        <f>IF(OR(tblMatriculas[[#This Row],[Estado]]&lt;&gt;"activa",tblMatriculas[[#This Row],[Asistidas]]=""),"",tblMatriculas[[#This Row],[Asistencia]])</f>
        <v>0.16699999999999998</v>
      </c>
      <c r="Q560" t="b">
        <f>AND(tblMatriculas[[#This Row],[Estado]]="activa",ISNUMBER(tblMatriculas[[#This Row],[% asistencia]]),NOT(ISNUMBER(SEARCH(pPrueba,tblMatriculas[[#This Row],[Nombre]]))))</f>
        <v>1</v>
      </c>
      <c r="R5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0" s="23" t="str" cm="1">
        <f t="array" ref="S5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0" s="23" t="str" cm="1">
        <f t="array" ref="T5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0" s="14" t="str" cm="1">
        <f t="array" ref="U5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0" t="str" cm="1">
        <f t="array" ref="V5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0" t="str" cm="1">
        <f t="array" ref="W5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0" t="str">
        <f>IF(COUNTIFS('Base Estudiantes'!$C:$C,tblMatriculas[[#This Row],[Cédula]],'Base Estudiantes'!$I:$I,tblMatriculas[[#This Row],[Código]])&gt;0,"Sí","No")</f>
        <v>Sí</v>
      </c>
      <c r="Z560" s="23" cm="1">
        <f t="array" ref="Z560">_xlfn.XLOOKUP(tblMatriculas[[#This Row],[Cédula]]&amp;"|"&amp;tblMatriculas[[#This Row],[Código]],tblBase[Documento]&amp;"|"&amp;tblBase[Código grupo],tblBase[Fecha matrícula],"")</f>
        <v>46262</v>
      </c>
    </row>
    <row r="561" spans="1:26" x14ac:dyDescent="0.2">
      <c r="A561" t="s">
        <v>1221</v>
      </c>
      <c r="B561" t="s">
        <v>1222</v>
      </c>
      <c r="C561" t="s">
        <v>13</v>
      </c>
      <c r="D561" t="s">
        <v>1217</v>
      </c>
      <c r="E561" t="s">
        <v>1218</v>
      </c>
      <c r="F561" t="s">
        <v>335</v>
      </c>
      <c r="G561" s="1">
        <v>0.16699999999999998</v>
      </c>
      <c r="H561" t="s">
        <v>229</v>
      </c>
      <c r="I561" t="s">
        <v>1145</v>
      </c>
      <c r="J561" t="s">
        <v>1219</v>
      </c>
      <c r="K561" t="s">
        <v>1220</v>
      </c>
      <c r="L561" s="14">
        <f>IFERROR(VALUE(LEFT(tblMatriculas[[#This Row],[Clases]],FIND("/",tblMatriculas[[#This Row],[Clases]])-1)),"")</f>
        <v>5</v>
      </c>
      <c r="M561" s="14">
        <f>IFERROR(VALUE(MID(tblMatriculas[[#This Row],[Clases]],FIND("/",tblMatriculas[[#This Row],[Clases]])+1,5)),"")</f>
        <v>30</v>
      </c>
      <c r="N5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1" s="14">
        <f>IF(OR(tblMatriculas[[#This Row],[Estado]]&lt;&gt;"activa",tblMatriculas[[#This Row],[Clases dictadas]]=""),"",MAX(0,tblMatriculas[[#This Row],[Clases dictadas]]-tblMatriculas[[#This Row],[Asistidas]]))</f>
        <v>0</v>
      </c>
      <c r="P561" s="1">
        <f>IF(OR(tblMatriculas[[#This Row],[Estado]]&lt;&gt;"activa",tblMatriculas[[#This Row],[Asistidas]]=""),"",tblMatriculas[[#This Row],[Asistencia]])</f>
        <v>0.16699999999999998</v>
      </c>
      <c r="Q561" t="b">
        <f>AND(tblMatriculas[[#This Row],[Estado]]="activa",ISNUMBER(tblMatriculas[[#This Row],[% asistencia]]),NOT(ISNUMBER(SEARCH(pPrueba,tblMatriculas[[#This Row],[Nombre]]))))</f>
        <v>1</v>
      </c>
      <c r="R5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1" s="23" t="str" cm="1">
        <f t="array" ref="S5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1" s="23" t="str" cm="1">
        <f t="array" ref="T5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1" s="14" t="str" cm="1">
        <f t="array" ref="U5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1" t="str" cm="1">
        <f t="array" ref="V5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1" t="str" cm="1">
        <f t="array" ref="W5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1" t="str">
        <f>IF(COUNTIFS('Base Estudiantes'!$C:$C,tblMatriculas[[#This Row],[Cédula]],'Base Estudiantes'!$I:$I,tblMatriculas[[#This Row],[Código]])&gt;0,"Sí","No")</f>
        <v>Sí</v>
      </c>
      <c r="Z561" s="23" cm="1">
        <f t="array" ref="Z561">_xlfn.XLOOKUP(tblMatriculas[[#This Row],[Cédula]]&amp;"|"&amp;tblMatriculas[[#This Row],[Código]],tblBase[Documento]&amp;"|"&amp;tblBase[Código grupo],tblBase[Fecha matrícula],"")</f>
        <v>46262</v>
      </c>
    </row>
    <row r="562" spans="1:26" x14ac:dyDescent="0.2">
      <c r="A562" t="s">
        <v>1223</v>
      </c>
      <c r="B562" t="s">
        <v>1224</v>
      </c>
      <c r="C562" t="s">
        <v>13</v>
      </c>
      <c r="D562" t="s">
        <v>1217</v>
      </c>
      <c r="E562" t="s">
        <v>1218</v>
      </c>
      <c r="F562" t="s">
        <v>335</v>
      </c>
      <c r="G562" s="1">
        <v>0.16699999999999998</v>
      </c>
      <c r="H562" t="s">
        <v>229</v>
      </c>
      <c r="I562" t="s">
        <v>1145</v>
      </c>
      <c r="J562" t="s">
        <v>1219</v>
      </c>
      <c r="K562" t="s">
        <v>1220</v>
      </c>
      <c r="L562" s="14">
        <f>IFERROR(VALUE(LEFT(tblMatriculas[[#This Row],[Clases]],FIND("/",tblMatriculas[[#This Row],[Clases]])-1)),"")</f>
        <v>5</v>
      </c>
      <c r="M562" s="14">
        <f>IFERROR(VALUE(MID(tblMatriculas[[#This Row],[Clases]],FIND("/",tblMatriculas[[#This Row],[Clases]])+1,5)),"")</f>
        <v>30</v>
      </c>
      <c r="N5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2" s="14">
        <f>IF(OR(tblMatriculas[[#This Row],[Estado]]&lt;&gt;"activa",tblMatriculas[[#This Row],[Clases dictadas]]=""),"",MAX(0,tblMatriculas[[#This Row],[Clases dictadas]]-tblMatriculas[[#This Row],[Asistidas]]))</f>
        <v>0</v>
      </c>
      <c r="P562" s="1">
        <f>IF(OR(tblMatriculas[[#This Row],[Estado]]&lt;&gt;"activa",tblMatriculas[[#This Row],[Asistidas]]=""),"",tblMatriculas[[#This Row],[Asistencia]])</f>
        <v>0.16699999999999998</v>
      </c>
      <c r="Q562" t="b">
        <f>AND(tblMatriculas[[#This Row],[Estado]]="activa",ISNUMBER(tblMatriculas[[#This Row],[% asistencia]]),NOT(ISNUMBER(SEARCH(pPrueba,tblMatriculas[[#This Row],[Nombre]]))))</f>
        <v>1</v>
      </c>
      <c r="R5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2" s="23" t="str" cm="1">
        <f t="array" ref="S5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2" s="23" t="str" cm="1">
        <f t="array" ref="T5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2" s="14" t="str" cm="1">
        <f t="array" ref="U5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2" t="str" cm="1">
        <f t="array" ref="V5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2" t="str" cm="1">
        <f t="array" ref="W5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2" t="str">
        <f>IF(COUNTIFS('Base Estudiantes'!$C:$C,tblMatriculas[[#This Row],[Cédula]],'Base Estudiantes'!$I:$I,tblMatriculas[[#This Row],[Código]])&gt;0,"Sí","No")</f>
        <v>Sí</v>
      </c>
      <c r="Z562" s="23" cm="1">
        <f t="array" ref="Z562">_xlfn.XLOOKUP(tblMatriculas[[#This Row],[Cédula]]&amp;"|"&amp;tblMatriculas[[#This Row],[Código]],tblBase[Documento]&amp;"|"&amp;tblBase[Código grupo],tblBase[Fecha matrícula],"")</f>
        <v>46262</v>
      </c>
    </row>
    <row r="563" spans="1:26" x14ac:dyDescent="0.2">
      <c r="A563" t="s">
        <v>1225</v>
      </c>
      <c r="B563" t="s">
        <v>1226</v>
      </c>
      <c r="C563" t="s">
        <v>13</v>
      </c>
      <c r="D563" t="s">
        <v>1217</v>
      </c>
      <c r="E563" t="s">
        <v>1218</v>
      </c>
      <c r="F563" t="s">
        <v>335</v>
      </c>
      <c r="G563" s="1">
        <v>0.16699999999999998</v>
      </c>
      <c r="H563" t="s">
        <v>229</v>
      </c>
      <c r="I563" t="s">
        <v>1145</v>
      </c>
      <c r="J563" t="s">
        <v>1219</v>
      </c>
      <c r="K563" t="s">
        <v>1220</v>
      </c>
      <c r="L563" s="14">
        <f>IFERROR(VALUE(LEFT(tblMatriculas[[#This Row],[Clases]],FIND("/",tblMatriculas[[#This Row],[Clases]])-1)),"")</f>
        <v>5</v>
      </c>
      <c r="M563" s="14">
        <f>IFERROR(VALUE(MID(tblMatriculas[[#This Row],[Clases]],FIND("/",tblMatriculas[[#This Row],[Clases]])+1,5)),"")</f>
        <v>30</v>
      </c>
      <c r="N5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3" s="14">
        <f>IF(OR(tblMatriculas[[#This Row],[Estado]]&lt;&gt;"activa",tblMatriculas[[#This Row],[Clases dictadas]]=""),"",MAX(0,tblMatriculas[[#This Row],[Clases dictadas]]-tblMatriculas[[#This Row],[Asistidas]]))</f>
        <v>0</v>
      </c>
      <c r="P563" s="1">
        <f>IF(OR(tblMatriculas[[#This Row],[Estado]]&lt;&gt;"activa",tblMatriculas[[#This Row],[Asistidas]]=""),"",tblMatriculas[[#This Row],[Asistencia]])</f>
        <v>0.16699999999999998</v>
      </c>
      <c r="Q563" t="b">
        <f>AND(tblMatriculas[[#This Row],[Estado]]="activa",ISNUMBER(tblMatriculas[[#This Row],[% asistencia]]),NOT(ISNUMBER(SEARCH(pPrueba,tblMatriculas[[#This Row],[Nombre]]))))</f>
        <v>1</v>
      </c>
      <c r="R5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3" s="23" t="str" cm="1">
        <f t="array" ref="S5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3" s="23" t="str" cm="1">
        <f t="array" ref="T5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3" s="14" t="str" cm="1">
        <f t="array" ref="U5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3" t="str" cm="1">
        <f t="array" ref="V5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3" t="str" cm="1">
        <f t="array" ref="W5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3" t="str">
        <f>IF(COUNTIFS('Base Estudiantes'!$C:$C,tblMatriculas[[#This Row],[Cédula]],'Base Estudiantes'!$I:$I,tblMatriculas[[#This Row],[Código]])&gt;0,"Sí","No")</f>
        <v>Sí</v>
      </c>
      <c r="Z563" s="23" cm="1">
        <f t="array" ref="Z563">_xlfn.XLOOKUP(tblMatriculas[[#This Row],[Cédula]]&amp;"|"&amp;tblMatriculas[[#This Row],[Código]],tblBase[Documento]&amp;"|"&amp;tblBase[Código grupo],tblBase[Fecha matrícula],"")</f>
        <v>46262</v>
      </c>
    </row>
    <row r="564" spans="1:26" x14ac:dyDescent="0.2">
      <c r="A564" t="s">
        <v>1227</v>
      </c>
      <c r="B564" t="s">
        <v>1228</v>
      </c>
      <c r="C564" t="s">
        <v>13</v>
      </c>
      <c r="D564" t="s">
        <v>1217</v>
      </c>
      <c r="E564" t="s">
        <v>1218</v>
      </c>
      <c r="F564" t="s">
        <v>335</v>
      </c>
      <c r="G564" s="1">
        <v>0.16699999999999998</v>
      </c>
      <c r="H564" t="s">
        <v>229</v>
      </c>
      <c r="I564" t="s">
        <v>1145</v>
      </c>
      <c r="J564" t="s">
        <v>1219</v>
      </c>
      <c r="K564" t="s">
        <v>24</v>
      </c>
      <c r="L564" s="14">
        <f>IFERROR(VALUE(LEFT(tblMatriculas[[#This Row],[Clases]],FIND("/",tblMatriculas[[#This Row],[Clases]])-1)),"")</f>
        <v>5</v>
      </c>
      <c r="M564" s="14">
        <f>IFERROR(VALUE(MID(tblMatriculas[[#This Row],[Clases]],FIND("/",tblMatriculas[[#This Row],[Clases]])+1,5)),"")</f>
        <v>30</v>
      </c>
      <c r="N5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4" s="14">
        <f>IF(OR(tblMatriculas[[#This Row],[Estado]]&lt;&gt;"activa",tblMatriculas[[#This Row],[Clases dictadas]]=""),"",MAX(0,tblMatriculas[[#This Row],[Clases dictadas]]-tblMatriculas[[#This Row],[Asistidas]]))</f>
        <v>0</v>
      </c>
      <c r="P564" s="1">
        <f>IF(OR(tblMatriculas[[#This Row],[Estado]]&lt;&gt;"activa",tblMatriculas[[#This Row],[Asistidas]]=""),"",tblMatriculas[[#This Row],[Asistencia]])</f>
        <v>0.16699999999999998</v>
      </c>
      <c r="Q564" t="b">
        <f>AND(tblMatriculas[[#This Row],[Estado]]="activa",ISNUMBER(tblMatriculas[[#This Row],[% asistencia]]),NOT(ISNUMBER(SEARCH(pPrueba,tblMatriculas[[#This Row],[Nombre]]))))</f>
        <v>1</v>
      </c>
      <c r="R5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4" s="23" t="str" cm="1">
        <f t="array" ref="S5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4" s="23" t="str" cm="1">
        <f t="array" ref="T5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4" s="14" t="str" cm="1">
        <f t="array" ref="U5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4" t="str" cm="1">
        <f t="array" ref="V5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4" t="str" cm="1">
        <f t="array" ref="W5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4" t="str">
        <f>IF(COUNTIFS('Base Estudiantes'!$C:$C,tblMatriculas[[#This Row],[Cédula]],'Base Estudiantes'!$I:$I,tblMatriculas[[#This Row],[Código]])&gt;0,"Sí","No")</f>
        <v>Sí</v>
      </c>
      <c r="Z564" s="23" cm="1">
        <f t="array" ref="Z564">_xlfn.XLOOKUP(tblMatriculas[[#This Row],[Cédula]]&amp;"|"&amp;tblMatriculas[[#This Row],[Código]],tblBase[Documento]&amp;"|"&amp;tblBase[Código grupo],tblBase[Fecha matrícula],"")</f>
        <v>46262</v>
      </c>
    </row>
    <row r="565" spans="1:26" x14ac:dyDescent="0.2">
      <c r="A565" t="s">
        <v>1229</v>
      </c>
      <c r="B565" t="s">
        <v>1230</v>
      </c>
      <c r="C565" t="s">
        <v>13</v>
      </c>
      <c r="D565" t="s">
        <v>1217</v>
      </c>
      <c r="E565" t="s">
        <v>1218</v>
      </c>
      <c r="F565" t="s">
        <v>335</v>
      </c>
      <c r="G565" s="1">
        <v>3.3000000000000002E-2</v>
      </c>
      <c r="H565" t="s">
        <v>225</v>
      </c>
      <c r="I565" t="s">
        <v>1145</v>
      </c>
      <c r="J565" t="s">
        <v>1219</v>
      </c>
      <c r="K565" t="s">
        <v>24</v>
      </c>
      <c r="L565" s="14">
        <f>IFERROR(VALUE(LEFT(tblMatriculas[[#This Row],[Clases]],FIND("/",tblMatriculas[[#This Row],[Clases]])-1)),"")</f>
        <v>1</v>
      </c>
      <c r="M565" s="14">
        <f>IFERROR(VALUE(MID(tblMatriculas[[#This Row],[Clases]],FIND("/",tblMatriculas[[#This Row],[Clases]])+1,5)),"")</f>
        <v>30</v>
      </c>
      <c r="N5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5" s="14">
        <f>IF(OR(tblMatriculas[[#This Row],[Estado]]&lt;&gt;"activa",tblMatriculas[[#This Row],[Clases dictadas]]=""),"",MAX(0,tblMatriculas[[#This Row],[Clases dictadas]]-tblMatriculas[[#This Row],[Asistidas]]))</f>
        <v>4</v>
      </c>
      <c r="P565" s="1">
        <f>IF(OR(tblMatriculas[[#This Row],[Estado]]&lt;&gt;"activa",tblMatriculas[[#This Row],[Asistidas]]=""),"",tblMatriculas[[#This Row],[Asistencia]])</f>
        <v>3.3000000000000002E-2</v>
      </c>
      <c r="Q565" t="b">
        <f>AND(tblMatriculas[[#This Row],[Estado]]="activa",ISNUMBER(tblMatriculas[[#This Row],[% asistencia]]),NOT(ISNUMBER(SEARCH(pPrueba,tblMatriculas[[#This Row],[Nombre]]))))</f>
        <v>1</v>
      </c>
      <c r="R5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65" s="23" t="str" cm="1">
        <f t="array" ref="S5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5" s="23" t="str" cm="1">
        <f t="array" ref="T5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5" s="14" t="str" cm="1">
        <f t="array" ref="U5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5" t="str" cm="1">
        <f t="array" ref="V5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5" t="str" cm="1">
        <f t="array" ref="W5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65" t="str">
        <f>IF(COUNTIFS('Base Estudiantes'!$C:$C,tblMatriculas[[#This Row],[Cédula]],'Base Estudiantes'!$I:$I,tblMatriculas[[#This Row],[Código]])&gt;0,"Sí","No")</f>
        <v>Sí</v>
      </c>
      <c r="Z565" s="23" cm="1">
        <f t="array" ref="Z565">_xlfn.XLOOKUP(tblMatriculas[[#This Row],[Cédula]]&amp;"|"&amp;tblMatriculas[[#This Row],[Código]],tblBase[Documento]&amp;"|"&amp;tblBase[Código grupo],tblBase[Fecha matrícula],"")</f>
        <v>46262</v>
      </c>
    </row>
    <row r="566" spans="1:26" x14ac:dyDescent="0.2">
      <c r="A566" t="s">
        <v>1231</v>
      </c>
      <c r="B566" t="s">
        <v>1232</v>
      </c>
      <c r="C566" t="s">
        <v>13</v>
      </c>
      <c r="D566" t="s">
        <v>1217</v>
      </c>
      <c r="E566" t="s">
        <v>1218</v>
      </c>
      <c r="F566" t="s">
        <v>335</v>
      </c>
      <c r="G566" s="1">
        <v>3.3000000000000002E-2</v>
      </c>
      <c r="H566" t="s">
        <v>225</v>
      </c>
      <c r="I566" t="s">
        <v>1145</v>
      </c>
      <c r="J566" t="s">
        <v>1219</v>
      </c>
      <c r="K566" t="s">
        <v>24</v>
      </c>
      <c r="L566" s="14">
        <f>IFERROR(VALUE(LEFT(tblMatriculas[[#This Row],[Clases]],FIND("/",tblMatriculas[[#This Row],[Clases]])-1)),"")</f>
        <v>1</v>
      </c>
      <c r="M566" s="14">
        <f>IFERROR(VALUE(MID(tblMatriculas[[#This Row],[Clases]],FIND("/",tblMatriculas[[#This Row],[Clases]])+1,5)),"")</f>
        <v>30</v>
      </c>
      <c r="N5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6" s="14">
        <f>IF(OR(tblMatriculas[[#This Row],[Estado]]&lt;&gt;"activa",tblMatriculas[[#This Row],[Clases dictadas]]=""),"",MAX(0,tblMatriculas[[#This Row],[Clases dictadas]]-tblMatriculas[[#This Row],[Asistidas]]))</f>
        <v>4</v>
      </c>
      <c r="P566" s="1">
        <f>IF(OR(tblMatriculas[[#This Row],[Estado]]&lt;&gt;"activa",tblMatriculas[[#This Row],[Asistidas]]=""),"",tblMatriculas[[#This Row],[Asistencia]])</f>
        <v>3.3000000000000002E-2</v>
      </c>
      <c r="Q566" t="b">
        <f>AND(tblMatriculas[[#This Row],[Estado]]="activa",ISNUMBER(tblMatriculas[[#This Row],[% asistencia]]),NOT(ISNUMBER(SEARCH(pPrueba,tblMatriculas[[#This Row],[Nombre]]))))</f>
        <v>1</v>
      </c>
      <c r="R5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66" s="23" t="str" cm="1">
        <f t="array" ref="S5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6" s="23" t="str" cm="1">
        <f t="array" ref="T5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6" s="14" t="str" cm="1">
        <f t="array" ref="U5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6" t="str" cm="1">
        <f t="array" ref="V5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6" t="str" cm="1">
        <f t="array" ref="W5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66" t="str">
        <f>IF(COUNTIFS('Base Estudiantes'!$C:$C,tblMatriculas[[#This Row],[Cédula]],'Base Estudiantes'!$I:$I,tblMatriculas[[#This Row],[Código]])&gt;0,"Sí","No")</f>
        <v>Sí</v>
      </c>
      <c r="Z566" s="23" cm="1">
        <f t="array" ref="Z566">_xlfn.XLOOKUP(tblMatriculas[[#This Row],[Cédula]]&amp;"|"&amp;tblMatriculas[[#This Row],[Código]],tblBase[Documento]&amp;"|"&amp;tblBase[Código grupo],tblBase[Fecha matrícula],"")</f>
        <v>46262</v>
      </c>
    </row>
    <row r="567" spans="1:26" x14ac:dyDescent="0.2">
      <c r="A567" t="s">
        <v>1233</v>
      </c>
      <c r="B567" t="s">
        <v>1234</v>
      </c>
      <c r="C567" t="s">
        <v>13</v>
      </c>
      <c r="D567" t="s">
        <v>1217</v>
      </c>
      <c r="E567" t="s">
        <v>1218</v>
      </c>
      <c r="F567" t="s">
        <v>335</v>
      </c>
      <c r="G567" s="1">
        <v>0.16699999999999998</v>
      </c>
      <c r="H567" t="s">
        <v>229</v>
      </c>
      <c r="I567" t="s">
        <v>1145</v>
      </c>
      <c r="J567" t="s">
        <v>1219</v>
      </c>
      <c r="K567" t="s">
        <v>24</v>
      </c>
      <c r="L567" s="14">
        <f>IFERROR(VALUE(LEFT(tblMatriculas[[#This Row],[Clases]],FIND("/",tblMatriculas[[#This Row],[Clases]])-1)),"")</f>
        <v>5</v>
      </c>
      <c r="M567" s="14">
        <f>IFERROR(VALUE(MID(tblMatriculas[[#This Row],[Clases]],FIND("/",tblMatriculas[[#This Row],[Clases]])+1,5)),"")</f>
        <v>30</v>
      </c>
      <c r="N5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7" s="14">
        <f>IF(OR(tblMatriculas[[#This Row],[Estado]]&lt;&gt;"activa",tblMatriculas[[#This Row],[Clases dictadas]]=""),"",MAX(0,tblMatriculas[[#This Row],[Clases dictadas]]-tblMatriculas[[#This Row],[Asistidas]]))</f>
        <v>0</v>
      </c>
      <c r="P567" s="1">
        <f>IF(OR(tblMatriculas[[#This Row],[Estado]]&lt;&gt;"activa",tblMatriculas[[#This Row],[Asistidas]]=""),"",tblMatriculas[[#This Row],[Asistencia]])</f>
        <v>0.16699999999999998</v>
      </c>
      <c r="Q567" t="b">
        <f>AND(tblMatriculas[[#This Row],[Estado]]="activa",ISNUMBER(tblMatriculas[[#This Row],[% asistencia]]),NOT(ISNUMBER(SEARCH(pPrueba,tblMatriculas[[#This Row],[Nombre]]))))</f>
        <v>1</v>
      </c>
      <c r="R5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7" s="23" t="str" cm="1">
        <f t="array" ref="S5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7" s="23" t="str" cm="1">
        <f t="array" ref="T5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7" s="14" t="str" cm="1">
        <f t="array" ref="U5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7" t="str" cm="1">
        <f t="array" ref="V5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7" t="str" cm="1">
        <f t="array" ref="W5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7" t="str">
        <f>IF(COUNTIFS('Base Estudiantes'!$C:$C,tblMatriculas[[#This Row],[Cédula]],'Base Estudiantes'!$I:$I,tblMatriculas[[#This Row],[Código]])&gt;0,"Sí","No")</f>
        <v>Sí</v>
      </c>
      <c r="Z567" s="23" cm="1">
        <f t="array" ref="Z567">_xlfn.XLOOKUP(tblMatriculas[[#This Row],[Cédula]]&amp;"|"&amp;tblMatriculas[[#This Row],[Código]],tblBase[Documento]&amp;"|"&amp;tblBase[Código grupo],tblBase[Fecha matrícula],"")</f>
        <v>46262</v>
      </c>
    </row>
    <row r="568" spans="1:26" x14ac:dyDescent="0.2">
      <c r="A568" t="s">
        <v>1235</v>
      </c>
      <c r="B568" t="s">
        <v>1236</v>
      </c>
      <c r="C568" t="s">
        <v>13</v>
      </c>
      <c r="D568" t="s">
        <v>1217</v>
      </c>
      <c r="E568" t="s">
        <v>1218</v>
      </c>
      <c r="F568" t="s">
        <v>335</v>
      </c>
      <c r="G568" s="1">
        <v>0.16699999999999998</v>
      </c>
      <c r="H568" t="s">
        <v>229</v>
      </c>
      <c r="I568" t="s">
        <v>1145</v>
      </c>
      <c r="J568" t="s">
        <v>1219</v>
      </c>
      <c r="K568" t="s">
        <v>24</v>
      </c>
      <c r="L568" s="14">
        <f>IFERROR(VALUE(LEFT(tblMatriculas[[#This Row],[Clases]],FIND("/",tblMatriculas[[#This Row],[Clases]])-1)),"")</f>
        <v>5</v>
      </c>
      <c r="M568" s="14">
        <f>IFERROR(VALUE(MID(tblMatriculas[[#This Row],[Clases]],FIND("/",tblMatriculas[[#This Row],[Clases]])+1,5)),"")</f>
        <v>30</v>
      </c>
      <c r="N5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8" s="14">
        <f>IF(OR(tblMatriculas[[#This Row],[Estado]]&lt;&gt;"activa",tblMatriculas[[#This Row],[Clases dictadas]]=""),"",MAX(0,tblMatriculas[[#This Row],[Clases dictadas]]-tblMatriculas[[#This Row],[Asistidas]]))</f>
        <v>0</v>
      </c>
      <c r="P568" s="1">
        <f>IF(OR(tblMatriculas[[#This Row],[Estado]]&lt;&gt;"activa",tblMatriculas[[#This Row],[Asistidas]]=""),"",tblMatriculas[[#This Row],[Asistencia]])</f>
        <v>0.16699999999999998</v>
      </c>
      <c r="Q568" t="b">
        <f>AND(tblMatriculas[[#This Row],[Estado]]="activa",ISNUMBER(tblMatriculas[[#This Row],[% asistencia]]),NOT(ISNUMBER(SEARCH(pPrueba,tblMatriculas[[#This Row],[Nombre]]))))</f>
        <v>1</v>
      </c>
      <c r="R5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8" s="23" t="str" cm="1">
        <f t="array" ref="S5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8" s="23" t="str" cm="1">
        <f t="array" ref="T5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8" s="14" t="str" cm="1">
        <f t="array" ref="U5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8" t="str" cm="1">
        <f t="array" ref="V5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8" t="str" cm="1">
        <f t="array" ref="W5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8" t="str">
        <f>IF(COUNTIFS('Base Estudiantes'!$C:$C,tblMatriculas[[#This Row],[Cédula]],'Base Estudiantes'!$I:$I,tblMatriculas[[#This Row],[Código]])&gt;0,"Sí","No")</f>
        <v>Sí</v>
      </c>
      <c r="Z568" s="23" cm="1">
        <f t="array" ref="Z568">_xlfn.XLOOKUP(tblMatriculas[[#This Row],[Cédula]]&amp;"|"&amp;tblMatriculas[[#This Row],[Código]],tblBase[Documento]&amp;"|"&amp;tblBase[Código grupo],tblBase[Fecha matrícula],"")</f>
        <v>46262</v>
      </c>
    </row>
    <row r="569" spans="1:26" x14ac:dyDescent="0.2">
      <c r="A569" t="s">
        <v>1237</v>
      </c>
      <c r="B569" t="s">
        <v>1238</v>
      </c>
      <c r="C569" t="s">
        <v>13</v>
      </c>
      <c r="D569" t="s">
        <v>1217</v>
      </c>
      <c r="E569" t="s">
        <v>1218</v>
      </c>
      <c r="F569" t="s">
        <v>335</v>
      </c>
      <c r="G569" s="1">
        <v>0.13300000000000001</v>
      </c>
      <c r="H569" t="s">
        <v>112</v>
      </c>
      <c r="I569" t="s">
        <v>1145</v>
      </c>
      <c r="J569" t="s">
        <v>1219</v>
      </c>
      <c r="K569" t="s">
        <v>24</v>
      </c>
      <c r="L569" s="14">
        <f>IFERROR(VALUE(LEFT(tblMatriculas[[#This Row],[Clases]],FIND("/",tblMatriculas[[#This Row],[Clases]])-1)),"")</f>
        <v>4</v>
      </c>
      <c r="M569" s="14">
        <f>IFERROR(VALUE(MID(tblMatriculas[[#This Row],[Clases]],FIND("/",tblMatriculas[[#This Row],[Clases]])+1,5)),"")</f>
        <v>30</v>
      </c>
      <c r="N5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69" s="14">
        <f>IF(OR(tblMatriculas[[#This Row],[Estado]]&lt;&gt;"activa",tblMatriculas[[#This Row],[Clases dictadas]]=""),"",MAX(0,tblMatriculas[[#This Row],[Clases dictadas]]-tblMatriculas[[#This Row],[Asistidas]]))</f>
        <v>1</v>
      </c>
      <c r="P569" s="1">
        <f>IF(OR(tblMatriculas[[#This Row],[Estado]]&lt;&gt;"activa",tblMatriculas[[#This Row],[Asistidas]]=""),"",tblMatriculas[[#This Row],[Asistencia]])</f>
        <v>0.13300000000000001</v>
      </c>
      <c r="Q569" t="b">
        <f>AND(tblMatriculas[[#This Row],[Estado]]="activa",ISNUMBER(tblMatriculas[[#This Row],[% asistencia]]),NOT(ISNUMBER(SEARCH(pPrueba,tblMatriculas[[#This Row],[Nombre]]))))</f>
        <v>1</v>
      </c>
      <c r="R5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69" s="23" t="str" cm="1">
        <f t="array" ref="S5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69" s="23" t="str" cm="1">
        <f t="array" ref="T5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69" s="14" t="str" cm="1">
        <f t="array" ref="U5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69" t="str" cm="1">
        <f t="array" ref="V5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69" t="str" cm="1">
        <f t="array" ref="W5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69" t="str">
        <f>IF(COUNTIFS('Base Estudiantes'!$C:$C,tblMatriculas[[#This Row],[Cédula]],'Base Estudiantes'!$I:$I,tblMatriculas[[#This Row],[Código]])&gt;0,"Sí","No")</f>
        <v>Sí</v>
      </c>
      <c r="Z569" s="23" cm="1">
        <f t="array" ref="Z569">_xlfn.XLOOKUP(tblMatriculas[[#This Row],[Cédula]]&amp;"|"&amp;tblMatriculas[[#This Row],[Código]],tblBase[Documento]&amp;"|"&amp;tblBase[Código grupo],tblBase[Fecha matrícula],"")</f>
        <v>46262</v>
      </c>
    </row>
    <row r="570" spans="1:26" x14ac:dyDescent="0.2">
      <c r="A570" t="s">
        <v>1239</v>
      </c>
      <c r="B570" t="s">
        <v>1240</v>
      </c>
      <c r="C570" t="s">
        <v>13</v>
      </c>
      <c r="D570" t="s">
        <v>1217</v>
      </c>
      <c r="E570" t="s">
        <v>1218</v>
      </c>
      <c r="F570" t="s">
        <v>335</v>
      </c>
      <c r="G570" s="1">
        <v>0.16699999999999998</v>
      </c>
      <c r="H570" t="s">
        <v>229</v>
      </c>
      <c r="I570" t="s">
        <v>1145</v>
      </c>
      <c r="J570" t="s">
        <v>1219</v>
      </c>
      <c r="K570" t="s">
        <v>24</v>
      </c>
      <c r="L570" s="14">
        <f>IFERROR(VALUE(LEFT(tblMatriculas[[#This Row],[Clases]],FIND("/",tblMatriculas[[#This Row],[Clases]])-1)),"")</f>
        <v>5</v>
      </c>
      <c r="M570" s="14">
        <f>IFERROR(VALUE(MID(tblMatriculas[[#This Row],[Clases]],FIND("/",tblMatriculas[[#This Row],[Clases]])+1,5)),"")</f>
        <v>30</v>
      </c>
      <c r="N5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0" s="14">
        <f>IF(OR(tblMatriculas[[#This Row],[Estado]]&lt;&gt;"activa",tblMatriculas[[#This Row],[Clases dictadas]]=""),"",MAX(0,tblMatriculas[[#This Row],[Clases dictadas]]-tblMatriculas[[#This Row],[Asistidas]]))</f>
        <v>0</v>
      </c>
      <c r="P570" s="1">
        <f>IF(OR(tblMatriculas[[#This Row],[Estado]]&lt;&gt;"activa",tblMatriculas[[#This Row],[Asistidas]]=""),"",tblMatriculas[[#This Row],[Asistencia]])</f>
        <v>0.16699999999999998</v>
      </c>
      <c r="Q570" t="b">
        <f>AND(tblMatriculas[[#This Row],[Estado]]="activa",ISNUMBER(tblMatriculas[[#This Row],[% asistencia]]),NOT(ISNUMBER(SEARCH(pPrueba,tblMatriculas[[#This Row],[Nombre]]))))</f>
        <v>1</v>
      </c>
      <c r="R5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0" s="23" t="str" cm="1">
        <f t="array" ref="S5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0" s="23" t="str" cm="1">
        <f t="array" ref="T5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0" s="14" t="str" cm="1">
        <f t="array" ref="U5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0" t="str" cm="1">
        <f t="array" ref="V5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0" t="str" cm="1">
        <f t="array" ref="W5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0" t="str">
        <f>IF(COUNTIFS('Base Estudiantes'!$C:$C,tblMatriculas[[#This Row],[Cédula]],'Base Estudiantes'!$I:$I,tblMatriculas[[#This Row],[Código]])&gt;0,"Sí","No")</f>
        <v>Sí</v>
      </c>
      <c r="Z570" s="23" cm="1">
        <f t="array" ref="Z570">_xlfn.XLOOKUP(tblMatriculas[[#This Row],[Cédula]]&amp;"|"&amp;tblMatriculas[[#This Row],[Código]],tblBase[Documento]&amp;"|"&amp;tblBase[Código grupo],tblBase[Fecha matrícula],"")</f>
        <v>46262</v>
      </c>
    </row>
    <row r="571" spans="1:26" x14ac:dyDescent="0.2">
      <c r="A571" t="s">
        <v>1241</v>
      </c>
      <c r="B571" t="s">
        <v>1242</v>
      </c>
      <c r="C571" t="s">
        <v>13</v>
      </c>
      <c r="D571" t="s">
        <v>1217</v>
      </c>
      <c r="E571" t="s">
        <v>1218</v>
      </c>
      <c r="F571" t="s">
        <v>335</v>
      </c>
      <c r="G571" s="1">
        <v>0.13300000000000001</v>
      </c>
      <c r="H571" t="s">
        <v>112</v>
      </c>
      <c r="I571" t="s">
        <v>1145</v>
      </c>
      <c r="J571" t="s">
        <v>1219</v>
      </c>
      <c r="K571" t="s">
        <v>24</v>
      </c>
      <c r="L571" s="14">
        <f>IFERROR(VALUE(LEFT(tblMatriculas[[#This Row],[Clases]],FIND("/",tblMatriculas[[#This Row],[Clases]])-1)),"")</f>
        <v>4</v>
      </c>
      <c r="M571" s="14">
        <f>IFERROR(VALUE(MID(tblMatriculas[[#This Row],[Clases]],FIND("/",tblMatriculas[[#This Row],[Clases]])+1,5)),"")</f>
        <v>30</v>
      </c>
      <c r="N5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1" s="14">
        <f>IF(OR(tblMatriculas[[#This Row],[Estado]]&lt;&gt;"activa",tblMatriculas[[#This Row],[Clases dictadas]]=""),"",MAX(0,tblMatriculas[[#This Row],[Clases dictadas]]-tblMatriculas[[#This Row],[Asistidas]]))</f>
        <v>1</v>
      </c>
      <c r="P571" s="1">
        <f>IF(OR(tblMatriculas[[#This Row],[Estado]]&lt;&gt;"activa",tblMatriculas[[#This Row],[Asistidas]]=""),"",tblMatriculas[[#This Row],[Asistencia]])</f>
        <v>0.13300000000000001</v>
      </c>
      <c r="Q571" t="b">
        <f>AND(tblMatriculas[[#This Row],[Estado]]="activa",ISNUMBER(tblMatriculas[[#This Row],[% asistencia]]),NOT(ISNUMBER(SEARCH(pPrueba,tblMatriculas[[#This Row],[Nombre]]))))</f>
        <v>1</v>
      </c>
      <c r="R5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1" s="23" t="str" cm="1">
        <f t="array" ref="S5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1" s="23" t="str" cm="1">
        <f t="array" ref="T5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1" s="14" t="str" cm="1">
        <f t="array" ref="U5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1" t="str" cm="1">
        <f t="array" ref="V5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1" t="str" cm="1">
        <f t="array" ref="W5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1" t="str">
        <f>IF(COUNTIFS('Base Estudiantes'!$C:$C,tblMatriculas[[#This Row],[Cédula]],'Base Estudiantes'!$I:$I,tblMatriculas[[#This Row],[Código]])&gt;0,"Sí","No")</f>
        <v>Sí</v>
      </c>
      <c r="Z571" s="23" cm="1">
        <f t="array" ref="Z571">_xlfn.XLOOKUP(tblMatriculas[[#This Row],[Cédula]]&amp;"|"&amp;tblMatriculas[[#This Row],[Código]],tblBase[Documento]&amp;"|"&amp;tblBase[Código grupo],tblBase[Fecha matrícula],"")</f>
        <v>46262</v>
      </c>
    </row>
    <row r="572" spans="1:26" x14ac:dyDescent="0.2">
      <c r="A572" t="s">
        <v>1243</v>
      </c>
      <c r="B572" t="s">
        <v>1244</v>
      </c>
      <c r="C572" t="s">
        <v>13</v>
      </c>
      <c r="D572" t="s">
        <v>1217</v>
      </c>
      <c r="E572" t="s">
        <v>1218</v>
      </c>
      <c r="F572" t="s">
        <v>335</v>
      </c>
      <c r="G572" s="1">
        <v>0.16699999999999998</v>
      </c>
      <c r="H572" t="s">
        <v>229</v>
      </c>
      <c r="I572" t="s">
        <v>1145</v>
      </c>
      <c r="J572" t="s">
        <v>1219</v>
      </c>
      <c r="K572" t="s">
        <v>24</v>
      </c>
      <c r="L572" s="14">
        <f>IFERROR(VALUE(LEFT(tblMatriculas[[#This Row],[Clases]],FIND("/",tblMatriculas[[#This Row],[Clases]])-1)),"")</f>
        <v>5</v>
      </c>
      <c r="M572" s="14">
        <f>IFERROR(VALUE(MID(tblMatriculas[[#This Row],[Clases]],FIND("/",tblMatriculas[[#This Row],[Clases]])+1,5)),"")</f>
        <v>30</v>
      </c>
      <c r="N5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2" s="14">
        <f>IF(OR(tblMatriculas[[#This Row],[Estado]]&lt;&gt;"activa",tblMatriculas[[#This Row],[Clases dictadas]]=""),"",MAX(0,tblMatriculas[[#This Row],[Clases dictadas]]-tblMatriculas[[#This Row],[Asistidas]]))</f>
        <v>0</v>
      </c>
      <c r="P572" s="1">
        <f>IF(OR(tblMatriculas[[#This Row],[Estado]]&lt;&gt;"activa",tblMatriculas[[#This Row],[Asistidas]]=""),"",tblMatriculas[[#This Row],[Asistencia]])</f>
        <v>0.16699999999999998</v>
      </c>
      <c r="Q572" t="b">
        <f>AND(tblMatriculas[[#This Row],[Estado]]="activa",ISNUMBER(tblMatriculas[[#This Row],[% asistencia]]),NOT(ISNUMBER(SEARCH(pPrueba,tblMatriculas[[#This Row],[Nombre]]))))</f>
        <v>1</v>
      </c>
      <c r="R5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2" s="23" t="str" cm="1">
        <f t="array" ref="S5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2" s="23" t="str" cm="1">
        <f t="array" ref="T5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2" s="14" t="str" cm="1">
        <f t="array" ref="U5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2" t="str" cm="1">
        <f t="array" ref="V5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2" t="str" cm="1">
        <f t="array" ref="W5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2" t="str">
        <f>IF(COUNTIFS('Base Estudiantes'!$C:$C,tblMatriculas[[#This Row],[Cédula]],'Base Estudiantes'!$I:$I,tblMatriculas[[#This Row],[Código]])&gt;0,"Sí","No")</f>
        <v>Sí</v>
      </c>
      <c r="Z572" s="23" cm="1">
        <f t="array" ref="Z572">_xlfn.XLOOKUP(tblMatriculas[[#This Row],[Cédula]]&amp;"|"&amp;tblMatriculas[[#This Row],[Código]],tblBase[Documento]&amp;"|"&amp;tblBase[Código grupo],tblBase[Fecha matrícula],"")</f>
        <v>46262</v>
      </c>
    </row>
    <row r="573" spans="1:26" x14ac:dyDescent="0.2">
      <c r="A573" t="s">
        <v>1245</v>
      </c>
      <c r="B573" t="s">
        <v>1246</v>
      </c>
      <c r="C573" t="s">
        <v>13</v>
      </c>
      <c r="D573" t="s">
        <v>1217</v>
      </c>
      <c r="E573" t="s">
        <v>1218</v>
      </c>
      <c r="F573" t="s">
        <v>335</v>
      </c>
      <c r="G573" s="1">
        <v>0.16699999999999998</v>
      </c>
      <c r="H573" t="s">
        <v>229</v>
      </c>
      <c r="I573" t="s">
        <v>1145</v>
      </c>
      <c r="J573" t="s">
        <v>1219</v>
      </c>
      <c r="K573" t="s">
        <v>24</v>
      </c>
      <c r="L573" s="14">
        <f>IFERROR(VALUE(LEFT(tblMatriculas[[#This Row],[Clases]],FIND("/",tblMatriculas[[#This Row],[Clases]])-1)),"")</f>
        <v>5</v>
      </c>
      <c r="M573" s="14">
        <f>IFERROR(VALUE(MID(tblMatriculas[[#This Row],[Clases]],FIND("/",tblMatriculas[[#This Row],[Clases]])+1,5)),"")</f>
        <v>30</v>
      </c>
      <c r="N5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3" s="14">
        <f>IF(OR(tblMatriculas[[#This Row],[Estado]]&lt;&gt;"activa",tblMatriculas[[#This Row],[Clases dictadas]]=""),"",MAX(0,tblMatriculas[[#This Row],[Clases dictadas]]-tblMatriculas[[#This Row],[Asistidas]]))</f>
        <v>0</v>
      </c>
      <c r="P573" s="1">
        <f>IF(OR(tblMatriculas[[#This Row],[Estado]]&lt;&gt;"activa",tblMatriculas[[#This Row],[Asistidas]]=""),"",tblMatriculas[[#This Row],[Asistencia]])</f>
        <v>0.16699999999999998</v>
      </c>
      <c r="Q573" t="b">
        <f>AND(tblMatriculas[[#This Row],[Estado]]="activa",ISNUMBER(tblMatriculas[[#This Row],[% asistencia]]),NOT(ISNUMBER(SEARCH(pPrueba,tblMatriculas[[#This Row],[Nombre]]))))</f>
        <v>1</v>
      </c>
      <c r="R5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3" s="23" t="str" cm="1">
        <f t="array" ref="S5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3" s="23" t="str" cm="1">
        <f t="array" ref="T5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3" s="14" t="str" cm="1">
        <f t="array" ref="U5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3" t="str" cm="1">
        <f t="array" ref="V5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3" t="str" cm="1">
        <f t="array" ref="W5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3" t="str">
        <f>IF(COUNTIFS('Base Estudiantes'!$C:$C,tblMatriculas[[#This Row],[Cédula]],'Base Estudiantes'!$I:$I,tblMatriculas[[#This Row],[Código]])&gt;0,"Sí","No")</f>
        <v>Sí</v>
      </c>
      <c r="Z573" s="23" cm="1">
        <f t="array" ref="Z573">_xlfn.XLOOKUP(tblMatriculas[[#This Row],[Cédula]]&amp;"|"&amp;tblMatriculas[[#This Row],[Código]],tblBase[Documento]&amp;"|"&amp;tblBase[Código grupo],tblBase[Fecha matrícula],"")</f>
        <v>46262</v>
      </c>
    </row>
    <row r="574" spans="1:26" x14ac:dyDescent="0.2">
      <c r="A574" t="s">
        <v>1247</v>
      </c>
      <c r="B574" t="s">
        <v>1248</v>
      </c>
      <c r="C574" t="s">
        <v>13</v>
      </c>
      <c r="D574" t="s">
        <v>1217</v>
      </c>
      <c r="E574" t="s">
        <v>1218</v>
      </c>
      <c r="F574" t="s">
        <v>335</v>
      </c>
      <c r="G574" s="1">
        <v>0.13300000000000001</v>
      </c>
      <c r="H574" t="s">
        <v>112</v>
      </c>
      <c r="I574" t="s">
        <v>1145</v>
      </c>
      <c r="J574" t="s">
        <v>1219</v>
      </c>
      <c r="K574" t="s">
        <v>24</v>
      </c>
      <c r="L574" s="14">
        <f>IFERROR(VALUE(LEFT(tblMatriculas[[#This Row],[Clases]],FIND("/",tblMatriculas[[#This Row],[Clases]])-1)),"")</f>
        <v>4</v>
      </c>
      <c r="M574" s="14">
        <f>IFERROR(VALUE(MID(tblMatriculas[[#This Row],[Clases]],FIND("/",tblMatriculas[[#This Row],[Clases]])+1,5)),"")</f>
        <v>30</v>
      </c>
      <c r="N5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4" s="14">
        <f>IF(OR(tblMatriculas[[#This Row],[Estado]]&lt;&gt;"activa",tblMatriculas[[#This Row],[Clases dictadas]]=""),"",MAX(0,tblMatriculas[[#This Row],[Clases dictadas]]-tblMatriculas[[#This Row],[Asistidas]]))</f>
        <v>1</v>
      </c>
      <c r="P574" s="1">
        <f>IF(OR(tblMatriculas[[#This Row],[Estado]]&lt;&gt;"activa",tblMatriculas[[#This Row],[Asistidas]]=""),"",tblMatriculas[[#This Row],[Asistencia]])</f>
        <v>0.13300000000000001</v>
      </c>
      <c r="Q574" t="b">
        <f>AND(tblMatriculas[[#This Row],[Estado]]="activa",ISNUMBER(tblMatriculas[[#This Row],[% asistencia]]),NOT(ISNUMBER(SEARCH(pPrueba,tblMatriculas[[#This Row],[Nombre]]))))</f>
        <v>1</v>
      </c>
      <c r="R5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4" s="23" t="str" cm="1">
        <f t="array" ref="S5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4" s="23" t="str" cm="1">
        <f t="array" ref="T5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4" s="14" t="str" cm="1">
        <f t="array" ref="U5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4" t="str" cm="1">
        <f t="array" ref="V5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4" t="str" cm="1">
        <f t="array" ref="W5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4" t="str">
        <f>IF(COUNTIFS('Base Estudiantes'!$C:$C,tblMatriculas[[#This Row],[Cédula]],'Base Estudiantes'!$I:$I,tblMatriculas[[#This Row],[Código]])&gt;0,"Sí","No")</f>
        <v>Sí</v>
      </c>
      <c r="Z574" s="23" cm="1">
        <f t="array" ref="Z574">_xlfn.XLOOKUP(tblMatriculas[[#This Row],[Cédula]]&amp;"|"&amp;tblMatriculas[[#This Row],[Código]],tblBase[Documento]&amp;"|"&amp;tblBase[Código grupo],tblBase[Fecha matrícula],"")</f>
        <v>46262</v>
      </c>
    </row>
    <row r="575" spans="1:26" x14ac:dyDescent="0.2">
      <c r="A575" t="s">
        <v>1249</v>
      </c>
      <c r="B575" t="s">
        <v>1250</v>
      </c>
      <c r="C575" t="s">
        <v>13</v>
      </c>
      <c r="D575" t="s">
        <v>1217</v>
      </c>
      <c r="E575" t="s">
        <v>1218</v>
      </c>
      <c r="F575" t="s">
        <v>335</v>
      </c>
      <c r="G575" s="1">
        <v>0.1</v>
      </c>
      <c r="H575" t="s">
        <v>117</v>
      </c>
      <c r="I575" t="s">
        <v>1145</v>
      </c>
      <c r="J575" t="s">
        <v>1219</v>
      </c>
      <c r="K575" t="s">
        <v>24</v>
      </c>
      <c r="L575" s="14">
        <f>IFERROR(VALUE(LEFT(tblMatriculas[[#This Row],[Clases]],FIND("/",tblMatriculas[[#This Row],[Clases]])-1)),"")</f>
        <v>3</v>
      </c>
      <c r="M575" s="14">
        <f>IFERROR(VALUE(MID(tblMatriculas[[#This Row],[Clases]],FIND("/",tblMatriculas[[#This Row],[Clases]])+1,5)),"")</f>
        <v>30</v>
      </c>
      <c r="N5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5" s="14">
        <f>IF(OR(tblMatriculas[[#This Row],[Estado]]&lt;&gt;"activa",tblMatriculas[[#This Row],[Clases dictadas]]=""),"",MAX(0,tblMatriculas[[#This Row],[Clases dictadas]]-tblMatriculas[[#This Row],[Asistidas]]))</f>
        <v>2</v>
      </c>
      <c r="P575" s="1">
        <f>IF(OR(tblMatriculas[[#This Row],[Estado]]&lt;&gt;"activa",tblMatriculas[[#This Row],[Asistidas]]=""),"",tblMatriculas[[#This Row],[Asistencia]])</f>
        <v>0.1</v>
      </c>
      <c r="Q575" t="b">
        <f>AND(tblMatriculas[[#This Row],[Estado]]="activa",ISNUMBER(tblMatriculas[[#This Row],[% asistencia]]),NOT(ISNUMBER(SEARCH(pPrueba,tblMatriculas[[#This Row],[Nombre]]))))</f>
        <v>1</v>
      </c>
      <c r="R5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5" s="23" t="str" cm="1">
        <f t="array" ref="S5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5" s="23" t="str" cm="1">
        <f t="array" ref="T5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5" s="14" t="str" cm="1">
        <f t="array" ref="U5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5" t="str" cm="1">
        <f t="array" ref="V5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5" t="str" cm="1">
        <f t="array" ref="W5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5" t="str">
        <f>IF(COUNTIFS('Base Estudiantes'!$C:$C,tblMatriculas[[#This Row],[Cédula]],'Base Estudiantes'!$I:$I,tblMatriculas[[#This Row],[Código]])&gt;0,"Sí","No")</f>
        <v>Sí</v>
      </c>
      <c r="Z575" s="23" cm="1">
        <f t="array" ref="Z575">_xlfn.XLOOKUP(tblMatriculas[[#This Row],[Cédula]]&amp;"|"&amp;tblMatriculas[[#This Row],[Código]],tblBase[Documento]&amp;"|"&amp;tblBase[Código grupo],tblBase[Fecha matrícula],"")</f>
        <v>46262</v>
      </c>
    </row>
    <row r="576" spans="1:26" x14ac:dyDescent="0.2">
      <c r="A576" t="s">
        <v>1251</v>
      </c>
      <c r="B576" t="s">
        <v>1252</v>
      </c>
      <c r="C576" t="s">
        <v>13</v>
      </c>
      <c r="D576" t="s">
        <v>1217</v>
      </c>
      <c r="E576" t="s">
        <v>1218</v>
      </c>
      <c r="F576" t="s">
        <v>335</v>
      </c>
      <c r="G576" s="1">
        <v>0.16699999999999998</v>
      </c>
      <c r="H576" t="s">
        <v>229</v>
      </c>
      <c r="I576" t="s">
        <v>1145</v>
      </c>
      <c r="J576" t="s">
        <v>1219</v>
      </c>
      <c r="K576" t="s">
        <v>24</v>
      </c>
      <c r="L576" s="14">
        <f>IFERROR(VALUE(LEFT(tblMatriculas[[#This Row],[Clases]],FIND("/",tblMatriculas[[#This Row],[Clases]])-1)),"")</f>
        <v>5</v>
      </c>
      <c r="M576" s="14">
        <f>IFERROR(VALUE(MID(tblMatriculas[[#This Row],[Clases]],FIND("/",tblMatriculas[[#This Row],[Clases]])+1,5)),"")</f>
        <v>30</v>
      </c>
      <c r="N5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6" s="14">
        <f>IF(OR(tblMatriculas[[#This Row],[Estado]]&lt;&gt;"activa",tblMatriculas[[#This Row],[Clases dictadas]]=""),"",MAX(0,tblMatriculas[[#This Row],[Clases dictadas]]-tblMatriculas[[#This Row],[Asistidas]]))</f>
        <v>0</v>
      </c>
      <c r="P576" s="1">
        <f>IF(OR(tblMatriculas[[#This Row],[Estado]]&lt;&gt;"activa",tblMatriculas[[#This Row],[Asistidas]]=""),"",tblMatriculas[[#This Row],[Asistencia]])</f>
        <v>0.16699999999999998</v>
      </c>
      <c r="Q576" t="b">
        <f>AND(tblMatriculas[[#This Row],[Estado]]="activa",ISNUMBER(tblMatriculas[[#This Row],[% asistencia]]),NOT(ISNUMBER(SEARCH(pPrueba,tblMatriculas[[#This Row],[Nombre]]))))</f>
        <v>1</v>
      </c>
      <c r="R5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6" s="23" t="str" cm="1">
        <f t="array" ref="S5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6" s="23" t="str" cm="1">
        <f t="array" ref="T5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6" s="14" t="str" cm="1">
        <f t="array" ref="U5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6" t="str" cm="1">
        <f t="array" ref="V5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6" t="str" cm="1">
        <f t="array" ref="W5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6" t="str">
        <f>IF(COUNTIFS('Base Estudiantes'!$C:$C,tblMatriculas[[#This Row],[Cédula]],'Base Estudiantes'!$I:$I,tblMatriculas[[#This Row],[Código]])&gt;0,"Sí","No")</f>
        <v>Sí</v>
      </c>
      <c r="Z576" s="23" cm="1">
        <f t="array" ref="Z576">_xlfn.XLOOKUP(tblMatriculas[[#This Row],[Cédula]]&amp;"|"&amp;tblMatriculas[[#This Row],[Código]],tblBase[Documento]&amp;"|"&amp;tblBase[Código grupo],tblBase[Fecha matrícula],"")</f>
        <v>46262</v>
      </c>
    </row>
    <row r="577" spans="1:26" x14ac:dyDescent="0.2">
      <c r="A577" t="s">
        <v>1253</v>
      </c>
      <c r="B577" t="s">
        <v>1254</v>
      </c>
      <c r="C577" t="s">
        <v>13</v>
      </c>
      <c r="D577" t="s">
        <v>1217</v>
      </c>
      <c r="E577" t="s">
        <v>1218</v>
      </c>
      <c r="F577" t="s">
        <v>335</v>
      </c>
      <c r="G577" s="1">
        <v>0.16699999999999998</v>
      </c>
      <c r="H577" t="s">
        <v>229</v>
      </c>
      <c r="I577" t="s">
        <v>1145</v>
      </c>
      <c r="J577" t="s">
        <v>1219</v>
      </c>
      <c r="K577" t="s">
        <v>24</v>
      </c>
      <c r="L577" s="14">
        <f>IFERROR(VALUE(LEFT(tblMatriculas[[#This Row],[Clases]],FIND("/",tblMatriculas[[#This Row],[Clases]])-1)),"")</f>
        <v>5</v>
      </c>
      <c r="M577" s="14">
        <f>IFERROR(VALUE(MID(tblMatriculas[[#This Row],[Clases]],FIND("/",tblMatriculas[[#This Row],[Clases]])+1,5)),"")</f>
        <v>30</v>
      </c>
      <c r="N5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7" s="14">
        <f>IF(OR(tblMatriculas[[#This Row],[Estado]]&lt;&gt;"activa",tblMatriculas[[#This Row],[Clases dictadas]]=""),"",MAX(0,tblMatriculas[[#This Row],[Clases dictadas]]-tblMatriculas[[#This Row],[Asistidas]]))</f>
        <v>0</v>
      </c>
      <c r="P577" s="1">
        <f>IF(OR(tblMatriculas[[#This Row],[Estado]]&lt;&gt;"activa",tblMatriculas[[#This Row],[Asistidas]]=""),"",tblMatriculas[[#This Row],[Asistencia]])</f>
        <v>0.16699999999999998</v>
      </c>
      <c r="Q577" t="b">
        <f>AND(tblMatriculas[[#This Row],[Estado]]="activa",ISNUMBER(tblMatriculas[[#This Row],[% asistencia]]),NOT(ISNUMBER(SEARCH(pPrueba,tblMatriculas[[#This Row],[Nombre]]))))</f>
        <v>1</v>
      </c>
      <c r="R5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7" s="23" t="str" cm="1">
        <f t="array" ref="S5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7" s="23" t="str" cm="1">
        <f t="array" ref="T5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7" s="14" t="str" cm="1">
        <f t="array" ref="U5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7" t="str" cm="1">
        <f t="array" ref="V5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7" t="str" cm="1">
        <f t="array" ref="W5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7" t="str">
        <f>IF(COUNTIFS('Base Estudiantes'!$C:$C,tblMatriculas[[#This Row],[Cédula]],'Base Estudiantes'!$I:$I,tblMatriculas[[#This Row],[Código]])&gt;0,"Sí","No")</f>
        <v>Sí</v>
      </c>
      <c r="Z577" s="23" cm="1">
        <f t="array" ref="Z577">_xlfn.XLOOKUP(tblMatriculas[[#This Row],[Cédula]]&amp;"|"&amp;tblMatriculas[[#This Row],[Código]],tblBase[Documento]&amp;"|"&amp;tblBase[Código grupo],tblBase[Fecha matrícula],"")</f>
        <v>46262</v>
      </c>
    </row>
    <row r="578" spans="1:26" x14ac:dyDescent="0.2">
      <c r="A578" t="s">
        <v>1255</v>
      </c>
      <c r="B578" t="s">
        <v>1256</v>
      </c>
      <c r="C578" t="s">
        <v>13</v>
      </c>
      <c r="D578" t="s">
        <v>1217</v>
      </c>
      <c r="E578" t="s">
        <v>1218</v>
      </c>
      <c r="F578" t="s">
        <v>335</v>
      </c>
      <c r="G578" s="1">
        <v>0.16699999999999998</v>
      </c>
      <c r="H578" t="s">
        <v>229</v>
      </c>
      <c r="I578" t="s">
        <v>1145</v>
      </c>
      <c r="J578" t="s">
        <v>1219</v>
      </c>
      <c r="K578" t="s">
        <v>24</v>
      </c>
      <c r="L578" s="14">
        <f>IFERROR(VALUE(LEFT(tblMatriculas[[#This Row],[Clases]],FIND("/",tblMatriculas[[#This Row],[Clases]])-1)),"")</f>
        <v>5</v>
      </c>
      <c r="M578" s="14">
        <f>IFERROR(VALUE(MID(tblMatriculas[[#This Row],[Clases]],FIND("/",tblMatriculas[[#This Row],[Clases]])+1,5)),"")</f>
        <v>30</v>
      </c>
      <c r="N5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8" s="14">
        <f>IF(OR(tblMatriculas[[#This Row],[Estado]]&lt;&gt;"activa",tblMatriculas[[#This Row],[Clases dictadas]]=""),"",MAX(0,tblMatriculas[[#This Row],[Clases dictadas]]-tblMatriculas[[#This Row],[Asistidas]]))</f>
        <v>0</v>
      </c>
      <c r="P578" s="1">
        <f>IF(OR(tblMatriculas[[#This Row],[Estado]]&lt;&gt;"activa",tblMatriculas[[#This Row],[Asistidas]]=""),"",tblMatriculas[[#This Row],[Asistencia]])</f>
        <v>0.16699999999999998</v>
      </c>
      <c r="Q578" t="b">
        <f>AND(tblMatriculas[[#This Row],[Estado]]="activa",ISNUMBER(tblMatriculas[[#This Row],[% asistencia]]),NOT(ISNUMBER(SEARCH(pPrueba,tblMatriculas[[#This Row],[Nombre]]))))</f>
        <v>1</v>
      </c>
      <c r="R5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8" s="23" t="str" cm="1">
        <f t="array" ref="S5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8" s="23" t="str" cm="1">
        <f t="array" ref="T5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8" s="14" t="str" cm="1">
        <f t="array" ref="U5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8" t="str" cm="1">
        <f t="array" ref="V5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8" t="str" cm="1">
        <f t="array" ref="W5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8" t="str">
        <f>IF(COUNTIFS('Base Estudiantes'!$C:$C,tblMatriculas[[#This Row],[Cédula]],'Base Estudiantes'!$I:$I,tblMatriculas[[#This Row],[Código]])&gt;0,"Sí","No")</f>
        <v>Sí</v>
      </c>
      <c r="Z578" s="23" cm="1">
        <f t="array" ref="Z578">_xlfn.XLOOKUP(tblMatriculas[[#This Row],[Cédula]]&amp;"|"&amp;tblMatriculas[[#This Row],[Código]],tblBase[Documento]&amp;"|"&amp;tblBase[Código grupo],tblBase[Fecha matrícula],"")</f>
        <v>46262</v>
      </c>
    </row>
    <row r="579" spans="1:26" x14ac:dyDescent="0.2">
      <c r="A579" t="s">
        <v>1257</v>
      </c>
      <c r="B579" t="s">
        <v>1258</v>
      </c>
      <c r="C579" t="s">
        <v>13</v>
      </c>
      <c r="D579" t="s">
        <v>1217</v>
      </c>
      <c r="E579" t="s">
        <v>1218</v>
      </c>
      <c r="F579" t="s">
        <v>335</v>
      </c>
      <c r="G579" s="1">
        <v>0.16699999999999998</v>
      </c>
      <c r="H579" t="s">
        <v>229</v>
      </c>
      <c r="I579" t="s">
        <v>1145</v>
      </c>
      <c r="J579" t="s">
        <v>1219</v>
      </c>
      <c r="K579" t="s">
        <v>24</v>
      </c>
      <c r="L579" s="14">
        <f>IFERROR(VALUE(LEFT(tblMatriculas[[#This Row],[Clases]],FIND("/",tblMatriculas[[#This Row],[Clases]])-1)),"")</f>
        <v>5</v>
      </c>
      <c r="M579" s="14">
        <f>IFERROR(VALUE(MID(tblMatriculas[[#This Row],[Clases]],FIND("/",tblMatriculas[[#This Row],[Clases]])+1,5)),"")</f>
        <v>30</v>
      </c>
      <c r="N5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79" s="14">
        <f>IF(OR(tblMatriculas[[#This Row],[Estado]]&lt;&gt;"activa",tblMatriculas[[#This Row],[Clases dictadas]]=""),"",MAX(0,tblMatriculas[[#This Row],[Clases dictadas]]-tblMatriculas[[#This Row],[Asistidas]]))</f>
        <v>0</v>
      </c>
      <c r="P579" s="1">
        <f>IF(OR(tblMatriculas[[#This Row],[Estado]]&lt;&gt;"activa",tblMatriculas[[#This Row],[Asistidas]]=""),"",tblMatriculas[[#This Row],[Asistencia]])</f>
        <v>0.16699999999999998</v>
      </c>
      <c r="Q579" t="b">
        <f>AND(tblMatriculas[[#This Row],[Estado]]="activa",ISNUMBER(tblMatriculas[[#This Row],[% asistencia]]),NOT(ISNUMBER(SEARCH(pPrueba,tblMatriculas[[#This Row],[Nombre]]))))</f>
        <v>1</v>
      </c>
      <c r="R5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79" s="23" t="str" cm="1">
        <f t="array" ref="S5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79" s="23" t="str" cm="1">
        <f t="array" ref="T5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79" s="14" t="str" cm="1">
        <f t="array" ref="U5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79" t="str" cm="1">
        <f t="array" ref="V5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79" t="str" cm="1">
        <f t="array" ref="W5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79" t="str">
        <f>IF(COUNTIFS('Base Estudiantes'!$C:$C,tblMatriculas[[#This Row],[Cédula]],'Base Estudiantes'!$I:$I,tblMatriculas[[#This Row],[Código]])&gt;0,"Sí","No")</f>
        <v>Sí</v>
      </c>
      <c r="Z579" s="23" cm="1">
        <f t="array" ref="Z579">_xlfn.XLOOKUP(tblMatriculas[[#This Row],[Cédula]]&amp;"|"&amp;tblMatriculas[[#This Row],[Código]],tblBase[Documento]&amp;"|"&amp;tblBase[Código grupo],tblBase[Fecha matrícula],"")</f>
        <v>46262</v>
      </c>
    </row>
    <row r="580" spans="1:26" x14ac:dyDescent="0.2">
      <c r="A580" t="s">
        <v>1259</v>
      </c>
      <c r="B580" t="s">
        <v>1260</v>
      </c>
      <c r="C580" t="s">
        <v>13</v>
      </c>
      <c r="D580" t="s">
        <v>1217</v>
      </c>
      <c r="E580" t="s">
        <v>1218</v>
      </c>
      <c r="F580" t="s">
        <v>335</v>
      </c>
      <c r="G580" s="1">
        <v>3.3000000000000002E-2</v>
      </c>
      <c r="H580" t="s">
        <v>225</v>
      </c>
      <c r="I580" t="s">
        <v>1145</v>
      </c>
      <c r="J580" t="s">
        <v>1219</v>
      </c>
      <c r="K580" t="s">
        <v>24</v>
      </c>
      <c r="L580" s="14">
        <f>IFERROR(VALUE(LEFT(tblMatriculas[[#This Row],[Clases]],FIND("/",tblMatriculas[[#This Row],[Clases]])-1)),"")</f>
        <v>1</v>
      </c>
      <c r="M580" s="14">
        <f>IFERROR(VALUE(MID(tblMatriculas[[#This Row],[Clases]],FIND("/",tblMatriculas[[#This Row],[Clases]])+1,5)),"")</f>
        <v>30</v>
      </c>
      <c r="N5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0" s="14">
        <f>IF(OR(tblMatriculas[[#This Row],[Estado]]&lt;&gt;"activa",tblMatriculas[[#This Row],[Clases dictadas]]=""),"",MAX(0,tblMatriculas[[#This Row],[Clases dictadas]]-tblMatriculas[[#This Row],[Asistidas]]))</f>
        <v>4</v>
      </c>
      <c r="P580" s="1">
        <f>IF(OR(tblMatriculas[[#This Row],[Estado]]&lt;&gt;"activa",tblMatriculas[[#This Row],[Asistidas]]=""),"",tblMatriculas[[#This Row],[Asistencia]])</f>
        <v>3.3000000000000002E-2</v>
      </c>
      <c r="Q580" t="b">
        <f>AND(tblMatriculas[[#This Row],[Estado]]="activa",ISNUMBER(tblMatriculas[[#This Row],[% asistencia]]),NOT(ISNUMBER(SEARCH(pPrueba,tblMatriculas[[#This Row],[Nombre]]))))</f>
        <v>1</v>
      </c>
      <c r="R5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80" s="23" t="str" cm="1">
        <f t="array" ref="S5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0" s="23" t="str" cm="1">
        <f t="array" ref="T5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0" s="14" t="str" cm="1">
        <f t="array" ref="U5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0" t="str" cm="1">
        <f t="array" ref="V5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0" t="str" cm="1">
        <f t="array" ref="W5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80" t="str">
        <f>IF(COUNTIFS('Base Estudiantes'!$C:$C,tblMatriculas[[#This Row],[Cédula]],'Base Estudiantes'!$I:$I,tblMatriculas[[#This Row],[Código]])&gt;0,"Sí","No")</f>
        <v>Sí</v>
      </c>
      <c r="Z580" s="23" cm="1">
        <f t="array" ref="Z580">_xlfn.XLOOKUP(tblMatriculas[[#This Row],[Cédula]]&amp;"|"&amp;tblMatriculas[[#This Row],[Código]],tblBase[Documento]&amp;"|"&amp;tblBase[Código grupo],tblBase[Fecha matrícula],"")</f>
        <v>46262</v>
      </c>
    </row>
    <row r="581" spans="1:26" x14ac:dyDescent="0.2">
      <c r="A581" t="s">
        <v>1261</v>
      </c>
      <c r="B581" t="s">
        <v>1262</v>
      </c>
      <c r="C581" t="s">
        <v>13</v>
      </c>
      <c r="D581" t="s">
        <v>1217</v>
      </c>
      <c r="E581" t="s">
        <v>1218</v>
      </c>
      <c r="F581" t="s">
        <v>335</v>
      </c>
      <c r="G581" s="1">
        <v>0.13300000000000001</v>
      </c>
      <c r="H581" t="s">
        <v>112</v>
      </c>
      <c r="I581" t="s">
        <v>1145</v>
      </c>
      <c r="J581" t="s">
        <v>1219</v>
      </c>
      <c r="K581" t="s">
        <v>24</v>
      </c>
      <c r="L581" s="14">
        <f>IFERROR(VALUE(LEFT(tblMatriculas[[#This Row],[Clases]],FIND("/",tblMatriculas[[#This Row],[Clases]])-1)),"")</f>
        <v>4</v>
      </c>
      <c r="M581" s="14">
        <f>IFERROR(VALUE(MID(tblMatriculas[[#This Row],[Clases]],FIND("/",tblMatriculas[[#This Row],[Clases]])+1,5)),"")</f>
        <v>30</v>
      </c>
      <c r="N5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1" s="14">
        <f>IF(OR(tblMatriculas[[#This Row],[Estado]]&lt;&gt;"activa",tblMatriculas[[#This Row],[Clases dictadas]]=""),"",MAX(0,tblMatriculas[[#This Row],[Clases dictadas]]-tblMatriculas[[#This Row],[Asistidas]]))</f>
        <v>1</v>
      </c>
      <c r="P581" s="1">
        <f>IF(OR(tblMatriculas[[#This Row],[Estado]]&lt;&gt;"activa",tblMatriculas[[#This Row],[Asistidas]]=""),"",tblMatriculas[[#This Row],[Asistencia]])</f>
        <v>0.13300000000000001</v>
      </c>
      <c r="Q581" t="b">
        <f>AND(tblMatriculas[[#This Row],[Estado]]="activa",ISNUMBER(tblMatriculas[[#This Row],[% asistencia]]),NOT(ISNUMBER(SEARCH(pPrueba,tblMatriculas[[#This Row],[Nombre]]))))</f>
        <v>1</v>
      </c>
      <c r="R5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1" s="23" t="str" cm="1">
        <f t="array" ref="S5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1" s="23" t="str" cm="1">
        <f t="array" ref="T5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1" s="14" t="str" cm="1">
        <f t="array" ref="U5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1" t="str" cm="1">
        <f t="array" ref="V5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1" t="str" cm="1">
        <f t="array" ref="W5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1" t="str">
        <f>IF(COUNTIFS('Base Estudiantes'!$C:$C,tblMatriculas[[#This Row],[Cédula]],'Base Estudiantes'!$I:$I,tblMatriculas[[#This Row],[Código]])&gt;0,"Sí","No")</f>
        <v>Sí</v>
      </c>
      <c r="Z581" s="23" cm="1">
        <f t="array" ref="Z581">_xlfn.XLOOKUP(tblMatriculas[[#This Row],[Cédula]]&amp;"|"&amp;tblMatriculas[[#This Row],[Código]],tblBase[Documento]&amp;"|"&amp;tblBase[Código grupo],tblBase[Fecha matrícula],"")</f>
        <v>46262</v>
      </c>
    </row>
    <row r="582" spans="1:26" x14ac:dyDescent="0.2">
      <c r="A582" t="s">
        <v>1263</v>
      </c>
      <c r="B582" t="s">
        <v>1264</v>
      </c>
      <c r="C582" t="s">
        <v>13</v>
      </c>
      <c r="D582" t="s">
        <v>1217</v>
      </c>
      <c r="E582" t="s">
        <v>1218</v>
      </c>
      <c r="F582" t="s">
        <v>335</v>
      </c>
      <c r="G582" s="1">
        <v>3.3000000000000002E-2</v>
      </c>
      <c r="H582" t="s">
        <v>225</v>
      </c>
      <c r="I582" t="s">
        <v>1145</v>
      </c>
      <c r="J582" t="s">
        <v>1219</v>
      </c>
      <c r="K582" t="s">
        <v>24</v>
      </c>
      <c r="L582" s="14">
        <f>IFERROR(VALUE(LEFT(tblMatriculas[[#This Row],[Clases]],FIND("/",tblMatriculas[[#This Row],[Clases]])-1)),"")</f>
        <v>1</v>
      </c>
      <c r="M582" s="14">
        <f>IFERROR(VALUE(MID(tblMatriculas[[#This Row],[Clases]],FIND("/",tblMatriculas[[#This Row],[Clases]])+1,5)),"")</f>
        <v>30</v>
      </c>
      <c r="N5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2" s="14">
        <f>IF(OR(tblMatriculas[[#This Row],[Estado]]&lt;&gt;"activa",tblMatriculas[[#This Row],[Clases dictadas]]=""),"",MAX(0,tblMatriculas[[#This Row],[Clases dictadas]]-tblMatriculas[[#This Row],[Asistidas]]))</f>
        <v>4</v>
      </c>
      <c r="P582" s="1">
        <f>IF(OR(tblMatriculas[[#This Row],[Estado]]&lt;&gt;"activa",tblMatriculas[[#This Row],[Asistidas]]=""),"",tblMatriculas[[#This Row],[Asistencia]])</f>
        <v>3.3000000000000002E-2</v>
      </c>
      <c r="Q582" t="b">
        <f>AND(tblMatriculas[[#This Row],[Estado]]="activa",ISNUMBER(tblMatriculas[[#This Row],[% asistencia]]),NOT(ISNUMBER(SEARCH(pPrueba,tblMatriculas[[#This Row],[Nombre]]))))</f>
        <v>1</v>
      </c>
      <c r="R5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82" s="23" t="str" cm="1">
        <f t="array" ref="S5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2" s="23" t="str" cm="1">
        <f t="array" ref="T5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2" s="14" t="str" cm="1">
        <f t="array" ref="U5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2" t="str" cm="1">
        <f t="array" ref="V5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2" t="str" cm="1">
        <f t="array" ref="W5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82" t="str">
        <f>IF(COUNTIFS('Base Estudiantes'!$C:$C,tblMatriculas[[#This Row],[Cédula]],'Base Estudiantes'!$I:$I,tblMatriculas[[#This Row],[Código]])&gt;0,"Sí","No")</f>
        <v>Sí</v>
      </c>
      <c r="Z582" s="23" cm="1">
        <f t="array" ref="Z582">_xlfn.XLOOKUP(tblMatriculas[[#This Row],[Cédula]]&amp;"|"&amp;tblMatriculas[[#This Row],[Código]],tblBase[Documento]&amp;"|"&amp;tblBase[Código grupo],tblBase[Fecha matrícula],"")</f>
        <v>46262</v>
      </c>
    </row>
    <row r="583" spans="1:26" x14ac:dyDescent="0.2">
      <c r="A583" t="s">
        <v>1265</v>
      </c>
      <c r="B583" t="s">
        <v>1266</v>
      </c>
      <c r="C583" t="s">
        <v>13</v>
      </c>
      <c r="D583" t="s">
        <v>1217</v>
      </c>
      <c r="E583" t="s">
        <v>1218</v>
      </c>
      <c r="F583" t="s">
        <v>335</v>
      </c>
      <c r="G583" s="1">
        <v>3.3000000000000002E-2</v>
      </c>
      <c r="H583" t="s">
        <v>225</v>
      </c>
      <c r="I583" t="s">
        <v>1145</v>
      </c>
      <c r="J583" t="s">
        <v>1219</v>
      </c>
      <c r="K583" t="s">
        <v>24</v>
      </c>
      <c r="L583" s="14">
        <f>IFERROR(VALUE(LEFT(tblMatriculas[[#This Row],[Clases]],FIND("/",tblMatriculas[[#This Row],[Clases]])-1)),"")</f>
        <v>1</v>
      </c>
      <c r="M583" s="14">
        <f>IFERROR(VALUE(MID(tblMatriculas[[#This Row],[Clases]],FIND("/",tblMatriculas[[#This Row],[Clases]])+1,5)),"")</f>
        <v>30</v>
      </c>
      <c r="N5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3" s="14">
        <f>IF(OR(tblMatriculas[[#This Row],[Estado]]&lt;&gt;"activa",tblMatriculas[[#This Row],[Clases dictadas]]=""),"",MAX(0,tblMatriculas[[#This Row],[Clases dictadas]]-tblMatriculas[[#This Row],[Asistidas]]))</f>
        <v>4</v>
      </c>
      <c r="P583" s="1">
        <f>IF(OR(tblMatriculas[[#This Row],[Estado]]&lt;&gt;"activa",tblMatriculas[[#This Row],[Asistidas]]=""),"",tblMatriculas[[#This Row],[Asistencia]])</f>
        <v>3.3000000000000002E-2</v>
      </c>
      <c r="Q583" t="b">
        <f>AND(tblMatriculas[[#This Row],[Estado]]="activa",ISNUMBER(tblMatriculas[[#This Row],[% asistencia]]),NOT(ISNUMBER(SEARCH(pPrueba,tblMatriculas[[#This Row],[Nombre]]))))</f>
        <v>1</v>
      </c>
      <c r="R5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583" s="23" t="str" cm="1">
        <f t="array" ref="S5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3" s="23" t="str" cm="1">
        <f t="array" ref="T5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3" s="14" t="str" cm="1">
        <f t="array" ref="U5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3" t="str" cm="1">
        <f t="array" ref="V5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3" t="str" cm="1">
        <f t="array" ref="W5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5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583" t="str">
        <f>IF(COUNTIFS('Base Estudiantes'!$C:$C,tblMatriculas[[#This Row],[Cédula]],'Base Estudiantes'!$I:$I,tblMatriculas[[#This Row],[Código]])&gt;0,"Sí","No")</f>
        <v>Sí</v>
      </c>
      <c r="Z583" s="23" cm="1">
        <f t="array" ref="Z583">_xlfn.XLOOKUP(tblMatriculas[[#This Row],[Cédula]]&amp;"|"&amp;tblMatriculas[[#This Row],[Código]],tblBase[Documento]&amp;"|"&amp;tblBase[Código grupo],tblBase[Fecha matrícula],"")</f>
        <v>46262</v>
      </c>
    </row>
    <row r="584" spans="1:26" x14ac:dyDescent="0.2">
      <c r="A584" t="s">
        <v>1267</v>
      </c>
      <c r="B584" t="s">
        <v>1268</v>
      </c>
      <c r="C584" t="s">
        <v>13</v>
      </c>
      <c r="D584" t="s">
        <v>1217</v>
      </c>
      <c r="E584" t="s">
        <v>1218</v>
      </c>
      <c r="F584" t="s">
        <v>335</v>
      </c>
      <c r="G584" s="1">
        <v>0.16699999999999998</v>
      </c>
      <c r="H584" t="s">
        <v>229</v>
      </c>
      <c r="I584" t="s">
        <v>1145</v>
      </c>
      <c r="J584" t="s">
        <v>1219</v>
      </c>
      <c r="K584" t="s">
        <v>24</v>
      </c>
      <c r="L584" s="14">
        <f>IFERROR(VALUE(LEFT(tblMatriculas[[#This Row],[Clases]],FIND("/",tblMatriculas[[#This Row],[Clases]])-1)),"")</f>
        <v>5</v>
      </c>
      <c r="M584" s="14">
        <f>IFERROR(VALUE(MID(tblMatriculas[[#This Row],[Clases]],FIND("/",tblMatriculas[[#This Row],[Clases]])+1,5)),"")</f>
        <v>30</v>
      </c>
      <c r="N5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4" s="14">
        <f>IF(OR(tblMatriculas[[#This Row],[Estado]]&lt;&gt;"activa",tblMatriculas[[#This Row],[Clases dictadas]]=""),"",MAX(0,tblMatriculas[[#This Row],[Clases dictadas]]-tblMatriculas[[#This Row],[Asistidas]]))</f>
        <v>0</v>
      </c>
      <c r="P584" s="1">
        <f>IF(OR(tblMatriculas[[#This Row],[Estado]]&lt;&gt;"activa",tblMatriculas[[#This Row],[Asistidas]]=""),"",tblMatriculas[[#This Row],[Asistencia]])</f>
        <v>0.16699999999999998</v>
      </c>
      <c r="Q584" t="b">
        <f>AND(tblMatriculas[[#This Row],[Estado]]="activa",ISNUMBER(tblMatriculas[[#This Row],[% asistencia]]),NOT(ISNUMBER(SEARCH(pPrueba,tblMatriculas[[#This Row],[Nombre]]))))</f>
        <v>1</v>
      </c>
      <c r="R5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4" s="23" t="str" cm="1">
        <f t="array" ref="S5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4" s="23" t="str" cm="1">
        <f t="array" ref="T5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4" s="14" t="str" cm="1">
        <f t="array" ref="U5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4" t="str" cm="1">
        <f t="array" ref="V5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4" t="str" cm="1">
        <f t="array" ref="W5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4" t="str">
        <f>IF(COUNTIFS('Base Estudiantes'!$C:$C,tblMatriculas[[#This Row],[Cédula]],'Base Estudiantes'!$I:$I,tblMatriculas[[#This Row],[Código]])&gt;0,"Sí","No")</f>
        <v>Sí</v>
      </c>
      <c r="Z584" s="23" cm="1">
        <f t="array" ref="Z584">_xlfn.XLOOKUP(tblMatriculas[[#This Row],[Cédula]]&amp;"|"&amp;tblMatriculas[[#This Row],[Código]],tblBase[Documento]&amp;"|"&amp;tblBase[Código grupo],tblBase[Fecha matrícula],"")</f>
        <v>46262</v>
      </c>
    </row>
    <row r="585" spans="1:26" x14ac:dyDescent="0.2">
      <c r="A585" t="s">
        <v>1269</v>
      </c>
      <c r="B585" t="s">
        <v>1270</v>
      </c>
      <c r="C585" t="s">
        <v>13</v>
      </c>
      <c r="D585" t="s">
        <v>1217</v>
      </c>
      <c r="E585" t="s">
        <v>1218</v>
      </c>
      <c r="F585" t="s">
        <v>335</v>
      </c>
      <c r="G585" s="1">
        <v>0.13300000000000001</v>
      </c>
      <c r="H585" t="s">
        <v>112</v>
      </c>
      <c r="I585" t="s">
        <v>1145</v>
      </c>
      <c r="J585" t="s">
        <v>1219</v>
      </c>
      <c r="K585" t="s">
        <v>24</v>
      </c>
      <c r="L585" s="14">
        <f>IFERROR(VALUE(LEFT(tblMatriculas[[#This Row],[Clases]],FIND("/",tblMatriculas[[#This Row],[Clases]])-1)),"")</f>
        <v>4</v>
      </c>
      <c r="M585" s="14">
        <f>IFERROR(VALUE(MID(tblMatriculas[[#This Row],[Clases]],FIND("/",tblMatriculas[[#This Row],[Clases]])+1,5)),"")</f>
        <v>30</v>
      </c>
      <c r="N5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5" s="14">
        <f>IF(OR(tblMatriculas[[#This Row],[Estado]]&lt;&gt;"activa",tblMatriculas[[#This Row],[Clases dictadas]]=""),"",MAX(0,tblMatriculas[[#This Row],[Clases dictadas]]-tblMatriculas[[#This Row],[Asistidas]]))</f>
        <v>1</v>
      </c>
      <c r="P585" s="1">
        <f>IF(OR(tblMatriculas[[#This Row],[Estado]]&lt;&gt;"activa",tblMatriculas[[#This Row],[Asistidas]]=""),"",tblMatriculas[[#This Row],[Asistencia]])</f>
        <v>0.13300000000000001</v>
      </c>
      <c r="Q585" t="b">
        <f>AND(tblMatriculas[[#This Row],[Estado]]="activa",ISNUMBER(tblMatriculas[[#This Row],[% asistencia]]),NOT(ISNUMBER(SEARCH(pPrueba,tblMatriculas[[#This Row],[Nombre]]))))</f>
        <v>1</v>
      </c>
      <c r="R5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5" s="23" t="str" cm="1">
        <f t="array" ref="S5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5" s="23" t="str" cm="1">
        <f t="array" ref="T5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5" s="14" t="str" cm="1">
        <f t="array" ref="U5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5" t="str" cm="1">
        <f t="array" ref="V5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5" t="str" cm="1">
        <f t="array" ref="W5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5" t="str">
        <f>IF(COUNTIFS('Base Estudiantes'!$C:$C,tblMatriculas[[#This Row],[Cédula]],'Base Estudiantes'!$I:$I,tblMatriculas[[#This Row],[Código]])&gt;0,"Sí","No")</f>
        <v>Sí</v>
      </c>
      <c r="Z585" s="23" cm="1">
        <f t="array" ref="Z585">_xlfn.XLOOKUP(tblMatriculas[[#This Row],[Cédula]]&amp;"|"&amp;tblMatriculas[[#This Row],[Código]],tblBase[Documento]&amp;"|"&amp;tblBase[Código grupo],tblBase[Fecha matrícula],"")</f>
        <v>46262</v>
      </c>
    </row>
    <row r="586" spans="1:26" x14ac:dyDescent="0.2">
      <c r="A586" t="s">
        <v>1271</v>
      </c>
      <c r="B586" t="s">
        <v>1272</v>
      </c>
      <c r="C586" t="s">
        <v>13</v>
      </c>
      <c r="D586" t="s">
        <v>1217</v>
      </c>
      <c r="E586" t="s">
        <v>1218</v>
      </c>
      <c r="F586" t="s">
        <v>335</v>
      </c>
      <c r="G586" s="1">
        <v>0.16699999999999998</v>
      </c>
      <c r="H586" t="s">
        <v>229</v>
      </c>
      <c r="I586" t="s">
        <v>1145</v>
      </c>
      <c r="J586" t="s">
        <v>1219</v>
      </c>
      <c r="K586" t="s">
        <v>24</v>
      </c>
      <c r="L586" s="14">
        <f>IFERROR(VALUE(LEFT(tblMatriculas[[#This Row],[Clases]],FIND("/",tblMatriculas[[#This Row],[Clases]])-1)),"")</f>
        <v>5</v>
      </c>
      <c r="M586" s="14">
        <f>IFERROR(VALUE(MID(tblMatriculas[[#This Row],[Clases]],FIND("/",tblMatriculas[[#This Row],[Clases]])+1,5)),"")</f>
        <v>30</v>
      </c>
      <c r="N5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6" s="14">
        <f>IF(OR(tblMatriculas[[#This Row],[Estado]]&lt;&gt;"activa",tblMatriculas[[#This Row],[Clases dictadas]]=""),"",MAX(0,tblMatriculas[[#This Row],[Clases dictadas]]-tblMatriculas[[#This Row],[Asistidas]]))</f>
        <v>0</v>
      </c>
      <c r="P586" s="1">
        <f>IF(OR(tblMatriculas[[#This Row],[Estado]]&lt;&gt;"activa",tblMatriculas[[#This Row],[Asistidas]]=""),"",tblMatriculas[[#This Row],[Asistencia]])</f>
        <v>0.16699999999999998</v>
      </c>
      <c r="Q586" t="b">
        <f>AND(tblMatriculas[[#This Row],[Estado]]="activa",ISNUMBER(tblMatriculas[[#This Row],[% asistencia]]),NOT(ISNUMBER(SEARCH(pPrueba,tblMatriculas[[#This Row],[Nombre]]))))</f>
        <v>1</v>
      </c>
      <c r="R5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6" s="23" t="str" cm="1">
        <f t="array" ref="S5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6" s="23" t="str" cm="1">
        <f t="array" ref="T5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6" s="14" t="str" cm="1">
        <f t="array" ref="U5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6" t="str" cm="1">
        <f t="array" ref="V5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6" t="str" cm="1">
        <f t="array" ref="W5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6" t="str">
        <f>IF(COUNTIFS('Base Estudiantes'!$C:$C,tblMatriculas[[#This Row],[Cédula]],'Base Estudiantes'!$I:$I,tblMatriculas[[#This Row],[Código]])&gt;0,"Sí","No")</f>
        <v>Sí</v>
      </c>
      <c r="Z586" s="23" cm="1">
        <f t="array" ref="Z586">_xlfn.XLOOKUP(tblMatriculas[[#This Row],[Cédula]]&amp;"|"&amp;tblMatriculas[[#This Row],[Código]],tblBase[Documento]&amp;"|"&amp;tblBase[Código grupo],tblBase[Fecha matrícula],"")</f>
        <v>46262</v>
      </c>
    </row>
    <row r="587" spans="1:26" x14ac:dyDescent="0.2">
      <c r="A587" t="s">
        <v>1273</v>
      </c>
      <c r="B587" t="s">
        <v>1274</v>
      </c>
      <c r="C587" t="s">
        <v>13</v>
      </c>
      <c r="D587" t="s">
        <v>1217</v>
      </c>
      <c r="E587" t="s">
        <v>1218</v>
      </c>
      <c r="F587" t="s">
        <v>335</v>
      </c>
      <c r="G587" s="1">
        <v>0.1</v>
      </c>
      <c r="H587" t="s">
        <v>117</v>
      </c>
      <c r="I587" t="s">
        <v>1145</v>
      </c>
      <c r="J587" t="s">
        <v>1219</v>
      </c>
      <c r="K587" t="s">
        <v>24</v>
      </c>
      <c r="L587" s="14">
        <f>IFERROR(VALUE(LEFT(tblMatriculas[[#This Row],[Clases]],FIND("/",tblMatriculas[[#This Row],[Clases]])-1)),"")</f>
        <v>3</v>
      </c>
      <c r="M587" s="14">
        <f>IFERROR(VALUE(MID(tblMatriculas[[#This Row],[Clases]],FIND("/",tblMatriculas[[#This Row],[Clases]])+1,5)),"")</f>
        <v>30</v>
      </c>
      <c r="N5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7" s="14">
        <f>IF(OR(tblMatriculas[[#This Row],[Estado]]&lt;&gt;"activa",tblMatriculas[[#This Row],[Clases dictadas]]=""),"",MAX(0,tblMatriculas[[#This Row],[Clases dictadas]]-tblMatriculas[[#This Row],[Asistidas]]))</f>
        <v>2</v>
      </c>
      <c r="P587" s="1">
        <f>IF(OR(tblMatriculas[[#This Row],[Estado]]&lt;&gt;"activa",tblMatriculas[[#This Row],[Asistidas]]=""),"",tblMatriculas[[#This Row],[Asistencia]])</f>
        <v>0.1</v>
      </c>
      <c r="Q587" t="b">
        <f>AND(tblMatriculas[[#This Row],[Estado]]="activa",ISNUMBER(tblMatriculas[[#This Row],[% asistencia]]),NOT(ISNUMBER(SEARCH(pPrueba,tblMatriculas[[#This Row],[Nombre]]))))</f>
        <v>1</v>
      </c>
      <c r="R5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7" s="23" t="str" cm="1">
        <f t="array" ref="S5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7" s="23" t="str" cm="1">
        <f t="array" ref="T5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7" s="14" t="str" cm="1">
        <f t="array" ref="U5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7" t="str" cm="1">
        <f t="array" ref="V5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7" t="str" cm="1">
        <f t="array" ref="W5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7" t="str">
        <f>IF(COUNTIFS('Base Estudiantes'!$C:$C,tblMatriculas[[#This Row],[Cédula]],'Base Estudiantes'!$I:$I,tblMatriculas[[#This Row],[Código]])&gt;0,"Sí","No")</f>
        <v>Sí</v>
      </c>
      <c r="Z587" s="23" cm="1">
        <f t="array" ref="Z587">_xlfn.XLOOKUP(tblMatriculas[[#This Row],[Cédula]]&amp;"|"&amp;tblMatriculas[[#This Row],[Código]],tblBase[Documento]&amp;"|"&amp;tblBase[Código grupo],tblBase[Fecha matrícula],"")</f>
        <v>46262</v>
      </c>
    </row>
    <row r="588" spans="1:26" x14ac:dyDescent="0.2">
      <c r="A588" t="s">
        <v>1275</v>
      </c>
      <c r="B588" t="s">
        <v>1276</v>
      </c>
      <c r="C588" t="s">
        <v>13</v>
      </c>
      <c r="D588" t="s">
        <v>1217</v>
      </c>
      <c r="E588" t="s">
        <v>1218</v>
      </c>
      <c r="F588" t="s">
        <v>335</v>
      </c>
      <c r="G588" s="1">
        <v>0.13300000000000001</v>
      </c>
      <c r="H588" t="s">
        <v>112</v>
      </c>
      <c r="I588" t="s">
        <v>1145</v>
      </c>
      <c r="J588" t="s">
        <v>1219</v>
      </c>
      <c r="K588" t="s">
        <v>24</v>
      </c>
      <c r="L588" s="14">
        <f>IFERROR(VALUE(LEFT(tblMatriculas[[#This Row],[Clases]],FIND("/",tblMatriculas[[#This Row],[Clases]])-1)),"")</f>
        <v>4</v>
      </c>
      <c r="M588" s="14">
        <f>IFERROR(VALUE(MID(tblMatriculas[[#This Row],[Clases]],FIND("/",tblMatriculas[[#This Row],[Clases]])+1,5)),"")</f>
        <v>30</v>
      </c>
      <c r="N5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8" s="14">
        <f>IF(OR(tblMatriculas[[#This Row],[Estado]]&lt;&gt;"activa",tblMatriculas[[#This Row],[Clases dictadas]]=""),"",MAX(0,tblMatriculas[[#This Row],[Clases dictadas]]-tblMatriculas[[#This Row],[Asistidas]]))</f>
        <v>1</v>
      </c>
      <c r="P588" s="1">
        <f>IF(OR(tblMatriculas[[#This Row],[Estado]]&lt;&gt;"activa",tblMatriculas[[#This Row],[Asistidas]]=""),"",tblMatriculas[[#This Row],[Asistencia]])</f>
        <v>0.13300000000000001</v>
      </c>
      <c r="Q588" t="b">
        <f>AND(tblMatriculas[[#This Row],[Estado]]="activa",ISNUMBER(tblMatriculas[[#This Row],[% asistencia]]),NOT(ISNUMBER(SEARCH(pPrueba,tblMatriculas[[#This Row],[Nombre]]))))</f>
        <v>1</v>
      </c>
      <c r="R5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8" s="23" t="str" cm="1">
        <f t="array" ref="S5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8" s="23" t="str" cm="1">
        <f t="array" ref="T5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8" s="14" t="str" cm="1">
        <f t="array" ref="U5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8" t="str" cm="1">
        <f t="array" ref="V5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8" t="str" cm="1">
        <f t="array" ref="W5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8" t="str">
        <f>IF(COUNTIFS('Base Estudiantes'!$C:$C,tblMatriculas[[#This Row],[Cédula]],'Base Estudiantes'!$I:$I,tblMatriculas[[#This Row],[Código]])&gt;0,"Sí","No")</f>
        <v>Sí</v>
      </c>
      <c r="Z588" s="23" cm="1">
        <f t="array" ref="Z588">_xlfn.XLOOKUP(tblMatriculas[[#This Row],[Cédula]]&amp;"|"&amp;tblMatriculas[[#This Row],[Código]],tblBase[Documento]&amp;"|"&amp;tblBase[Código grupo],tblBase[Fecha matrícula],"")</f>
        <v>46262</v>
      </c>
    </row>
    <row r="589" spans="1:26" x14ac:dyDescent="0.2">
      <c r="A589" t="s">
        <v>1277</v>
      </c>
      <c r="B589" t="s">
        <v>1278</v>
      </c>
      <c r="C589" t="s">
        <v>13</v>
      </c>
      <c r="D589" t="s">
        <v>1217</v>
      </c>
      <c r="E589" t="s">
        <v>1218</v>
      </c>
      <c r="F589" t="s">
        <v>335</v>
      </c>
      <c r="G589" s="1">
        <v>0.16699999999999998</v>
      </c>
      <c r="H589" t="s">
        <v>229</v>
      </c>
      <c r="I589" t="s">
        <v>1145</v>
      </c>
      <c r="J589" t="s">
        <v>1219</v>
      </c>
      <c r="K589" t="s">
        <v>24</v>
      </c>
      <c r="L589" s="14">
        <f>IFERROR(VALUE(LEFT(tblMatriculas[[#This Row],[Clases]],FIND("/",tblMatriculas[[#This Row],[Clases]])-1)),"")</f>
        <v>5</v>
      </c>
      <c r="M589" s="14">
        <f>IFERROR(VALUE(MID(tblMatriculas[[#This Row],[Clases]],FIND("/",tblMatriculas[[#This Row],[Clases]])+1,5)),"")</f>
        <v>30</v>
      </c>
      <c r="N5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89" s="14">
        <f>IF(OR(tblMatriculas[[#This Row],[Estado]]&lt;&gt;"activa",tblMatriculas[[#This Row],[Clases dictadas]]=""),"",MAX(0,tblMatriculas[[#This Row],[Clases dictadas]]-tblMatriculas[[#This Row],[Asistidas]]))</f>
        <v>0</v>
      </c>
      <c r="P589" s="1">
        <f>IF(OR(tblMatriculas[[#This Row],[Estado]]&lt;&gt;"activa",tblMatriculas[[#This Row],[Asistidas]]=""),"",tblMatriculas[[#This Row],[Asistencia]])</f>
        <v>0.16699999999999998</v>
      </c>
      <c r="Q589" t="b">
        <f>AND(tblMatriculas[[#This Row],[Estado]]="activa",ISNUMBER(tblMatriculas[[#This Row],[% asistencia]]),NOT(ISNUMBER(SEARCH(pPrueba,tblMatriculas[[#This Row],[Nombre]]))))</f>
        <v>1</v>
      </c>
      <c r="R5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89" s="23" t="str" cm="1">
        <f t="array" ref="S5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89" s="23" t="str" cm="1">
        <f t="array" ref="T5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89" s="14" t="str" cm="1">
        <f t="array" ref="U5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89" t="str" cm="1">
        <f t="array" ref="V5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89" t="str" cm="1">
        <f t="array" ref="W5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89" t="str">
        <f>IF(COUNTIFS('Base Estudiantes'!$C:$C,tblMatriculas[[#This Row],[Cédula]],'Base Estudiantes'!$I:$I,tblMatriculas[[#This Row],[Código]])&gt;0,"Sí","No")</f>
        <v>Sí</v>
      </c>
      <c r="Z589" s="23" cm="1">
        <f t="array" ref="Z589">_xlfn.XLOOKUP(tblMatriculas[[#This Row],[Cédula]]&amp;"|"&amp;tblMatriculas[[#This Row],[Código]],tblBase[Documento]&amp;"|"&amp;tblBase[Código grupo],tblBase[Fecha matrícula],"")</f>
        <v>46262</v>
      </c>
    </row>
    <row r="590" spans="1:26" x14ac:dyDescent="0.2">
      <c r="A590" t="s">
        <v>1279</v>
      </c>
      <c r="B590" t="s">
        <v>1280</v>
      </c>
      <c r="C590" t="s">
        <v>13</v>
      </c>
      <c r="D590" t="s">
        <v>1217</v>
      </c>
      <c r="E590" t="s">
        <v>1218</v>
      </c>
      <c r="F590" t="s">
        <v>335</v>
      </c>
      <c r="G590" s="1">
        <v>0.16699999999999998</v>
      </c>
      <c r="H590" t="s">
        <v>229</v>
      </c>
      <c r="I590" t="s">
        <v>1145</v>
      </c>
      <c r="J590" t="s">
        <v>1219</v>
      </c>
      <c r="K590" t="s">
        <v>24</v>
      </c>
      <c r="L590" s="14">
        <f>IFERROR(VALUE(LEFT(tblMatriculas[[#This Row],[Clases]],FIND("/",tblMatriculas[[#This Row],[Clases]])-1)),"")</f>
        <v>5</v>
      </c>
      <c r="M590" s="14">
        <f>IFERROR(VALUE(MID(tblMatriculas[[#This Row],[Clases]],FIND("/",tblMatriculas[[#This Row],[Clases]])+1,5)),"")</f>
        <v>30</v>
      </c>
      <c r="N5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0" s="14">
        <f>IF(OR(tblMatriculas[[#This Row],[Estado]]&lt;&gt;"activa",tblMatriculas[[#This Row],[Clases dictadas]]=""),"",MAX(0,tblMatriculas[[#This Row],[Clases dictadas]]-tblMatriculas[[#This Row],[Asistidas]]))</f>
        <v>0</v>
      </c>
      <c r="P590" s="1">
        <f>IF(OR(tblMatriculas[[#This Row],[Estado]]&lt;&gt;"activa",tblMatriculas[[#This Row],[Asistidas]]=""),"",tblMatriculas[[#This Row],[Asistencia]])</f>
        <v>0.16699999999999998</v>
      </c>
      <c r="Q590" t="b">
        <f>AND(tblMatriculas[[#This Row],[Estado]]="activa",ISNUMBER(tblMatriculas[[#This Row],[% asistencia]]),NOT(ISNUMBER(SEARCH(pPrueba,tblMatriculas[[#This Row],[Nombre]]))))</f>
        <v>1</v>
      </c>
      <c r="R5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0" s="23" t="str" cm="1">
        <f t="array" ref="S5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0" s="23" t="str" cm="1">
        <f t="array" ref="T5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0" s="14" t="str" cm="1">
        <f t="array" ref="U5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0" t="str" cm="1">
        <f t="array" ref="V5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0" t="str" cm="1">
        <f t="array" ref="W5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0" t="str">
        <f>IF(COUNTIFS('Base Estudiantes'!$C:$C,tblMatriculas[[#This Row],[Cédula]],'Base Estudiantes'!$I:$I,tblMatriculas[[#This Row],[Código]])&gt;0,"Sí","No")</f>
        <v>Sí</v>
      </c>
      <c r="Z590" s="23" cm="1">
        <f t="array" ref="Z590">_xlfn.XLOOKUP(tblMatriculas[[#This Row],[Cédula]]&amp;"|"&amp;tblMatriculas[[#This Row],[Código]],tblBase[Documento]&amp;"|"&amp;tblBase[Código grupo],tblBase[Fecha matrícula],"")</f>
        <v>46262</v>
      </c>
    </row>
    <row r="591" spans="1:26" x14ac:dyDescent="0.2">
      <c r="A591" t="s">
        <v>1281</v>
      </c>
      <c r="B591" t="s">
        <v>1282</v>
      </c>
      <c r="C591" t="s">
        <v>13</v>
      </c>
      <c r="D591" t="s">
        <v>1217</v>
      </c>
      <c r="E591" t="s">
        <v>1218</v>
      </c>
      <c r="F591" t="s">
        <v>335</v>
      </c>
      <c r="G591" s="1">
        <v>0.13300000000000001</v>
      </c>
      <c r="H591" t="s">
        <v>112</v>
      </c>
      <c r="I591" t="s">
        <v>1145</v>
      </c>
      <c r="J591" t="s">
        <v>1219</v>
      </c>
      <c r="K591" t="s">
        <v>24</v>
      </c>
      <c r="L591" s="14">
        <f>IFERROR(VALUE(LEFT(tblMatriculas[[#This Row],[Clases]],FIND("/",tblMatriculas[[#This Row],[Clases]])-1)),"")</f>
        <v>4</v>
      </c>
      <c r="M591" s="14">
        <f>IFERROR(VALUE(MID(tblMatriculas[[#This Row],[Clases]],FIND("/",tblMatriculas[[#This Row],[Clases]])+1,5)),"")</f>
        <v>30</v>
      </c>
      <c r="N5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1" s="14">
        <f>IF(OR(tblMatriculas[[#This Row],[Estado]]&lt;&gt;"activa",tblMatriculas[[#This Row],[Clases dictadas]]=""),"",MAX(0,tblMatriculas[[#This Row],[Clases dictadas]]-tblMatriculas[[#This Row],[Asistidas]]))</f>
        <v>1</v>
      </c>
      <c r="P591" s="1">
        <f>IF(OR(tblMatriculas[[#This Row],[Estado]]&lt;&gt;"activa",tblMatriculas[[#This Row],[Asistidas]]=""),"",tblMatriculas[[#This Row],[Asistencia]])</f>
        <v>0.13300000000000001</v>
      </c>
      <c r="Q591" t="b">
        <f>AND(tblMatriculas[[#This Row],[Estado]]="activa",ISNUMBER(tblMatriculas[[#This Row],[% asistencia]]),NOT(ISNUMBER(SEARCH(pPrueba,tblMatriculas[[#This Row],[Nombre]]))))</f>
        <v>1</v>
      </c>
      <c r="R5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1" s="23" t="str" cm="1">
        <f t="array" ref="S5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1" s="23" t="str" cm="1">
        <f t="array" ref="T5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1" s="14" t="str" cm="1">
        <f t="array" ref="U5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1" t="str" cm="1">
        <f t="array" ref="V5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1" t="str" cm="1">
        <f t="array" ref="W5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1" t="str">
        <f>IF(COUNTIFS('Base Estudiantes'!$C:$C,tblMatriculas[[#This Row],[Cédula]],'Base Estudiantes'!$I:$I,tblMatriculas[[#This Row],[Código]])&gt;0,"Sí","No")</f>
        <v>Sí</v>
      </c>
      <c r="Z591" s="23" cm="1">
        <f t="array" ref="Z591">_xlfn.XLOOKUP(tblMatriculas[[#This Row],[Cédula]]&amp;"|"&amp;tblMatriculas[[#This Row],[Código]],tblBase[Documento]&amp;"|"&amp;tblBase[Código grupo],tblBase[Fecha matrícula],"")</f>
        <v>46262</v>
      </c>
    </row>
    <row r="592" spans="1:26" x14ac:dyDescent="0.2">
      <c r="A592" t="s">
        <v>1283</v>
      </c>
      <c r="B592" t="s">
        <v>1284</v>
      </c>
      <c r="C592" t="s">
        <v>13</v>
      </c>
      <c r="D592" t="s">
        <v>1217</v>
      </c>
      <c r="E592" t="s">
        <v>1218</v>
      </c>
      <c r="F592" t="s">
        <v>335</v>
      </c>
      <c r="G592" s="1">
        <v>0.13300000000000001</v>
      </c>
      <c r="H592" t="s">
        <v>112</v>
      </c>
      <c r="I592" t="s">
        <v>1145</v>
      </c>
      <c r="J592" t="s">
        <v>1219</v>
      </c>
      <c r="K592" t="s">
        <v>24</v>
      </c>
      <c r="L592" s="14">
        <f>IFERROR(VALUE(LEFT(tblMatriculas[[#This Row],[Clases]],FIND("/",tblMatriculas[[#This Row],[Clases]])-1)),"")</f>
        <v>4</v>
      </c>
      <c r="M592" s="14">
        <f>IFERROR(VALUE(MID(tblMatriculas[[#This Row],[Clases]],FIND("/",tblMatriculas[[#This Row],[Clases]])+1,5)),"")</f>
        <v>30</v>
      </c>
      <c r="N5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2" s="14">
        <f>IF(OR(tblMatriculas[[#This Row],[Estado]]&lt;&gt;"activa",tblMatriculas[[#This Row],[Clases dictadas]]=""),"",MAX(0,tblMatriculas[[#This Row],[Clases dictadas]]-tblMatriculas[[#This Row],[Asistidas]]))</f>
        <v>1</v>
      </c>
      <c r="P592" s="1">
        <f>IF(OR(tblMatriculas[[#This Row],[Estado]]&lt;&gt;"activa",tblMatriculas[[#This Row],[Asistidas]]=""),"",tblMatriculas[[#This Row],[Asistencia]])</f>
        <v>0.13300000000000001</v>
      </c>
      <c r="Q592" t="b">
        <f>AND(tblMatriculas[[#This Row],[Estado]]="activa",ISNUMBER(tblMatriculas[[#This Row],[% asistencia]]),NOT(ISNUMBER(SEARCH(pPrueba,tblMatriculas[[#This Row],[Nombre]]))))</f>
        <v>1</v>
      </c>
      <c r="R5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2" s="23" t="str" cm="1">
        <f t="array" ref="S5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2" s="23" t="str" cm="1">
        <f t="array" ref="T5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2" s="14" t="str" cm="1">
        <f t="array" ref="U5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2" t="str" cm="1">
        <f t="array" ref="V5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2" t="str" cm="1">
        <f t="array" ref="W5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2" t="str">
        <f>IF(COUNTIFS('Base Estudiantes'!$C:$C,tblMatriculas[[#This Row],[Cédula]],'Base Estudiantes'!$I:$I,tblMatriculas[[#This Row],[Código]])&gt;0,"Sí","No")</f>
        <v>Sí</v>
      </c>
      <c r="Z592" s="23" cm="1">
        <f t="array" ref="Z592">_xlfn.XLOOKUP(tblMatriculas[[#This Row],[Cédula]]&amp;"|"&amp;tblMatriculas[[#This Row],[Código]],tblBase[Documento]&amp;"|"&amp;tblBase[Código grupo],tblBase[Fecha matrícula],"")</f>
        <v>46262</v>
      </c>
    </row>
    <row r="593" spans="1:26" x14ac:dyDescent="0.2">
      <c r="A593" t="s">
        <v>1285</v>
      </c>
      <c r="B593" t="s">
        <v>1286</v>
      </c>
      <c r="C593" t="s">
        <v>13</v>
      </c>
      <c r="D593" t="s">
        <v>1217</v>
      </c>
      <c r="E593" t="s">
        <v>1218</v>
      </c>
      <c r="F593" t="s">
        <v>335</v>
      </c>
      <c r="G593" s="1">
        <v>0.16699999999999998</v>
      </c>
      <c r="H593" t="s">
        <v>229</v>
      </c>
      <c r="I593" t="s">
        <v>1145</v>
      </c>
      <c r="J593" t="s">
        <v>1219</v>
      </c>
      <c r="K593" t="s">
        <v>24</v>
      </c>
      <c r="L593" s="14">
        <f>IFERROR(VALUE(LEFT(tblMatriculas[[#This Row],[Clases]],FIND("/",tblMatriculas[[#This Row],[Clases]])-1)),"")</f>
        <v>5</v>
      </c>
      <c r="M593" s="14">
        <f>IFERROR(VALUE(MID(tblMatriculas[[#This Row],[Clases]],FIND("/",tblMatriculas[[#This Row],[Clases]])+1,5)),"")</f>
        <v>30</v>
      </c>
      <c r="N5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3" s="14">
        <f>IF(OR(tblMatriculas[[#This Row],[Estado]]&lt;&gt;"activa",tblMatriculas[[#This Row],[Clases dictadas]]=""),"",MAX(0,tblMatriculas[[#This Row],[Clases dictadas]]-tblMatriculas[[#This Row],[Asistidas]]))</f>
        <v>0</v>
      </c>
      <c r="P593" s="1">
        <f>IF(OR(tblMatriculas[[#This Row],[Estado]]&lt;&gt;"activa",tblMatriculas[[#This Row],[Asistidas]]=""),"",tblMatriculas[[#This Row],[Asistencia]])</f>
        <v>0.16699999999999998</v>
      </c>
      <c r="Q593" t="b">
        <f>AND(tblMatriculas[[#This Row],[Estado]]="activa",ISNUMBER(tblMatriculas[[#This Row],[% asistencia]]),NOT(ISNUMBER(SEARCH(pPrueba,tblMatriculas[[#This Row],[Nombre]]))))</f>
        <v>1</v>
      </c>
      <c r="R5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3" s="23" t="str" cm="1">
        <f t="array" ref="S5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3" s="23" t="str" cm="1">
        <f t="array" ref="T5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3" s="14" t="str" cm="1">
        <f t="array" ref="U5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3" t="str" cm="1">
        <f t="array" ref="V5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3" t="str" cm="1">
        <f t="array" ref="W5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3" t="str">
        <f>IF(COUNTIFS('Base Estudiantes'!$C:$C,tblMatriculas[[#This Row],[Cédula]],'Base Estudiantes'!$I:$I,tblMatriculas[[#This Row],[Código]])&gt;0,"Sí","No")</f>
        <v>Sí</v>
      </c>
      <c r="Z593" s="23" cm="1">
        <f t="array" ref="Z593">_xlfn.XLOOKUP(tblMatriculas[[#This Row],[Cédula]]&amp;"|"&amp;tblMatriculas[[#This Row],[Código]],tblBase[Documento]&amp;"|"&amp;tblBase[Código grupo],tblBase[Fecha matrícula],"")</f>
        <v>46262</v>
      </c>
    </row>
    <row r="594" spans="1:26" x14ac:dyDescent="0.2">
      <c r="A594" t="s">
        <v>1287</v>
      </c>
      <c r="B594" t="s">
        <v>1288</v>
      </c>
      <c r="C594" t="s">
        <v>13</v>
      </c>
      <c r="D594" t="s">
        <v>1217</v>
      </c>
      <c r="E594" t="s">
        <v>1218</v>
      </c>
      <c r="F594" t="s">
        <v>335</v>
      </c>
      <c r="G594" s="1">
        <v>0.16699999999999998</v>
      </c>
      <c r="H594" t="s">
        <v>229</v>
      </c>
      <c r="I594" t="s">
        <v>1145</v>
      </c>
      <c r="J594" t="s">
        <v>1219</v>
      </c>
      <c r="K594" t="s">
        <v>24</v>
      </c>
      <c r="L594" s="14">
        <f>IFERROR(VALUE(LEFT(tblMatriculas[[#This Row],[Clases]],FIND("/",tblMatriculas[[#This Row],[Clases]])-1)),"")</f>
        <v>5</v>
      </c>
      <c r="M594" s="14">
        <f>IFERROR(VALUE(MID(tblMatriculas[[#This Row],[Clases]],FIND("/",tblMatriculas[[#This Row],[Clases]])+1,5)),"")</f>
        <v>30</v>
      </c>
      <c r="N5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4" s="14">
        <f>IF(OR(tblMatriculas[[#This Row],[Estado]]&lt;&gt;"activa",tblMatriculas[[#This Row],[Clases dictadas]]=""),"",MAX(0,tblMatriculas[[#This Row],[Clases dictadas]]-tblMatriculas[[#This Row],[Asistidas]]))</f>
        <v>0</v>
      </c>
      <c r="P594" s="1">
        <f>IF(OR(tblMatriculas[[#This Row],[Estado]]&lt;&gt;"activa",tblMatriculas[[#This Row],[Asistidas]]=""),"",tblMatriculas[[#This Row],[Asistencia]])</f>
        <v>0.16699999999999998</v>
      </c>
      <c r="Q594" t="b">
        <f>AND(tblMatriculas[[#This Row],[Estado]]="activa",ISNUMBER(tblMatriculas[[#This Row],[% asistencia]]),NOT(ISNUMBER(SEARCH(pPrueba,tblMatriculas[[#This Row],[Nombre]]))))</f>
        <v>1</v>
      </c>
      <c r="R5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4" s="23" t="str" cm="1">
        <f t="array" ref="S5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4" s="23" t="str" cm="1">
        <f t="array" ref="T5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4" s="14" t="str" cm="1">
        <f t="array" ref="U5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4" t="str" cm="1">
        <f t="array" ref="V5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4" t="str" cm="1">
        <f t="array" ref="W5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4" t="str">
        <f>IF(COUNTIFS('Base Estudiantes'!$C:$C,tblMatriculas[[#This Row],[Cédula]],'Base Estudiantes'!$I:$I,tblMatriculas[[#This Row],[Código]])&gt;0,"Sí","No")</f>
        <v>Sí</v>
      </c>
      <c r="Z594" s="23" cm="1">
        <f t="array" ref="Z594">_xlfn.XLOOKUP(tblMatriculas[[#This Row],[Cédula]]&amp;"|"&amp;tblMatriculas[[#This Row],[Código]],tblBase[Documento]&amp;"|"&amp;tblBase[Código grupo],tblBase[Fecha matrícula],"")</f>
        <v>46262</v>
      </c>
    </row>
    <row r="595" spans="1:26" x14ac:dyDescent="0.2">
      <c r="A595" t="s">
        <v>1289</v>
      </c>
      <c r="B595" t="s">
        <v>1290</v>
      </c>
      <c r="C595" t="s">
        <v>13</v>
      </c>
      <c r="D595" t="s">
        <v>1217</v>
      </c>
      <c r="E595" t="s">
        <v>1218</v>
      </c>
      <c r="F595" t="s">
        <v>335</v>
      </c>
      <c r="G595" s="1">
        <v>0.16699999999999998</v>
      </c>
      <c r="H595" t="s">
        <v>229</v>
      </c>
      <c r="I595" t="s">
        <v>1145</v>
      </c>
      <c r="J595" t="s">
        <v>1219</v>
      </c>
      <c r="K595" t="s">
        <v>24</v>
      </c>
      <c r="L595" s="14">
        <f>IFERROR(VALUE(LEFT(tblMatriculas[[#This Row],[Clases]],FIND("/",tblMatriculas[[#This Row],[Clases]])-1)),"")</f>
        <v>5</v>
      </c>
      <c r="M595" s="14">
        <f>IFERROR(VALUE(MID(tblMatriculas[[#This Row],[Clases]],FIND("/",tblMatriculas[[#This Row],[Clases]])+1,5)),"")</f>
        <v>30</v>
      </c>
      <c r="N5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5" s="14">
        <f>IF(OR(tblMatriculas[[#This Row],[Estado]]&lt;&gt;"activa",tblMatriculas[[#This Row],[Clases dictadas]]=""),"",MAX(0,tblMatriculas[[#This Row],[Clases dictadas]]-tblMatriculas[[#This Row],[Asistidas]]))</f>
        <v>0</v>
      </c>
      <c r="P595" s="1">
        <f>IF(OR(tblMatriculas[[#This Row],[Estado]]&lt;&gt;"activa",tblMatriculas[[#This Row],[Asistidas]]=""),"",tblMatriculas[[#This Row],[Asistencia]])</f>
        <v>0.16699999999999998</v>
      </c>
      <c r="Q595" t="b">
        <f>AND(tblMatriculas[[#This Row],[Estado]]="activa",ISNUMBER(tblMatriculas[[#This Row],[% asistencia]]),NOT(ISNUMBER(SEARCH(pPrueba,tblMatriculas[[#This Row],[Nombre]]))))</f>
        <v>1</v>
      </c>
      <c r="R5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5" s="23" t="str" cm="1">
        <f t="array" ref="S5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5" s="23" t="str" cm="1">
        <f t="array" ref="T5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5" s="14" t="str" cm="1">
        <f t="array" ref="U5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5" t="str" cm="1">
        <f t="array" ref="V5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5" t="str" cm="1">
        <f t="array" ref="W5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5" t="str">
        <f>IF(COUNTIFS('Base Estudiantes'!$C:$C,tblMatriculas[[#This Row],[Cédula]],'Base Estudiantes'!$I:$I,tblMatriculas[[#This Row],[Código]])&gt;0,"Sí","No")</f>
        <v>Sí</v>
      </c>
      <c r="Z595" s="23" cm="1">
        <f t="array" ref="Z595">_xlfn.XLOOKUP(tblMatriculas[[#This Row],[Cédula]]&amp;"|"&amp;tblMatriculas[[#This Row],[Código]],tblBase[Documento]&amp;"|"&amp;tblBase[Código grupo],tblBase[Fecha matrícula],"")</f>
        <v>46262</v>
      </c>
    </row>
    <row r="596" spans="1:26" x14ac:dyDescent="0.2">
      <c r="A596" t="s">
        <v>1291</v>
      </c>
      <c r="B596" t="s">
        <v>1292</v>
      </c>
      <c r="C596" t="s">
        <v>49</v>
      </c>
      <c r="D596" t="s">
        <v>1217</v>
      </c>
      <c r="E596" t="s">
        <v>1218</v>
      </c>
      <c r="F596" t="s">
        <v>335</v>
      </c>
      <c r="G596" s="1">
        <v>0.13300000000000001</v>
      </c>
      <c r="H596" t="s">
        <v>112</v>
      </c>
      <c r="I596" t="s">
        <v>1145</v>
      </c>
      <c r="J596" t="s">
        <v>1219</v>
      </c>
      <c r="K596" t="s">
        <v>24</v>
      </c>
      <c r="L596" s="14">
        <f>IFERROR(VALUE(LEFT(tblMatriculas[[#This Row],[Clases]],FIND("/",tblMatriculas[[#This Row],[Clases]])-1)),"")</f>
        <v>4</v>
      </c>
      <c r="M596" s="14">
        <f>IFERROR(VALUE(MID(tblMatriculas[[#This Row],[Clases]],FIND("/",tblMatriculas[[#This Row],[Clases]])+1,5)),"")</f>
        <v>30</v>
      </c>
      <c r="N5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596" s="14" t="str">
        <f>IF(OR(tblMatriculas[[#This Row],[Estado]]&lt;&gt;"activa",tblMatriculas[[#This Row],[Clases dictadas]]=""),"",MAX(0,tblMatriculas[[#This Row],[Clases dictadas]]-tblMatriculas[[#This Row],[Asistidas]]))</f>
        <v/>
      </c>
      <c r="P596" s="1" t="str">
        <f>IF(OR(tblMatriculas[[#This Row],[Estado]]&lt;&gt;"activa",tblMatriculas[[#This Row],[Asistidas]]=""),"",tblMatriculas[[#This Row],[Asistencia]])</f>
        <v/>
      </c>
      <c r="Q596" t="b">
        <f>AND(tblMatriculas[[#This Row],[Estado]]="activa",ISNUMBER(tblMatriculas[[#This Row],[% asistencia]]),NOT(ISNUMBER(SEARCH(pPrueba,tblMatriculas[[#This Row],[Nombre]]))))</f>
        <v>0</v>
      </c>
      <c r="R5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596" s="23" t="str" cm="1">
        <f t="array" ref="S5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6" s="23" t="str" cm="1">
        <f t="array" ref="T5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6" s="14" t="str" cm="1">
        <f t="array" ref="U5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6" t="str" cm="1">
        <f t="array" ref="V5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6" t="str" cm="1">
        <f t="array" ref="W5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6" t="str">
        <f>IF(COUNTIFS('Base Estudiantes'!$C:$C,tblMatriculas[[#This Row],[Cédula]],'Base Estudiantes'!$I:$I,tblMatriculas[[#This Row],[Código]])&gt;0,"Sí","No")</f>
        <v>No</v>
      </c>
      <c r="Z596" s="23" t="str" cm="1">
        <f t="array" ref="Z596">_xlfn.XLOOKUP(tblMatriculas[[#This Row],[Cédula]]&amp;"|"&amp;tblMatriculas[[#This Row],[Código]],tblBase[Documento]&amp;"|"&amp;tblBase[Código grupo],tblBase[Fecha matrícula],"")</f>
        <v/>
      </c>
    </row>
    <row r="597" spans="1:26" x14ac:dyDescent="0.2">
      <c r="A597" t="s">
        <v>1293</v>
      </c>
      <c r="B597" t="s">
        <v>1294</v>
      </c>
      <c r="C597" t="s">
        <v>13</v>
      </c>
      <c r="D597" t="s">
        <v>1295</v>
      </c>
      <c r="E597" t="s">
        <v>1296</v>
      </c>
      <c r="F597" t="s">
        <v>111</v>
      </c>
      <c r="G597" s="1">
        <v>0.13300000000000001</v>
      </c>
      <c r="H597" t="s">
        <v>112</v>
      </c>
      <c r="I597" t="s">
        <v>1145</v>
      </c>
      <c r="J597" t="s">
        <v>1219</v>
      </c>
      <c r="K597" t="s">
        <v>1214</v>
      </c>
      <c r="L597" s="14">
        <f>IFERROR(VALUE(LEFT(tblMatriculas[[#This Row],[Clases]],FIND("/",tblMatriculas[[#This Row],[Clases]])-1)),"")</f>
        <v>4</v>
      </c>
      <c r="M597" s="14">
        <f>IFERROR(VALUE(MID(tblMatriculas[[#This Row],[Clases]],FIND("/",tblMatriculas[[#This Row],[Clases]])+1,5)),"")</f>
        <v>30</v>
      </c>
      <c r="N5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597" s="14">
        <f>IF(OR(tblMatriculas[[#This Row],[Estado]]&lt;&gt;"activa",tblMatriculas[[#This Row],[Clases dictadas]]=""),"",MAX(0,tblMatriculas[[#This Row],[Clases dictadas]]-tblMatriculas[[#This Row],[Asistidas]]))</f>
        <v>2</v>
      </c>
      <c r="P597" s="1">
        <f>IF(OR(tblMatriculas[[#This Row],[Estado]]&lt;&gt;"activa",tblMatriculas[[#This Row],[Asistidas]]=""),"",tblMatriculas[[#This Row],[Asistencia]])</f>
        <v>0.13300000000000001</v>
      </c>
      <c r="Q597" t="b">
        <f>AND(tblMatriculas[[#This Row],[Estado]]="activa",ISNUMBER(tblMatriculas[[#This Row],[% asistencia]]),NOT(ISNUMBER(SEARCH(pPrueba,tblMatriculas[[#This Row],[Nombre]]))))</f>
        <v>1</v>
      </c>
      <c r="R5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7" s="23" t="str" cm="1">
        <f t="array" ref="S5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7" s="23" t="str" cm="1">
        <f t="array" ref="T5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7" s="14" t="str" cm="1">
        <f t="array" ref="U5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7" t="str" cm="1">
        <f t="array" ref="V5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7" t="str" cm="1">
        <f t="array" ref="W5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7" t="str">
        <f>IF(COUNTIFS('Base Estudiantes'!$C:$C,tblMatriculas[[#This Row],[Cédula]],'Base Estudiantes'!$I:$I,tblMatriculas[[#This Row],[Código]])&gt;0,"Sí","No")</f>
        <v>Sí</v>
      </c>
      <c r="Z597" s="23" cm="1">
        <f t="array" ref="Z597">_xlfn.XLOOKUP(tblMatriculas[[#This Row],[Cédula]]&amp;"|"&amp;tblMatriculas[[#This Row],[Código]],tblBase[Documento]&amp;"|"&amp;tblBase[Código grupo],tblBase[Fecha matrícula],"")</f>
        <v>46262</v>
      </c>
    </row>
    <row r="598" spans="1:26" x14ac:dyDescent="0.2">
      <c r="A598" t="s">
        <v>1297</v>
      </c>
      <c r="B598" t="s">
        <v>1298</v>
      </c>
      <c r="C598" t="s">
        <v>13</v>
      </c>
      <c r="D598" t="s">
        <v>1295</v>
      </c>
      <c r="E598" t="s">
        <v>1296</v>
      </c>
      <c r="F598" t="s">
        <v>111</v>
      </c>
      <c r="G598" s="1">
        <v>0.1</v>
      </c>
      <c r="H598" t="s">
        <v>380</v>
      </c>
      <c r="I598" t="s">
        <v>1145</v>
      </c>
      <c r="J598" t="s">
        <v>1219</v>
      </c>
      <c r="K598" t="s">
        <v>1299</v>
      </c>
      <c r="L598" s="14">
        <f>IFERROR(VALUE(LEFT(tblMatriculas[[#This Row],[Clases]],FIND("/",tblMatriculas[[#This Row],[Clases]])-1)),"")</f>
        <v>6</v>
      </c>
      <c r="M598" s="14">
        <f>IFERROR(VALUE(MID(tblMatriculas[[#This Row],[Clases]],FIND("/",tblMatriculas[[#This Row],[Clases]])+1,5)),"")</f>
        <v>60</v>
      </c>
      <c r="N5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598" s="14">
        <f>IF(OR(tblMatriculas[[#This Row],[Estado]]&lt;&gt;"activa",tblMatriculas[[#This Row],[Clases dictadas]]=""),"",MAX(0,tblMatriculas[[#This Row],[Clases dictadas]]-tblMatriculas[[#This Row],[Asistidas]]))</f>
        <v>4</v>
      </c>
      <c r="P598" s="1">
        <f>IF(OR(tblMatriculas[[#This Row],[Estado]]&lt;&gt;"activa",tblMatriculas[[#This Row],[Asistidas]]=""),"",tblMatriculas[[#This Row],[Asistencia]])</f>
        <v>0.1</v>
      </c>
      <c r="Q598" t="b">
        <f>AND(tblMatriculas[[#This Row],[Estado]]="activa",ISNUMBER(tblMatriculas[[#This Row],[% asistencia]]),NOT(ISNUMBER(SEARCH(pPrueba,tblMatriculas[[#This Row],[Nombre]]))))</f>
        <v>1</v>
      </c>
      <c r="R5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598" s="23" t="str" cm="1">
        <f t="array" ref="S5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8" s="23" t="str" cm="1">
        <f t="array" ref="T5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8" s="14" t="str" cm="1">
        <f t="array" ref="U5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8" t="str" cm="1">
        <f t="array" ref="V5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8" t="str" cm="1">
        <f t="array" ref="W5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5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598" t="str">
        <f>IF(COUNTIFS('Base Estudiantes'!$C:$C,tblMatriculas[[#This Row],[Cédula]],'Base Estudiantes'!$I:$I,tblMatriculas[[#This Row],[Código]])&gt;0,"Sí","No")</f>
        <v>Sí</v>
      </c>
      <c r="Z598" s="23" cm="1">
        <f t="array" ref="Z598">_xlfn.XLOOKUP(tblMatriculas[[#This Row],[Cédula]]&amp;"|"&amp;tblMatriculas[[#This Row],[Código]],tblBase[Documento]&amp;"|"&amp;tblBase[Código grupo],tblBase[Fecha matrícula],"")</f>
        <v>46262</v>
      </c>
    </row>
    <row r="599" spans="1:26" x14ac:dyDescent="0.2">
      <c r="A599" t="s">
        <v>1300</v>
      </c>
      <c r="B599" t="s">
        <v>1301</v>
      </c>
      <c r="C599" t="s">
        <v>13</v>
      </c>
      <c r="D599" t="s">
        <v>1295</v>
      </c>
      <c r="E599" t="s">
        <v>1296</v>
      </c>
      <c r="F599" t="s">
        <v>111</v>
      </c>
      <c r="G599" s="1">
        <v>0</v>
      </c>
      <c r="H599" t="s">
        <v>254</v>
      </c>
      <c r="I599" t="s">
        <v>1145</v>
      </c>
      <c r="J599" t="s">
        <v>1219</v>
      </c>
      <c r="K599" t="s">
        <v>24</v>
      </c>
      <c r="L599" s="14">
        <f>IFERROR(VALUE(LEFT(tblMatriculas[[#This Row],[Clases]],FIND("/",tblMatriculas[[#This Row],[Clases]])-1)),"")</f>
        <v>0</v>
      </c>
      <c r="M599" s="14">
        <f>IFERROR(VALUE(MID(tblMatriculas[[#This Row],[Clases]],FIND("/",tblMatriculas[[#This Row],[Clases]])+1,5)),"")</f>
        <v>30</v>
      </c>
      <c r="N5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599" s="14">
        <f>IF(OR(tblMatriculas[[#This Row],[Estado]]&lt;&gt;"activa",tblMatriculas[[#This Row],[Clases dictadas]]=""),"",MAX(0,tblMatriculas[[#This Row],[Clases dictadas]]-tblMatriculas[[#This Row],[Asistidas]]))</f>
        <v>6</v>
      </c>
      <c r="P599" s="1">
        <f>IF(OR(tblMatriculas[[#This Row],[Estado]]&lt;&gt;"activa",tblMatriculas[[#This Row],[Asistidas]]=""),"",tblMatriculas[[#This Row],[Asistencia]])</f>
        <v>0</v>
      </c>
      <c r="Q599" t="b">
        <f>AND(tblMatriculas[[#This Row],[Estado]]="activa",ISNUMBER(tblMatriculas[[#This Row],[% asistencia]]),NOT(ISNUMBER(SEARCH(pPrueba,tblMatriculas[[#This Row],[Nombre]]))))</f>
        <v>1</v>
      </c>
      <c r="R5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599" s="23" t="str" cm="1">
        <f t="array" ref="S5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599" s="23" t="str" cm="1">
        <f t="array" ref="T5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599" s="14" t="str" cm="1">
        <f t="array" ref="U5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599" t="str" cm="1">
        <f t="array" ref="V5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599" t="str" cm="1">
        <f t="array" ref="W5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5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599" t="str">
        <f>IF(COUNTIFS('Base Estudiantes'!$C:$C,tblMatriculas[[#This Row],[Cédula]],'Base Estudiantes'!$I:$I,tblMatriculas[[#This Row],[Código]])&gt;0,"Sí","No")</f>
        <v>Sí</v>
      </c>
      <c r="Z599" s="23" cm="1">
        <f t="array" ref="Z599">_xlfn.XLOOKUP(tblMatriculas[[#This Row],[Cédula]]&amp;"|"&amp;tblMatriculas[[#This Row],[Código]],tblBase[Documento]&amp;"|"&amp;tblBase[Código grupo],tblBase[Fecha matrícula],"")</f>
        <v>46262</v>
      </c>
    </row>
    <row r="600" spans="1:26" x14ac:dyDescent="0.2">
      <c r="A600" t="s">
        <v>1302</v>
      </c>
      <c r="B600" t="s">
        <v>1303</v>
      </c>
      <c r="C600" t="s">
        <v>13</v>
      </c>
      <c r="D600" t="s">
        <v>1295</v>
      </c>
      <c r="E600" t="s">
        <v>1296</v>
      </c>
      <c r="F600" t="s">
        <v>111</v>
      </c>
      <c r="G600" s="1">
        <v>0.13300000000000001</v>
      </c>
      <c r="H600" t="s">
        <v>112</v>
      </c>
      <c r="I600" t="s">
        <v>1145</v>
      </c>
      <c r="J600" t="s">
        <v>1219</v>
      </c>
      <c r="K600" t="s">
        <v>24</v>
      </c>
      <c r="L600" s="14">
        <f>IFERROR(VALUE(LEFT(tblMatriculas[[#This Row],[Clases]],FIND("/",tblMatriculas[[#This Row],[Clases]])-1)),"")</f>
        <v>4</v>
      </c>
      <c r="M600" s="14">
        <f>IFERROR(VALUE(MID(tblMatriculas[[#This Row],[Clases]],FIND("/",tblMatriculas[[#This Row],[Clases]])+1,5)),"")</f>
        <v>30</v>
      </c>
      <c r="N6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0" s="14">
        <f>IF(OR(tblMatriculas[[#This Row],[Estado]]&lt;&gt;"activa",tblMatriculas[[#This Row],[Clases dictadas]]=""),"",MAX(0,tblMatriculas[[#This Row],[Clases dictadas]]-tblMatriculas[[#This Row],[Asistidas]]))</f>
        <v>2</v>
      </c>
      <c r="P600" s="1">
        <f>IF(OR(tblMatriculas[[#This Row],[Estado]]&lt;&gt;"activa",tblMatriculas[[#This Row],[Asistidas]]=""),"",tblMatriculas[[#This Row],[Asistencia]])</f>
        <v>0.13300000000000001</v>
      </c>
      <c r="Q600" t="b">
        <f>AND(tblMatriculas[[#This Row],[Estado]]="activa",ISNUMBER(tblMatriculas[[#This Row],[% asistencia]]),NOT(ISNUMBER(SEARCH(pPrueba,tblMatriculas[[#This Row],[Nombre]]))))</f>
        <v>1</v>
      </c>
      <c r="R6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0" s="23" t="str" cm="1">
        <f t="array" ref="S6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0" s="23" t="str" cm="1">
        <f t="array" ref="T6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0" s="14" t="str" cm="1">
        <f t="array" ref="U6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0" t="str" cm="1">
        <f t="array" ref="V6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0" t="str" cm="1">
        <f t="array" ref="W6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0" t="str">
        <f>IF(COUNTIFS('Base Estudiantes'!$C:$C,tblMatriculas[[#This Row],[Cédula]],'Base Estudiantes'!$I:$I,tblMatriculas[[#This Row],[Código]])&gt;0,"Sí","No")</f>
        <v>Sí</v>
      </c>
      <c r="Z600" s="23" cm="1">
        <f t="array" ref="Z600">_xlfn.XLOOKUP(tblMatriculas[[#This Row],[Cédula]]&amp;"|"&amp;tblMatriculas[[#This Row],[Código]],tblBase[Documento]&amp;"|"&amp;tblBase[Código grupo],tblBase[Fecha matrícula],"")</f>
        <v>46262</v>
      </c>
    </row>
    <row r="601" spans="1:26" x14ac:dyDescent="0.2">
      <c r="A601" t="s">
        <v>1304</v>
      </c>
      <c r="B601" t="s">
        <v>1305</v>
      </c>
      <c r="C601" t="s">
        <v>13</v>
      </c>
      <c r="D601" t="s">
        <v>1295</v>
      </c>
      <c r="E601" t="s">
        <v>1296</v>
      </c>
      <c r="F601" t="s">
        <v>111</v>
      </c>
      <c r="G601" s="1">
        <v>0.16699999999999998</v>
      </c>
      <c r="H601" t="s">
        <v>229</v>
      </c>
      <c r="I601" t="s">
        <v>1145</v>
      </c>
      <c r="J601" t="s">
        <v>1219</v>
      </c>
      <c r="K601" t="s">
        <v>24</v>
      </c>
      <c r="L601" s="14">
        <f>IFERROR(VALUE(LEFT(tblMatriculas[[#This Row],[Clases]],FIND("/",tblMatriculas[[#This Row],[Clases]])-1)),"")</f>
        <v>5</v>
      </c>
      <c r="M601" s="14">
        <f>IFERROR(VALUE(MID(tblMatriculas[[#This Row],[Clases]],FIND("/",tblMatriculas[[#This Row],[Clases]])+1,5)),"")</f>
        <v>30</v>
      </c>
      <c r="N6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1" s="14">
        <f>IF(OR(tblMatriculas[[#This Row],[Estado]]&lt;&gt;"activa",tblMatriculas[[#This Row],[Clases dictadas]]=""),"",MAX(0,tblMatriculas[[#This Row],[Clases dictadas]]-tblMatriculas[[#This Row],[Asistidas]]))</f>
        <v>1</v>
      </c>
      <c r="P601" s="1">
        <f>IF(OR(tblMatriculas[[#This Row],[Estado]]&lt;&gt;"activa",tblMatriculas[[#This Row],[Asistidas]]=""),"",tblMatriculas[[#This Row],[Asistencia]])</f>
        <v>0.16699999999999998</v>
      </c>
      <c r="Q601" t="b">
        <f>AND(tblMatriculas[[#This Row],[Estado]]="activa",ISNUMBER(tblMatriculas[[#This Row],[% asistencia]]),NOT(ISNUMBER(SEARCH(pPrueba,tblMatriculas[[#This Row],[Nombre]]))))</f>
        <v>1</v>
      </c>
      <c r="R6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1" s="23" t="str" cm="1">
        <f t="array" ref="S6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1" s="23" t="str" cm="1">
        <f t="array" ref="T6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1" s="14" t="str" cm="1">
        <f t="array" ref="U6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1" t="str" cm="1">
        <f t="array" ref="V6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1" t="str" cm="1">
        <f t="array" ref="W6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1" t="str">
        <f>IF(COUNTIFS('Base Estudiantes'!$C:$C,tblMatriculas[[#This Row],[Cédula]],'Base Estudiantes'!$I:$I,tblMatriculas[[#This Row],[Código]])&gt;0,"Sí","No")</f>
        <v>Sí</v>
      </c>
      <c r="Z601" s="23" cm="1">
        <f t="array" ref="Z601">_xlfn.XLOOKUP(tblMatriculas[[#This Row],[Cédula]]&amp;"|"&amp;tblMatriculas[[#This Row],[Código]],tblBase[Documento]&amp;"|"&amp;tblBase[Código grupo],tblBase[Fecha matrícula],"")</f>
        <v>46262</v>
      </c>
    </row>
    <row r="602" spans="1:26" x14ac:dyDescent="0.2">
      <c r="A602" t="s">
        <v>1306</v>
      </c>
      <c r="B602" t="s">
        <v>1307</v>
      </c>
      <c r="C602" t="s">
        <v>13</v>
      </c>
      <c r="D602" t="s">
        <v>1295</v>
      </c>
      <c r="E602" t="s">
        <v>1296</v>
      </c>
      <c r="F602" t="s">
        <v>111</v>
      </c>
      <c r="G602" s="1">
        <v>0.2</v>
      </c>
      <c r="H602" t="s">
        <v>232</v>
      </c>
      <c r="I602" t="s">
        <v>1145</v>
      </c>
      <c r="J602" t="s">
        <v>1219</v>
      </c>
      <c r="K602" t="s">
        <v>24</v>
      </c>
      <c r="L602" s="14">
        <f>IFERROR(VALUE(LEFT(tblMatriculas[[#This Row],[Clases]],FIND("/",tblMatriculas[[#This Row],[Clases]])-1)),"")</f>
        <v>6</v>
      </c>
      <c r="M602" s="14">
        <f>IFERROR(VALUE(MID(tblMatriculas[[#This Row],[Clases]],FIND("/",tblMatriculas[[#This Row],[Clases]])+1,5)),"")</f>
        <v>30</v>
      </c>
      <c r="N6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2" s="14">
        <f>IF(OR(tblMatriculas[[#This Row],[Estado]]&lt;&gt;"activa",tblMatriculas[[#This Row],[Clases dictadas]]=""),"",MAX(0,tblMatriculas[[#This Row],[Clases dictadas]]-tblMatriculas[[#This Row],[Asistidas]]))</f>
        <v>0</v>
      </c>
      <c r="P602" s="1">
        <f>IF(OR(tblMatriculas[[#This Row],[Estado]]&lt;&gt;"activa",tblMatriculas[[#This Row],[Asistidas]]=""),"",tblMatriculas[[#This Row],[Asistencia]])</f>
        <v>0.2</v>
      </c>
      <c r="Q602" t="b">
        <f>AND(tblMatriculas[[#This Row],[Estado]]="activa",ISNUMBER(tblMatriculas[[#This Row],[% asistencia]]),NOT(ISNUMBER(SEARCH(pPrueba,tblMatriculas[[#This Row],[Nombre]]))))</f>
        <v>1</v>
      </c>
      <c r="R6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2" s="23" t="str" cm="1">
        <f t="array" ref="S6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2" s="23" t="str" cm="1">
        <f t="array" ref="T6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2" s="14" t="str" cm="1">
        <f t="array" ref="U6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2" t="str" cm="1">
        <f t="array" ref="V6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2" t="str" cm="1">
        <f t="array" ref="W6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2" t="str">
        <f>IF(COUNTIFS('Base Estudiantes'!$C:$C,tblMatriculas[[#This Row],[Cédula]],'Base Estudiantes'!$I:$I,tblMatriculas[[#This Row],[Código]])&gt;0,"Sí","No")</f>
        <v>Sí</v>
      </c>
      <c r="Z602" s="23" cm="1">
        <f t="array" ref="Z602">_xlfn.XLOOKUP(tblMatriculas[[#This Row],[Cédula]]&amp;"|"&amp;tblMatriculas[[#This Row],[Código]],tblBase[Documento]&amp;"|"&amp;tblBase[Código grupo],tblBase[Fecha matrícula],"")</f>
        <v>46262</v>
      </c>
    </row>
    <row r="603" spans="1:26" x14ac:dyDescent="0.2">
      <c r="A603" t="s">
        <v>1308</v>
      </c>
      <c r="B603" t="s">
        <v>1309</v>
      </c>
      <c r="C603" t="s">
        <v>13</v>
      </c>
      <c r="D603" t="s">
        <v>1295</v>
      </c>
      <c r="E603" t="s">
        <v>1296</v>
      </c>
      <c r="F603" t="s">
        <v>111</v>
      </c>
      <c r="G603" s="1">
        <v>3.3000000000000002E-2</v>
      </c>
      <c r="H603" t="s">
        <v>225</v>
      </c>
      <c r="I603" t="s">
        <v>1145</v>
      </c>
      <c r="J603" t="s">
        <v>1219</v>
      </c>
      <c r="K603" t="s">
        <v>24</v>
      </c>
      <c r="L603" s="14">
        <f>IFERROR(VALUE(LEFT(tblMatriculas[[#This Row],[Clases]],FIND("/",tblMatriculas[[#This Row],[Clases]])-1)),"")</f>
        <v>1</v>
      </c>
      <c r="M603" s="14">
        <f>IFERROR(VALUE(MID(tblMatriculas[[#This Row],[Clases]],FIND("/",tblMatriculas[[#This Row],[Clases]])+1,5)),"")</f>
        <v>30</v>
      </c>
      <c r="N6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3" s="14">
        <f>IF(OR(tblMatriculas[[#This Row],[Estado]]&lt;&gt;"activa",tblMatriculas[[#This Row],[Clases dictadas]]=""),"",MAX(0,tblMatriculas[[#This Row],[Clases dictadas]]-tblMatriculas[[#This Row],[Asistidas]]))</f>
        <v>5</v>
      </c>
      <c r="P603" s="1">
        <f>IF(OR(tblMatriculas[[#This Row],[Estado]]&lt;&gt;"activa",tblMatriculas[[#This Row],[Asistidas]]=""),"",tblMatriculas[[#This Row],[Asistencia]])</f>
        <v>3.3000000000000002E-2</v>
      </c>
      <c r="Q603" t="b">
        <f>AND(tblMatriculas[[#This Row],[Estado]]="activa",ISNUMBER(tblMatriculas[[#This Row],[% asistencia]]),NOT(ISNUMBER(SEARCH(pPrueba,tblMatriculas[[#This Row],[Nombre]]))))</f>
        <v>1</v>
      </c>
      <c r="R6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603" s="23" t="str" cm="1">
        <f t="array" ref="S6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3" s="23" t="str" cm="1">
        <f t="array" ref="T6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3" s="14" t="str" cm="1">
        <f t="array" ref="U6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3" t="str" cm="1">
        <f t="array" ref="V6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3" t="str" cm="1">
        <f t="array" ref="W6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6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603" t="str">
        <f>IF(COUNTIFS('Base Estudiantes'!$C:$C,tblMatriculas[[#This Row],[Cédula]],'Base Estudiantes'!$I:$I,tblMatriculas[[#This Row],[Código]])&gt;0,"Sí","No")</f>
        <v>Sí</v>
      </c>
      <c r="Z603" s="23" cm="1">
        <f t="array" ref="Z603">_xlfn.XLOOKUP(tblMatriculas[[#This Row],[Cédula]]&amp;"|"&amp;tblMatriculas[[#This Row],[Código]],tblBase[Documento]&amp;"|"&amp;tblBase[Código grupo],tblBase[Fecha matrícula],"")</f>
        <v>46262</v>
      </c>
    </row>
    <row r="604" spans="1:26" x14ac:dyDescent="0.2">
      <c r="A604" t="s">
        <v>1310</v>
      </c>
      <c r="B604" t="s">
        <v>1311</v>
      </c>
      <c r="C604" t="s">
        <v>13</v>
      </c>
      <c r="D604" t="s">
        <v>1295</v>
      </c>
      <c r="E604" t="s">
        <v>1296</v>
      </c>
      <c r="F604" t="s">
        <v>111</v>
      </c>
      <c r="G604" s="1">
        <v>0</v>
      </c>
      <c r="H604" t="s">
        <v>254</v>
      </c>
      <c r="I604" t="s">
        <v>1145</v>
      </c>
      <c r="J604" t="s">
        <v>1219</v>
      </c>
      <c r="K604" t="s">
        <v>24</v>
      </c>
      <c r="L604" s="14">
        <f>IFERROR(VALUE(LEFT(tblMatriculas[[#This Row],[Clases]],FIND("/",tblMatriculas[[#This Row],[Clases]])-1)),"")</f>
        <v>0</v>
      </c>
      <c r="M604" s="14">
        <f>IFERROR(VALUE(MID(tblMatriculas[[#This Row],[Clases]],FIND("/",tblMatriculas[[#This Row],[Clases]])+1,5)),"")</f>
        <v>30</v>
      </c>
      <c r="N6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4" s="14">
        <f>IF(OR(tblMatriculas[[#This Row],[Estado]]&lt;&gt;"activa",tblMatriculas[[#This Row],[Clases dictadas]]=""),"",MAX(0,tblMatriculas[[#This Row],[Clases dictadas]]-tblMatriculas[[#This Row],[Asistidas]]))</f>
        <v>6</v>
      </c>
      <c r="P604" s="1">
        <f>IF(OR(tblMatriculas[[#This Row],[Estado]]&lt;&gt;"activa",tblMatriculas[[#This Row],[Asistidas]]=""),"",tblMatriculas[[#This Row],[Asistencia]])</f>
        <v>0</v>
      </c>
      <c r="Q604" t="b">
        <f>AND(tblMatriculas[[#This Row],[Estado]]="activa",ISNUMBER(tblMatriculas[[#This Row],[% asistencia]]),NOT(ISNUMBER(SEARCH(pPrueba,tblMatriculas[[#This Row],[Nombre]]))))</f>
        <v>1</v>
      </c>
      <c r="R6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04" s="23" t="str" cm="1">
        <f t="array" ref="S6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4" s="23" t="str" cm="1">
        <f t="array" ref="T6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4" s="14" t="str" cm="1">
        <f t="array" ref="U6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4" t="str" cm="1">
        <f t="array" ref="V6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4" t="str" cm="1">
        <f t="array" ref="W6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04" t="str">
        <f>IF(COUNTIFS('Base Estudiantes'!$C:$C,tblMatriculas[[#This Row],[Cédula]],'Base Estudiantes'!$I:$I,tblMatriculas[[#This Row],[Código]])&gt;0,"Sí","No")</f>
        <v>Sí</v>
      </c>
      <c r="Z604" s="23" cm="1">
        <f t="array" ref="Z604">_xlfn.XLOOKUP(tblMatriculas[[#This Row],[Cédula]]&amp;"|"&amp;tblMatriculas[[#This Row],[Código]],tblBase[Documento]&amp;"|"&amp;tblBase[Código grupo],tblBase[Fecha matrícula],"")</f>
        <v>46262</v>
      </c>
    </row>
    <row r="605" spans="1:26" x14ac:dyDescent="0.2">
      <c r="A605" t="s">
        <v>1312</v>
      </c>
      <c r="B605" t="s">
        <v>1313</v>
      </c>
      <c r="C605" t="s">
        <v>13</v>
      </c>
      <c r="D605" t="s">
        <v>1295</v>
      </c>
      <c r="E605" t="s">
        <v>1296</v>
      </c>
      <c r="F605" t="s">
        <v>111</v>
      </c>
      <c r="G605" s="1">
        <v>0.2</v>
      </c>
      <c r="H605" t="s">
        <v>232</v>
      </c>
      <c r="I605" t="s">
        <v>1145</v>
      </c>
      <c r="J605" t="s">
        <v>1219</v>
      </c>
      <c r="K605" t="s">
        <v>24</v>
      </c>
      <c r="L605" s="14">
        <f>IFERROR(VALUE(LEFT(tblMatriculas[[#This Row],[Clases]],FIND("/",tblMatriculas[[#This Row],[Clases]])-1)),"")</f>
        <v>6</v>
      </c>
      <c r="M605" s="14">
        <f>IFERROR(VALUE(MID(tblMatriculas[[#This Row],[Clases]],FIND("/",tblMatriculas[[#This Row],[Clases]])+1,5)),"")</f>
        <v>30</v>
      </c>
      <c r="N6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5" s="14">
        <f>IF(OR(tblMatriculas[[#This Row],[Estado]]&lt;&gt;"activa",tblMatriculas[[#This Row],[Clases dictadas]]=""),"",MAX(0,tblMatriculas[[#This Row],[Clases dictadas]]-tblMatriculas[[#This Row],[Asistidas]]))</f>
        <v>0</v>
      </c>
      <c r="P605" s="1">
        <f>IF(OR(tblMatriculas[[#This Row],[Estado]]&lt;&gt;"activa",tblMatriculas[[#This Row],[Asistidas]]=""),"",tblMatriculas[[#This Row],[Asistencia]])</f>
        <v>0.2</v>
      </c>
      <c r="Q605" t="b">
        <f>AND(tblMatriculas[[#This Row],[Estado]]="activa",ISNUMBER(tblMatriculas[[#This Row],[% asistencia]]),NOT(ISNUMBER(SEARCH(pPrueba,tblMatriculas[[#This Row],[Nombre]]))))</f>
        <v>1</v>
      </c>
      <c r="R6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5" s="23" t="str" cm="1">
        <f t="array" ref="S6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5" s="23" t="str" cm="1">
        <f t="array" ref="T6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5" s="14" t="str" cm="1">
        <f t="array" ref="U6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5" t="str" cm="1">
        <f t="array" ref="V6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5" t="str" cm="1">
        <f t="array" ref="W6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5" t="str">
        <f>IF(COUNTIFS('Base Estudiantes'!$C:$C,tblMatriculas[[#This Row],[Cédula]],'Base Estudiantes'!$I:$I,tblMatriculas[[#This Row],[Código]])&gt;0,"Sí","No")</f>
        <v>Sí</v>
      </c>
      <c r="Z605" s="23" cm="1">
        <f t="array" ref="Z605">_xlfn.XLOOKUP(tblMatriculas[[#This Row],[Cédula]]&amp;"|"&amp;tblMatriculas[[#This Row],[Código]],tblBase[Documento]&amp;"|"&amp;tblBase[Código grupo],tblBase[Fecha matrícula],"")</f>
        <v>46262</v>
      </c>
    </row>
    <row r="606" spans="1:26" x14ac:dyDescent="0.2">
      <c r="A606" t="s">
        <v>1314</v>
      </c>
      <c r="B606" t="s">
        <v>1315</v>
      </c>
      <c r="C606" t="s">
        <v>13</v>
      </c>
      <c r="D606" t="s">
        <v>1295</v>
      </c>
      <c r="E606" t="s">
        <v>1296</v>
      </c>
      <c r="F606" t="s">
        <v>111</v>
      </c>
      <c r="G606" s="1">
        <v>0.16699999999999998</v>
      </c>
      <c r="H606" t="s">
        <v>229</v>
      </c>
      <c r="I606" t="s">
        <v>1145</v>
      </c>
      <c r="J606" t="s">
        <v>1219</v>
      </c>
      <c r="K606" t="s">
        <v>24</v>
      </c>
      <c r="L606" s="14">
        <f>IFERROR(VALUE(LEFT(tblMatriculas[[#This Row],[Clases]],FIND("/",tblMatriculas[[#This Row],[Clases]])-1)),"")</f>
        <v>5</v>
      </c>
      <c r="M606" s="14">
        <f>IFERROR(VALUE(MID(tblMatriculas[[#This Row],[Clases]],FIND("/",tblMatriculas[[#This Row],[Clases]])+1,5)),"")</f>
        <v>30</v>
      </c>
      <c r="N6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6" s="14">
        <f>IF(OR(tblMatriculas[[#This Row],[Estado]]&lt;&gt;"activa",tblMatriculas[[#This Row],[Clases dictadas]]=""),"",MAX(0,tblMatriculas[[#This Row],[Clases dictadas]]-tblMatriculas[[#This Row],[Asistidas]]))</f>
        <v>1</v>
      </c>
      <c r="P606" s="1">
        <f>IF(OR(tblMatriculas[[#This Row],[Estado]]&lt;&gt;"activa",tblMatriculas[[#This Row],[Asistidas]]=""),"",tblMatriculas[[#This Row],[Asistencia]])</f>
        <v>0.16699999999999998</v>
      </c>
      <c r="Q606" t="b">
        <f>AND(tblMatriculas[[#This Row],[Estado]]="activa",ISNUMBER(tblMatriculas[[#This Row],[% asistencia]]),NOT(ISNUMBER(SEARCH(pPrueba,tblMatriculas[[#This Row],[Nombre]]))))</f>
        <v>1</v>
      </c>
      <c r="R6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6" s="23" t="str" cm="1">
        <f t="array" ref="S6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6" s="23" t="str" cm="1">
        <f t="array" ref="T6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6" s="14" t="str" cm="1">
        <f t="array" ref="U6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6" t="str" cm="1">
        <f t="array" ref="V6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6" t="str" cm="1">
        <f t="array" ref="W6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6" t="str">
        <f>IF(COUNTIFS('Base Estudiantes'!$C:$C,tblMatriculas[[#This Row],[Cédula]],'Base Estudiantes'!$I:$I,tblMatriculas[[#This Row],[Código]])&gt;0,"Sí","No")</f>
        <v>Sí</v>
      </c>
      <c r="Z606" s="23" cm="1">
        <f t="array" ref="Z606">_xlfn.XLOOKUP(tblMatriculas[[#This Row],[Cédula]]&amp;"|"&amp;tblMatriculas[[#This Row],[Código]],tblBase[Documento]&amp;"|"&amp;tblBase[Código grupo],tblBase[Fecha matrícula],"")</f>
        <v>46262</v>
      </c>
    </row>
    <row r="607" spans="1:26" x14ac:dyDescent="0.2">
      <c r="A607" t="s">
        <v>1316</v>
      </c>
      <c r="B607" t="s">
        <v>1317</v>
      </c>
      <c r="C607" t="s">
        <v>13</v>
      </c>
      <c r="D607" t="s">
        <v>1295</v>
      </c>
      <c r="E607" t="s">
        <v>1296</v>
      </c>
      <c r="F607" t="s">
        <v>111</v>
      </c>
      <c r="G607" s="1">
        <v>0.16699999999999998</v>
      </c>
      <c r="H607" t="s">
        <v>229</v>
      </c>
      <c r="I607" t="s">
        <v>1145</v>
      </c>
      <c r="J607" t="s">
        <v>1219</v>
      </c>
      <c r="K607" t="s">
        <v>24</v>
      </c>
      <c r="L607" s="14">
        <f>IFERROR(VALUE(LEFT(tblMatriculas[[#This Row],[Clases]],FIND("/",tblMatriculas[[#This Row],[Clases]])-1)),"")</f>
        <v>5</v>
      </c>
      <c r="M607" s="14">
        <f>IFERROR(VALUE(MID(tblMatriculas[[#This Row],[Clases]],FIND("/",tblMatriculas[[#This Row],[Clases]])+1,5)),"")</f>
        <v>30</v>
      </c>
      <c r="N6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7" s="14">
        <f>IF(OR(tblMatriculas[[#This Row],[Estado]]&lt;&gt;"activa",tblMatriculas[[#This Row],[Clases dictadas]]=""),"",MAX(0,tblMatriculas[[#This Row],[Clases dictadas]]-tblMatriculas[[#This Row],[Asistidas]]))</f>
        <v>1</v>
      </c>
      <c r="P607" s="1">
        <f>IF(OR(tblMatriculas[[#This Row],[Estado]]&lt;&gt;"activa",tblMatriculas[[#This Row],[Asistidas]]=""),"",tblMatriculas[[#This Row],[Asistencia]])</f>
        <v>0.16699999999999998</v>
      </c>
      <c r="Q607" t="b">
        <f>AND(tblMatriculas[[#This Row],[Estado]]="activa",ISNUMBER(tblMatriculas[[#This Row],[% asistencia]]),NOT(ISNUMBER(SEARCH(pPrueba,tblMatriculas[[#This Row],[Nombre]]))))</f>
        <v>1</v>
      </c>
      <c r="R6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7" s="23" t="str" cm="1">
        <f t="array" ref="S6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7" s="23" t="str" cm="1">
        <f t="array" ref="T6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7" s="14" t="str" cm="1">
        <f t="array" ref="U6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7" t="str" cm="1">
        <f t="array" ref="V6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7" t="str" cm="1">
        <f t="array" ref="W6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7" t="str">
        <f>IF(COUNTIFS('Base Estudiantes'!$C:$C,tblMatriculas[[#This Row],[Cédula]],'Base Estudiantes'!$I:$I,tblMatriculas[[#This Row],[Código]])&gt;0,"Sí","No")</f>
        <v>Sí</v>
      </c>
      <c r="Z607" s="23" cm="1">
        <f t="array" ref="Z607">_xlfn.XLOOKUP(tblMatriculas[[#This Row],[Cédula]]&amp;"|"&amp;tblMatriculas[[#This Row],[Código]],tblBase[Documento]&amp;"|"&amp;tblBase[Código grupo],tblBase[Fecha matrícula],"")</f>
        <v>46262</v>
      </c>
    </row>
    <row r="608" spans="1:26" x14ac:dyDescent="0.2">
      <c r="A608" t="s">
        <v>1318</v>
      </c>
      <c r="B608" t="s">
        <v>1319</v>
      </c>
      <c r="C608" t="s">
        <v>13</v>
      </c>
      <c r="D608" t="s">
        <v>1295</v>
      </c>
      <c r="E608" t="s">
        <v>1296</v>
      </c>
      <c r="F608" t="s">
        <v>111</v>
      </c>
      <c r="G608" s="1">
        <v>0.2</v>
      </c>
      <c r="H608" t="s">
        <v>232</v>
      </c>
      <c r="I608" t="s">
        <v>1145</v>
      </c>
      <c r="J608" t="s">
        <v>1219</v>
      </c>
      <c r="K608" t="s">
        <v>24</v>
      </c>
      <c r="L608" s="14">
        <f>IFERROR(VALUE(LEFT(tblMatriculas[[#This Row],[Clases]],FIND("/",tblMatriculas[[#This Row],[Clases]])-1)),"")</f>
        <v>6</v>
      </c>
      <c r="M608" s="14">
        <f>IFERROR(VALUE(MID(tblMatriculas[[#This Row],[Clases]],FIND("/",tblMatriculas[[#This Row],[Clases]])+1,5)),"")</f>
        <v>30</v>
      </c>
      <c r="N6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8" s="14">
        <f>IF(OR(tblMatriculas[[#This Row],[Estado]]&lt;&gt;"activa",tblMatriculas[[#This Row],[Clases dictadas]]=""),"",MAX(0,tblMatriculas[[#This Row],[Clases dictadas]]-tblMatriculas[[#This Row],[Asistidas]]))</f>
        <v>0</v>
      </c>
      <c r="P608" s="1">
        <f>IF(OR(tblMatriculas[[#This Row],[Estado]]&lt;&gt;"activa",tblMatriculas[[#This Row],[Asistidas]]=""),"",tblMatriculas[[#This Row],[Asistencia]])</f>
        <v>0.2</v>
      </c>
      <c r="Q608" t="b">
        <f>AND(tblMatriculas[[#This Row],[Estado]]="activa",ISNUMBER(tblMatriculas[[#This Row],[% asistencia]]),NOT(ISNUMBER(SEARCH(pPrueba,tblMatriculas[[#This Row],[Nombre]]))))</f>
        <v>1</v>
      </c>
      <c r="R6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08" s="23" t="str" cm="1">
        <f t="array" ref="S6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8" s="23" t="str" cm="1">
        <f t="array" ref="T6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8" s="14" t="str" cm="1">
        <f t="array" ref="U6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8" t="str" cm="1">
        <f t="array" ref="V6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8" t="str" cm="1">
        <f t="array" ref="W6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08" t="str">
        <f>IF(COUNTIFS('Base Estudiantes'!$C:$C,tblMatriculas[[#This Row],[Cédula]],'Base Estudiantes'!$I:$I,tblMatriculas[[#This Row],[Código]])&gt;0,"Sí","No")</f>
        <v>Sí</v>
      </c>
      <c r="Z608" s="23" cm="1">
        <f t="array" ref="Z608">_xlfn.XLOOKUP(tblMatriculas[[#This Row],[Cédula]]&amp;"|"&amp;tblMatriculas[[#This Row],[Código]],tblBase[Documento]&amp;"|"&amp;tblBase[Código grupo],tblBase[Fecha matrícula],"")</f>
        <v>46262</v>
      </c>
    </row>
    <row r="609" spans="1:26" x14ac:dyDescent="0.2">
      <c r="A609" t="s">
        <v>1320</v>
      </c>
      <c r="B609" t="s">
        <v>1321</v>
      </c>
      <c r="C609" t="s">
        <v>13</v>
      </c>
      <c r="D609" t="s">
        <v>1295</v>
      </c>
      <c r="E609" t="s">
        <v>1296</v>
      </c>
      <c r="F609" t="s">
        <v>111</v>
      </c>
      <c r="G609" s="1">
        <v>0</v>
      </c>
      <c r="H609" t="s">
        <v>254</v>
      </c>
      <c r="I609" t="s">
        <v>1145</v>
      </c>
      <c r="J609" t="s">
        <v>1219</v>
      </c>
      <c r="K609" t="s">
        <v>24</v>
      </c>
      <c r="L609" s="14">
        <f>IFERROR(VALUE(LEFT(tblMatriculas[[#This Row],[Clases]],FIND("/",tblMatriculas[[#This Row],[Clases]])-1)),"")</f>
        <v>0</v>
      </c>
      <c r="M609" s="14">
        <f>IFERROR(VALUE(MID(tblMatriculas[[#This Row],[Clases]],FIND("/",tblMatriculas[[#This Row],[Clases]])+1,5)),"")</f>
        <v>30</v>
      </c>
      <c r="N6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09" s="14">
        <f>IF(OR(tblMatriculas[[#This Row],[Estado]]&lt;&gt;"activa",tblMatriculas[[#This Row],[Clases dictadas]]=""),"",MAX(0,tblMatriculas[[#This Row],[Clases dictadas]]-tblMatriculas[[#This Row],[Asistidas]]))</f>
        <v>6</v>
      </c>
      <c r="P609" s="1">
        <f>IF(OR(tblMatriculas[[#This Row],[Estado]]&lt;&gt;"activa",tblMatriculas[[#This Row],[Asistidas]]=""),"",tblMatriculas[[#This Row],[Asistencia]])</f>
        <v>0</v>
      </c>
      <c r="Q609" t="b">
        <f>AND(tblMatriculas[[#This Row],[Estado]]="activa",ISNUMBER(tblMatriculas[[#This Row],[% asistencia]]),NOT(ISNUMBER(SEARCH(pPrueba,tblMatriculas[[#This Row],[Nombre]]))))</f>
        <v>1</v>
      </c>
      <c r="R6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09" s="23" t="str" cm="1">
        <f t="array" ref="S6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09" s="23" t="str" cm="1">
        <f t="array" ref="T6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09" s="14" t="str" cm="1">
        <f t="array" ref="U6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09" t="str" cm="1">
        <f t="array" ref="V6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09" t="str" cm="1">
        <f t="array" ref="W6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09" t="str">
        <f>IF(COUNTIFS('Base Estudiantes'!$C:$C,tblMatriculas[[#This Row],[Cédula]],'Base Estudiantes'!$I:$I,tblMatriculas[[#This Row],[Código]])&gt;0,"Sí","No")</f>
        <v>Sí</v>
      </c>
      <c r="Z609" s="23" cm="1">
        <f t="array" ref="Z609">_xlfn.XLOOKUP(tblMatriculas[[#This Row],[Cédula]]&amp;"|"&amp;tblMatriculas[[#This Row],[Código]],tblBase[Documento]&amp;"|"&amp;tblBase[Código grupo],tblBase[Fecha matrícula],"")</f>
        <v>46262</v>
      </c>
    </row>
    <row r="610" spans="1:26" x14ac:dyDescent="0.2">
      <c r="A610" t="s">
        <v>1322</v>
      </c>
      <c r="B610" t="s">
        <v>1323</v>
      </c>
      <c r="C610" t="s">
        <v>13</v>
      </c>
      <c r="D610" t="s">
        <v>1295</v>
      </c>
      <c r="E610" t="s">
        <v>1296</v>
      </c>
      <c r="F610" t="s">
        <v>111</v>
      </c>
      <c r="G610" s="1">
        <v>0.2</v>
      </c>
      <c r="H610" t="s">
        <v>232</v>
      </c>
      <c r="I610" t="s">
        <v>1145</v>
      </c>
      <c r="J610" t="s">
        <v>1219</v>
      </c>
      <c r="K610" t="s">
        <v>24</v>
      </c>
      <c r="L610" s="14">
        <f>IFERROR(VALUE(LEFT(tblMatriculas[[#This Row],[Clases]],FIND("/",tblMatriculas[[#This Row],[Clases]])-1)),"")</f>
        <v>6</v>
      </c>
      <c r="M610" s="14">
        <f>IFERROR(VALUE(MID(tblMatriculas[[#This Row],[Clases]],FIND("/",tblMatriculas[[#This Row],[Clases]])+1,5)),"")</f>
        <v>30</v>
      </c>
      <c r="N6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0" s="14">
        <f>IF(OR(tblMatriculas[[#This Row],[Estado]]&lt;&gt;"activa",tblMatriculas[[#This Row],[Clases dictadas]]=""),"",MAX(0,tblMatriculas[[#This Row],[Clases dictadas]]-tblMatriculas[[#This Row],[Asistidas]]))</f>
        <v>0</v>
      </c>
      <c r="P610" s="1">
        <f>IF(OR(tblMatriculas[[#This Row],[Estado]]&lt;&gt;"activa",tblMatriculas[[#This Row],[Asistidas]]=""),"",tblMatriculas[[#This Row],[Asistencia]])</f>
        <v>0.2</v>
      </c>
      <c r="Q610" t="b">
        <f>AND(tblMatriculas[[#This Row],[Estado]]="activa",ISNUMBER(tblMatriculas[[#This Row],[% asistencia]]),NOT(ISNUMBER(SEARCH(pPrueba,tblMatriculas[[#This Row],[Nombre]]))))</f>
        <v>1</v>
      </c>
      <c r="R6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0" s="23" t="str" cm="1">
        <f t="array" ref="S6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0" s="23" t="str" cm="1">
        <f t="array" ref="T6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0" s="14" t="str" cm="1">
        <f t="array" ref="U6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0" t="str" cm="1">
        <f t="array" ref="V6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0" t="str" cm="1">
        <f t="array" ref="W6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0" t="str">
        <f>IF(COUNTIFS('Base Estudiantes'!$C:$C,tblMatriculas[[#This Row],[Cédula]],'Base Estudiantes'!$I:$I,tblMatriculas[[#This Row],[Código]])&gt;0,"Sí","No")</f>
        <v>Sí</v>
      </c>
      <c r="Z610" s="23" cm="1">
        <f t="array" ref="Z610">_xlfn.XLOOKUP(tblMatriculas[[#This Row],[Cédula]]&amp;"|"&amp;tblMatriculas[[#This Row],[Código]],tblBase[Documento]&amp;"|"&amp;tblBase[Código grupo],tblBase[Fecha matrícula],"")</f>
        <v>46262</v>
      </c>
    </row>
    <row r="611" spans="1:26" x14ac:dyDescent="0.2">
      <c r="A611" t="s">
        <v>1324</v>
      </c>
      <c r="B611" t="s">
        <v>1325</v>
      </c>
      <c r="C611" t="s">
        <v>13</v>
      </c>
      <c r="D611" t="s">
        <v>1295</v>
      </c>
      <c r="E611" t="s">
        <v>1296</v>
      </c>
      <c r="F611" t="s">
        <v>111</v>
      </c>
      <c r="G611" s="1">
        <v>0.1</v>
      </c>
      <c r="H611" t="s">
        <v>117</v>
      </c>
      <c r="I611" t="s">
        <v>1145</v>
      </c>
      <c r="J611" t="s">
        <v>1219</v>
      </c>
      <c r="K611" t="s">
        <v>24</v>
      </c>
      <c r="L611" s="14">
        <f>IFERROR(VALUE(LEFT(tblMatriculas[[#This Row],[Clases]],FIND("/",tblMatriculas[[#This Row],[Clases]])-1)),"")</f>
        <v>3</v>
      </c>
      <c r="M611" s="14">
        <f>IFERROR(VALUE(MID(tblMatriculas[[#This Row],[Clases]],FIND("/",tblMatriculas[[#This Row],[Clases]])+1,5)),"")</f>
        <v>30</v>
      </c>
      <c r="N6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1" s="14">
        <f>IF(OR(tblMatriculas[[#This Row],[Estado]]&lt;&gt;"activa",tblMatriculas[[#This Row],[Clases dictadas]]=""),"",MAX(0,tblMatriculas[[#This Row],[Clases dictadas]]-tblMatriculas[[#This Row],[Asistidas]]))</f>
        <v>3</v>
      </c>
      <c r="P611" s="1">
        <f>IF(OR(tblMatriculas[[#This Row],[Estado]]&lt;&gt;"activa",tblMatriculas[[#This Row],[Asistidas]]=""),"",tblMatriculas[[#This Row],[Asistencia]])</f>
        <v>0.1</v>
      </c>
      <c r="Q611" t="b">
        <f>AND(tblMatriculas[[#This Row],[Estado]]="activa",ISNUMBER(tblMatriculas[[#This Row],[% asistencia]]),NOT(ISNUMBER(SEARCH(pPrueba,tblMatriculas[[#This Row],[Nombre]]))))</f>
        <v>1</v>
      </c>
      <c r="R6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1" s="23" t="str" cm="1">
        <f t="array" ref="S6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1" s="23" t="str" cm="1">
        <f t="array" ref="T6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1" s="14" t="str" cm="1">
        <f t="array" ref="U6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1" t="str" cm="1">
        <f t="array" ref="V6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1" t="str" cm="1">
        <f t="array" ref="W6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1" t="str">
        <f>IF(COUNTIFS('Base Estudiantes'!$C:$C,tblMatriculas[[#This Row],[Cédula]],'Base Estudiantes'!$I:$I,tblMatriculas[[#This Row],[Código]])&gt;0,"Sí","No")</f>
        <v>Sí</v>
      </c>
      <c r="Z611" s="23" cm="1">
        <f t="array" ref="Z611">_xlfn.XLOOKUP(tblMatriculas[[#This Row],[Cédula]]&amp;"|"&amp;tblMatriculas[[#This Row],[Código]],tblBase[Documento]&amp;"|"&amp;tblBase[Código grupo],tblBase[Fecha matrícula],"")</f>
        <v>46262</v>
      </c>
    </row>
    <row r="612" spans="1:26" x14ac:dyDescent="0.2">
      <c r="A612" t="s">
        <v>1326</v>
      </c>
      <c r="B612" t="s">
        <v>1327</v>
      </c>
      <c r="C612" t="s">
        <v>13</v>
      </c>
      <c r="D612" t="s">
        <v>1295</v>
      </c>
      <c r="E612" t="s">
        <v>1296</v>
      </c>
      <c r="F612" t="s">
        <v>111</v>
      </c>
      <c r="G612" s="1">
        <v>0</v>
      </c>
      <c r="H612" t="s">
        <v>254</v>
      </c>
      <c r="I612" t="s">
        <v>1145</v>
      </c>
      <c r="J612" t="s">
        <v>1219</v>
      </c>
      <c r="K612" t="s">
        <v>24</v>
      </c>
      <c r="L612" s="14">
        <f>IFERROR(VALUE(LEFT(tblMatriculas[[#This Row],[Clases]],FIND("/",tblMatriculas[[#This Row],[Clases]])-1)),"")</f>
        <v>0</v>
      </c>
      <c r="M612" s="14">
        <f>IFERROR(VALUE(MID(tblMatriculas[[#This Row],[Clases]],FIND("/",tblMatriculas[[#This Row],[Clases]])+1,5)),"")</f>
        <v>30</v>
      </c>
      <c r="N6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2" s="14">
        <f>IF(OR(tblMatriculas[[#This Row],[Estado]]&lt;&gt;"activa",tblMatriculas[[#This Row],[Clases dictadas]]=""),"",MAX(0,tblMatriculas[[#This Row],[Clases dictadas]]-tblMatriculas[[#This Row],[Asistidas]]))</f>
        <v>6</v>
      </c>
      <c r="P612" s="1">
        <f>IF(OR(tblMatriculas[[#This Row],[Estado]]&lt;&gt;"activa",tblMatriculas[[#This Row],[Asistidas]]=""),"",tblMatriculas[[#This Row],[Asistencia]])</f>
        <v>0</v>
      </c>
      <c r="Q612" t="b">
        <f>AND(tblMatriculas[[#This Row],[Estado]]="activa",ISNUMBER(tblMatriculas[[#This Row],[% asistencia]]),NOT(ISNUMBER(SEARCH(pPrueba,tblMatriculas[[#This Row],[Nombre]]))))</f>
        <v>1</v>
      </c>
      <c r="R6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12" s="23" t="str" cm="1">
        <f t="array" ref="S6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2" s="23" t="str" cm="1">
        <f t="array" ref="T6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2" s="14" t="str" cm="1">
        <f t="array" ref="U6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2" t="str" cm="1">
        <f t="array" ref="V6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2" t="str" cm="1">
        <f t="array" ref="W6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12" t="str">
        <f>IF(COUNTIFS('Base Estudiantes'!$C:$C,tblMatriculas[[#This Row],[Cédula]],'Base Estudiantes'!$I:$I,tblMatriculas[[#This Row],[Código]])&gt;0,"Sí","No")</f>
        <v>Sí</v>
      </c>
      <c r="Z612" s="23" cm="1">
        <f t="array" ref="Z612">_xlfn.XLOOKUP(tblMatriculas[[#This Row],[Cédula]]&amp;"|"&amp;tblMatriculas[[#This Row],[Código]],tblBase[Documento]&amp;"|"&amp;tblBase[Código grupo],tblBase[Fecha matrícula],"")</f>
        <v>46262</v>
      </c>
    </row>
    <row r="613" spans="1:26" x14ac:dyDescent="0.2">
      <c r="A613" t="s">
        <v>1328</v>
      </c>
      <c r="B613" t="s">
        <v>1329</v>
      </c>
      <c r="C613" t="s">
        <v>13</v>
      </c>
      <c r="D613" t="s">
        <v>1295</v>
      </c>
      <c r="E613" t="s">
        <v>1296</v>
      </c>
      <c r="F613" t="s">
        <v>111</v>
      </c>
      <c r="G613" s="1">
        <v>0.16699999999999998</v>
      </c>
      <c r="H613" t="s">
        <v>229</v>
      </c>
      <c r="I613" t="s">
        <v>1145</v>
      </c>
      <c r="J613" t="s">
        <v>1219</v>
      </c>
      <c r="K613" t="s">
        <v>24</v>
      </c>
      <c r="L613" s="14">
        <f>IFERROR(VALUE(LEFT(tblMatriculas[[#This Row],[Clases]],FIND("/",tblMatriculas[[#This Row],[Clases]])-1)),"")</f>
        <v>5</v>
      </c>
      <c r="M613" s="14">
        <f>IFERROR(VALUE(MID(tblMatriculas[[#This Row],[Clases]],FIND("/",tblMatriculas[[#This Row],[Clases]])+1,5)),"")</f>
        <v>30</v>
      </c>
      <c r="N6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3" s="14">
        <f>IF(OR(tblMatriculas[[#This Row],[Estado]]&lt;&gt;"activa",tblMatriculas[[#This Row],[Clases dictadas]]=""),"",MAX(0,tblMatriculas[[#This Row],[Clases dictadas]]-tblMatriculas[[#This Row],[Asistidas]]))</f>
        <v>1</v>
      </c>
      <c r="P613" s="1">
        <f>IF(OR(tblMatriculas[[#This Row],[Estado]]&lt;&gt;"activa",tblMatriculas[[#This Row],[Asistidas]]=""),"",tblMatriculas[[#This Row],[Asistencia]])</f>
        <v>0.16699999999999998</v>
      </c>
      <c r="Q613" t="b">
        <f>AND(tblMatriculas[[#This Row],[Estado]]="activa",ISNUMBER(tblMatriculas[[#This Row],[% asistencia]]),NOT(ISNUMBER(SEARCH(pPrueba,tblMatriculas[[#This Row],[Nombre]]))))</f>
        <v>1</v>
      </c>
      <c r="R6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3" s="23" t="str" cm="1">
        <f t="array" ref="S6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3" s="23" t="str" cm="1">
        <f t="array" ref="T6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3" s="14" t="str" cm="1">
        <f t="array" ref="U6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3" t="str" cm="1">
        <f t="array" ref="V6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3" t="str" cm="1">
        <f t="array" ref="W6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3" t="str">
        <f>IF(COUNTIFS('Base Estudiantes'!$C:$C,tblMatriculas[[#This Row],[Cédula]],'Base Estudiantes'!$I:$I,tblMatriculas[[#This Row],[Código]])&gt;0,"Sí","No")</f>
        <v>Sí</v>
      </c>
      <c r="Z613" s="23" cm="1">
        <f t="array" ref="Z613">_xlfn.XLOOKUP(tblMatriculas[[#This Row],[Cédula]]&amp;"|"&amp;tblMatriculas[[#This Row],[Código]],tblBase[Documento]&amp;"|"&amp;tblBase[Código grupo],tblBase[Fecha matrícula],"")</f>
        <v>46262</v>
      </c>
    </row>
    <row r="614" spans="1:26" x14ac:dyDescent="0.2">
      <c r="A614" t="s">
        <v>1330</v>
      </c>
      <c r="B614" t="s">
        <v>1331</v>
      </c>
      <c r="C614" t="s">
        <v>13</v>
      </c>
      <c r="D614" t="s">
        <v>1295</v>
      </c>
      <c r="E614" t="s">
        <v>1296</v>
      </c>
      <c r="F614" t="s">
        <v>111</v>
      </c>
      <c r="G614" s="1">
        <v>0.13300000000000001</v>
      </c>
      <c r="H614" t="s">
        <v>112</v>
      </c>
      <c r="I614" t="s">
        <v>1145</v>
      </c>
      <c r="J614" t="s">
        <v>1219</v>
      </c>
      <c r="K614" t="s">
        <v>24</v>
      </c>
      <c r="L614" s="14">
        <f>IFERROR(VALUE(LEFT(tblMatriculas[[#This Row],[Clases]],FIND("/",tblMatriculas[[#This Row],[Clases]])-1)),"")</f>
        <v>4</v>
      </c>
      <c r="M614" s="14">
        <f>IFERROR(VALUE(MID(tblMatriculas[[#This Row],[Clases]],FIND("/",tblMatriculas[[#This Row],[Clases]])+1,5)),"")</f>
        <v>30</v>
      </c>
      <c r="N6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4" s="14">
        <f>IF(OR(tblMatriculas[[#This Row],[Estado]]&lt;&gt;"activa",tblMatriculas[[#This Row],[Clases dictadas]]=""),"",MAX(0,tblMatriculas[[#This Row],[Clases dictadas]]-tblMatriculas[[#This Row],[Asistidas]]))</f>
        <v>2</v>
      </c>
      <c r="P614" s="1">
        <f>IF(OR(tblMatriculas[[#This Row],[Estado]]&lt;&gt;"activa",tblMatriculas[[#This Row],[Asistidas]]=""),"",tblMatriculas[[#This Row],[Asistencia]])</f>
        <v>0.13300000000000001</v>
      </c>
      <c r="Q614" t="b">
        <f>AND(tblMatriculas[[#This Row],[Estado]]="activa",ISNUMBER(tblMatriculas[[#This Row],[% asistencia]]),NOT(ISNUMBER(SEARCH(pPrueba,tblMatriculas[[#This Row],[Nombre]]))))</f>
        <v>1</v>
      </c>
      <c r="R6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4" s="23" t="str" cm="1">
        <f t="array" ref="S6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4" s="23" t="str" cm="1">
        <f t="array" ref="T6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4" s="14" t="str" cm="1">
        <f t="array" ref="U6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4" t="str" cm="1">
        <f t="array" ref="V6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4" t="str" cm="1">
        <f t="array" ref="W6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4" t="str">
        <f>IF(COUNTIFS('Base Estudiantes'!$C:$C,tblMatriculas[[#This Row],[Cédula]],'Base Estudiantes'!$I:$I,tblMatriculas[[#This Row],[Código]])&gt;0,"Sí","No")</f>
        <v>Sí</v>
      </c>
      <c r="Z614" s="23" cm="1">
        <f t="array" ref="Z614">_xlfn.XLOOKUP(tblMatriculas[[#This Row],[Cédula]]&amp;"|"&amp;tblMatriculas[[#This Row],[Código]],tblBase[Documento]&amp;"|"&amp;tblBase[Código grupo],tblBase[Fecha matrícula],"")</f>
        <v>46262</v>
      </c>
    </row>
    <row r="615" spans="1:26" x14ac:dyDescent="0.2">
      <c r="A615" t="s">
        <v>1332</v>
      </c>
      <c r="B615" t="s">
        <v>1333</v>
      </c>
      <c r="C615" t="s">
        <v>13</v>
      </c>
      <c r="D615" t="s">
        <v>1295</v>
      </c>
      <c r="E615" t="s">
        <v>1296</v>
      </c>
      <c r="F615" t="s">
        <v>111</v>
      </c>
      <c r="G615" s="1">
        <v>0.2</v>
      </c>
      <c r="H615" t="s">
        <v>232</v>
      </c>
      <c r="I615" t="s">
        <v>1145</v>
      </c>
      <c r="J615" t="s">
        <v>1219</v>
      </c>
      <c r="K615" t="s">
        <v>24</v>
      </c>
      <c r="L615" s="14">
        <f>IFERROR(VALUE(LEFT(tblMatriculas[[#This Row],[Clases]],FIND("/",tblMatriculas[[#This Row],[Clases]])-1)),"")</f>
        <v>6</v>
      </c>
      <c r="M615" s="14">
        <f>IFERROR(VALUE(MID(tblMatriculas[[#This Row],[Clases]],FIND("/",tblMatriculas[[#This Row],[Clases]])+1,5)),"")</f>
        <v>30</v>
      </c>
      <c r="N6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5" s="14">
        <f>IF(OR(tblMatriculas[[#This Row],[Estado]]&lt;&gt;"activa",tblMatriculas[[#This Row],[Clases dictadas]]=""),"",MAX(0,tblMatriculas[[#This Row],[Clases dictadas]]-tblMatriculas[[#This Row],[Asistidas]]))</f>
        <v>0</v>
      </c>
      <c r="P615" s="1">
        <f>IF(OR(tblMatriculas[[#This Row],[Estado]]&lt;&gt;"activa",tblMatriculas[[#This Row],[Asistidas]]=""),"",tblMatriculas[[#This Row],[Asistencia]])</f>
        <v>0.2</v>
      </c>
      <c r="Q615" t="b">
        <f>AND(tblMatriculas[[#This Row],[Estado]]="activa",ISNUMBER(tblMatriculas[[#This Row],[% asistencia]]),NOT(ISNUMBER(SEARCH(pPrueba,tblMatriculas[[#This Row],[Nombre]]))))</f>
        <v>1</v>
      </c>
      <c r="R6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5" s="23" t="str" cm="1">
        <f t="array" ref="S6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5" s="23" t="str" cm="1">
        <f t="array" ref="T6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5" s="14" t="str" cm="1">
        <f t="array" ref="U6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5" t="str" cm="1">
        <f t="array" ref="V6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5" t="str" cm="1">
        <f t="array" ref="W6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5" t="str">
        <f>IF(COUNTIFS('Base Estudiantes'!$C:$C,tblMatriculas[[#This Row],[Cédula]],'Base Estudiantes'!$I:$I,tblMatriculas[[#This Row],[Código]])&gt;0,"Sí","No")</f>
        <v>Sí</v>
      </c>
      <c r="Z615" s="23" cm="1">
        <f t="array" ref="Z615">_xlfn.XLOOKUP(tblMatriculas[[#This Row],[Cédula]]&amp;"|"&amp;tblMatriculas[[#This Row],[Código]],tblBase[Documento]&amp;"|"&amp;tblBase[Código grupo],tblBase[Fecha matrícula],"")</f>
        <v>46262</v>
      </c>
    </row>
    <row r="616" spans="1:26" x14ac:dyDescent="0.2">
      <c r="A616" t="s">
        <v>1334</v>
      </c>
      <c r="B616" t="s">
        <v>1335</v>
      </c>
      <c r="C616" t="s">
        <v>13</v>
      </c>
      <c r="D616" t="s">
        <v>1295</v>
      </c>
      <c r="E616" t="s">
        <v>1296</v>
      </c>
      <c r="F616" t="s">
        <v>111</v>
      </c>
      <c r="G616" s="1">
        <v>0.2</v>
      </c>
      <c r="H616" t="s">
        <v>232</v>
      </c>
      <c r="I616" t="s">
        <v>1145</v>
      </c>
      <c r="J616" t="s">
        <v>1219</v>
      </c>
      <c r="K616" t="s">
        <v>24</v>
      </c>
      <c r="L616" s="14">
        <f>IFERROR(VALUE(LEFT(tblMatriculas[[#This Row],[Clases]],FIND("/",tblMatriculas[[#This Row],[Clases]])-1)),"")</f>
        <v>6</v>
      </c>
      <c r="M616" s="14">
        <f>IFERROR(VALUE(MID(tblMatriculas[[#This Row],[Clases]],FIND("/",tblMatriculas[[#This Row],[Clases]])+1,5)),"")</f>
        <v>30</v>
      </c>
      <c r="N6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6" s="14">
        <f>IF(OR(tblMatriculas[[#This Row],[Estado]]&lt;&gt;"activa",tblMatriculas[[#This Row],[Clases dictadas]]=""),"",MAX(0,tblMatriculas[[#This Row],[Clases dictadas]]-tblMatriculas[[#This Row],[Asistidas]]))</f>
        <v>0</v>
      </c>
      <c r="P616" s="1">
        <f>IF(OR(tblMatriculas[[#This Row],[Estado]]&lt;&gt;"activa",tblMatriculas[[#This Row],[Asistidas]]=""),"",tblMatriculas[[#This Row],[Asistencia]])</f>
        <v>0.2</v>
      </c>
      <c r="Q616" t="b">
        <f>AND(tblMatriculas[[#This Row],[Estado]]="activa",ISNUMBER(tblMatriculas[[#This Row],[% asistencia]]),NOT(ISNUMBER(SEARCH(pPrueba,tblMatriculas[[#This Row],[Nombre]]))))</f>
        <v>1</v>
      </c>
      <c r="R6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6" s="23" t="str" cm="1">
        <f t="array" ref="S6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6" s="23" t="str" cm="1">
        <f t="array" ref="T6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6" s="14" t="str" cm="1">
        <f t="array" ref="U6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6" t="str" cm="1">
        <f t="array" ref="V6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6" t="str" cm="1">
        <f t="array" ref="W6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6" t="str">
        <f>IF(COUNTIFS('Base Estudiantes'!$C:$C,tblMatriculas[[#This Row],[Cédula]],'Base Estudiantes'!$I:$I,tblMatriculas[[#This Row],[Código]])&gt;0,"Sí","No")</f>
        <v>Sí</v>
      </c>
      <c r="Z616" s="23" cm="1">
        <f t="array" ref="Z616">_xlfn.XLOOKUP(tblMatriculas[[#This Row],[Cédula]]&amp;"|"&amp;tblMatriculas[[#This Row],[Código]],tblBase[Documento]&amp;"|"&amp;tblBase[Código grupo],tblBase[Fecha matrícula],"")</f>
        <v>46262</v>
      </c>
    </row>
    <row r="617" spans="1:26" x14ac:dyDescent="0.2">
      <c r="A617" t="s">
        <v>1336</v>
      </c>
      <c r="B617" t="s">
        <v>1337</v>
      </c>
      <c r="C617" t="s">
        <v>13</v>
      </c>
      <c r="D617" t="s">
        <v>1295</v>
      </c>
      <c r="E617" t="s">
        <v>1296</v>
      </c>
      <c r="F617" t="s">
        <v>111</v>
      </c>
      <c r="G617" s="1">
        <v>6.7000000000000004E-2</v>
      </c>
      <c r="H617" t="s">
        <v>166</v>
      </c>
      <c r="I617" t="s">
        <v>1145</v>
      </c>
      <c r="J617" t="s">
        <v>1219</v>
      </c>
      <c r="K617" t="s">
        <v>24</v>
      </c>
      <c r="L617" s="14">
        <f>IFERROR(VALUE(LEFT(tblMatriculas[[#This Row],[Clases]],FIND("/",tblMatriculas[[#This Row],[Clases]])-1)),"")</f>
        <v>2</v>
      </c>
      <c r="M617" s="14">
        <f>IFERROR(VALUE(MID(tblMatriculas[[#This Row],[Clases]],FIND("/",tblMatriculas[[#This Row],[Clases]])+1,5)),"")</f>
        <v>30</v>
      </c>
      <c r="N6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7" s="14">
        <f>IF(OR(tblMatriculas[[#This Row],[Estado]]&lt;&gt;"activa",tblMatriculas[[#This Row],[Clases dictadas]]=""),"",MAX(0,tblMatriculas[[#This Row],[Clases dictadas]]-tblMatriculas[[#This Row],[Asistidas]]))</f>
        <v>4</v>
      </c>
      <c r="P617" s="1">
        <f>IF(OR(tblMatriculas[[#This Row],[Estado]]&lt;&gt;"activa",tblMatriculas[[#This Row],[Asistidas]]=""),"",tblMatriculas[[#This Row],[Asistencia]])</f>
        <v>6.7000000000000004E-2</v>
      </c>
      <c r="Q617" t="b">
        <f>AND(tblMatriculas[[#This Row],[Estado]]="activa",ISNUMBER(tblMatriculas[[#This Row],[% asistencia]]),NOT(ISNUMBER(SEARCH(pPrueba,tblMatriculas[[#This Row],[Nombre]]))))</f>
        <v>1</v>
      </c>
      <c r="R6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17" s="23" t="str" cm="1">
        <f t="array" ref="S6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7" s="23" t="str" cm="1">
        <f t="array" ref="T6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7" s="14" t="str" cm="1">
        <f t="array" ref="U6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7" t="str" cm="1">
        <f t="array" ref="V6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7" t="str" cm="1">
        <f t="array" ref="W6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17" t="str">
        <f>IF(COUNTIFS('Base Estudiantes'!$C:$C,tblMatriculas[[#This Row],[Cédula]],'Base Estudiantes'!$I:$I,tblMatriculas[[#This Row],[Código]])&gt;0,"Sí","No")</f>
        <v>Sí</v>
      </c>
      <c r="Z617" s="23" cm="1">
        <f t="array" ref="Z617">_xlfn.XLOOKUP(tblMatriculas[[#This Row],[Cédula]]&amp;"|"&amp;tblMatriculas[[#This Row],[Código]],tblBase[Documento]&amp;"|"&amp;tblBase[Código grupo],tblBase[Fecha matrícula],"")</f>
        <v>46262</v>
      </c>
    </row>
    <row r="618" spans="1:26" x14ac:dyDescent="0.2">
      <c r="A618" t="s">
        <v>1338</v>
      </c>
      <c r="B618" t="s">
        <v>1339</v>
      </c>
      <c r="C618" t="s">
        <v>13</v>
      </c>
      <c r="D618" t="s">
        <v>1295</v>
      </c>
      <c r="E618" t="s">
        <v>1296</v>
      </c>
      <c r="F618" t="s">
        <v>111</v>
      </c>
      <c r="G618" s="1">
        <v>0.16699999999999998</v>
      </c>
      <c r="H618" t="s">
        <v>229</v>
      </c>
      <c r="I618" t="s">
        <v>1145</v>
      </c>
      <c r="J618" t="s">
        <v>1219</v>
      </c>
      <c r="K618" t="s">
        <v>24</v>
      </c>
      <c r="L618" s="14">
        <f>IFERROR(VALUE(LEFT(tblMatriculas[[#This Row],[Clases]],FIND("/",tblMatriculas[[#This Row],[Clases]])-1)),"")</f>
        <v>5</v>
      </c>
      <c r="M618" s="14">
        <f>IFERROR(VALUE(MID(tblMatriculas[[#This Row],[Clases]],FIND("/",tblMatriculas[[#This Row],[Clases]])+1,5)),"")</f>
        <v>30</v>
      </c>
      <c r="N6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8" s="14">
        <f>IF(OR(tblMatriculas[[#This Row],[Estado]]&lt;&gt;"activa",tblMatriculas[[#This Row],[Clases dictadas]]=""),"",MAX(0,tblMatriculas[[#This Row],[Clases dictadas]]-tblMatriculas[[#This Row],[Asistidas]]))</f>
        <v>1</v>
      </c>
      <c r="P618" s="1">
        <f>IF(OR(tblMatriculas[[#This Row],[Estado]]&lt;&gt;"activa",tblMatriculas[[#This Row],[Asistidas]]=""),"",tblMatriculas[[#This Row],[Asistencia]])</f>
        <v>0.16699999999999998</v>
      </c>
      <c r="Q618" t="b">
        <f>AND(tblMatriculas[[#This Row],[Estado]]="activa",ISNUMBER(tblMatriculas[[#This Row],[% asistencia]]),NOT(ISNUMBER(SEARCH(pPrueba,tblMatriculas[[#This Row],[Nombre]]))))</f>
        <v>1</v>
      </c>
      <c r="R6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18" s="23" t="str" cm="1">
        <f t="array" ref="S6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8" s="23" t="str" cm="1">
        <f t="array" ref="T6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8" s="14" t="str" cm="1">
        <f t="array" ref="U6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8" t="str" cm="1">
        <f t="array" ref="V6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8" t="str" cm="1">
        <f t="array" ref="W6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18" t="str">
        <f>IF(COUNTIFS('Base Estudiantes'!$C:$C,tblMatriculas[[#This Row],[Cédula]],'Base Estudiantes'!$I:$I,tblMatriculas[[#This Row],[Código]])&gt;0,"Sí","No")</f>
        <v>Sí</v>
      </c>
      <c r="Z618" s="23" cm="1">
        <f t="array" ref="Z618">_xlfn.XLOOKUP(tblMatriculas[[#This Row],[Cédula]]&amp;"|"&amp;tblMatriculas[[#This Row],[Código]],tblBase[Documento]&amp;"|"&amp;tblBase[Código grupo],tblBase[Fecha matrícula],"")</f>
        <v>46262</v>
      </c>
    </row>
    <row r="619" spans="1:26" x14ac:dyDescent="0.2">
      <c r="A619" t="s">
        <v>1340</v>
      </c>
      <c r="B619" t="s">
        <v>1341</v>
      </c>
      <c r="C619" t="s">
        <v>13</v>
      </c>
      <c r="D619" t="s">
        <v>1295</v>
      </c>
      <c r="E619" t="s">
        <v>1296</v>
      </c>
      <c r="F619" t="s">
        <v>111</v>
      </c>
      <c r="G619" s="1">
        <v>6.7000000000000004E-2</v>
      </c>
      <c r="H619" t="s">
        <v>166</v>
      </c>
      <c r="I619" t="s">
        <v>1145</v>
      </c>
      <c r="J619" t="s">
        <v>1219</v>
      </c>
      <c r="K619" t="s">
        <v>24</v>
      </c>
      <c r="L619" s="14">
        <f>IFERROR(VALUE(LEFT(tblMatriculas[[#This Row],[Clases]],FIND("/",tblMatriculas[[#This Row],[Clases]])-1)),"")</f>
        <v>2</v>
      </c>
      <c r="M619" s="14">
        <f>IFERROR(VALUE(MID(tblMatriculas[[#This Row],[Clases]],FIND("/",tblMatriculas[[#This Row],[Clases]])+1,5)),"")</f>
        <v>30</v>
      </c>
      <c r="N6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19" s="14">
        <f>IF(OR(tblMatriculas[[#This Row],[Estado]]&lt;&gt;"activa",tblMatriculas[[#This Row],[Clases dictadas]]=""),"",MAX(0,tblMatriculas[[#This Row],[Clases dictadas]]-tblMatriculas[[#This Row],[Asistidas]]))</f>
        <v>4</v>
      </c>
      <c r="P619" s="1">
        <f>IF(OR(tblMatriculas[[#This Row],[Estado]]&lt;&gt;"activa",tblMatriculas[[#This Row],[Asistidas]]=""),"",tblMatriculas[[#This Row],[Asistencia]])</f>
        <v>6.7000000000000004E-2</v>
      </c>
      <c r="Q619" t="b">
        <f>AND(tblMatriculas[[#This Row],[Estado]]="activa",ISNUMBER(tblMatriculas[[#This Row],[% asistencia]]),NOT(ISNUMBER(SEARCH(pPrueba,tblMatriculas[[#This Row],[Nombre]]))))</f>
        <v>1</v>
      </c>
      <c r="R6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19" s="23" t="str" cm="1">
        <f t="array" ref="S6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19" s="23" t="str" cm="1">
        <f t="array" ref="T6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19" s="14" t="str" cm="1">
        <f t="array" ref="U6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19" t="str" cm="1">
        <f t="array" ref="V6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19" t="str" cm="1">
        <f t="array" ref="W6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19" t="str">
        <f>IF(COUNTIFS('Base Estudiantes'!$C:$C,tblMatriculas[[#This Row],[Cédula]],'Base Estudiantes'!$I:$I,tblMatriculas[[#This Row],[Código]])&gt;0,"Sí","No")</f>
        <v>Sí</v>
      </c>
      <c r="Z619" s="23" cm="1">
        <f t="array" ref="Z619">_xlfn.XLOOKUP(tblMatriculas[[#This Row],[Cédula]]&amp;"|"&amp;tblMatriculas[[#This Row],[Código]],tblBase[Documento]&amp;"|"&amp;tblBase[Código grupo],tblBase[Fecha matrícula],"")</f>
        <v>46262</v>
      </c>
    </row>
    <row r="620" spans="1:26" x14ac:dyDescent="0.2">
      <c r="A620" t="s">
        <v>1342</v>
      </c>
      <c r="B620" t="s">
        <v>1343</v>
      </c>
      <c r="C620" t="s">
        <v>13</v>
      </c>
      <c r="D620" t="s">
        <v>1295</v>
      </c>
      <c r="E620" t="s">
        <v>1296</v>
      </c>
      <c r="F620" t="s">
        <v>111</v>
      </c>
      <c r="G620" s="1">
        <v>0.16699999999999998</v>
      </c>
      <c r="H620" t="s">
        <v>229</v>
      </c>
      <c r="I620" t="s">
        <v>1145</v>
      </c>
      <c r="J620" t="s">
        <v>1219</v>
      </c>
      <c r="K620" t="s">
        <v>24</v>
      </c>
      <c r="L620" s="14">
        <f>IFERROR(VALUE(LEFT(tblMatriculas[[#This Row],[Clases]],FIND("/",tblMatriculas[[#This Row],[Clases]])-1)),"")</f>
        <v>5</v>
      </c>
      <c r="M620" s="14">
        <f>IFERROR(VALUE(MID(tblMatriculas[[#This Row],[Clases]],FIND("/",tblMatriculas[[#This Row],[Clases]])+1,5)),"")</f>
        <v>30</v>
      </c>
      <c r="N6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0" s="14">
        <f>IF(OR(tblMatriculas[[#This Row],[Estado]]&lt;&gt;"activa",tblMatriculas[[#This Row],[Clases dictadas]]=""),"",MAX(0,tblMatriculas[[#This Row],[Clases dictadas]]-tblMatriculas[[#This Row],[Asistidas]]))</f>
        <v>1</v>
      </c>
      <c r="P620" s="1">
        <f>IF(OR(tblMatriculas[[#This Row],[Estado]]&lt;&gt;"activa",tblMatriculas[[#This Row],[Asistidas]]=""),"",tblMatriculas[[#This Row],[Asistencia]])</f>
        <v>0.16699999999999998</v>
      </c>
      <c r="Q620" t="b">
        <f>AND(tblMatriculas[[#This Row],[Estado]]="activa",ISNUMBER(tblMatriculas[[#This Row],[% asistencia]]),NOT(ISNUMBER(SEARCH(pPrueba,tblMatriculas[[#This Row],[Nombre]]))))</f>
        <v>1</v>
      </c>
      <c r="R6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0" s="23" t="str" cm="1">
        <f t="array" ref="S6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0" s="23" t="str" cm="1">
        <f t="array" ref="T6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0" s="14" t="str" cm="1">
        <f t="array" ref="U6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0" t="str" cm="1">
        <f t="array" ref="V6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0" t="str" cm="1">
        <f t="array" ref="W6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0" t="str">
        <f>IF(COUNTIFS('Base Estudiantes'!$C:$C,tblMatriculas[[#This Row],[Cédula]],'Base Estudiantes'!$I:$I,tblMatriculas[[#This Row],[Código]])&gt;0,"Sí","No")</f>
        <v>Sí</v>
      </c>
      <c r="Z620" s="23" cm="1">
        <f t="array" ref="Z620">_xlfn.XLOOKUP(tblMatriculas[[#This Row],[Cédula]]&amp;"|"&amp;tblMatriculas[[#This Row],[Código]],tblBase[Documento]&amp;"|"&amp;tblBase[Código grupo],tblBase[Fecha matrícula],"")</f>
        <v>46262</v>
      </c>
    </row>
    <row r="621" spans="1:26" x14ac:dyDescent="0.2">
      <c r="A621" t="s">
        <v>1344</v>
      </c>
      <c r="B621" t="s">
        <v>1345</v>
      </c>
      <c r="C621" t="s">
        <v>13</v>
      </c>
      <c r="D621" t="s">
        <v>1295</v>
      </c>
      <c r="E621" t="s">
        <v>1296</v>
      </c>
      <c r="F621" t="s">
        <v>111</v>
      </c>
      <c r="G621" s="1">
        <v>6.7000000000000004E-2</v>
      </c>
      <c r="H621" t="s">
        <v>166</v>
      </c>
      <c r="I621" t="s">
        <v>1145</v>
      </c>
      <c r="J621" t="s">
        <v>1219</v>
      </c>
      <c r="K621" t="s">
        <v>24</v>
      </c>
      <c r="L621" s="14">
        <f>IFERROR(VALUE(LEFT(tblMatriculas[[#This Row],[Clases]],FIND("/",tblMatriculas[[#This Row],[Clases]])-1)),"")</f>
        <v>2</v>
      </c>
      <c r="M621" s="14">
        <f>IFERROR(VALUE(MID(tblMatriculas[[#This Row],[Clases]],FIND("/",tblMatriculas[[#This Row],[Clases]])+1,5)),"")</f>
        <v>30</v>
      </c>
      <c r="N6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1" s="14">
        <f>IF(OR(tblMatriculas[[#This Row],[Estado]]&lt;&gt;"activa",tblMatriculas[[#This Row],[Clases dictadas]]=""),"",MAX(0,tblMatriculas[[#This Row],[Clases dictadas]]-tblMatriculas[[#This Row],[Asistidas]]))</f>
        <v>4</v>
      </c>
      <c r="P621" s="1">
        <f>IF(OR(tblMatriculas[[#This Row],[Estado]]&lt;&gt;"activa",tblMatriculas[[#This Row],[Asistidas]]=""),"",tblMatriculas[[#This Row],[Asistencia]])</f>
        <v>6.7000000000000004E-2</v>
      </c>
      <c r="Q621" t="b">
        <f>AND(tblMatriculas[[#This Row],[Estado]]="activa",ISNUMBER(tblMatriculas[[#This Row],[% asistencia]]),NOT(ISNUMBER(SEARCH(pPrueba,tblMatriculas[[#This Row],[Nombre]]))))</f>
        <v>1</v>
      </c>
      <c r="R6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21" s="23" t="str" cm="1">
        <f t="array" ref="S6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1" s="23" t="str" cm="1">
        <f t="array" ref="T6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1" s="14" t="str" cm="1">
        <f t="array" ref="U6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1" t="str" cm="1">
        <f t="array" ref="V6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1" t="str" cm="1">
        <f t="array" ref="W6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21" t="str">
        <f>IF(COUNTIFS('Base Estudiantes'!$C:$C,tblMatriculas[[#This Row],[Cédula]],'Base Estudiantes'!$I:$I,tblMatriculas[[#This Row],[Código]])&gt;0,"Sí","No")</f>
        <v>Sí</v>
      </c>
      <c r="Z621" s="23" cm="1">
        <f t="array" ref="Z621">_xlfn.XLOOKUP(tblMatriculas[[#This Row],[Cédula]]&amp;"|"&amp;tblMatriculas[[#This Row],[Código]],tblBase[Documento]&amp;"|"&amp;tblBase[Código grupo],tblBase[Fecha matrícula],"")</f>
        <v>46262</v>
      </c>
    </row>
    <row r="622" spans="1:26" x14ac:dyDescent="0.2">
      <c r="A622" t="s">
        <v>1346</v>
      </c>
      <c r="B622" t="s">
        <v>1347</v>
      </c>
      <c r="C622" t="s">
        <v>13</v>
      </c>
      <c r="D622" t="s">
        <v>1295</v>
      </c>
      <c r="E622" t="s">
        <v>1296</v>
      </c>
      <c r="F622" t="s">
        <v>111</v>
      </c>
      <c r="G622" s="1">
        <v>0.16699999999999998</v>
      </c>
      <c r="H622" t="s">
        <v>229</v>
      </c>
      <c r="I622" t="s">
        <v>1145</v>
      </c>
      <c r="J622" t="s">
        <v>1219</v>
      </c>
      <c r="K622" t="s">
        <v>24</v>
      </c>
      <c r="L622" s="14">
        <f>IFERROR(VALUE(LEFT(tblMatriculas[[#This Row],[Clases]],FIND("/",tblMatriculas[[#This Row],[Clases]])-1)),"")</f>
        <v>5</v>
      </c>
      <c r="M622" s="14">
        <f>IFERROR(VALUE(MID(tblMatriculas[[#This Row],[Clases]],FIND("/",tblMatriculas[[#This Row],[Clases]])+1,5)),"")</f>
        <v>30</v>
      </c>
      <c r="N6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2" s="14">
        <f>IF(OR(tblMatriculas[[#This Row],[Estado]]&lt;&gt;"activa",tblMatriculas[[#This Row],[Clases dictadas]]=""),"",MAX(0,tblMatriculas[[#This Row],[Clases dictadas]]-tblMatriculas[[#This Row],[Asistidas]]))</f>
        <v>1</v>
      </c>
      <c r="P622" s="1">
        <f>IF(OR(tblMatriculas[[#This Row],[Estado]]&lt;&gt;"activa",tblMatriculas[[#This Row],[Asistidas]]=""),"",tblMatriculas[[#This Row],[Asistencia]])</f>
        <v>0.16699999999999998</v>
      </c>
      <c r="Q622" t="b">
        <f>AND(tblMatriculas[[#This Row],[Estado]]="activa",ISNUMBER(tblMatriculas[[#This Row],[% asistencia]]),NOT(ISNUMBER(SEARCH(pPrueba,tblMatriculas[[#This Row],[Nombre]]))))</f>
        <v>1</v>
      </c>
      <c r="R6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2" s="23" t="str" cm="1">
        <f t="array" ref="S6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2" s="23" t="str" cm="1">
        <f t="array" ref="T6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2" s="14" t="str" cm="1">
        <f t="array" ref="U6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2" t="str" cm="1">
        <f t="array" ref="V6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2" t="str" cm="1">
        <f t="array" ref="W6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2" t="str">
        <f>IF(COUNTIFS('Base Estudiantes'!$C:$C,tblMatriculas[[#This Row],[Cédula]],'Base Estudiantes'!$I:$I,tblMatriculas[[#This Row],[Código]])&gt;0,"Sí","No")</f>
        <v>Sí</v>
      </c>
      <c r="Z622" s="23" cm="1">
        <f t="array" ref="Z622">_xlfn.XLOOKUP(tblMatriculas[[#This Row],[Cédula]]&amp;"|"&amp;tblMatriculas[[#This Row],[Código]],tblBase[Documento]&amp;"|"&amp;tblBase[Código grupo],tblBase[Fecha matrícula],"")</f>
        <v>46262</v>
      </c>
    </row>
    <row r="623" spans="1:26" x14ac:dyDescent="0.2">
      <c r="A623" t="s">
        <v>1348</v>
      </c>
      <c r="B623" t="s">
        <v>1349</v>
      </c>
      <c r="C623" t="s">
        <v>13</v>
      </c>
      <c r="D623" t="s">
        <v>1295</v>
      </c>
      <c r="E623" t="s">
        <v>1296</v>
      </c>
      <c r="F623" t="s">
        <v>111</v>
      </c>
      <c r="G623" s="1">
        <v>0.2</v>
      </c>
      <c r="H623" t="s">
        <v>232</v>
      </c>
      <c r="I623" t="s">
        <v>1145</v>
      </c>
      <c r="J623" t="s">
        <v>1219</v>
      </c>
      <c r="K623" t="s">
        <v>24</v>
      </c>
      <c r="L623" s="14">
        <f>IFERROR(VALUE(LEFT(tblMatriculas[[#This Row],[Clases]],FIND("/",tblMatriculas[[#This Row],[Clases]])-1)),"")</f>
        <v>6</v>
      </c>
      <c r="M623" s="14">
        <f>IFERROR(VALUE(MID(tblMatriculas[[#This Row],[Clases]],FIND("/",tblMatriculas[[#This Row],[Clases]])+1,5)),"")</f>
        <v>30</v>
      </c>
      <c r="N6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3" s="14">
        <f>IF(OR(tblMatriculas[[#This Row],[Estado]]&lt;&gt;"activa",tblMatriculas[[#This Row],[Clases dictadas]]=""),"",MAX(0,tblMatriculas[[#This Row],[Clases dictadas]]-tblMatriculas[[#This Row],[Asistidas]]))</f>
        <v>0</v>
      </c>
      <c r="P623" s="1">
        <f>IF(OR(tblMatriculas[[#This Row],[Estado]]&lt;&gt;"activa",tblMatriculas[[#This Row],[Asistidas]]=""),"",tblMatriculas[[#This Row],[Asistencia]])</f>
        <v>0.2</v>
      </c>
      <c r="Q623" t="b">
        <f>AND(tblMatriculas[[#This Row],[Estado]]="activa",ISNUMBER(tblMatriculas[[#This Row],[% asistencia]]),NOT(ISNUMBER(SEARCH(pPrueba,tblMatriculas[[#This Row],[Nombre]]))))</f>
        <v>1</v>
      </c>
      <c r="R6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3" s="23" t="str" cm="1">
        <f t="array" ref="S6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3" s="23" t="str" cm="1">
        <f t="array" ref="T6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3" s="14" t="str" cm="1">
        <f t="array" ref="U6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3" t="str" cm="1">
        <f t="array" ref="V6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3" t="str" cm="1">
        <f t="array" ref="W6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3" t="str">
        <f>IF(COUNTIFS('Base Estudiantes'!$C:$C,tblMatriculas[[#This Row],[Cédula]],'Base Estudiantes'!$I:$I,tblMatriculas[[#This Row],[Código]])&gt;0,"Sí","No")</f>
        <v>Sí</v>
      </c>
      <c r="Z623" s="23" cm="1">
        <f t="array" ref="Z623">_xlfn.XLOOKUP(tblMatriculas[[#This Row],[Cédula]]&amp;"|"&amp;tblMatriculas[[#This Row],[Código]],tblBase[Documento]&amp;"|"&amp;tblBase[Código grupo],tblBase[Fecha matrícula],"")</f>
        <v>46262</v>
      </c>
    </row>
    <row r="624" spans="1:26" x14ac:dyDescent="0.2">
      <c r="A624" t="s">
        <v>1350</v>
      </c>
      <c r="B624" t="s">
        <v>1351</v>
      </c>
      <c r="C624" t="s">
        <v>13</v>
      </c>
      <c r="D624" t="s">
        <v>1295</v>
      </c>
      <c r="E624" t="s">
        <v>1296</v>
      </c>
      <c r="F624" t="s">
        <v>111</v>
      </c>
      <c r="G624" s="1">
        <v>0.16699999999999998</v>
      </c>
      <c r="H624" t="s">
        <v>229</v>
      </c>
      <c r="I624" t="s">
        <v>1145</v>
      </c>
      <c r="J624" t="s">
        <v>1219</v>
      </c>
      <c r="K624" t="s">
        <v>24</v>
      </c>
      <c r="L624" s="14">
        <f>IFERROR(VALUE(LEFT(tblMatriculas[[#This Row],[Clases]],FIND("/",tblMatriculas[[#This Row],[Clases]])-1)),"")</f>
        <v>5</v>
      </c>
      <c r="M624" s="14">
        <f>IFERROR(VALUE(MID(tblMatriculas[[#This Row],[Clases]],FIND("/",tblMatriculas[[#This Row],[Clases]])+1,5)),"")</f>
        <v>30</v>
      </c>
      <c r="N6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4" s="14">
        <f>IF(OR(tblMatriculas[[#This Row],[Estado]]&lt;&gt;"activa",tblMatriculas[[#This Row],[Clases dictadas]]=""),"",MAX(0,tblMatriculas[[#This Row],[Clases dictadas]]-tblMatriculas[[#This Row],[Asistidas]]))</f>
        <v>1</v>
      </c>
      <c r="P624" s="1">
        <f>IF(OR(tblMatriculas[[#This Row],[Estado]]&lt;&gt;"activa",tblMatriculas[[#This Row],[Asistidas]]=""),"",tblMatriculas[[#This Row],[Asistencia]])</f>
        <v>0.16699999999999998</v>
      </c>
      <c r="Q624" t="b">
        <f>AND(tblMatriculas[[#This Row],[Estado]]="activa",ISNUMBER(tblMatriculas[[#This Row],[% asistencia]]),NOT(ISNUMBER(SEARCH(pPrueba,tblMatriculas[[#This Row],[Nombre]]))))</f>
        <v>1</v>
      </c>
      <c r="R6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4" s="23" t="str" cm="1">
        <f t="array" ref="S6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4" s="23" t="str" cm="1">
        <f t="array" ref="T6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4" s="14" t="str" cm="1">
        <f t="array" ref="U6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4" t="str" cm="1">
        <f t="array" ref="V6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4" t="str" cm="1">
        <f t="array" ref="W6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4" t="str">
        <f>IF(COUNTIFS('Base Estudiantes'!$C:$C,tblMatriculas[[#This Row],[Cédula]],'Base Estudiantes'!$I:$I,tblMatriculas[[#This Row],[Código]])&gt;0,"Sí","No")</f>
        <v>Sí</v>
      </c>
      <c r="Z624" s="23" cm="1">
        <f t="array" ref="Z624">_xlfn.XLOOKUP(tblMatriculas[[#This Row],[Cédula]]&amp;"|"&amp;tblMatriculas[[#This Row],[Código]],tblBase[Documento]&amp;"|"&amp;tblBase[Código grupo],tblBase[Fecha matrícula],"")</f>
        <v>46262</v>
      </c>
    </row>
    <row r="625" spans="1:26" x14ac:dyDescent="0.2">
      <c r="A625" t="s">
        <v>1352</v>
      </c>
      <c r="B625" t="s">
        <v>1353</v>
      </c>
      <c r="C625" t="s">
        <v>13</v>
      </c>
      <c r="D625" t="s">
        <v>1295</v>
      </c>
      <c r="E625" t="s">
        <v>1296</v>
      </c>
      <c r="F625" t="s">
        <v>111</v>
      </c>
      <c r="G625" s="1">
        <v>0.16699999999999998</v>
      </c>
      <c r="H625" t="s">
        <v>229</v>
      </c>
      <c r="I625" t="s">
        <v>1145</v>
      </c>
      <c r="J625" t="s">
        <v>1219</v>
      </c>
      <c r="K625" t="s">
        <v>24</v>
      </c>
      <c r="L625" s="14">
        <f>IFERROR(VALUE(LEFT(tblMatriculas[[#This Row],[Clases]],FIND("/",tblMatriculas[[#This Row],[Clases]])-1)),"")</f>
        <v>5</v>
      </c>
      <c r="M625" s="14">
        <f>IFERROR(VALUE(MID(tblMatriculas[[#This Row],[Clases]],FIND("/",tblMatriculas[[#This Row],[Clases]])+1,5)),"")</f>
        <v>30</v>
      </c>
      <c r="N6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5" s="14">
        <f>IF(OR(tblMatriculas[[#This Row],[Estado]]&lt;&gt;"activa",tblMatriculas[[#This Row],[Clases dictadas]]=""),"",MAX(0,tblMatriculas[[#This Row],[Clases dictadas]]-tblMatriculas[[#This Row],[Asistidas]]))</f>
        <v>1</v>
      </c>
      <c r="P625" s="1">
        <f>IF(OR(tblMatriculas[[#This Row],[Estado]]&lt;&gt;"activa",tblMatriculas[[#This Row],[Asistidas]]=""),"",tblMatriculas[[#This Row],[Asistencia]])</f>
        <v>0.16699999999999998</v>
      </c>
      <c r="Q625" t="b">
        <f>AND(tblMatriculas[[#This Row],[Estado]]="activa",ISNUMBER(tblMatriculas[[#This Row],[% asistencia]]),NOT(ISNUMBER(SEARCH(pPrueba,tblMatriculas[[#This Row],[Nombre]]))))</f>
        <v>1</v>
      </c>
      <c r="R6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5" s="23" t="str" cm="1">
        <f t="array" ref="S6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5" s="23" t="str" cm="1">
        <f t="array" ref="T6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5" s="14" t="str" cm="1">
        <f t="array" ref="U6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5" t="str" cm="1">
        <f t="array" ref="V6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5" t="str" cm="1">
        <f t="array" ref="W6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5" t="str">
        <f>IF(COUNTIFS('Base Estudiantes'!$C:$C,tblMatriculas[[#This Row],[Cédula]],'Base Estudiantes'!$I:$I,tblMatriculas[[#This Row],[Código]])&gt;0,"Sí","No")</f>
        <v>Sí</v>
      </c>
      <c r="Z625" s="23" cm="1">
        <f t="array" ref="Z625">_xlfn.XLOOKUP(tblMatriculas[[#This Row],[Cédula]]&amp;"|"&amp;tblMatriculas[[#This Row],[Código]],tblBase[Documento]&amp;"|"&amp;tblBase[Código grupo],tblBase[Fecha matrícula],"")</f>
        <v>46262</v>
      </c>
    </row>
    <row r="626" spans="1:26" x14ac:dyDescent="0.2">
      <c r="A626" t="s">
        <v>1354</v>
      </c>
      <c r="B626" t="s">
        <v>1355</v>
      </c>
      <c r="C626" t="s">
        <v>13</v>
      </c>
      <c r="D626" t="s">
        <v>1295</v>
      </c>
      <c r="E626" t="s">
        <v>1296</v>
      </c>
      <c r="F626" t="s">
        <v>111</v>
      </c>
      <c r="G626" s="1">
        <v>0.16699999999999998</v>
      </c>
      <c r="H626" t="s">
        <v>229</v>
      </c>
      <c r="I626" t="s">
        <v>1145</v>
      </c>
      <c r="J626" t="s">
        <v>1219</v>
      </c>
      <c r="K626" t="s">
        <v>24</v>
      </c>
      <c r="L626" s="14">
        <f>IFERROR(VALUE(LEFT(tblMatriculas[[#This Row],[Clases]],FIND("/",tblMatriculas[[#This Row],[Clases]])-1)),"")</f>
        <v>5</v>
      </c>
      <c r="M626" s="14">
        <f>IFERROR(VALUE(MID(tblMatriculas[[#This Row],[Clases]],FIND("/",tblMatriculas[[#This Row],[Clases]])+1,5)),"")</f>
        <v>30</v>
      </c>
      <c r="N6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6" s="14">
        <f>IF(OR(tblMatriculas[[#This Row],[Estado]]&lt;&gt;"activa",tblMatriculas[[#This Row],[Clases dictadas]]=""),"",MAX(0,tblMatriculas[[#This Row],[Clases dictadas]]-tblMatriculas[[#This Row],[Asistidas]]))</f>
        <v>1</v>
      </c>
      <c r="P626" s="1">
        <f>IF(OR(tblMatriculas[[#This Row],[Estado]]&lt;&gt;"activa",tblMatriculas[[#This Row],[Asistidas]]=""),"",tblMatriculas[[#This Row],[Asistencia]])</f>
        <v>0.16699999999999998</v>
      </c>
      <c r="Q626" t="b">
        <f>AND(tblMatriculas[[#This Row],[Estado]]="activa",ISNUMBER(tblMatriculas[[#This Row],[% asistencia]]),NOT(ISNUMBER(SEARCH(pPrueba,tblMatriculas[[#This Row],[Nombre]]))))</f>
        <v>1</v>
      </c>
      <c r="R6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6" s="23" t="str" cm="1">
        <f t="array" ref="S6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6" s="23" t="str" cm="1">
        <f t="array" ref="T6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6" s="14" t="str" cm="1">
        <f t="array" ref="U6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6" t="str" cm="1">
        <f t="array" ref="V6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6" t="str" cm="1">
        <f t="array" ref="W6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6" t="str">
        <f>IF(COUNTIFS('Base Estudiantes'!$C:$C,tblMatriculas[[#This Row],[Cédula]],'Base Estudiantes'!$I:$I,tblMatriculas[[#This Row],[Código]])&gt;0,"Sí","No")</f>
        <v>Sí</v>
      </c>
      <c r="Z626" s="23" cm="1">
        <f t="array" ref="Z626">_xlfn.XLOOKUP(tblMatriculas[[#This Row],[Cédula]]&amp;"|"&amp;tblMatriculas[[#This Row],[Código]],tblBase[Documento]&amp;"|"&amp;tblBase[Código grupo],tblBase[Fecha matrícula],"")</f>
        <v>46262</v>
      </c>
    </row>
    <row r="627" spans="1:26" x14ac:dyDescent="0.2">
      <c r="A627" t="s">
        <v>1356</v>
      </c>
      <c r="B627" t="s">
        <v>1357</v>
      </c>
      <c r="C627" t="s">
        <v>13</v>
      </c>
      <c r="D627" t="s">
        <v>1295</v>
      </c>
      <c r="E627" t="s">
        <v>1296</v>
      </c>
      <c r="F627" t="s">
        <v>111</v>
      </c>
      <c r="G627" s="1">
        <v>6.7000000000000004E-2</v>
      </c>
      <c r="H627" t="s">
        <v>166</v>
      </c>
      <c r="I627" t="s">
        <v>1145</v>
      </c>
      <c r="J627" t="s">
        <v>1219</v>
      </c>
      <c r="K627" t="s">
        <v>24</v>
      </c>
      <c r="L627" s="14">
        <f>IFERROR(VALUE(LEFT(tblMatriculas[[#This Row],[Clases]],FIND("/",tblMatriculas[[#This Row],[Clases]])-1)),"")</f>
        <v>2</v>
      </c>
      <c r="M627" s="14">
        <f>IFERROR(VALUE(MID(tblMatriculas[[#This Row],[Clases]],FIND("/",tblMatriculas[[#This Row],[Clases]])+1,5)),"")</f>
        <v>30</v>
      </c>
      <c r="N6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7" s="14">
        <f>IF(OR(tblMatriculas[[#This Row],[Estado]]&lt;&gt;"activa",tblMatriculas[[#This Row],[Clases dictadas]]=""),"",MAX(0,tblMatriculas[[#This Row],[Clases dictadas]]-tblMatriculas[[#This Row],[Asistidas]]))</f>
        <v>4</v>
      </c>
      <c r="P627" s="1">
        <f>IF(OR(tblMatriculas[[#This Row],[Estado]]&lt;&gt;"activa",tblMatriculas[[#This Row],[Asistidas]]=""),"",tblMatriculas[[#This Row],[Asistencia]])</f>
        <v>6.7000000000000004E-2</v>
      </c>
      <c r="Q627" t="b">
        <f>AND(tblMatriculas[[#This Row],[Estado]]="activa",ISNUMBER(tblMatriculas[[#This Row],[% asistencia]]),NOT(ISNUMBER(SEARCH(pPrueba,tblMatriculas[[#This Row],[Nombre]]))))</f>
        <v>1</v>
      </c>
      <c r="R6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27" s="23" t="str" cm="1">
        <f t="array" ref="S6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7" s="23" t="str" cm="1">
        <f t="array" ref="T6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7" s="14" t="str" cm="1">
        <f t="array" ref="U6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7" t="str" cm="1">
        <f t="array" ref="V6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7" t="str" cm="1">
        <f t="array" ref="W6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27" t="str">
        <f>IF(COUNTIFS('Base Estudiantes'!$C:$C,tblMatriculas[[#This Row],[Cédula]],'Base Estudiantes'!$I:$I,tblMatriculas[[#This Row],[Código]])&gt;0,"Sí","No")</f>
        <v>Sí</v>
      </c>
      <c r="Z627" s="23" cm="1">
        <f t="array" ref="Z627">_xlfn.XLOOKUP(tblMatriculas[[#This Row],[Cédula]]&amp;"|"&amp;tblMatriculas[[#This Row],[Código]],tblBase[Documento]&amp;"|"&amp;tblBase[Código grupo],tblBase[Fecha matrícula],"")</f>
        <v>46262</v>
      </c>
    </row>
    <row r="628" spans="1:26" x14ac:dyDescent="0.2">
      <c r="A628" t="s">
        <v>1358</v>
      </c>
      <c r="B628" t="s">
        <v>1359</v>
      </c>
      <c r="C628" t="s">
        <v>13</v>
      </c>
      <c r="D628" t="s">
        <v>1295</v>
      </c>
      <c r="E628" t="s">
        <v>1296</v>
      </c>
      <c r="F628" t="s">
        <v>111</v>
      </c>
      <c r="G628" s="1">
        <v>0.2</v>
      </c>
      <c r="H628" t="s">
        <v>232</v>
      </c>
      <c r="I628" t="s">
        <v>1145</v>
      </c>
      <c r="J628" t="s">
        <v>1219</v>
      </c>
      <c r="K628" t="s">
        <v>24</v>
      </c>
      <c r="L628" s="14">
        <f>IFERROR(VALUE(LEFT(tblMatriculas[[#This Row],[Clases]],FIND("/",tblMatriculas[[#This Row],[Clases]])-1)),"")</f>
        <v>6</v>
      </c>
      <c r="M628" s="14">
        <f>IFERROR(VALUE(MID(tblMatriculas[[#This Row],[Clases]],FIND("/",tblMatriculas[[#This Row],[Clases]])+1,5)),"")</f>
        <v>30</v>
      </c>
      <c r="N6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8" s="14">
        <f>IF(OR(tblMatriculas[[#This Row],[Estado]]&lt;&gt;"activa",tblMatriculas[[#This Row],[Clases dictadas]]=""),"",MAX(0,tblMatriculas[[#This Row],[Clases dictadas]]-tblMatriculas[[#This Row],[Asistidas]]))</f>
        <v>0</v>
      </c>
      <c r="P628" s="1">
        <f>IF(OR(tblMatriculas[[#This Row],[Estado]]&lt;&gt;"activa",tblMatriculas[[#This Row],[Asistidas]]=""),"",tblMatriculas[[#This Row],[Asistencia]])</f>
        <v>0.2</v>
      </c>
      <c r="Q628" t="b">
        <f>AND(tblMatriculas[[#This Row],[Estado]]="activa",ISNUMBER(tblMatriculas[[#This Row],[% asistencia]]),NOT(ISNUMBER(SEARCH(pPrueba,tblMatriculas[[#This Row],[Nombre]]))))</f>
        <v>1</v>
      </c>
      <c r="R6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8" s="23" t="str" cm="1">
        <f t="array" ref="S6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8" s="23" t="str" cm="1">
        <f t="array" ref="T6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8" s="14" t="str" cm="1">
        <f t="array" ref="U6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8" t="str" cm="1">
        <f t="array" ref="V6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8" t="str" cm="1">
        <f t="array" ref="W6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8" t="str">
        <f>IF(COUNTIFS('Base Estudiantes'!$C:$C,tblMatriculas[[#This Row],[Cédula]],'Base Estudiantes'!$I:$I,tblMatriculas[[#This Row],[Código]])&gt;0,"Sí","No")</f>
        <v>Sí</v>
      </c>
      <c r="Z628" s="23" cm="1">
        <f t="array" ref="Z628">_xlfn.XLOOKUP(tblMatriculas[[#This Row],[Cédula]]&amp;"|"&amp;tblMatriculas[[#This Row],[Código]],tblBase[Documento]&amp;"|"&amp;tblBase[Código grupo],tblBase[Fecha matrícula],"")</f>
        <v>46262</v>
      </c>
    </row>
    <row r="629" spans="1:26" x14ac:dyDescent="0.2">
      <c r="A629" t="s">
        <v>1360</v>
      </c>
      <c r="B629" t="s">
        <v>1361</v>
      </c>
      <c r="C629" t="s">
        <v>13</v>
      </c>
      <c r="D629" t="s">
        <v>1295</v>
      </c>
      <c r="E629" t="s">
        <v>1296</v>
      </c>
      <c r="F629" t="s">
        <v>111</v>
      </c>
      <c r="G629" s="1">
        <v>0.2</v>
      </c>
      <c r="H629" t="s">
        <v>232</v>
      </c>
      <c r="I629" t="s">
        <v>1145</v>
      </c>
      <c r="J629" t="s">
        <v>1219</v>
      </c>
      <c r="K629" t="s">
        <v>24</v>
      </c>
      <c r="L629" s="14">
        <f>IFERROR(VALUE(LEFT(tblMatriculas[[#This Row],[Clases]],FIND("/",tblMatriculas[[#This Row],[Clases]])-1)),"")</f>
        <v>6</v>
      </c>
      <c r="M629" s="14">
        <f>IFERROR(VALUE(MID(tblMatriculas[[#This Row],[Clases]],FIND("/",tblMatriculas[[#This Row],[Clases]])+1,5)),"")</f>
        <v>30</v>
      </c>
      <c r="N6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29" s="14">
        <f>IF(OR(tblMatriculas[[#This Row],[Estado]]&lt;&gt;"activa",tblMatriculas[[#This Row],[Clases dictadas]]=""),"",MAX(0,tblMatriculas[[#This Row],[Clases dictadas]]-tblMatriculas[[#This Row],[Asistidas]]))</f>
        <v>0</v>
      </c>
      <c r="P629" s="1">
        <f>IF(OR(tblMatriculas[[#This Row],[Estado]]&lt;&gt;"activa",tblMatriculas[[#This Row],[Asistidas]]=""),"",tblMatriculas[[#This Row],[Asistencia]])</f>
        <v>0.2</v>
      </c>
      <c r="Q629" t="b">
        <f>AND(tblMatriculas[[#This Row],[Estado]]="activa",ISNUMBER(tblMatriculas[[#This Row],[% asistencia]]),NOT(ISNUMBER(SEARCH(pPrueba,tblMatriculas[[#This Row],[Nombre]]))))</f>
        <v>1</v>
      </c>
      <c r="R6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29" s="23" t="str" cm="1">
        <f t="array" ref="S6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29" s="23" t="str" cm="1">
        <f t="array" ref="T6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29" s="14" t="str" cm="1">
        <f t="array" ref="U6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29" t="str" cm="1">
        <f t="array" ref="V6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29" t="str" cm="1">
        <f t="array" ref="W6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29" t="str">
        <f>IF(COUNTIFS('Base Estudiantes'!$C:$C,tblMatriculas[[#This Row],[Cédula]],'Base Estudiantes'!$I:$I,tblMatriculas[[#This Row],[Código]])&gt;0,"Sí","No")</f>
        <v>Sí</v>
      </c>
      <c r="Z629" s="23" cm="1">
        <f t="array" ref="Z629">_xlfn.XLOOKUP(tblMatriculas[[#This Row],[Cédula]]&amp;"|"&amp;tblMatriculas[[#This Row],[Código]],tblBase[Documento]&amp;"|"&amp;tblBase[Código grupo],tblBase[Fecha matrícula],"")</f>
        <v>46262</v>
      </c>
    </row>
    <row r="630" spans="1:26" x14ac:dyDescent="0.2">
      <c r="A630" t="s">
        <v>1362</v>
      </c>
      <c r="B630" t="s">
        <v>1363</v>
      </c>
      <c r="C630" t="s">
        <v>13</v>
      </c>
      <c r="D630" t="s">
        <v>1295</v>
      </c>
      <c r="E630" t="s">
        <v>1296</v>
      </c>
      <c r="F630" t="s">
        <v>111</v>
      </c>
      <c r="G630" s="1">
        <v>0</v>
      </c>
      <c r="H630" t="s">
        <v>254</v>
      </c>
      <c r="I630" t="s">
        <v>1145</v>
      </c>
      <c r="J630" t="s">
        <v>1219</v>
      </c>
      <c r="K630" t="s">
        <v>24</v>
      </c>
      <c r="L630" s="14">
        <f>IFERROR(VALUE(LEFT(tblMatriculas[[#This Row],[Clases]],FIND("/",tblMatriculas[[#This Row],[Clases]])-1)),"")</f>
        <v>0</v>
      </c>
      <c r="M630" s="14">
        <f>IFERROR(VALUE(MID(tblMatriculas[[#This Row],[Clases]],FIND("/",tblMatriculas[[#This Row],[Clases]])+1,5)),"")</f>
        <v>30</v>
      </c>
      <c r="N6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0" s="14">
        <f>IF(OR(tblMatriculas[[#This Row],[Estado]]&lt;&gt;"activa",tblMatriculas[[#This Row],[Clases dictadas]]=""),"",MAX(0,tblMatriculas[[#This Row],[Clases dictadas]]-tblMatriculas[[#This Row],[Asistidas]]))</f>
        <v>6</v>
      </c>
      <c r="P630" s="1">
        <f>IF(OR(tblMatriculas[[#This Row],[Estado]]&lt;&gt;"activa",tblMatriculas[[#This Row],[Asistidas]]=""),"",tblMatriculas[[#This Row],[Asistencia]])</f>
        <v>0</v>
      </c>
      <c r="Q630" t="b">
        <f>AND(tblMatriculas[[#This Row],[Estado]]="activa",ISNUMBER(tblMatriculas[[#This Row],[% asistencia]]),NOT(ISNUMBER(SEARCH(pPrueba,tblMatriculas[[#This Row],[Nombre]]))))</f>
        <v>1</v>
      </c>
      <c r="R6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30" s="23" t="str" cm="1">
        <f t="array" ref="S6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0" s="23" t="str" cm="1">
        <f t="array" ref="T6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0" s="14" t="str" cm="1">
        <f t="array" ref="U6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0" t="str" cm="1">
        <f t="array" ref="V6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0" t="str" cm="1">
        <f t="array" ref="W6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30" t="str">
        <f>IF(COUNTIFS('Base Estudiantes'!$C:$C,tblMatriculas[[#This Row],[Cédula]],'Base Estudiantes'!$I:$I,tblMatriculas[[#This Row],[Código]])&gt;0,"Sí","No")</f>
        <v>Sí</v>
      </c>
      <c r="Z630" s="23" cm="1">
        <f t="array" ref="Z630">_xlfn.XLOOKUP(tblMatriculas[[#This Row],[Cédula]]&amp;"|"&amp;tblMatriculas[[#This Row],[Código]],tblBase[Documento]&amp;"|"&amp;tblBase[Código grupo],tblBase[Fecha matrícula],"")</f>
        <v>46262</v>
      </c>
    </row>
    <row r="631" spans="1:26" x14ac:dyDescent="0.2">
      <c r="A631" t="s">
        <v>1364</v>
      </c>
      <c r="B631" t="s">
        <v>1365</v>
      </c>
      <c r="C631" t="s">
        <v>13</v>
      </c>
      <c r="D631" t="s">
        <v>1295</v>
      </c>
      <c r="E631" t="s">
        <v>1296</v>
      </c>
      <c r="F631" t="s">
        <v>111</v>
      </c>
      <c r="G631" s="1">
        <v>0.2</v>
      </c>
      <c r="H631" t="s">
        <v>232</v>
      </c>
      <c r="I631" t="s">
        <v>1145</v>
      </c>
      <c r="J631" t="s">
        <v>1219</v>
      </c>
      <c r="K631" t="s">
        <v>1366</v>
      </c>
      <c r="L631" s="14">
        <f>IFERROR(VALUE(LEFT(tblMatriculas[[#This Row],[Clases]],FIND("/",tblMatriculas[[#This Row],[Clases]])-1)),"")</f>
        <v>6</v>
      </c>
      <c r="M631" s="14">
        <f>IFERROR(VALUE(MID(tblMatriculas[[#This Row],[Clases]],FIND("/",tblMatriculas[[#This Row],[Clases]])+1,5)),"")</f>
        <v>30</v>
      </c>
      <c r="N6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1" s="14">
        <f>IF(OR(tblMatriculas[[#This Row],[Estado]]&lt;&gt;"activa",tblMatriculas[[#This Row],[Clases dictadas]]=""),"",MAX(0,tblMatriculas[[#This Row],[Clases dictadas]]-tblMatriculas[[#This Row],[Asistidas]]))</f>
        <v>0</v>
      </c>
      <c r="P631" s="1">
        <f>IF(OR(tblMatriculas[[#This Row],[Estado]]&lt;&gt;"activa",tblMatriculas[[#This Row],[Asistidas]]=""),"",tblMatriculas[[#This Row],[Asistencia]])</f>
        <v>0.2</v>
      </c>
      <c r="Q631" t="b">
        <f>AND(tblMatriculas[[#This Row],[Estado]]="activa",ISNUMBER(tblMatriculas[[#This Row],[% asistencia]]),NOT(ISNUMBER(SEARCH(pPrueba,tblMatriculas[[#This Row],[Nombre]]))))</f>
        <v>1</v>
      </c>
      <c r="R6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1" s="23" t="str" cm="1">
        <f t="array" ref="S6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1" s="23" t="str" cm="1">
        <f t="array" ref="T6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1" s="14" t="str" cm="1">
        <f t="array" ref="U6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1" t="str" cm="1">
        <f t="array" ref="V6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1" t="str" cm="1">
        <f t="array" ref="W6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1" t="str">
        <f>IF(COUNTIFS('Base Estudiantes'!$C:$C,tblMatriculas[[#This Row],[Cédula]],'Base Estudiantes'!$I:$I,tblMatriculas[[#This Row],[Código]])&gt;0,"Sí","No")</f>
        <v>Sí</v>
      </c>
      <c r="Z631" s="23" cm="1">
        <f t="array" ref="Z631">_xlfn.XLOOKUP(tblMatriculas[[#This Row],[Cédula]]&amp;"|"&amp;tblMatriculas[[#This Row],[Código]],tblBase[Documento]&amp;"|"&amp;tblBase[Código grupo],tblBase[Fecha matrícula],"")</f>
        <v>46262</v>
      </c>
    </row>
    <row r="632" spans="1:26" x14ac:dyDescent="0.2">
      <c r="A632" t="s">
        <v>1367</v>
      </c>
      <c r="B632" t="s">
        <v>1368</v>
      </c>
      <c r="C632" t="s">
        <v>13</v>
      </c>
      <c r="D632" t="s">
        <v>1295</v>
      </c>
      <c r="E632" t="s">
        <v>1296</v>
      </c>
      <c r="F632" t="s">
        <v>111</v>
      </c>
      <c r="G632" s="1">
        <v>0.13300000000000001</v>
      </c>
      <c r="H632" t="s">
        <v>112</v>
      </c>
      <c r="I632" t="s">
        <v>1145</v>
      </c>
      <c r="J632" t="s">
        <v>1219</v>
      </c>
      <c r="K632" t="s">
        <v>1366</v>
      </c>
      <c r="L632" s="14">
        <f>IFERROR(VALUE(LEFT(tblMatriculas[[#This Row],[Clases]],FIND("/",tblMatriculas[[#This Row],[Clases]])-1)),"")</f>
        <v>4</v>
      </c>
      <c r="M632" s="14">
        <f>IFERROR(VALUE(MID(tblMatriculas[[#This Row],[Clases]],FIND("/",tblMatriculas[[#This Row],[Clases]])+1,5)),"")</f>
        <v>30</v>
      </c>
      <c r="N6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2" s="14">
        <f>IF(OR(tblMatriculas[[#This Row],[Estado]]&lt;&gt;"activa",tblMatriculas[[#This Row],[Clases dictadas]]=""),"",MAX(0,tblMatriculas[[#This Row],[Clases dictadas]]-tblMatriculas[[#This Row],[Asistidas]]))</f>
        <v>2</v>
      </c>
      <c r="P632" s="1">
        <f>IF(OR(tblMatriculas[[#This Row],[Estado]]&lt;&gt;"activa",tblMatriculas[[#This Row],[Asistidas]]=""),"",tblMatriculas[[#This Row],[Asistencia]])</f>
        <v>0.13300000000000001</v>
      </c>
      <c r="Q632" t="b">
        <f>AND(tblMatriculas[[#This Row],[Estado]]="activa",ISNUMBER(tblMatriculas[[#This Row],[% asistencia]]),NOT(ISNUMBER(SEARCH(pPrueba,tblMatriculas[[#This Row],[Nombre]]))))</f>
        <v>1</v>
      </c>
      <c r="R6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2" s="23" t="str" cm="1">
        <f t="array" ref="S6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2" s="23" t="str" cm="1">
        <f t="array" ref="T6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2" s="14" t="str" cm="1">
        <f t="array" ref="U6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2" t="str" cm="1">
        <f t="array" ref="V6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2" t="str" cm="1">
        <f t="array" ref="W6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2" t="str">
        <f>IF(COUNTIFS('Base Estudiantes'!$C:$C,tblMatriculas[[#This Row],[Cédula]],'Base Estudiantes'!$I:$I,tblMatriculas[[#This Row],[Código]])&gt;0,"Sí","No")</f>
        <v>Sí</v>
      </c>
      <c r="Z632" s="23" cm="1">
        <f t="array" ref="Z632">_xlfn.XLOOKUP(tblMatriculas[[#This Row],[Cédula]]&amp;"|"&amp;tblMatriculas[[#This Row],[Código]],tblBase[Documento]&amp;"|"&amp;tblBase[Código grupo],tblBase[Fecha matrícula],"")</f>
        <v>46262</v>
      </c>
    </row>
    <row r="633" spans="1:26" x14ac:dyDescent="0.2">
      <c r="A633" t="s">
        <v>1369</v>
      </c>
      <c r="B633" t="s">
        <v>1370</v>
      </c>
      <c r="C633" t="s">
        <v>13</v>
      </c>
      <c r="D633" t="s">
        <v>1295</v>
      </c>
      <c r="E633" t="s">
        <v>1296</v>
      </c>
      <c r="F633" t="s">
        <v>111</v>
      </c>
      <c r="G633" s="1">
        <v>0.16699999999999998</v>
      </c>
      <c r="H633" t="s">
        <v>229</v>
      </c>
      <c r="I633" t="s">
        <v>1145</v>
      </c>
      <c r="J633" t="s">
        <v>1219</v>
      </c>
      <c r="K633" t="s">
        <v>1371</v>
      </c>
      <c r="L633" s="14">
        <f>IFERROR(VALUE(LEFT(tblMatriculas[[#This Row],[Clases]],FIND("/",tblMatriculas[[#This Row],[Clases]])-1)),"")</f>
        <v>5</v>
      </c>
      <c r="M633" s="14">
        <f>IFERROR(VALUE(MID(tblMatriculas[[#This Row],[Clases]],FIND("/",tblMatriculas[[#This Row],[Clases]])+1,5)),"")</f>
        <v>30</v>
      </c>
      <c r="N6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3" s="14">
        <f>IF(OR(tblMatriculas[[#This Row],[Estado]]&lt;&gt;"activa",tblMatriculas[[#This Row],[Clases dictadas]]=""),"",MAX(0,tblMatriculas[[#This Row],[Clases dictadas]]-tblMatriculas[[#This Row],[Asistidas]]))</f>
        <v>1</v>
      </c>
      <c r="P633" s="1">
        <f>IF(OR(tblMatriculas[[#This Row],[Estado]]&lt;&gt;"activa",tblMatriculas[[#This Row],[Asistidas]]=""),"",tblMatriculas[[#This Row],[Asistencia]])</f>
        <v>0.16699999999999998</v>
      </c>
      <c r="Q633" t="b">
        <f>AND(tblMatriculas[[#This Row],[Estado]]="activa",ISNUMBER(tblMatriculas[[#This Row],[% asistencia]]),NOT(ISNUMBER(SEARCH(pPrueba,tblMatriculas[[#This Row],[Nombre]]))))</f>
        <v>1</v>
      </c>
      <c r="R6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3" s="23" t="str" cm="1">
        <f t="array" ref="S6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3" s="23" t="str" cm="1">
        <f t="array" ref="T6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3" s="14" t="str" cm="1">
        <f t="array" ref="U6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3" t="str" cm="1">
        <f t="array" ref="V6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3" t="str" cm="1">
        <f t="array" ref="W6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3" t="str">
        <f>IF(COUNTIFS('Base Estudiantes'!$C:$C,tblMatriculas[[#This Row],[Cédula]],'Base Estudiantes'!$I:$I,tblMatriculas[[#This Row],[Código]])&gt;0,"Sí","No")</f>
        <v>Sí</v>
      </c>
      <c r="Z633" s="23" cm="1">
        <f t="array" ref="Z633">_xlfn.XLOOKUP(tblMatriculas[[#This Row],[Cédula]]&amp;"|"&amp;tblMatriculas[[#This Row],[Código]],tblBase[Documento]&amp;"|"&amp;tblBase[Código grupo],tblBase[Fecha matrícula],"")</f>
        <v>46262</v>
      </c>
    </row>
    <row r="634" spans="1:26" x14ac:dyDescent="0.2">
      <c r="A634" t="s">
        <v>1372</v>
      </c>
      <c r="B634" t="s">
        <v>1373</v>
      </c>
      <c r="C634" t="s">
        <v>13</v>
      </c>
      <c r="D634" t="s">
        <v>1295</v>
      </c>
      <c r="E634" t="s">
        <v>1296</v>
      </c>
      <c r="F634" t="s">
        <v>111</v>
      </c>
      <c r="G634" s="1">
        <v>0.04</v>
      </c>
      <c r="H634" t="s">
        <v>1374</v>
      </c>
      <c r="I634" t="s">
        <v>1145</v>
      </c>
      <c r="J634" t="s">
        <v>1219</v>
      </c>
      <c r="K634" t="s">
        <v>1371</v>
      </c>
      <c r="L634" s="14">
        <f>IFERROR(VALUE(LEFT(tblMatriculas[[#This Row],[Clases]],FIND("/",tblMatriculas[[#This Row],[Clases]])-1)),"")</f>
        <v>3</v>
      </c>
      <c r="M634" s="14">
        <f>IFERROR(VALUE(MID(tblMatriculas[[#This Row],[Clases]],FIND("/",tblMatriculas[[#This Row],[Clases]])+1,5)),"")</f>
        <v>75</v>
      </c>
      <c r="N6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13</v>
      </c>
      <c r="O634" s="14">
        <f>IF(OR(tblMatriculas[[#This Row],[Estado]]&lt;&gt;"activa",tblMatriculas[[#This Row],[Clases dictadas]]=""),"",MAX(0,tblMatriculas[[#This Row],[Clases dictadas]]-tblMatriculas[[#This Row],[Asistidas]]))</f>
        <v>10</v>
      </c>
      <c r="P634" s="1">
        <f>IF(OR(tblMatriculas[[#This Row],[Estado]]&lt;&gt;"activa",tblMatriculas[[#This Row],[Asistidas]]=""),"",tblMatriculas[[#This Row],[Asistencia]])</f>
        <v>0.04</v>
      </c>
      <c r="Q634" t="b">
        <f>AND(tblMatriculas[[#This Row],[Estado]]="activa",ISNUMBER(tblMatriculas[[#This Row],[% asistencia]]),NOT(ISNUMBER(SEARCH(pPrueba,tblMatriculas[[#This Row],[Nombre]]))))</f>
        <v>1</v>
      </c>
      <c r="R6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34" s="23" t="str" cm="1">
        <f t="array" ref="S6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4" s="23" t="str" cm="1">
        <f t="array" ref="T6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4" s="14" t="str" cm="1">
        <f t="array" ref="U6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4" t="str" cm="1">
        <f t="array" ref="V6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4" t="str" cm="1">
        <f t="array" ref="W6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34" t="str">
        <f>IF(COUNTIFS('Base Estudiantes'!$C:$C,tblMatriculas[[#This Row],[Cédula]],'Base Estudiantes'!$I:$I,tblMatriculas[[#This Row],[Código]])&gt;0,"Sí","No")</f>
        <v>Sí</v>
      </c>
      <c r="Z634" s="23" cm="1">
        <f t="array" ref="Z634">_xlfn.XLOOKUP(tblMatriculas[[#This Row],[Cédula]]&amp;"|"&amp;tblMatriculas[[#This Row],[Código]],tblBase[Documento]&amp;"|"&amp;tblBase[Código grupo],tblBase[Fecha matrícula],"")</f>
        <v>46262</v>
      </c>
    </row>
    <row r="635" spans="1:26" x14ac:dyDescent="0.2">
      <c r="A635" t="s">
        <v>1375</v>
      </c>
      <c r="B635" t="s">
        <v>1376</v>
      </c>
      <c r="C635" t="s">
        <v>13</v>
      </c>
      <c r="D635" t="s">
        <v>1295</v>
      </c>
      <c r="E635" t="s">
        <v>1296</v>
      </c>
      <c r="F635" t="s">
        <v>111</v>
      </c>
      <c r="G635" s="1">
        <v>0.1</v>
      </c>
      <c r="H635" t="s">
        <v>117</v>
      </c>
      <c r="I635" t="s">
        <v>1145</v>
      </c>
      <c r="J635" t="s">
        <v>1219</v>
      </c>
      <c r="K635" t="s">
        <v>24</v>
      </c>
      <c r="L635" s="14">
        <f>IFERROR(VALUE(LEFT(tblMatriculas[[#This Row],[Clases]],FIND("/",tblMatriculas[[#This Row],[Clases]])-1)),"")</f>
        <v>3</v>
      </c>
      <c r="M635" s="14">
        <f>IFERROR(VALUE(MID(tblMatriculas[[#This Row],[Clases]],FIND("/",tblMatriculas[[#This Row],[Clases]])+1,5)),"")</f>
        <v>30</v>
      </c>
      <c r="N6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5" s="14">
        <f>IF(OR(tblMatriculas[[#This Row],[Estado]]&lt;&gt;"activa",tblMatriculas[[#This Row],[Clases dictadas]]=""),"",MAX(0,tblMatriculas[[#This Row],[Clases dictadas]]-tblMatriculas[[#This Row],[Asistidas]]))</f>
        <v>3</v>
      </c>
      <c r="P635" s="1">
        <f>IF(OR(tblMatriculas[[#This Row],[Estado]]&lt;&gt;"activa",tblMatriculas[[#This Row],[Asistidas]]=""),"",tblMatriculas[[#This Row],[Asistencia]])</f>
        <v>0.1</v>
      </c>
      <c r="Q635" t="b">
        <f>AND(tblMatriculas[[#This Row],[Estado]]="activa",ISNUMBER(tblMatriculas[[#This Row],[% asistencia]]),NOT(ISNUMBER(SEARCH(pPrueba,tblMatriculas[[#This Row],[Nombre]]))))</f>
        <v>1</v>
      </c>
      <c r="R6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5" s="23" t="str" cm="1">
        <f t="array" ref="S6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5" s="23" t="str" cm="1">
        <f t="array" ref="T6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5" s="14" t="str" cm="1">
        <f t="array" ref="U6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5" t="str" cm="1">
        <f t="array" ref="V6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5" t="str" cm="1">
        <f t="array" ref="W6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5" t="str">
        <f>IF(COUNTIFS('Base Estudiantes'!$C:$C,tblMatriculas[[#This Row],[Cédula]],'Base Estudiantes'!$I:$I,tblMatriculas[[#This Row],[Código]])&gt;0,"Sí","No")</f>
        <v>Sí</v>
      </c>
      <c r="Z635" s="23" cm="1">
        <f t="array" ref="Z635">_xlfn.XLOOKUP(tblMatriculas[[#This Row],[Cédula]]&amp;"|"&amp;tblMatriculas[[#This Row],[Código]],tblBase[Documento]&amp;"|"&amp;tblBase[Código grupo],tblBase[Fecha matrícula],"")</f>
        <v>46263</v>
      </c>
    </row>
    <row r="636" spans="1:26" x14ac:dyDescent="0.2">
      <c r="A636" t="s">
        <v>1377</v>
      </c>
      <c r="B636" t="s">
        <v>1378</v>
      </c>
      <c r="C636" t="s">
        <v>49</v>
      </c>
      <c r="D636" t="s">
        <v>1295</v>
      </c>
      <c r="E636" t="s">
        <v>1296</v>
      </c>
      <c r="F636" t="s">
        <v>111</v>
      </c>
      <c r="G636" s="1">
        <v>3.3000000000000002E-2</v>
      </c>
      <c r="H636" t="s">
        <v>225</v>
      </c>
      <c r="I636" t="s">
        <v>1145</v>
      </c>
      <c r="J636" t="s">
        <v>1219</v>
      </c>
      <c r="K636" t="s">
        <v>24</v>
      </c>
      <c r="L636" s="14">
        <f>IFERROR(VALUE(LEFT(tblMatriculas[[#This Row],[Clases]],FIND("/",tblMatriculas[[#This Row],[Clases]])-1)),"")</f>
        <v>1</v>
      </c>
      <c r="M636" s="14">
        <f>IFERROR(VALUE(MID(tblMatriculas[[#This Row],[Clases]],FIND("/",tblMatriculas[[#This Row],[Clases]])+1,5)),"")</f>
        <v>30</v>
      </c>
      <c r="N6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6" s="14" t="str">
        <f>IF(OR(tblMatriculas[[#This Row],[Estado]]&lt;&gt;"activa",tblMatriculas[[#This Row],[Clases dictadas]]=""),"",MAX(0,tblMatriculas[[#This Row],[Clases dictadas]]-tblMatriculas[[#This Row],[Asistidas]]))</f>
        <v/>
      </c>
      <c r="P636" s="1" t="str">
        <f>IF(OR(tblMatriculas[[#This Row],[Estado]]&lt;&gt;"activa",tblMatriculas[[#This Row],[Asistidas]]=""),"",tblMatriculas[[#This Row],[Asistencia]])</f>
        <v/>
      </c>
      <c r="Q636" t="b">
        <f>AND(tblMatriculas[[#This Row],[Estado]]="activa",ISNUMBER(tblMatriculas[[#This Row],[% asistencia]]),NOT(ISNUMBER(SEARCH(pPrueba,tblMatriculas[[#This Row],[Nombre]]))))</f>
        <v>0</v>
      </c>
      <c r="R6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636" s="23" t="str" cm="1">
        <f t="array" ref="S6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6" s="23" t="str" cm="1">
        <f t="array" ref="T6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6" s="14" t="str" cm="1">
        <f t="array" ref="U6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6" t="str" cm="1">
        <f t="array" ref="V6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6" t="str" cm="1">
        <f t="array" ref="W6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6" t="str">
        <f>IF(COUNTIFS('Base Estudiantes'!$C:$C,tblMatriculas[[#This Row],[Cédula]],'Base Estudiantes'!$I:$I,tblMatriculas[[#This Row],[Código]])&gt;0,"Sí","No")</f>
        <v>No</v>
      </c>
      <c r="Z636" s="23" t="str" cm="1">
        <f t="array" ref="Z636">_xlfn.XLOOKUP(tblMatriculas[[#This Row],[Cédula]]&amp;"|"&amp;tblMatriculas[[#This Row],[Código]],tblBase[Documento]&amp;"|"&amp;tblBase[Código grupo],tblBase[Fecha matrícula],"")</f>
        <v/>
      </c>
    </row>
    <row r="637" spans="1:26" x14ac:dyDescent="0.2">
      <c r="A637" t="s">
        <v>441</v>
      </c>
      <c r="B637" t="s">
        <v>442</v>
      </c>
      <c r="C637" t="s">
        <v>13</v>
      </c>
      <c r="D637" t="s">
        <v>1295</v>
      </c>
      <c r="E637" t="s">
        <v>1296</v>
      </c>
      <c r="F637" t="s">
        <v>111</v>
      </c>
      <c r="G637" s="1">
        <v>0.16699999999999998</v>
      </c>
      <c r="H637" t="s">
        <v>229</v>
      </c>
      <c r="I637" t="s">
        <v>1145</v>
      </c>
      <c r="J637" t="s">
        <v>1219</v>
      </c>
      <c r="K637" t="s">
        <v>1366</v>
      </c>
      <c r="L637" s="14">
        <f>IFERROR(VALUE(LEFT(tblMatriculas[[#This Row],[Clases]],FIND("/",tblMatriculas[[#This Row],[Clases]])-1)),"")</f>
        <v>5</v>
      </c>
      <c r="M637" s="14">
        <f>IFERROR(VALUE(MID(tblMatriculas[[#This Row],[Clases]],FIND("/",tblMatriculas[[#This Row],[Clases]])+1,5)),"")</f>
        <v>30</v>
      </c>
      <c r="N6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37" s="14">
        <f>IF(OR(tblMatriculas[[#This Row],[Estado]]&lt;&gt;"activa",tblMatriculas[[#This Row],[Clases dictadas]]=""),"",MAX(0,tblMatriculas[[#This Row],[Clases dictadas]]-tblMatriculas[[#This Row],[Asistidas]]))</f>
        <v>1</v>
      </c>
      <c r="P637" s="1">
        <f>IF(OR(tblMatriculas[[#This Row],[Estado]]&lt;&gt;"activa",tblMatriculas[[#This Row],[Asistidas]]=""),"",tblMatriculas[[#This Row],[Asistencia]])</f>
        <v>0.16699999999999998</v>
      </c>
      <c r="Q637" t="b">
        <f>AND(tblMatriculas[[#This Row],[Estado]]="activa",ISNUMBER(tblMatriculas[[#This Row],[% asistencia]]),NOT(ISNUMBER(SEARCH(pPrueba,tblMatriculas[[#This Row],[Nombre]]))))</f>
        <v>1</v>
      </c>
      <c r="R6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7" s="23" t="str" cm="1">
        <f t="array" ref="S6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7" s="23" t="str" cm="1">
        <f t="array" ref="T6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7" s="14" t="str" cm="1">
        <f t="array" ref="U6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7" t="str" cm="1">
        <f t="array" ref="V6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7" t="str" cm="1">
        <f t="array" ref="W6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7" t="str">
        <f>IF(COUNTIFS('Base Estudiantes'!$C:$C,tblMatriculas[[#This Row],[Cédula]],'Base Estudiantes'!$I:$I,tblMatriculas[[#This Row],[Código]])&gt;0,"Sí","No")</f>
        <v>Sí</v>
      </c>
      <c r="Z637" s="23" cm="1">
        <f t="array" ref="Z637">_xlfn.XLOOKUP(tblMatriculas[[#This Row],[Cédula]]&amp;"|"&amp;tblMatriculas[[#This Row],[Código]],tblBase[Documento]&amp;"|"&amp;tblBase[Código grupo],tblBase[Fecha matrícula],"")</f>
        <v>46266</v>
      </c>
    </row>
    <row r="638" spans="1:26" x14ac:dyDescent="0.2">
      <c r="A638" t="s">
        <v>1379</v>
      </c>
      <c r="B638" t="s">
        <v>1380</v>
      </c>
      <c r="C638" t="s">
        <v>13</v>
      </c>
      <c r="D638" t="s">
        <v>1381</v>
      </c>
      <c r="E638" t="s">
        <v>1382</v>
      </c>
      <c r="F638" t="s">
        <v>750</v>
      </c>
      <c r="G638" s="1">
        <v>0.13300000000000001</v>
      </c>
      <c r="H638" t="s">
        <v>112</v>
      </c>
      <c r="I638" t="s">
        <v>1145</v>
      </c>
      <c r="J638" t="s">
        <v>1383</v>
      </c>
      <c r="K638" t="s">
        <v>1384</v>
      </c>
      <c r="L638" s="14">
        <f>IFERROR(VALUE(LEFT(tblMatriculas[[#This Row],[Clases]],FIND("/",tblMatriculas[[#This Row],[Clases]])-1)),"")</f>
        <v>4</v>
      </c>
      <c r="M638" s="14">
        <f>IFERROR(VALUE(MID(tblMatriculas[[#This Row],[Clases]],FIND("/",tblMatriculas[[#This Row],[Clases]])+1,5)),"")</f>
        <v>30</v>
      </c>
      <c r="N6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38" s="14">
        <f>IF(OR(tblMatriculas[[#This Row],[Estado]]&lt;&gt;"activa",tblMatriculas[[#This Row],[Clases dictadas]]=""),"",MAX(0,tblMatriculas[[#This Row],[Clases dictadas]]-tblMatriculas[[#This Row],[Asistidas]]))</f>
        <v>0</v>
      </c>
      <c r="P638" s="1">
        <f>IF(OR(tblMatriculas[[#This Row],[Estado]]&lt;&gt;"activa",tblMatriculas[[#This Row],[Asistidas]]=""),"",tblMatriculas[[#This Row],[Asistencia]])</f>
        <v>0.13300000000000001</v>
      </c>
      <c r="Q638" t="b">
        <f>AND(tblMatriculas[[#This Row],[Estado]]="activa",ISNUMBER(tblMatriculas[[#This Row],[% asistencia]]),NOT(ISNUMBER(SEARCH(pPrueba,tblMatriculas[[#This Row],[Nombre]]))))</f>
        <v>1</v>
      </c>
      <c r="R6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38" s="23" t="str" cm="1">
        <f t="array" ref="S6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8" s="23" t="str" cm="1">
        <f t="array" ref="T6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8" s="14" t="str" cm="1">
        <f t="array" ref="U6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8" t="str" cm="1">
        <f t="array" ref="V6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8" t="str" cm="1">
        <f t="array" ref="W6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38" t="str">
        <f>IF(COUNTIFS('Base Estudiantes'!$C:$C,tblMatriculas[[#This Row],[Cédula]],'Base Estudiantes'!$I:$I,tblMatriculas[[#This Row],[Código]])&gt;0,"Sí","No")</f>
        <v>Sí</v>
      </c>
      <c r="Z638" s="23" cm="1">
        <f t="array" ref="Z638">_xlfn.XLOOKUP(tblMatriculas[[#This Row],[Cédula]]&amp;"|"&amp;tblMatriculas[[#This Row],[Código]],tblBase[Documento]&amp;"|"&amp;tblBase[Código grupo],tblBase[Fecha matrícula],"")</f>
        <v>46262</v>
      </c>
    </row>
    <row r="639" spans="1:26" x14ac:dyDescent="0.2">
      <c r="A639" t="s">
        <v>1385</v>
      </c>
      <c r="B639" t="s">
        <v>1386</v>
      </c>
      <c r="C639" t="s">
        <v>13</v>
      </c>
      <c r="D639" t="s">
        <v>1381</v>
      </c>
      <c r="E639" t="s">
        <v>1382</v>
      </c>
      <c r="F639" t="s">
        <v>750</v>
      </c>
      <c r="G639" s="1">
        <v>6.7000000000000004E-2</v>
      </c>
      <c r="H639" t="s">
        <v>166</v>
      </c>
      <c r="I639" t="s">
        <v>1145</v>
      </c>
      <c r="J639" t="s">
        <v>1383</v>
      </c>
      <c r="K639" t="s">
        <v>1371</v>
      </c>
      <c r="L639" s="14">
        <f>IFERROR(VALUE(LEFT(tblMatriculas[[#This Row],[Clases]],FIND("/",tblMatriculas[[#This Row],[Clases]])-1)),"")</f>
        <v>2</v>
      </c>
      <c r="M639" s="14">
        <f>IFERROR(VALUE(MID(tblMatriculas[[#This Row],[Clases]],FIND("/",tblMatriculas[[#This Row],[Clases]])+1,5)),"")</f>
        <v>30</v>
      </c>
      <c r="N6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39" s="14">
        <f>IF(OR(tblMatriculas[[#This Row],[Estado]]&lt;&gt;"activa",tblMatriculas[[#This Row],[Clases dictadas]]=""),"",MAX(0,tblMatriculas[[#This Row],[Clases dictadas]]-tblMatriculas[[#This Row],[Asistidas]]))</f>
        <v>2</v>
      </c>
      <c r="P639" s="1">
        <f>IF(OR(tblMatriculas[[#This Row],[Estado]]&lt;&gt;"activa",tblMatriculas[[#This Row],[Asistidas]]=""),"",tblMatriculas[[#This Row],[Asistencia]])</f>
        <v>6.7000000000000004E-2</v>
      </c>
      <c r="Q639" t="b">
        <f>AND(tblMatriculas[[#This Row],[Estado]]="activa",ISNUMBER(tblMatriculas[[#This Row],[% asistencia]]),NOT(ISNUMBER(SEARCH(pPrueba,tblMatriculas[[#This Row],[Nombre]]))))</f>
        <v>1</v>
      </c>
      <c r="R6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39" s="23" t="str" cm="1">
        <f t="array" ref="S6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39" s="23" t="str" cm="1">
        <f t="array" ref="T6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39" s="14" t="str" cm="1">
        <f t="array" ref="U6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39" t="str" cm="1">
        <f t="array" ref="V6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39" t="str" cm="1">
        <f t="array" ref="W6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39" t="str">
        <f>IF(COUNTIFS('Base Estudiantes'!$C:$C,tblMatriculas[[#This Row],[Cédula]],'Base Estudiantes'!$I:$I,tblMatriculas[[#This Row],[Código]])&gt;0,"Sí","No")</f>
        <v>Sí</v>
      </c>
      <c r="Z639" s="23" cm="1">
        <f t="array" ref="Z639">_xlfn.XLOOKUP(tblMatriculas[[#This Row],[Cédula]]&amp;"|"&amp;tblMatriculas[[#This Row],[Código]],tblBase[Documento]&amp;"|"&amp;tblBase[Código grupo],tblBase[Fecha matrícula],"")</f>
        <v>46262</v>
      </c>
    </row>
    <row r="640" spans="1:26" x14ac:dyDescent="0.2">
      <c r="A640" t="s">
        <v>1387</v>
      </c>
      <c r="B640" t="s">
        <v>1388</v>
      </c>
      <c r="C640" t="s">
        <v>13</v>
      </c>
      <c r="D640" t="s">
        <v>1381</v>
      </c>
      <c r="E640" t="s">
        <v>1382</v>
      </c>
      <c r="F640" t="s">
        <v>750</v>
      </c>
      <c r="G640" s="1">
        <v>0.13300000000000001</v>
      </c>
      <c r="H640" t="s">
        <v>112</v>
      </c>
      <c r="I640" t="s">
        <v>1145</v>
      </c>
      <c r="J640" t="s">
        <v>1383</v>
      </c>
      <c r="K640" t="s">
        <v>24</v>
      </c>
      <c r="L640" s="14">
        <f>IFERROR(VALUE(LEFT(tblMatriculas[[#This Row],[Clases]],FIND("/",tblMatriculas[[#This Row],[Clases]])-1)),"")</f>
        <v>4</v>
      </c>
      <c r="M640" s="14">
        <f>IFERROR(VALUE(MID(tblMatriculas[[#This Row],[Clases]],FIND("/",tblMatriculas[[#This Row],[Clases]])+1,5)),"")</f>
        <v>30</v>
      </c>
      <c r="N6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0" s="14">
        <f>IF(OR(tblMatriculas[[#This Row],[Estado]]&lt;&gt;"activa",tblMatriculas[[#This Row],[Clases dictadas]]=""),"",MAX(0,tblMatriculas[[#This Row],[Clases dictadas]]-tblMatriculas[[#This Row],[Asistidas]]))</f>
        <v>0</v>
      </c>
      <c r="P640" s="1">
        <f>IF(OR(tblMatriculas[[#This Row],[Estado]]&lt;&gt;"activa",tblMatriculas[[#This Row],[Asistidas]]=""),"",tblMatriculas[[#This Row],[Asistencia]])</f>
        <v>0.13300000000000001</v>
      </c>
      <c r="Q640" t="b">
        <f>AND(tblMatriculas[[#This Row],[Estado]]="activa",ISNUMBER(tblMatriculas[[#This Row],[% asistencia]]),NOT(ISNUMBER(SEARCH(pPrueba,tblMatriculas[[#This Row],[Nombre]]))))</f>
        <v>1</v>
      </c>
      <c r="R6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0" s="23" t="str" cm="1">
        <f t="array" ref="S6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0" s="23" t="str" cm="1">
        <f t="array" ref="T6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0" s="14" t="str" cm="1">
        <f t="array" ref="U6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0" t="str" cm="1">
        <f t="array" ref="V6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0" t="str" cm="1">
        <f t="array" ref="W6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0" t="str">
        <f>IF(COUNTIFS('Base Estudiantes'!$C:$C,tblMatriculas[[#This Row],[Cédula]],'Base Estudiantes'!$I:$I,tblMatriculas[[#This Row],[Código]])&gt;0,"Sí","No")</f>
        <v>Sí</v>
      </c>
      <c r="Z640" s="23" cm="1">
        <f t="array" ref="Z640">_xlfn.XLOOKUP(tblMatriculas[[#This Row],[Cédula]]&amp;"|"&amp;tblMatriculas[[#This Row],[Código]],tblBase[Documento]&amp;"|"&amp;tblBase[Código grupo],tblBase[Fecha matrícula],"")</f>
        <v>46262</v>
      </c>
    </row>
    <row r="641" spans="1:26" x14ac:dyDescent="0.2">
      <c r="A641" t="s">
        <v>1389</v>
      </c>
      <c r="B641" t="s">
        <v>1390</v>
      </c>
      <c r="C641" t="s">
        <v>13</v>
      </c>
      <c r="D641" t="s">
        <v>1381</v>
      </c>
      <c r="E641" t="s">
        <v>1382</v>
      </c>
      <c r="F641" t="s">
        <v>750</v>
      </c>
      <c r="G641" s="1">
        <v>6.7000000000000004E-2</v>
      </c>
      <c r="H641" t="s">
        <v>166</v>
      </c>
      <c r="I641" t="s">
        <v>1145</v>
      </c>
      <c r="J641" t="s">
        <v>1383</v>
      </c>
      <c r="K641" t="s">
        <v>24</v>
      </c>
      <c r="L641" s="14">
        <f>IFERROR(VALUE(LEFT(tblMatriculas[[#This Row],[Clases]],FIND("/",tblMatriculas[[#This Row],[Clases]])-1)),"")</f>
        <v>2</v>
      </c>
      <c r="M641" s="14">
        <f>IFERROR(VALUE(MID(tblMatriculas[[#This Row],[Clases]],FIND("/",tblMatriculas[[#This Row],[Clases]])+1,5)),"")</f>
        <v>30</v>
      </c>
      <c r="N6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1" s="14">
        <f>IF(OR(tblMatriculas[[#This Row],[Estado]]&lt;&gt;"activa",tblMatriculas[[#This Row],[Clases dictadas]]=""),"",MAX(0,tblMatriculas[[#This Row],[Clases dictadas]]-tblMatriculas[[#This Row],[Asistidas]]))</f>
        <v>2</v>
      </c>
      <c r="P641" s="1">
        <f>IF(OR(tblMatriculas[[#This Row],[Estado]]&lt;&gt;"activa",tblMatriculas[[#This Row],[Asistidas]]=""),"",tblMatriculas[[#This Row],[Asistencia]])</f>
        <v>6.7000000000000004E-2</v>
      </c>
      <c r="Q641" t="b">
        <f>AND(tblMatriculas[[#This Row],[Estado]]="activa",ISNUMBER(tblMatriculas[[#This Row],[% asistencia]]),NOT(ISNUMBER(SEARCH(pPrueba,tblMatriculas[[#This Row],[Nombre]]))))</f>
        <v>1</v>
      </c>
      <c r="R6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41" s="23" t="str" cm="1">
        <f t="array" ref="S6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1" s="23" t="str" cm="1">
        <f t="array" ref="T6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1" s="14" t="str" cm="1">
        <f t="array" ref="U6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1" t="str" cm="1">
        <f t="array" ref="V6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1" t="str" cm="1">
        <f t="array" ref="W6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41" t="str">
        <f>IF(COUNTIFS('Base Estudiantes'!$C:$C,tblMatriculas[[#This Row],[Cédula]],'Base Estudiantes'!$I:$I,tblMatriculas[[#This Row],[Código]])&gt;0,"Sí","No")</f>
        <v>Sí</v>
      </c>
      <c r="Z641" s="23" cm="1">
        <f t="array" ref="Z641">_xlfn.XLOOKUP(tblMatriculas[[#This Row],[Cédula]]&amp;"|"&amp;tblMatriculas[[#This Row],[Código]],tblBase[Documento]&amp;"|"&amp;tblBase[Código grupo],tblBase[Fecha matrícula],"")</f>
        <v>46262</v>
      </c>
    </row>
    <row r="642" spans="1:26" x14ac:dyDescent="0.2">
      <c r="A642" t="s">
        <v>1391</v>
      </c>
      <c r="B642" t="s">
        <v>1392</v>
      </c>
      <c r="C642" t="s">
        <v>13</v>
      </c>
      <c r="D642" t="s">
        <v>1381</v>
      </c>
      <c r="E642" t="s">
        <v>1382</v>
      </c>
      <c r="F642" t="s">
        <v>750</v>
      </c>
      <c r="G642" s="1">
        <v>0</v>
      </c>
      <c r="H642" t="s">
        <v>254</v>
      </c>
      <c r="I642" t="s">
        <v>1145</v>
      </c>
      <c r="J642" t="s">
        <v>1383</v>
      </c>
      <c r="K642" t="s">
        <v>24</v>
      </c>
      <c r="L642" s="14">
        <f>IFERROR(VALUE(LEFT(tblMatriculas[[#This Row],[Clases]],FIND("/",tblMatriculas[[#This Row],[Clases]])-1)),"")</f>
        <v>0</v>
      </c>
      <c r="M642" s="14">
        <f>IFERROR(VALUE(MID(tblMatriculas[[#This Row],[Clases]],FIND("/",tblMatriculas[[#This Row],[Clases]])+1,5)),"")</f>
        <v>30</v>
      </c>
      <c r="N6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2" s="14">
        <f>IF(OR(tblMatriculas[[#This Row],[Estado]]&lt;&gt;"activa",tblMatriculas[[#This Row],[Clases dictadas]]=""),"",MAX(0,tblMatriculas[[#This Row],[Clases dictadas]]-tblMatriculas[[#This Row],[Asistidas]]))</f>
        <v>4</v>
      </c>
      <c r="P642" s="1">
        <f>IF(OR(tblMatriculas[[#This Row],[Estado]]&lt;&gt;"activa",tblMatriculas[[#This Row],[Asistidas]]=""),"",tblMatriculas[[#This Row],[Asistencia]])</f>
        <v>0</v>
      </c>
      <c r="Q642" t="b">
        <f>AND(tblMatriculas[[#This Row],[Estado]]="activa",ISNUMBER(tblMatriculas[[#This Row],[% asistencia]]),NOT(ISNUMBER(SEARCH(pPrueba,tblMatriculas[[#This Row],[Nombre]]))))</f>
        <v>1</v>
      </c>
      <c r="R6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42" s="23" t="str" cm="1">
        <f t="array" ref="S6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2" s="23" t="str" cm="1">
        <f t="array" ref="T6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2" s="14" t="str" cm="1">
        <f t="array" ref="U6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2" t="str" cm="1">
        <f t="array" ref="V6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2" t="str" cm="1">
        <f t="array" ref="W6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42" t="str">
        <f>IF(COUNTIFS('Base Estudiantes'!$C:$C,tblMatriculas[[#This Row],[Cédula]],'Base Estudiantes'!$I:$I,tblMatriculas[[#This Row],[Código]])&gt;0,"Sí","No")</f>
        <v>Sí</v>
      </c>
      <c r="Z642" s="23" cm="1">
        <f t="array" ref="Z642">_xlfn.XLOOKUP(tblMatriculas[[#This Row],[Cédula]]&amp;"|"&amp;tblMatriculas[[#This Row],[Código]],tblBase[Documento]&amp;"|"&amp;tblBase[Código grupo],tblBase[Fecha matrícula],"")</f>
        <v>46262</v>
      </c>
    </row>
    <row r="643" spans="1:26" x14ac:dyDescent="0.2">
      <c r="A643" t="s">
        <v>1393</v>
      </c>
      <c r="B643" t="s">
        <v>1394</v>
      </c>
      <c r="C643" t="s">
        <v>49</v>
      </c>
      <c r="D643" t="s">
        <v>1381</v>
      </c>
      <c r="E643" t="s">
        <v>1382</v>
      </c>
      <c r="F643" t="s">
        <v>750</v>
      </c>
      <c r="G643" s="1">
        <v>0</v>
      </c>
      <c r="H643" t="s">
        <v>254</v>
      </c>
      <c r="I643" t="s">
        <v>1145</v>
      </c>
      <c r="J643" t="s">
        <v>1383</v>
      </c>
      <c r="K643" t="s">
        <v>24</v>
      </c>
      <c r="L643" s="14">
        <f>IFERROR(VALUE(LEFT(tblMatriculas[[#This Row],[Clases]],FIND("/",tblMatriculas[[#This Row],[Clases]])-1)),"")</f>
        <v>0</v>
      </c>
      <c r="M643" s="14">
        <f>IFERROR(VALUE(MID(tblMatriculas[[#This Row],[Clases]],FIND("/",tblMatriculas[[#This Row],[Clases]])+1,5)),"")</f>
        <v>30</v>
      </c>
      <c r="N6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3" s="14" t="str">
        <f>IF(OR(tblMatriculas[[#This Row],[Estado]]&lt;&gt;"activa",tblMatriculas[[#This Row],[Clases dictadas]]=""),"",MAX(0,tblMatriculas[[#This Row],[Clases dictadas]]-tblMatriculas[[#This Row],[Asistidas]]))</f>
        <v/>
      </c>
      <c r="P643" s="1" t="str">
        <f>IF(OR(tblMatriculas[[#This Row],[Estado]]&lt;&gt;"activa",tblMatriculas[[#This Row],[Asistidas]]=""),"",tblMatriculas[[#This Row],[Asistencia]])</f>
        <v/>
      </c>
      <c r="Q643" t="b">
        <f>AND(tblMatriculas[[#This Row],[Estado]]="activa",ISNUMBER(tblMatriculas[[#This Row],[% asistencia]]),NOT(ISNUMBER(SEARCH(pPrueba,tblMatriculas[[#This Row],[Nombre]]))))</f>
        <v>0</v>
      </c>
      <c r="R6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643" s="23" t="str" cm="1">
        <f t="array" ref="S6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3" s="23" t="str" cm="1">
        <f t="array" ref="T6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3" s="14" t="str" cm="1">
        <f t="array" ref="U6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3" t="str" cm="1">
        <f t="array" ref="V6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3" t="str" cm="1">
        <f t="array" ref="W6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3" t="str">
        <f>IF(COUNTIFS('Base Estudiantes'!$C:$C,tblMatriculas[[#This Row],[Cédula]],'Base Estudiantes'!$I:$I,tblMatriculas[[#This Row],[Código]])&gt;0,"Sí","No")</f>
        <v>No</v>
      </c>
      <c r="Z643" s="23" t="str" cm="1">
        <f t="array" ref="Z643">_xlfn.XLOOKUP(tblMatriculas[[#This Row],[Cédula]]&amp;"|"&amp;tblMatriculas[[#This Row],[Código]],tblBase[Documento]&amp;"|"&amp;tblBase[Código grupo],tblBase[Fecha matrícula],"")</f>
        <v/>
      </c>
    </row>
    <row r="644" spans="1:26" x14ac:dyDescent="0.2">
      <c r="A644" t="s">
        <v>1395</v>
      </c>
      <c r="B644" t="s">
        <v>1396</v>
      </c>
      <c r="C644" t="s">
        <v>13</v>
      </c>
      <c r="D644" t="s">
        <v>1381</v>
      </c>
      <c r="E644" t="s">
        <v>1382</v>
      </c>
      <c r="F644" t="s">
        <v>750</v>
      </c>
      <c r="G644" s="1">
        <v>0</v>
      </c>
      <c r="H644" t="s">
        <v>254</v>
      </c>
      <c r="I644" t="s">
        <v>1145</v>
      </c>
      <c r="J644" t="s">
        <v>1383</v>
      </c>
      <c r="K644" t="s">
        <v>24</v>
      </c>
      <c r="L644" s="14">
        <f>IFERROR(VALUE(LEFT(tblMatriculas[[#This Row],[Clases]],FIND("/",tblMatriculas[[#This Row],[Clases]])-1)),"")</f>
        <v>0</v>
      </c>
      <c r="M644" s="14">
        <f>IFERROR(VALUE(MID(tblMatriculas[[#This Row],[Clases]],FIND("/",tblMatriculas[[#This Row],[Clases]])+1,5)),"")</f>
        <v>30</v>
      </c>
      <c r="N6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4" s="14">
        <f>IF(OR(tblMatriculas[[#This Row],[Estado]]&lt;&gt;"activa",tblMatriculas[[#This Row],[Clases dictadas]]=""),"",MAX(0,tblMatriculas[[#This Row],[Clases dictadas]]-tblMatriculas[[#This Row],[Asistidas]]))</f>
        <v>4</v>
      </c>
      <c r="P644" s="1">
        <f>IF(OR(tblMatriculas[[#This Row],[Estado]]&lt;&gt;"activa",tblMatriculas[[#This Row],[Asistidas]]=""),"",tblMatriculas[[#This Row],[Asistencia]])</f>
        <v>0</v>
      </c>
      <c r="Q644" t="b">
        <f>AND(tblMatriculas[[#This Row],[Estado]]="activa",ISNUMBER(tblMatriculas[[#This Row],[% asistencia]]),NOT(ISNUMBER(SEARCH(pPrueba,tblMatriculas[[#This Row],[Nombre]]))))</f>
        <v>1</v>
      </c>
      <c r="R6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44" s="23" t="str" cm="1">
        <f t="array" ref="S6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4" s="23" t="str" cm="1">
        <f t="array" ref="T6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4" s="14" t="str" cm="1">
        <f t="array" ref="U6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4" t="str" cm="1">
        <f t="array" ref="V6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4" t="str" cm="1">
        <f t="array" ref="W6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44" t="str">
        <f>IF(COUNTIFS('Base Estudiantes'!$C:$C,tblMatriculas[[#This Row],[Cédula]],'Base Estudiantes'!$I:$I,tblMatriculas[[#This Row],[Código]])&gt;0,"Sí","No")</f>
        <v>Sí</v>
      </c>
      <c r="Z644" s="23" cm="1">
        <f t="array" ref="Z644">_xlfn.XLOOKUP(tblMatriculas[[#This Row],[Cédula]]&amp;"|"&amp;tblMatriculas[[#This Row],[Código]],tblBase[Documento]&amp;"|"&amp;tblBase[Código grupo],tblBase[Fecha matrícula],"")</f>
        <v>46262</v>
      </c>
    </row>
    <row r="645" spans="1:26" x14ac:dyDescent="0.2">
      <c r="A645" t="s">
        <v>1397</v>
      </c>
      <c r="B645" t="s">
        <v>1398</v>
      </c>
      <c r="C645" t="s">
        <v>13</v>
      </c>
      <c r="D645" t="s">
        <v>1381</v>
      </c>
      <c r="E645" t="s">
        <v>1382</v>
      </c>
      <c r="F645" t="s">
        <v>750</v>
      </c>
      <c r="G645" s="1">
        <v>0.13300000000000001</v>
      </c>
      <c r="H645" t="s">
        <v>112</v>
      </c>
      <c r="I645" t="s">
        <v>1145</v>
      </c>
      <c r="J645" t="s">
        <v>1383</v>
      </c>
      <c r="K645" t="s">
        <v>24</v>
      </c>
      <c r="L645" s="14">
        <f>IFERROR(VALUE(LEFT(tblMatriculas[[#This Row],[Clases]],FIND("/",tblMatriculas[[#This Row],[Clases]])-1)),"")</f>
        <v>4</v>
      </c>
      <c r="M645" s="14">
        <f>IFERROR(VALUE(MID(tblMatriculas[[#This Row],[Clases]],FIND("/",tblMatriculas[[#This Row],[Clases]])+1,5)),"")</f>
        <v>30</v>
      </c>
      <c r="N6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5" s="14">
        <f>IF(OR(tblMatriculas[[#This Row],[Estado]]&lt;&gt;"activa",tblMatriculas[[#This Row],[Clases dictadas]]=""),"",MAX(0,tblMatriculas[[#This Row],[Clases dictadas]]-tblMatriculas[[#This Row],[Asistidas]]))</f>
        <v>0</v>
      </c>
      <c r="P645" s="1">
        <f>IF(OR(tblMatriculas[[#This Row],[Estado]]&lt;&gt;"activa",tblMatriculas[[#This Row],[Asistidas]]=""),"",tblMatriculas[[#This Row],[Asistencia]])</f>
        <v>0.13300000000000001</v>
      </c>
      <c r="Q645" t="b">
        <f>AND(tblMatriculas[[#This Row],[Estado]]="activa",ISNUMBER(tblMatriculas[[#This Row],[% asistencia]]),NOT(ISNUMBER(SEARCH(pPrueba,tblMatriculas[[#This Row],[Nombre]]))))</f>
        <v>1</v>
      </c>
      <c r="R6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5" s="23" t="str" cm="1">
        <f t="array" ref="S6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5" s="23" t="str" cm="1">
        <f t="array" ref="T6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5" s="14" t="str" cm="1">
        <f t="array" ref="U6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5" t="str" cm="1">
        <f t="array" ref="V6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5" t="str" cm="1">
        <f t="array" ref="W6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5" t="str">
        <f>IF(COUNTIFS('Base Estudiantes'!$C:$C,tblMatriculas[[#This Row],[Cédula]],'Base Estudiantes'!$I:$I,tblMatriculas[[#This Row],[Código]])&gt;0,"Sí","No")</f>
        <v>Sí</v>
      </c>
      <c r="Z645" s="23" cm="1">
        <f t="array" ref="Z645">_xlfn.XLOOKUP(tblMatriculas[[#This Row],[Cédula]]&amp;"|"&amp;tblMatriculas[[#This Row],[Código]],tblBase[Documento]&amp;"|"&amp;tblBase[Código grupo],tblBase[Fecha matrícula],"")</f>
        <v>46262</v>
      </c>
    </row>
    <row r="646" spans="1:26" x14ac:dyDescent="0.2">
      <c r="A646" t="s">
        <v>1399</v>
      </c>
      <c r="B646" t="s">
        <v>1400</v>
      </c>
      <c r="C646" t="s">
        <v>13</v>
      </c>
      <c r="D646" t="s">
        <v>1381</v>
      </c>
      <c r="E646" t="s">
        <v>1382</v>
      </c>
      <c r="F646" t="s">
        <v>750</v>
      </c>
      <c r="G646" s="1">
        <v>0.13300000000000001</v>
      </c>
      <c r="H646" t="s">
        <v>112</v>
      </c>
      <c r="I646" t="s">
        <v>1145</v>
      </c>
      <c r="J646" t="s">
        <v>1383</v>
      </c>
      <c r="K646" t="s">
        <v>24</v>
      </c>
      <c r="L646" s="14">
        <f>IFERROR(VALUE(LEFT(tblMatriculas[[#This Row],[Clases]],FIND("/",tblMatriculas[[#This Row],[Clases]])-1)),"")</f>
        <v>4</v>
      </c>
      <c r="M646" s="14">
        <f>IFERROR(VALUE(MID(tblMatriculas[[#This Row],[Clases]],FIND("/",tblMatriculas[[#This Row],[Clases]])+1,5)),"")</f>
        <v>30</v>
      </c>
      <c r="N6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6" s="14">
        <f>IF(OR(tblMatriculas[[#This Row],[Estado]]&lt;&gt;"activa",tblMatriculas[[#This Row],[Clases dictadas]]=""),"",MAX(0,tblMatriculas[[#This Row],[Clases dictadas]]-tblMatriculas[[#This Row],[Asistidas]]))</f>
        <v>0</v>
      </c>
      <c r="P646" s="1">
        <f>IF(OR(tblMatriculas[[#This Row],[Estado]]&lt;&gt;"activa",tblMatriculas[[#This Row],[Asistidas]]=""),"",tblMatriculas[[#This Row],[Asistencia]])</f>
        <v>0.13300000000000001</v>
      </c>
      <c r="Q646" t="b">
        <f>AND(tblMatriculas[[#This Row],[Estado]]="activa",ISNUMBER(tblMatriculas[[#This Row],[% asistencia]]),NOT(ISNUMBER(SEARCH(pPrueba,tblMatriculas[[#This Row],[Nombre]]))))</f>
        <v>1</v>
      </c>
      <c r="R6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6" s="23" t="str" cm="1">
        <f t="array" ref="S6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6" s="23" t="str" cm="1">
        <f t="array" ref="T6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6" s="14" t="str" cm="1">
        <f t="array" ref="U6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6" t="str" cm="1">
        <f t="array" ref="V6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6" t="str" cm="1">
        <f t="array" ref="W6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6" t="str">
        <f>IF(COUNTIFS('Base Estudiantes'!$C:$C,tblMatriculas[[#This Row],[Cédula]],'Base Estudiantes'!$I:$I,tblMatriculas[[#This Row],[Código]])&gt;0,"Sí","No")</f>
        <v>Sí</v>
      </c>
      <c r="Z646" s="23" cm="1">
        <f t="array" ref="Z646">_xlfn.XLOOKUP(tblMatriculas[[#This Row],[Cédula]]&amp;"|"&amp;tblMatriculas[[#This Row],[Código]],tblBase[Documento]&amp;"|"&amp;tblBase[Código grupo],tblBase[Fecha matrícula],"")</f>
        <v>46262</v>
      </c>
    </row>
    <row r="647" spans="1:26" x14ac:dyDescent="0.2">
      <c r="A647" t="s">
        <v>1401</v>
      </c>
      <c r="B647" t="s">
        <v>1402</v>
      </c>
      <c r="C647" t="s">
        <v>13</v>
      </c>
      <c r="D647" t="s">
        <v>1381</v>
      </c>
      <c r="E647" t="s">
        <v>1382</v>
      </c>
      <c r="F647" t="s">
        <v>750</v>
      </c>
      <c r="G647" s="1">
        <v>6.7000000000000004E-2</v>
      </c>
      <c r="H647" t="s">
        <v>166</v>
      </c>
      <c r="I647" t="s">
        <v>1145</v>
      </c>
      <c r="J647" t="s">
        <v>1383</v>
      </c>
      <c r="K647" t="s">
        <v>24</v>
      </c>
      <c r="L647" s="14">
        <f>IFERROR(VALUE(LEFT(tblMatriculas[[#This Row],[Clases]],FIND("/",tblMatriculas[[#This Row],[Clases]])-1)),"")</f>
        <v>2</v>
      </c>
      <c r="M647" s="14">
        <f>IFERROR(VALUE(MID(tblMatriculas[[#This Row],[Clases]],FIND("/",tblMatriculas[[#This Row],[Clases]])+1,5)),"")</f>
        <v>30</v>
      </c>
      <c r="N6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7" s="14">
        <f>IF(OR(tblMatriculas[[#This Row],[Estado]]&lt;&gt;"activa",tblMatriculas[[#This Row],[Clases dictadas]]=""),"",MAX(0,tblMatriculas[[#This Row],[Clases dictadas]]-tblMatriculas[[#This Row],[Asistidas]]))</f>
        <v>2</v>
      </c>
      <c r="P647" s="1">
        <f>IF(OR(tblMatriculas[[#This Row],[Estado]]&lt;&gt;"activa",tblMatriculas[[#This Row],[Asistidas]]=""),"",tblMatriculas[[#This Row],[Asistencia]])</f>
        <v>6.7000000000000004E-2</v>
      </c>
      <c r="Q647" t="b">
        <f>AND(tblMatriculas[[#This Row],[Estado]]="activa",ISNUMBER(tblMatriculas[[#This Row],[% asistencia]]),NOT(ISNUMBER(SEARCH(pPrueba,tblMatriculas[[#This Row],[Nombre]]))))</f>
        <v>1</v>
      </c>
      <c r="R6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47" s="23" t="str" cm="1">
        <f t="array" ref="S6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7" s="23" t="str" cm="1">
        <f t="array" ref="T6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7" s="14" t="str" cm="1">
        <f t="array" ref="U6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7" t="str" cm="1">
        <f t="array" ref="V6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7" t="str" cm="1">
        <f t="array" ref="W6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47" t="str">
        <f>IF(COUNTIFS('Base Estudiantes'!$C:$C,tblMatriculas[[#This Row],[Cédula]],'Base Estudiantes'!$I:$I,tblMatriculas[[#This Row],[Código]])&gt;0,"Sí","No")</f>
        <v>Sí</v>
      </c>
      <c r="Z647" s="23" cm="1">
        <f t="array" ref="Z647">_xlfn.XLOOKUP(tblMatriculas[[#This Row],[Cédula]]&amp;"|"&amp;tblMatriculas[[#This Row],[Código]],tblBase[Documento]&amp;"|"&amp;tblBase[Código grupo],tblBase[Fecha matrícula],"")</f>
        <v>46262</v>
      </c>
    </row>
    <row r="648" spans="1:26" x14ac:dyDescent="0.2">
      <c r="A648" t="s">
        <v>1403</v>
      </c>
      <c r="B648" t="s">
        <v>1404</v>
      </c>
      <c r="C648" t="s">
        <v>13</v>
      </c>
      <c r="D648" t="s">
        <v>1381</v>
      </c>
      <c r="E648" t="s">
        <v>1382</v>
      </c>
      <c r="F648" t="s">
        <v>750</v>
      </c>
      <c r="G648" s="1">
        <v>0.13300000000000001</v>
      </c>
      <c r="H648" t="s">
        <v>112</v>
      </c>
      <c r="I648" t="s">
        <v>1145</v>
      </c>
      <c r="J648" t="s">
        <v>1383</v>
      </c>
      <c r="K648" t="s">
        <v>24</v>
      </c>
      <c r="L648" s="14">
        <f>IFERROR(VALUE(LEFT(tblMatriculas[[#This Row],[Clases]],FIND("/",tblMatriculas[[#This Row],[Clases]])-1)),"")</f>
        <v>4</v>
      </c>
      <c r="M648" s="14">
        <f>IFERROR(VALUE(MID(tblMatriculas[[#This Row],[Clases]],FIND("/",tblMatriculas[[#This Row],[Clases]])+1,5)),"")</f>
        <v>30</v>
      </c>
      <c r="N6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8" s="14">
        <f>IF(OR(tblMatriculas[[#This Row],[Estado]]&lt;&gt;"activa",tblMatriculas[[#This Row],[Clases dictadas]]=""),"",MAX(0,tblMatriculas[[#This Row],[Clases dictadas]]-tblMatriculas[[#This Row],[Asistidas]]))</f>
        <v>0</v>
      </c>
      <c r="P648" s="1">
        <f>IF(OR(tblMatriculas[[#This Row],[Estado]]&lt;&gt;"activa",tblMatriculas[[#This Row],[Asistidas]]=""),"",tblMatriculas[[#This Row],[Asistencia]])</f>
        <v>0.13300000000000001</v>
      </c>
      <c r="Q648" t="b">
        <f>AND(tblMatriculas[[#This Row],[Estado]]="activa",ISNUMBER(tblMatriculas[[#This Row],[% asistencia]]),NOT(ISNUMBER(SEARCH(pPrueba,tblMatriculas[[#This Row],[Nombre]]))))</f>
        <v>1</v>
      </c>
      <c r="R6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8" s="23" t="str" cm="1">
        <f t="array" ref="S6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8" s="23" t="str" cm="1">
        <f t="array" ref="T6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8" s="14" t="str" cm="1">
        <f t="array" ref="U6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8" t="str" cm="1">
        <f t="array" ref="V6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8" t="str" cm="1">
        <f t="array" ref="W6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8" t="str">
        <f>IF(COUNTIFS('Base Estudiantes'!$C:$C,tblMatriculas[[#This Row],[Cédula]],'Base Estudiantes'!$I:$I,tblMatriculas[[#This Row],[Código]])&gt;0,"Sí","No")</f>
        <v>Sí</v>
      </c>
      <c r="Z648" s="23" cm="1">
        <f t="array" ref="Z648">_xlfn.XLOOKUP(tblMatriculas[[#This Row],[Cédula]]&amp;"|"&amp;tblMatriculas[[#This Row],[Código]],tblBase[Documento]&amp;"|"&amp;tblBase[Código grupo],tblBase[Fecha matrícula],"")</f>
        <v>46262</v>
      </c>
    </row>
    <row r="649" spans="1:26" x14ac:dyDescent="0.2">
      <c r="A649" t="s">
        <v>1405</v>
      </c>
      <c r="B649" t="s">
        <v>1406</v>
      </c>
      <c r="C649" t="s">
        <v>13</v>
      </c>
      <c r="D649" t="s">
        <v>1381</v>
      </c>
      <c r="E649" t="s">
        <v>1382</v>
      </c>
      <c r="F649" t="s">
        <v>750</v>
      </c>
      <c r="G649" s="1">
        <v>0.13300000000000001</v>
      </c>
      <c r="H649" t="s">
        <v>112</v>
      </c>
      <c r="I649" t="s">
        <v>1145</v>
      </c>
      <c r="J649" t="s">
        <v>1383</v>
      </c>
      <c r="K649" t="s">
        <v>24</v>
      </c>
      <c r="L649" s="14">
        <f>IFERROR(VALUE(LEFT(tblMatriculas[[#This Row],[Clases]],FIND("/",tblMatriculas[[#This Row],[Clases]])-1)),"")</f>
        <v>4</v>
      </c>
      <c r="M649" s="14">
        <f>IFERROR(VALUE(MID(tblMatriculas[[#This Row],[Clases]],FIND("/",tblMatriculas[[#This Row],[Clases]])+1,5)),"")</f>
        <v>30</v>
      </c>
      <c r="N6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49" s="14">
        <f>IF(OR(tblMatriculas[[#This Row],[Estado]]&lt;&gt;"activa",tblMatriculas[[#This Row],[Clases dictadas]]=""),"",MAX(0,tblMatriculas[[#This Row],[Clases dictadas]]-tblMatriculas[[#This Row],[Asistidas]]))</f>
        <v>0</v>
      </c>
      <c r="P649" s="1">
        <f>IF(OR(tblMatriculas[[#This Row],[Estado]]&lt;&gt;"activa",tblMatriculas[[#This Row],[Asistidas]]=""),"",tblMatriculas[[#This Row],[Asistencia]])</f>
        <v>0.13300000000000001</v>
      </c>
      <c r="Q649" t="b">
        <f>AND(tblMatriculas[[#This Row],[Estado]]="activa",ISNUMBER(tblMatriculas[[#This Row],[% asistencia]]),NOT(ISNUMBER(SEARCH(pPrueba,tblMatriculas[[#This Row],[Nombre]]))))</f>
        <v>1</v>
      </c>
      <c r="R6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49" s="23" t="str" cm="1">
        <f t="array" ref="S6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49" s="23" t="str" cm="1">
        <f t="array" ref="T6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49" s="14" t="str" cm="1">
        <f t="array" ref="U6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49" t="str" cm="1">
        <f t="array" ref="V6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49" t="str" cm="1">
        <f t="array" ref="W6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49" t="str">
        <f>IF(COUNTIFS('Base Estudiantes'!$C:$C,tblMatriculas[[#This Row],[Cédula]],'Base Estudiantes'!$I:$I,tblMatriculas[[#This Row],[Código]])&gt;0,"Sí","No")</f>
        <v>Sí</v>
      </c>
      <c r="Z649" s="23" cm="1">
        <f t="array" ref="Z649">_xlfn.XLOOKUP(tblMatriculas[[#This Row],[Cédula]]&amp;"|"&amp;tblMatriculas[[#This Row],[Código]],tblBase[Documento]&amp;"|"&amp;tblBase[Código grupo],tblBase[Fecha matrícula],"")</f>
        <v>46262</v>
      </c>
    </row>
    <row r="650" spans="1:26" x14ac:dyDescent="0.2">
      <c r="A650" t="s">
        <v>1407</v>
      </c>
      <c r="B650" t="s">
        <v>1408</v>
      </c>
      <c r="C650" t="s">
        <v>13</v>
      </c>
      <c r="D650" t="s">
        <v>1381</v>
      </c>
      <c r="E650" t="s">
        <v>1382</v>
      </c>
      <c r="F650" t="s">
        <v>750</v>
      </c>
      <c r="G650" s="1">
        <v>6.7000000000000004E-2</v>
      </c>
      <c r="H650" t="s">
        <v>166</v>
      </c>
      <c r="I650" t="s">
        <v>1145</v>
      </c>
      <c r="J650" t="s">
        <v>1383</v>
      </c>
      <c r="K650" t="s">
        <v>24</v>
      </c>
      <c r="L650" s="14">
        <f>IFERROR(VALUE(LEFT(tblMatriculas[[#This Row],[Clases]],FIND("/",tblMatriculas[[#This Row],[Clases]])-1)),"")</f>
        <v>2</v>
      </c>
      <c r="M650" s="14">
        <f>IFERROR(VALUE(MID(tblMatriculas[[#This Row],[Clases]],FIND("/",tblMatriculas[[#This Row],[Clases]])+1,5)),"")</f>
        <v>30</v>
      </c>
      <c r="N6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0" s="14">
        <f>IF(OR(tblMatriculas[[#This Row],[Estado]]&lt;&gt;"activa",tblMatriculas[[#This Row],[Clases dictadas]]=""),"",MAX(0,tblMatriculas[[#This Row],[Clases dictadas]]-tblMatriculas[[#This Row],[Asistidas]]))</f>
        <v>2</v>
      </c>
      <c r="P650" s="1">
        <f>IF(OR(tblMatriculas[[#This Row],[Estado]]&lt;&gt;"activa",tblMatriculas[[#This Row],[Asistidas]]=""),"",tblMatriculas[[#This Row],[Asistencia]])</f>
        <v>6.7000000000000004E-2</v>
      </c>
      <c r="Q650" t="b">
        <f>AND(tblMatriculas[[#This Row],[Estado]]="activa",ISNUMBER(tblMatriculas[[#This Row],[% asistencia]]),NOT(ISNUMBER(SEARCH(pPrueba,tblMatriculas[[#This Row],[Nombre]]))))</f>
        <v>1</v>
      </c>
      <c r="R6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50" s="23" t="str" cm="1">
        <f t="array" ref="S6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0" s="23" t="str" cm="1">
        <f t="array" ref="T6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0" s="14" t="str" cm="1">
        <f t="array" ref="U6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0" t="str" cm="1">
        <f t="array" ref="V6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0" t="str" cm="1">
        <f t="array" ref="W6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50" t="str">
        <f>IF(COUNTIFS('Base Estudiantes'!$C:$C,tblMatriculas[[#This Row],[Cédula]],'Base Estudiantes'!$I:$I,tblMatriculas[[#This Row],[Código]])&gt;0,"Sí","No")</f>
        <v>Sí</v>
      </c>
      <c r="Z650" s="23" cm="1">
        <f t="array" ref="Z650">_xlfn.XLOOKUP(tblMatriculas[[#This Row],[Cédula]]&amp;"|"&amp;tblMatriculas[[#This Row],[Código]],tblBase[Documento]&amp;"|"&amp;tblBase[Código grupo],tblBase[Fecha matrícula],"")</f>
        <v>46262</v>
      </c>
    </row>
    <row r="651" spans="1:26" x14ac:dyDescent="0.2">
      <c r="A651" t="s">
        <v>1409</v>
      </c>
      <c r="B651" t="s">
        <v>1410</v>
      </c>
      <c r="C651" t="s">
        <v>13</v>
      </c>
      <c r="D651" t="s">
        <v>1381</v>
      </c>
      <c r="E651" t="s">
        <v>1382</v>
      </c>
      <c r="F651" t="s">
        <v>750</v>
      </c>
      <c r="G651" s="1">
        <v>0</v>
      </c>
      <c r="H651" t="s">
        <v>254</v>
      </c>
      <c r="I651" t="s">
        <v>1145</v>
      </c>
      <c r="J651" t="s">
        <v>1383</v>
      </c>
      <c r="K651" t="s">
        <v>24</v>
      </c>
      <c r="L651" s="14">
        <f>IFERROR(VALUE(LEFT(tblMatriculas[[#This Row],[Clases]],FIND("/",tblMatriculas[[#This Row],[Clases]])-1)),"")</f>
        <v>0</v>
      </c>
      <c r="M651" s="14">
        <f>IFERROR(VALUE(MID(tblMatriculas[[#This Row],[Clases]],FIND("/",tblMatriculas[[#This Row],[Clases]])+1,5)),"")</f>
        <v>30</v>
      </c>
      <c r="N6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1" s="14">
        <f>IF(OR(tblMatriculas[[#This Row],[Estado]]&lt;&gt;"activa",tblMatriculas[[#This Row],[Clases dictadas]]=""),"",MAX(0,tblMatriculas[[#This Row],[Clases dictadas]]-tblMatriculas[[#This Row],[Asistidas]]))</f>
        <v>4</v>
      </c>
      <c r="P651" s="1">
        <f>IF(OR(tblMatriculas[[#This Row],[Estado]]&lt;&gt;"activa",tblMatriculas[[#This Row],[Asistidas]]=""),"",tblMatriculas[[#This Row],[Asistencia]])</f>
        <v>0</v>
      </c>
      <c r="Q651" t="b">
        <f>AND(tblMatriculas[[#This Row],[Estado]]="activa",ISNUMBER(tblMatriculas[[#This Row],[% asistencia]]),NOT(ISNUMBER(SEARCH(pPrueba,tblMatriculas[[#This Row],[Nombre]]))))</f>
        <v>1</v>
      </c>
      <c r="R6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51" s="23" t="str" cm="1">
        <f t="array" ref="S6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1" s="23" t="str" cm="1">
        <f t="array" ref="T6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1" s="14" t="str" cm="1">
        <f t="array" ref="U6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1" t="str" cm="1">
        <f t="array" ref="V6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1" t="str" cm="1">
        <f t="array" ref="W6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51" t="str">
        <f>IF(COUNTIFS('Base Estudiantes'!$C:$C,tblMatriculas[[#This Row],[Cédula]],'Base Estudiantes'!$I:$I,tblMatriculas[[#This Row],[Código]])&gt;0,"Sí","No")</f>
        <v>Sí</v>
      </c>
      <c r="Z651" s="23" cm="1">
        <f t="array" ref="Z651">_xlfn.XLOOKUP(tblMatriculas[[#This Row],[Cédula]]&amp;"|"&amp;tblMatriculas[[#This Row],[Código]],tblBase[Documento]&amp;"|"&amp;tblBase[Código grupo],tblBase[Fecha matrícula],"")</f>
        <v>46262</v>
      </c>
    </row>
    <row r="652" spans="1:26" x14ac:dyDescent="0.2">
      <c r="A652" t="s">
        <v>1411</v>
      </c>
      <c r="B652" t="s">
        <v>1412</v>
      </c>
      <c r="C652" t="s">
        <v>13</v>
      </c>
      <c r="D652" t="s">
        <v>1381</v>
      </c>
      <c r="E652" t="s">
        <v>1382</v>
      </c>
      <c r="F652" t="s">
        <v>750</v>
      </c>
      <c r="G652" s="1">
        <v>0</v>
      </c>
      <c r="H652" t="s">
        <v>254</v>
      </c>
      <c r="I652" t="s">
        <v>1145</v>
      </c>
      <c r="J652" t="s">
        <v>1383</v>
      </c>
      <c r="K652" t="s">
        <v>24</v>
      </c>
      <c r="L652" s="14">
        <f>IFERROR(VALUE(LEFT(tblMatriculas[[#This Row],[Clases]],FIND("/",tblMatriculas[[#This Row],[Clases]])-1)),"")</f>
        <v>0</v>
      </c>
      <c r="M652" s="14">
        <f>IFERROR(VALUE(MID(tblMatriculas[[#This Row],[Clases]],FIND("/",tblMatriculas[[#This Row],[Clases]])+1,5)),"")</f>
        <v>30</v>
      </c>
      <c r="N6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2" s="14">
        <f>IF(OR(tblMatriculas[[#This Row],[Estado]]&lt;&gt;"activa",tblMatriculas[[#This Row],[Clases dictadas]]=""),"",MAX(0,tblMatriculas[[#This Row],[Clases dictadas]]-tblMatriculas[[#This Row],[Asistidas]]))</f>
        <v>4</v>
      </c>
      <c r="P652" s="1">
        <f>IF(OR(tblMatriculas[[#This Row],[Estado]]&lt;&gt;"activa",tblMatriculas[[#This Row],[Asistidas]]=""),"",tblMatriculas[[#This Row],[Asistencia]])</f>
        <v>0</v>
      </c>
      <c r="Q652" t="b">
        <f>AND(tblMatriculas[[#This Row],[Estado]]="activa",ISNUMBER(tblMatriculas[[#This Row],[% asistencia]]),NOT(ISNUMBER(SEARCH(pPrueba,tblMatriculas[[#This Row],[Nombre]]))))</f>
        <v>1</v>
      </c>
      <c r="R6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52" s="23" t="str" cm="1">
        <f t="array" ref="S6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2" s="23" t="str" cm="1">
        <f t="array" ref="T6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2" s="14" t="str" cm="1">
        <f t="array" ref="U6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2" t="str" cm="1">
        <f t="array" ref="V6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2" t="str" cm="1">
        <f t="array" ref="W6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52" t="str">
        <f>IF(COUNTIFS('Base Estudiantes'!$C:$C,tblMatriculas[[#This Row],[Cédula]],'Base Estudiantes'!$I:$I,tblMatriculas[[#This Row],[Código]])&gt;0,"Sí","No")</f>
        <v>Sí</v>
      </c>
      <c r="Z652" s="23" cm="1">
        <f t="array" ref="Z652">_xlfn.XLOOKUP(tblMatriculas[[#This Row],[Cédula]]&amp;"|"&amp;tblMatriculas[[#This Row],[Código]],tblBase[Documento]&amp;"|"&amp;tblBase[Código grupo],tblBase[Fecha matrícula],"")</f>
        <v>46262</v>
      </c>
    </row>
    <row r="653" spans="1:26" x14ac:dyDescent="0.2">
      <c r="A653" t="s">
        <v>1413</v>
      </c>
      <c r="B653" t="s">
        <v>1414</v>
      </c>
      <c r="C653" t="s">
        <v>13</v>
      </c>
      <c r="D653" t="s">
        <v>1381</v>
      </c>
      <c r="E653" t="s">
        <v>1382</v>
      </c>
      <c r="F653" t="s">
        <v>750</v>
      </c>
      <c r="G653" s="1">
        <v>6.7000000000000004E-2</v>
      </c>
      <c r="H653" t="s">
        <v>166</v>
      </c>
      <c r="I653" t="s">
        <v>1145</v>
      </c>
      <c r="J653" t="s">
        <v>1383</v>
      </c>
      <c r="K653" t="s">
        <v>24</v>
      </c>
      <c r="L653" s="14">
        <f>IFERROR(VALUE(LEFT(tblMatriculas[[#This Row],[Clases]],FIND("/",tblMatriculas[[#This Row],[Clases]])-1)),"")</f>
        <v>2</v>
      </c>
      <c r="M653" s="14">
        <f>IFERROR(VALUE(MID(tblMatriculas[[#This Row],[Clases]],FIND("/",tblMatriculas[[#This Row],[Clases]])+1,5)),"")</f>
        <v>30</v>
      </c>
      <c r="N6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3" s="14">
        <f>IF(OR(tblMatriculas[[#This Row],[Estado]]&lt;&gt;"activa",tblMatriculas[[#This Row],[Clases dictadas]]=""),"",MAX(0,tblMatriculas[[#This Row],[Clases dictadas]]-tblMatriculas[[#This Row],[Asistidas]]))</f>
        <v>2</v>
      </c>
      <c r="P653" s="1">
        <f>IF(OR(tblMatriculas[[#This Row],[Estado]]&lt;&gt;"activa",tblMatriculas[[#This Row],[Asistidas]]=""),"",tblMatriculas[[#This Row],[Asistencia]])</f>
        <v>6.7000000000000004E-2</v>
      </c>
      <c r="Q653" t="b">
        <f>AND(tblMatriculas[[#This Row],[Estado]]="activa",ISNUMBER(tblMatriculas[[#This Row],[% asistencia]]),NOT(ISNUMBER(SEARCH(pPrueba,tblMatriculas[[#This Row],[Nombre]]))))</f>
        <v>1</v>
      </c>
      <c r="R6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53" s="23" t="str" cm="1">
        <f t="array" ref="S6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3" s="23" t="str" cm="1">
        <f t="array" ref="T6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3" s="14" t="str" cm="1">
        <f t="array" ref="U6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3" t="str" cm="1">
        <f t="array" ref="V6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3" t="str" cm="1">
        <f t="array" ref="W6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53" t="str">
        <f>IF(COUNTIFS('Base Estudiantes'!$C:$C,tblMatriculas[[#This Row],[Cédula]],'Base Estudiantes'!$I:$I,tblMatriculas[[#This Row],[Código]])&gt;0,"Sí","No")</f>
        <v>Sí</v>
      </c>
      <c r="Z653" s="23" cm="1">
        <f t="array" ref="Z653">_xlfn.XLOOKUP(tblMatriculas[[#This Row],[Cédula]]&amp;"|"&amp;tblMatriculas[[#This Row],[Código]],tblBase[Documento]&amp;"|"&amp;tblBase[Código grupo],tblBase[Fecha matrícula],"")</f>
        <v>46262</v>
      </c>
    </row>
    <row r="654" spans="1:26" x14ac:dyDescent="0.2">
      <c r="A654" t="s">
        <v>1415</v>
      </c>
      <c r="B654" t="s">
        <v>1416</v>
      </c>
      <c r="C654" t="s">
        <v>13</v>
      </c>
      <c r="D654" t="s">
        <v>1381</v>
      </c>
      <c r="E654" t="s">
        <v>1382</v>
      </c>
      <c r="F654" t="s">
        <v>750</v>
      </c>
      <c r="G654" s="1">
        <v>0.13300000000000001</v>
      </c>
      <c r="H654" t="s">
        <v>112</v>
      </c>
      <c r="I654" t="s">
        <v>1145</v>
      </c>
      <c r="J654" t="s">
        <v>1383</v>
      </c>
      <c r="K654" t="s">
        <v>24</v>
      </c>
      <c r="L654" s="14">
        <f>IFERROR(VALUE(LEFT(tblMatriculas[[#This Row],[Clases]],FIND("/",tblMatriculas[[#This Row],[Clases]])-1)),"")</f>
        <v>4</v>
      </c>
      <c r="M654" s="14">
        <f>IFERROR(VALUE(MID(tblMatriculas[[#This Row],[Clases]],FIND("/",tblMatriculas[[#This Row],[Clases]])+1,5)),"")</f>
        <v>30</v>
      </c>
      <c r="N6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4" s="14">
        <f>IF(OR(tblMatriculas[[#This Row],[Estado]]&lt;&gt;"activa",tblMatriculas[[#This Row],[Clases dictadas]]=""),"",MAX(0,tblMatriculas[[#This Row],[Clases dictadas]]-tblMatriculas[[#This Row],[Asistidas]]))</f>
        <v>0</v>
      </c>
      <c r="P654" s="1">
        <f>IF(OR(tblMatriculas[[#This Row],[Estado]]&lt;&gt;"activa",tblMatriculas[[#This Row],[Asistidas]]=""),"",tblMatriculas[[#This Row],[Asistencia]])</f>
        <v>0.13300000000000001</v>
      </c>
      <c r="Q654" t="b">
        <f>AND(tblMatriculas[[#This Row],[Estado]]="activa",ISNUMBER(tblMatriculas[[#This Row],[% asistencia]]),NOT(ISNUMBER(SEARCH(pPrueba,tblMatriculas[[#This Row],[Nombre]]))))</f>
        <v>1</v>
      </c>
      <c r="R6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54" s="23" t="str" cm="1">
        <f t="array" ref="S6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4" s="23" t="str" cm="1">
        <f t="array" ref="T6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4" s="14" t="str" cm="1">
        <f t="array" ref="U6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4" t="str" cm="1">
        <f t="array" ref="V6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4" t="str" cm="1">
        <f t="array" ref="W6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54" t="str">
        <f>IF(COUNTIFS('Base Estudiantes'!$C:$C,tblMatriculas[[#This Row],[Cédula]],'Base Estudiantes'!$I:$I,tblMatriculas[[#This Row],[Código]])&gt;0,"Sí","No")</f>
        <v>Sí</v>
      </c>
      <c r="Z654" s="23" cm="1">
        <f t="array" ref="Z654">_xlfn.XLOOKUP(tblMatriculas[[#This Row],[Cédula]]&amp;"|"&amp;tblMatriculas[[#This Row],[Código]],tblBase[Documento]&amp;"|"&amp;tblBase[Código grupo],tblBase[Fecha matrícula],"")</f>
        <v>46262</v>
      </c>
    </row>
    <row r="655" spans="1:26" x14ac:dyDescent="0.2">
      <c r="A655" t="s">
        <v>1417</v>
      </c>
      <c r="B655" t="s">
        <v>1418</v>
      </c>
      <c r="C655" t="s">
        <v>13</v>
      </c>
      <c r="D655" t="s">
        <v>1381</v>
      </c>
      <c r="E655" t="s">
        <v>1382</v>
      </c>
      <c r="F655" t="s">
        <v>750</v>
      </c>
      <c r="G655" s="1">
        <v>0.13300000000000001</v>
      </c>
      <c r="H655" t="s">
        <v>112</v>
      </c>
      <c r="I655" t="s">
        <v>1145</v>
      </c>
      <c r="J655" t="s">
        <v>1383</v>
      </c>
      <c r="K655" t="s">
        <v>24</v>
      </c>
      <c r="L655" s="14">
        <f>IFERROR(VALUE(LEFT(tblMatriculas[[#This Row],[Clases]],FIND("/",tblMatriculas[[#This Row],[Clases]])-1)),"")</f>
        <v>4</v>
      </c>
      <c r="M655" s="14">
        <f>IFERROR(VALUE(MID(tblMatriculas[[#This Row],[Clases]],FIND("/",tblMatriculas[[#This Row],[Clases]])+1,5)),"")</f>
        <v>30</v>
      </c>
      <c r="N6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5" s="14">
        <f>IF(OR(tblMatriculas[[#This Row],[Estado]]&lt;&gt;"activa",tblMatriculas[[#This Row],[Clases dictadas]]=""),"",MAX(0,tblMatriculas[[#This Row],[Clases dictadas]]-tblMatriculas[[#This Row],[Asistidas]]))</f>
        <v>0</v>
      </c>
      <c r="P655" s="1">
        <f>IF(OR(tblMatriculas[[#This Row],[Estado]]&lt;&gt;"activa",tblMatriculas[[#This Row],[Asistidas]]=""),"",tblMatriculas[[#This Row],[Asistencia]])</f>
        <v>0.13300000000000001</v>
      </c>
      <c r="Q655" t="b">
        <f>AND(tblMatriculas[[#This Row],[Estado]]="activa",ISNUMBER(tblMatriculas[[#This Row],[% asistencia]]),NOT(ISNUMBER(SEARCH(pPrueba,tblMatriculas[[#This Row],[Nombre]]))))</f>
        <v>1</v>
      </c>
      <c r="R6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55" s="23" t="str" cm="1">
        <f t="array" ref="S6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5" s="23" t="str" cm="1">
        <f t="array" ref="T6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5" s="14" t="str" cm="1">
        <f t="array" ref="U6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5" t="str" cm="1">
        <f t="array" ref="V6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5" t="str" cm="1">
        <f t="array" ref="W6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55" t="str">
        <f>IF(COUNTIFS('Base Estudiantes'!$C:$C,tblMatriculas[[#This Row],[Cédula]],'Base Estudiantes'!$I:$I,tblMatriculas[[#This Row],[Código]])&gt;0,"Sí","No")</f>
        <v>Sí</v>
      </c>
      <c r="Z655" s="23" cm="1">
        <f t="array" ref="Z655">_xlfn.XLOOKUP(tblMatriculas[[#This Row],[Cédula]]&amp;"|"&amp;tblMatriculas[[#This Row],[Código]],tblBase[Documento]&amp;"|"&amp;tblBase[Código grupo],tblBase[Fecha matrícula],"")</f>
        <v>46262</v>
      </c>
    </row>
    <row r="656" spans="1:26" x14ac:dyDescent="0.2">
      <c r="A656" t="s">
        <v>1419</v>
      </c>
      <c r="B656" t="s">
        <v>1420</v>
      </c>
      <c r="C656" t="s">
        <v>13</v>
      </c>
      <c r="D656" t="s">
        <v>1381</v>
      </c>
      <c r="E656" t="s">
        <v>1382</v>
      </c>
      <c r="F656" t="s">
        <v>750</v>
      </c>
      <c r="G656" s="1">
        <v>6.7000000000000004E-2</v>
      </c>
      <c r="H656" t="s">
        <v>166</v>
      </c>
      <c r="I656" t="s">
        <v>1145</v>
      </c>
      <c r="J656" t="s">
        <v>1383</v>
      </c>
      <c r="K656" t="s">
        <v>24</v>
      </c>
      <c r="L656" s="14">
        <f>IFERROR(VALUE(LEFT(tblMatriculas[[#This Row],[Clases]],FIND("/",tblMatriculas[[#This Row],[Clases]])-1)),"")</f>
        <v>2</v>
      </c>
      <c r="M656" s="14">
        <f>IFERROR(VALUE(MID(tblMatriculas[[#This Row],[Clases]],FIND("/",tblMatriculas[[#This Row],[Clases]])+1,5)),"")</f>
        <v>30</v>
      </c>
      <c r="N6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6" s="14">
        <f>IF(OR(tblMatriculas[[#This Row],[Estado]]&lt;&gt;"activa",tblMatriculas[[#This Row],[Clases dictadas]]=""),"",MAX(0,tblMatriculas[[#This Row],[Clases dictadas]]-tblMatriculas[[#This Row],[Asistidas]]))</f>
        <v>2</v>
      </c>
      <c r="P656" s="1">
        <f>IF(OR(tblMatriculas[[#This Row],[Estado]]&lt;&gt;"activa",tblMatriculas[[#This Row],[Asistidas]]=""),"",tblMatriculas[[#This Row],[Asistencia]])</f>
        <v>6.7000000000000004E-2</v>
      </c>
      <c r="Q656" t="b">
        <f>AND(tblMatriculas[[#This Row],[Estado]]="activa",ISNUMBER(tblMatriculas[[#This Row],[% asistencia]]),NOT(ISNUMBER(SEARCH(pPrueba,tblMatriculas[[#This Row],[Nombre]]))))</f>
        <v>1</v>
      </c>
      <c r="R6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56" s="23" t="str" cm="1">
        <f t="array" ref="S6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6" s="23" t="str" cm="1">
        <f t="array" ref="T6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6" s="14" t="str" cm="1">
        <f t="array" ref="U6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6" t="str" cm="1">
        <f t="array" ref="V6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6" t="str" cm="1">
        <f t="array" ref="W6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56" t="str">
        <f>IF(COUNTIFS('Base Estudiantes'!$C:$C,tblMatriculas[[#This Row],[Cédula]],'Base Estudiantes'!$I:$I,tblMatriculas[[#This Row],[Código]])&gt;0,"Sí","No")</f>
        <v>Sí</v>
      </c>
      <c r="Z656" s="23" cm="1">
        <f t="array" ref="Z656">_xlfn.XLOOKUP(tblMatriculas[[#This Row],[Cédula]]&amp;"|"&amp;tblMatriculas[[#This Row],[Código]],tblBase[Documento]&amp;"|"&amp;tblBase[Código grupo],tblBase[Fecha matrícula],"")</f>
        <v>46262</v>
      </c>
    </row>
    <row r="657" spans="1:26" x14ac:dyDescent="0.2">
      <c r="A657" t="s">
        <v>1421</v>
      </c>
      <c r="B657" t="s">
        <v>1422</v>
      </c>
      <c r="C657" t="s">
        <v>13</v>
      </c>
      <c r="D657" t="s">
        <v>1381</v>
      </c>
      <c r="E657" t="s">
        <v>1382</v>
      </c>
      <c r="F657" t="s">
        <v>750</v>
      </c>
      <c r="G657" s="1">
        <v>0.13300000000000001</v>
      </c>
      <c r="H657" t="s">
        <v>112</v>
      </c>
      <c r="I657" t="s">
        <v>1145</v>
      </c>
      <c r="J657" t="s">
        <v>1383</v>
      </c>
      <c r="K657" t="s">
        <v>24</v>
      </c>
      <c r="L657" s="14">
        <f>IFERROR(VALUE(LEFT(tblMatriculas[[#This Row],[Clases]],FIND("/",tblMatriculas[[#This Row],[Clases]])-1)),"")</f>
        <v>4</v>
      </c>
      <c r="M657" s="14">
        <f>IFERROR(VALUE(MID(tblMatriculas[[#This Row],[Clases]],FIND("/",tblMatriculas[[#This Row],[Clases]])+1,5)),"")</f>
        <v>30</v>
      </c>
      <c r="N6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7" s="14">
        <f>IF(OR(tblMatriculas[[#This Row],[Estado]]&lt;&gt;"activa",tblMatriculas[[#This Row],[Clases dictadas]]=""),"",MAX(0,tblMatriculas[[#This Row],[Clases dictadas]]-tblMatriculas[[#This Row],[Asistidas]]))</f>
        <v>0</v>
      </c>
      <c r="P657" s="1">
        <f>IF(OR(tblMatriculas[[#This Row],[Estado]]&lt;&gt;"activa",tblMatriculas[[#This Row],[Asistidas]]=""),"",tblMatriculas[[#This Row],[Asistencia]])</f>
        <v>0.13300000000000001</v>
      </c>
      <c r="Q657" t="b">
        <f>AND(tblMatriculas[[#This Row],[Estado]]="activa",ISNUMBER(tblMatriculas[[#This Row],[% asistencia]]),NOT(ISNUMBER(SEARCH(pPrueba,tblMatriculas[[#This Row],[Nombre]]))))</f>
        <v>1</v>
      </c>
      <c r="R6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57" s="23" t="str" cm="1">
        <f t="array" ref="S6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7" s="23" t="str" cm="1">
        <f t="array" ref="T6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7" s="14" t="str" cm="1">
        <f t="array" ref="U6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7" t="str" cm="1">
        <f t="array" ref="V6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7" t="str" cm="1">
        <f t="array" ref="W6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57" t="str">
        <f>IF(COUNTIFS('Base Estudiantes'!$C:$C,tblMatriculas[[#This Row],[Cédula]],'Base Estudiantes'!$I:$I,tblMatriculas[[#This Row],[Código]])&gt;0,"Sí","No")</f>
        <v>Sí</v>
      </c>
      <c r="Z657" s="23" cm="1">
        <f t="array" ref="Z657">_xlfn.XLOOKUP(tblMatriculas[[#This Row],[Cédula]]&amp;"|"&amp;tblMatriculas[[#This Row],[Código]],tblBase[Documento]&amp;"|"&amp;tblBase[Código grupo],tblBase[Fecha matrícula],"")</f>
        <v>46262</v>
      </c>
    </row>
    <row r="658" spans="1:26" x14ac:dyDescent="0.2">
      <c r="A658" t="s">
        <v>1423</v>
      </c>
      <c r="B658" t="s">
        <v>1424</v>
      </c>
      <c r="C658" t="s">
        <v>13</v>
      </c>
      <c r="D658" t="s">
        <v>1381</v>
      </c>
      <c r="E658" t="s">
        <v>1382</v>
      </c>
      <c r="F658" t="s">
        <v>750</v>
      </c>
      <c r="G658" s="1">
        <v>6.7000000000000004E-2</v>
      </c>
      <c r="H658" t="s">
        <v>166</v>
      </c>
      <c r="I658" t="s">
        <v>1145</v>
      </c>
      <c r="J658" t="s">
        <v>1383</v>
      </c>
      <c r="K658" t="s">
        <v>24</v>
      </c>
      <c r="L658" s="14">
        <f>IFERROR(VALUE(LEFT(tblMatriculas[[#This Row],[Clases]],FIND("/",tblMatriculas[[#This Row],[Clases]])-1)),"")</f>
        <v>2</v>
      </c>
      <c r="M658" s="14">
        <f>IFERROR(VALUE(MID(tblMatriculas[[#This Row],[Clases]],FIND("/",tblMatriculas[[#This Row],[Clases]])+1,5)),"")</f>
        <v>30</v>
      </c>
      <c r="N6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8" s="14">
        <f>IF(OR(tblMatriculas[[#This Row],[Estado]]&lt;&gt;"activa",tblMatriculas[[#This Row],[Clases dictadas]]=""),"",MAX(0,tblMatriculas[[#This Row],[Clases dictadas]]-tblMatriculas[[#This Row],[Asistidas]]))</f>
        <v>2</v>
      </c>
      <c r="P658" s="1">
        <f>IF(OR(tblMatriculas[[#This Row],[Estado]]&lt;&gt;"activa",tblMatriculas[[#This Row],[Asistidas]]=""),"",tblMatriculas[[#This Row],[Asistencia]])</f>
        <v>6.7000000000000004E-2</v>
      </c>
      <c r="Q658" t="b">
        <f>AND(tblMatriculas[[#This Row],[Estado]]="activa",ISNUMBER(tblMatriculas[[#This Row],[% asistencia]]),NOT(ISNUMBER(SEARCH(pPrueba,tblMatriculas[[#This Row],[Nombre]]))))</f>
        <v>1</v>
      </c>
      <c r="R6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58" s="23" t="str" cm="1">
        <f t="array" ref="S6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8" s="23" t="str" cm="1">
        <f t="array" ref="T6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8" s="14" t="str" cm="1">
        <f t="array" ref="U6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8" t="str" cm="1">
        <f t="array" ref="V6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8" t="str" cm="1">
        <f t="array" ref="W6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58" t="str">
        <f>IF(COUNTIFS('Base Estudiantes'!$C:$C,tblMatriculas[[#This Row],[Cédula]],'Base Estudiantes'!$I:$I,tblMatriculas[[#This Row],[Código]])&gt;0,"Sí","No")</f>
        <v>Sí</v>
      </c>
      <c r="Z658" s="23" cm="1">
        <f t="array" ref="Z658">_xlfn.XLOOKUP(tblMatriculas[[#This Row],[Cédula]]&amp;"|"&amp;tblMatriculas[[#This Row],[Código]],tblBase[Documento]&amp;"|"&amp;tblBase[Código grupo],tblBase[Fecha matrícula],"")</f>
        <v>46262</v>
      </c>
    </row>
    <row r="659" spans="1:26" x14ac:dyDescent="0.2">
      <c r="A659" t="s">
        <v>1425</v>
      </c>
      <c r="B659" t="s">
        <v>1426</v>
      </c>
      <c r="C659" t="s">
        <v>13</v>
      </c>
      <c r="D659" t="s">
        <v>1381</v>
      </c>
      <c r="E659" t="s">
        <v>1382</v>
      </c>
      <c r="F659" t="s">
        <v>750</v>
      </c>
      <c r="G659" s="1">
        <v>0.13300000000000001</v>
      </c>
      <c r="H659" t="s">
        <v>112</v>
      </c>
      <c r="I659" t="s">
        <v>1145</v>
      </c>
      <c r="J659" t="s">
        <v>1383</v>
      </c>
      <c r="K659" t="s">
        <v>24</v>
      </c>
      <c r="L659" s="14">
        <f>IFERROR(VALUE(LEFT(tblMatriculas[[#This Row],[Clases]],FIND("/",tblMatriculas[[#This Row],[Clases]])-1)),"")</f>
        <v>4</v>
      </c>
      <c r="M659" s="14">
        <f>IFERROR(VALUE(MID(tblMatriculas[[#This Row],[Clases]],FIND("/",tblMatriculas[[#This Row],[Clases]])+1,5)),"")</f>
        <v>30</v>
      </c>
      <c r="N6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59" s="14">
        <f>IF(OR(tblMatriculas[[#This Row],[Estado]]&lt;&gt;"activa",tblMatriculas[[#This Row],[Clases dictadas]]=""),"",MAX(0,tblMatriculas[[#This Row],[Clases dictadas]]-tblMatriculas[[#This Row],[Asistidas]]))</f>
        <v>0</v>
      </c>
      <c r="P659" s="1">
        <f>IF(OR(tblMatriculas[[#This Row],[Estado]]&lt;&gt;"activa",tblMatriculas[[#This Row],[Asistidas]]=""),"",tblMatriculas[[#This Row],[Asistencia]])</f>
        <v>0.13300000000000001</v>
      </c>
      <c r="Q659" t="b">
        <f>AND(tblMatriculas[[#This Row],[Estado]]="activa",ISNUMBER(tblMatriculas[[#This Row],[% asistencia]]),NOT(ISNUMBER(SEARCH(pPrueba,tblMatriculas[[#This Row],[Nombre]]))))</f>
        <v>1</v>
      </c>
      <c r="R6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59" s="23" t="str" cm="1">
        <f t="array" ref="S6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59" s="23" t="str" cm="1">
        <f t="array" ref="T6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59" s="14" t="str" cm="1">
        <f t="array" ref="U6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59" t="str" cm="1">
        <f t="array" ref="V6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59" t="str" cm="1">
        <f t="array" ref="W6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59" t="str">
        <f>IF(COUNTIFS('Base Estudiantes'!$C:$C,tblMatriculas[[#This Row],[Cédula]],'Base Estudiantes'!$I:$I,tblMatriculas[[#This Row],[Código]])&gt;0,"Sí","No")</f>
        <v>Sí</v>
      </c>
      <c r="Z659" s="23" cm="1">
        <f t="array" ref="Z659">_xlfn.XLOOKUP(tblMatriculas[[#This Row],[Cédula]]&amp;"|"&amp;tblMatriculas[[#This Row],[Código]],tblBase[Documento]&amp;"|"&amp;tblBase[Código grupo],tblBase[Fecha matrícula],"")</f>
        <v>46262</v>
      </c>
    </row>
    <row r="660" spans="1:26" x14ac:dyDescent="0.2">
      <c r="A660" t="s">
        <v>1427</v>
      </c>
      <c r="B660" t="s">
        <v>1428</v>
      </c>
      <c r="C660" t="s">
        <v>13</v>
      </c>
      <c r="D660" t="s">
        <v>1381</v>
      </c>
      <c r="E660" t="s">
        <v>1382</v>
      </c>
      <c r="F660" t="s">
        <v>750</v>
      </c>
      <c r="G660" s="1">
        <v>0.13300000000000001</v>
      </c>
      <c r="H660" t="s">
        <v>112</v>
      </c>
      <c r="I660" t="s">
        <v>1145</v>
      </c>
      <c r="J660" t="s">
        <v>1383</v>
      </c>
      <c r="K660" t="s">
        <v>24</v>
      </c>
      <c r="L660" s="14">
        <f>IFERROR(VALUE(LEFT(tblMatriculas[[#This Row],[Clases]],FIND("/",tblMatriculas[[#This Row],[Clases]])-1)),"")</f>
        <v>4</v>
      </c>
      <c r="M660" s="14">
        <f>IFERROR(VALUE(MID(tblMatriculas[[#This Row],[Clases]],FIND("/",tblMatriculas[[#This Row],[Clases]])+1,5)),"")</f>
        <v>30</v>
      </c>
      <c r="N6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0" s="14">
        <f>IF(OR(tblMatriculas[[#This Row],[Estado]]&lt;&gt;"activa",tblMatriculas[[#This Row],[Clases dictadas]]=""),"",MAX(0,tblMatriculas[[#This Row],[Clases dictadas]]-tblMatriculas[[#This Row],[Asistidas]]))</f>
        <v>0</v>
      </c>
      <c r="P660" s="1">
        <f>IF(OR(tblMatriculas[[#This Row],[Estado]]&lt;&gt;"activa",tblMatriculas[[#This Row],[Asistidas]]=""),"",tblMatriculas[[#This Row],[Asistencia]])</f>
        <v>0.13300000000000001</v>
      </c>
      <c r="Q660" t="b">
        <f>AND(tblMatriculas[[#This Row],[Estado]]="activa",ISNUMBER(tblMatriculas[[#This Row],[% asistencia]]),NOT(ISNUMBER(SEARCH(pPrueba,tblMatriculas[[#This Row],[Nombre]]))))</f>
        <v>1</v>
      </c>
      <c r="R6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0" s="23" t="str" cm="1">
        <f t="array" ref="S6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0" s="23" t="str" cm="1">
        <f t="array" ref="T6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0" s="14" t="str" cm="1">
        <f t="array" ref="U6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0" t="str" cm="1">
        <f t="array" ref="V6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0" t="str" cm="1">
        <f t="array" ref="W6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0" t="str">
        <f>IF(COUNTIFS('Base Estudiantes'!$C:$C,tblMatriculas[[#This Row],[Cédula]],'Base Estudiantes'!$I:$I,tblMatriculas[[#This Row],[Código]])&gt;0,"Sí","No")</f>
        <v>Sí</v>
      </c>
      <c r="Z660" s="23" cm="1">
        <f t="array" ref="Z660">_xlfn.XLOOKUP(tblMatriculas[[#This Row],[Cédula]]&amp;"|"&amp;tblMatriculas[[#This Row],[Código]],tblBase[Documento]&amp;"|"&amp;tblBase[Código grupo],tblBase[Fecha matrícula],"")</f>
        <v>46262</v>
      </c>
    </row>
    <row r="661" spans="1:26" x14ac:dyDescent="0.2">
      <c r="A661" t="s">
        <v>1429</v>
      </c>
      <c r="B661" t="s">
        <v>1430</v>
      </c>
      <c r="C661" t="s">
        <v>13</v>
      </c>
      <c r="D661" t="s">
        <v>1381</v>
      </c>
      <c r="E661" t="s">
        <v>1382</v>
      </c>
      <c r="F661" t="s">
        <v>750</v>
      </c>
      <c r="G661" s="1">
        <v>0</v>
      </c>
      <c r="H661" t="s">
        <v>254</v>
      </c>
      <c r="I661" t="s">
        <v>1145</v>
      </c>
      <c r="J661" t="s">
        <v>1383</v>
      </c>
      <c r="K661" t="s">
        <v>24</v>
      </c>
      <c r="L661" s="14">
        <f>IFERROR(VALUE(LEFT(tblMatriculas[[#This Row],[Clases]],FIND("/",tblMatriculas[[#This Row],[Clases]])-1)),"")</f>
        <v>0</v>
      </c>
      <c r="M661" s="14">
        <f>IFERROR(VALUE(MID(tblMatriculas[[#This Row],[Clases]],FIND("/",tblMatriculas[[#This Row],[Clases]])+1,5)),"")</f>
        <v>30</v>
      </c>
      <c r="N6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1" s="14">
        <f>IF(OR(tblMatriculas[[#This Row],[Estado]]&lt;&gt;"activa",tblMatriculas[[#This Row],[Clases dictadas]]=""),"",MAX(0,tblMatriculas[[#This Row],[Clases dictadas]]-tblMatriculas[[#This Row],[Asistidas]]))</f>
        <v>4</v>
      </c>
      <c r="P661" s="1">
        <f>IF(OR(tblMatriculas[[#This Row],[Estado]]&lt;&gt;"activa",tblMatriculas[[#This Row],[Asistidas]]=""),"",tblMatriculas[[#This Row],[Asistencia]])</f>
        <v>0</v>
      </c>
      <c r="Q661" t="b">
        <f>AND(tblMatriculas[[#This Row],[Estado]]="activa",ISNUMBER(tblMatriculas[[#This Row],[% asistencia]]),NOT(ISNUMBER(SEARCH(pPrueba,tblMatriculas[[#This Row],[Nombre]]))))</f>
        <v>1</v>
      </c>
      <c r="R6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61" s="23" t="str" cm="1">
        <f t="array" ref="S6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1" s="23" t="str" cm="1">
        <f t="array" ref="T6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1" s="14" t="str" cm="1">
        <f t="array" ref="U6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1" t="str" cm="1">
        <f t="array" ref="V6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1" t="str" cm="1">
        <f t="array" ref="W6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61" t="str">
        <f>IF(COUNTIFS('Base Estudiantes'!$C:$C,tblMatriculas[[#This Row],[Cédula]],'Base Estudiantes'!$I:$I,tblMatriculas[[#This Row],[Código]])&gt;0,"Sí","No")</f>
        <v>Sí</v>
      </c>
      <c r="Z661" s="23" cm="1">
        <f t="array" ref="Z661">_xlfn.XLOOKUP(tblMatriculas[[#This Row],[Cédula]]&amp;"|"&amp;tblMatriculas[[#This Row],[Código]],tblBase[Documento]&amp;"|"&amp;tblBase[Código grupo],tblBase[Fecha matrícula],"")</f>
        <v>46262</v>
      </c>
    </row>
    <row r="662" spans="1:26" x14ac:dyDescent="0.2">
      <c r="A662" t="s">
        <v>1431</v>
      </c>
      <c r="B662" t="s">
        <v>1432</v>
      </c>
      <c r="C662" t="s">
        <v>13</v>
      </c>
      <c r="D662" t="s">
        <v>1381</v>
      </c>
      <c r="E662" t="s">
        <v>1382</v>
      </c>
      <c r="F662" t="s">
        <v>750</v>
      </c>
      <c r="G662" s="1">
        <v>0.13300000000000001</v>
      </c>
      <c r="H662" t="s">
        <v>112</v>
      </c>
      <c r="I662" t="s">
        <v>1145</v>
      </c>
      <c r="J662" t="s">
        <v>1383</v>
      </c>
      <c r="K662" t="s">
        <v>24</v>
      </c>
      <c r="L662" s="14">
        <f>IFERROR(VALUE(LEFT(tblMatriculas[[#This Row],[Clases]],FIND("/",tblMatriculas[[#This Row],[Clases]])-1)),"")</f>
        <v>4</v>
      </c>
      <c r="M662" s="14">
        <f>IFERROR(VALUE(MID(tblMatriculas[[#This Row],[Clases]],FIND("/",tblMatriculas[[#This Row],[Clases]])+1,5)),"")</f>
        <v>30</v>
      </c>
      <c r="N6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2" s="14">
        <f>IF(OR(tblMatriculas[[#This Row],[Estado]]&lt;&gt;"activa",tblMatriculas[[#This Row],[Clases dictadas]]=""),"",MAX(0,tblMatriculas[[#This Row],[Clases dictadas]]-tblMatriculas[[#This Row],[Asistidas]]))</f>
        <v>0</v>
      </c>
      <c r="P662" s="1">
        <f>IF(OR(tblMatriculas[[#This Row],[Estado]]&lt;&gt;"activa",tblMatriculas[[#This Row],[Asistidas]]=""),"",tblMatriculas[[#This Row],[Asistencia]])</f>
        <v>0.13300000000000001</v>
      </c>
      <c r="Q662" t="b">
        <f>AND(tblMatriculas[[#This Row],[Estado]]="activa",ISNUMBER(tblMatriculas[[#This Row],[% asistencia]]),NOT(ISNUMBER(SEARCH(pPrueba,tblMatriculas[[#This Row],[Nombre]]))))</f>
        <v>1</v>
      </c>
      <c r="R6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2" s="23" t="str" cm="1">
        <f t="array" ref="S6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2" s="23" t="str" cm="1">
        <f t="array" ref="T6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2" s="14" t="str" cm="1">
        <f t="array" ref="U6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2" t="str" cm="1">
        <f t="array" ref="V6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2" t="str" cm="1">
        <f t="array" ref="W6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2" t="str">
        <f>IF(COUNTIFS('Base Estudiantes'!$C:$C,tblMatriculas[[#This Row],[Cédula]],'Base Estudiantes'!$I:$I,tblMatriculas[[#This Row],[Código]])&gt;0,"Sí","No")</f>
        <v>Sí</v>
      </c>
      <c r="Z662" s="23" cm="1">
        <f t="array" ref="Z662">_xlfn.XLOOKUP(tblMatriculas[[#This Row],[Cédula]]&amp;"|"&amp;tblMatriculas[[#This Row],[Código]],tblBase[Documento]&amp;"|"&amp;tblBase[Código grupo],tblBase[Fecha matrícula],"")</f>
        <v>46262</v>
      </c>
    </row>
    <row r="663" spans="1:26" x14ac:dyDescent="0.2">
      <c r="A663" t="s">
        <v>1433</v>
      </c>
      <c r="B663" t="s">
        <v>1434</v>
      </c>
      <c r="C663" t="s">
        <v>13</v>
      </c>
      <c r="D663" t="s">
        <v>1381</v>
      </c>
      <c r="E663" t="s">
        <v>1382</v>
      </c>
      <c r="F663" t="s">
        <v>750</v>
      </c>
      <c r="G663" s="1">
        <v>0.13300000000000001</v>
      </c>
      <c r="H663" t="s">
        <v>112</v>
      </c>
      <c r="I663" t="s">
        <v>1145</v>
      </c>
      <c r="J663" t="s">
        <v>1383</v>
      </c>
      <c r="K663" t="s">
        <v>24</v>
      </c>
      <c r="L663" s="14">
        <f>IFERROR(VALUE(LEFT(tblMatriculas[[#This Row],[Clases]],FIND("/",tblMatriculas[[#This Row],[Clases]])-1)),"")</f>
        <v>4</v>
      </c>
      <c r="M663" s="14">
        <f>IFERROR(VALUE(MID(tblMatriculas[[#This Row],[Clases]],FIND("/",tblMatriculas[[#This Row],[Clases]])+1,5)),"")</f>
        <v>30</v>
      </c>
      <c r="N6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3" s="14">
        <f>IF(OR(tblMatriculas[[#This Row],[Estado]]&lt;&gt;"activa",tblMatriculas[[#This Row],[Clases dictadas]]=""),"",MAX(0,tblMatriculas[[#This Row],[Clases dictadas]]-tblMatriculas[[#This Row],[Asistidas]]))</f>
        <v>0</v>
      </c>
      <c r="P663" s="1">
        <f>IF(OR(tblMatriculas[[#This Row],[Estado]]&lt;&gt;"activa",tblMatriculas[[#This Row],[Asistidas]]=""),"",tblMatriculas[[#This Row],[Asistencia]])</f>
        <v>0.13300000000000001</v>
      </c>
      <c r="Q663" t="b">
        <f>AND(tblMatriculas[[#This Row],[Estado]]="activa",ISNUMBER(tblMatriculas[[#This Row],[% asistencia]]),NOT(ISNUMBER(SEARCH(pPrueba,tblMatriculas[[#This Row],[Nombre]]))))</f>
        <v>1</v>
      </c>
      <c r="R6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3" s="23" t="str" cm="1">
        <f t="array" ref="S6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3" s="23" t="str" cm="1">
        <f t="array" ref="T6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3" s="14" t="str" cm="1">
        <f t="array" ref="U6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3" t="str" cm="1">
        <f t="array" ref="V6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3" t="str" cm="1">
        <f t="array" ref="W6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3" t="str">
        <f>IF(COUNTIFS('Base Estudiantes'!$C:$C,tblMatriculas[[#This Row],[Cédula]],'Base Estudiantes'!$I:$I,tblMatriculas[[#This Row],[Código]])&gt;0,"Sí","No")</f>
        <v>Sí</v>
      </c>
      <c r="Z663" s="23" cm="1">
        <f t="array" ref="Z663">_xlfn.XLOOKUP(tblMatriculas[[#This Row],[Cédula]]&amp;"|"&amp;tblMatriculas[[#This Row],[Código]],tblBase[Documento]&amp;"|"&amp;tblBase[Código grupo],tblBase[Fecha matrícula],"")</f>
        <v>46262</v>
      </c>
    </row>
    <row r="664" spans="1:26" x14ac:dyDescent="0.2">
      <c r="A664" t="s">
        <v>1435</v>
      </c>
      <c r="B664" t="s">
        <v>1436</v>
      </c>
      <c r="C664" t="s">
        <v>13</v>
      </c>
      <c r="D664" t="s">
        <v>1381</v>
      </c>
      <c r="E664" t="s">
        <v>1382</v>
      </c>
      <c r="F664" t="s">
        <v>750</v>
      </c>
      <c r="G664" s="1">
        <v>0.13300000000000001</v>
      </c>
      <c r="H664" t="s">
        <v>112</v>
      </c>
      <c r="I664" t="s">
        <v>1145</v>
      </c>
      <c r="J664" t="s">
        <v>1383</v>
      </c>
      <c r="K664" t="s">
        <v>24</v>
      </c>
      <c r="L664" s="14">
        <f>IFERROR(VALUE(LEFT(tblMatriculas[[#This Row],[Clases]],FIND("/",tblMatriculas[[#This Row],[Clases]])-1)),"")</f>
        <v>4</v>
      </c>
      <c r="M664" s="14">
        <f>IFERROR(VALUE(MID(tblMatriculas[[#This Row],[Clases]],FIND("/",tblMatriculas[[#This Row],[Clases]])+1,5)),"")</f>
        <v>30</v>
      </c>
      <c r="N6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4" s="14">
        <f>IF(OR(tblMatriculas[[#This Row],[Estado]]&lt;&gt;"activa",tblMatriculas[[#This Row],[Clases dictadas]]=""),"",MAX(0,tblMatriculas[[#This Row],[Clases dictadas]]-tblMatriculas[[#This Row],[Asistidas]]))</f>
        <v>0</v>
      </c>
      <c r="P664" s="1">
        <f>IF(OR(tblMatriculas[[#This Row],[Estado]]&lt;&gt;"activa",tblMatriculas[[#This Row],[Asistidas]]=""),"",tblMatriculas[[#This Row],[Asistencia]])</f>
        <v>0.13300000000000001</v>
      </c>
      <c r="Q664" t="b">
        <f>AND(tblMatriculas[[#This Row],[Estado]]="activa",ISNUMBER(tblMatriculas[[#This Row],[% asistencia]]),NOT(ISNUMBER(SEARCH(pPrueba,tblMatriculas[[#This Row],[Nombre]]))))</f>
        <v>1</v>
      </c>
      <c r="R6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4" s="23" t="str" cm="1">
        <f t="array" ref="S6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4" s="23" t="str" cm="1">
        <f t="array" ref="T6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4" s="14" t="str" cm="1">
        <f t="array" ref="U6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4" t="str" cm="1">
        <f t="array" ref="V6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4" t="str" cm="1">
        <f t="array" ref="W6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4" t="str">
        <f>IF(COUNTIFS('Base Estudiantes'!$C:$C,tblMatriculas[[#This Row],[Cédula]],'Base Estudiantes'!$I:$I,tblMatriculas[[#This Row],[Código]])&gt;0,"Sí","No")</f>
        <v>Sí</v>
      </c>
      <c r="Z664" s="23" cm="1">
        <f t="array" ref="Z664">_xlfn.XLOOKUP(tblMatriculas[[#This Row],[Cédula]]&amp;"|"&amp;tblMatriculas[[#This Row],[Código]],tblBase[Documento]&amp;"|"&amp;tblBase[Código grupo],tblBase[Fecha matrícula],"")</f>
        <v>46262</v>
      </c>
    </row>
    <row r="665" spans="1:26" x14ac:dyDescent="0.2">
      <c r="A665" t="s">
        <v>1437</v>
      </c>
      <c r="B665" t="s">
        <v>1438</v>
      </c>
      <c r="C665" t="s">
        <v>13</v>
      </c>
      <c r="D665" t="s">
        <v>1381</v>
      </c>
      <c r="E665" t="s">
        <v>1382</v>
      </c>
      <c r="F665" t="s">
        <v>750</v>
      </c>
      <c r="G665" s="1">
        <v>0</v>
      </c>
      <c r="H665" t="s">
        <v>254</v>
      </c>
      <c r="I665" t="s">
        <v>1145</v>
      </c>
      <c r="J665" t="s">
        <v>1383</v>
      </c>
      <c r="K665" t="s">
        <v>24</v>
      </c>
      <c r="L665" s="14">
        <f>IFERROR(VALUE(LEFT(tblMatriculas[[#This Row],[Clases]],FIND("/",tblMatriculas[[#This Row],[Clases]])-1)),"")</f>
        <v>0</v>
      </c>
      <c r="M665" s="14">
        <f>IFERROR(VALUE(MID(tblMatriculas[[#This Row],[Clases]],FIND("/",tblMatriculas[[#This Row],[Clases]])+1,5)),"")</f>
        <v>30</v>
      </c>
      <c r="N6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5" s="14">
        <f>IF(OR(tblMatriculas[[#This Row],[Estado]]&lt;&gt;"activa",tblMatriculas[[#This Row],[Clases dictadas]]=""),"",MAX(0,tblMatriculas[[#This Row],[Clases dictadas]]-tblMatriculas[[#This Row],[Asistidas]]))</f>
        <v>4</v>
      </c>
      <c r="P665" s="1">
        <f>IF(OR(tblMatriculas[[#This Row],[Estado]]&lt;&gt;"activa",tblMatriculas[[#This Row],[Asistidas]]=""),"",tblMatriculas[[#This Row],[Asistencia]])</f>
        <v>0</v>
      </c>
      <c r="Q665" t="b">
        <f>AND(tblMatriculas[[#This Row],[Estado]]="activa",ISNUMBER(tblMatriculas[[#This Row],[% asistencia]]),NOT(ISNUMBER(SEARCH(pPrueba,tblMatriculas[[#This Row],[Nombre]]))))</f>
        <v>1</v>
      </c>
      <c r="R6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65" s="23" t="str" cm="1">
        <f t="array" ref="S6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5" s="23" t="str" cm="1">
        <f t="array" ref="T6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5" s="14" t="str" cm="1">
        <f t="array" ref="U6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5" t="str" cm="1">
        <f t="array" ref="V6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5" t="str" cm="1">
        <f t="array" ref="W6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65" t="str">
        <f>IF(COUNTIFS('Base Estudiantes'!$C:$C,tblMatriculas[[#This Row],[Cédula]],'Base Estudiantes'!$I:$I,tblMatriculas[[#This Row],[Código]])&gt;0,"Sí","No")</f>
        <v>Sí</v>
      </c>
      <c r="Z665" s="23" cm="1">
        <f t="array" ref="Z665">_xlfn.XLOOKUP(tblMatriculas[[#This Row],[Cédula]]&amp;"|"&amp;tblMatriculas[[#This Row],[Código]],tblBase[Documento]&amp;"|"&amp;tblBase[Código grupo],tblBase[Fecha matrícula],"")</f>
        <v>46262</v>
      </c>
    </row>
    <row r="666" spans="1:26" x14ac:dyDescent="0.2">
      <c r="A666" t="s">
        <v>1439</v>
      </c>
      <c r="B666" t="s">
        <v>1440</v>
      </c>
      <c r="C666" t="s">
        <v>49</v>
      </c>
      <c r="D666" t="s">
        <v>1381</v>
      </c>
      <c r="E666" t="s">
        <v>1382</v>
      </c>
      <c r="F666" t="s">
        <v>750</v>
      </c>
      <c r="G666" s="1">
        <v>0</v>
      </c>
      <c r="H666" t="s">
        <v>254</v>
      </c>
      <c r="I666" t="s">
        <v>1145</v>
      </c>
      <c r="J666" t="s">
        <v>1383</v>
      </c>
      <c r="K666" t="s">
        <v>24</v>
      </c>
      <c r="L666" s="14">
        <f>IFERROR(VALUE(LEFT(tblMatriculas[[#This Row],[Clases]],FIND("/",tblMatriculas[[#This Row],[Clases]])-1)),"")</f>
        <v>0</v>
      </c>
      <c r="M666" s="14">
        <f>IFERROR(VALUE(MID(tblMatriculas[[#This Row],[Clases]],FIND("/",tblMatriculas[[#This Row],[Clases]])+1,5)),"")</f>
        <v>30</v>
      </c>
      <c r="N6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6" s="14" t="str">
        <f>IF(OR(tblMatriculas[[#This Row],[Estado]]&lt;&gt;"activa",tblMatriculas[[#This Row],[Clases dictadas]]=""),"",MAX(0,tblMatriculas[[#This Row],[Clases dictadas]]-tblMatriculas[[#This Row],[Asistidas]]))</f>
        <v/>
      </c>
      <c r="P666" s="1" t="str">
        <f>IF(OR(tblMatriculas[[#This Row],[Estado]]&lt;&gt;"activa",tblMatriculas[[#This Row],[Asistidas]]=""),"",tblMatriculas[[#This Row],[Asistencia]])</f>
        <v/>
      </c>
      <c r="Q666" t="b">
        <f>AND(tblMatriculas[[#This Row],[Estado]]="activa",ISNUMBER(tblMatriculas[[#This Row],[% asistencia]]),NOT(ISNUMBER(SEARCH(pPrueba,tblMatriculas[[#This Row],[Nombre]]))))</f>
        <v>0</v>
      </c>
      <c r="R6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666" s="23" t="str" cm="1">
        <f t="array" ref="S6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6" s="23" t="str" cm="1">
        <f t="array" ref="T6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6" s="14" t="str" cm="1">
        <f t="array" ref="U6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6" t="str" cm="1">
        <f t="array" ref="V6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6" t="str" cm="1">
        <f t="array" ref="W6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6" t="str">
        <f>IF(COUNTIFS('Base Estudiantes'!$C:$C,tblMatriculas[[#This Row],[Cédula]],'Base Estudiantes'!$I:$I,tblMatriculas[[#This Row],[Código]])&gt;0,"Sí","No")</f>
        <v>No</v>
      </c>
      <c r="Z666" s="23" t="str" cm="1">
        <f t="array" ref="Z666">_xlfn.XLOOKUP(tblMatriculas[[#This Row],[Cédula]]&amp;"|"&amp;tblMatriculas[[#This Row],[Código]],tblBase[Documento]&amp;"|"&amp;tblBase[Código grupo],tblBase[Fecha matrícula],"")</f>
        <v/>
      </c>
    </row>
    <row r="667" spans="1:26" x14ac:dyDescent="0.2">
      <c r="A667" t="s">
        <v>1441</v>
      </c>
      <c r="B667" t="s">
        <v>1442</v>
      </c>
      <c r="C667" t="s">
        <v>13</v>
      </c>
      <c r="D667" t="s">
        <v>1381</v>
      </c>
      <c r="E667" t="s">
        <v>1382</v>
      </c>
      <c r="F667" t="s">
        <v>750</v>
      </c>
      <c r="G667" s="1">
        <v>0</v>
      </c>
      <c r="H667" t="s">
        <v>254</v>
      </c>
      <c r="I667" t="s">
        <v>1145</v>
      </c>
      <c r="J667" t="s">
        <v>1383</v>
      </c>
      <c r="K667" t="s">
        <v>24</v>
      </c>
      <c r="L667" s="14">
        <f>IFERROR(VALUE(LEFT(tblMatriculas[[#This Row],[Clases]],FIND("/",tblMatriculas[[#This Row],[Clases]])-1)),"")</f>
        <v>0</v>
      </c>
      <c r="M667" s="14">
        <f>IFERROR(VALUE(MID(tblMatriculas[[#This Row],[Clases]],FIND("/",tblMatriculas[[#This Row],[Clases]])+1,5)),"")</f>
        <v>30</v>
      </c>
      <c r="N6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7" s="14">
        <f>IF(OR(tblMatriculas[[#This Row],[Estado]]&lt;&gt;"activa",tblMatriculas[[#This Row],[Clases dictadas]]=""),"",MAX(0,tblMatriculas[[#This Row],[Clases dictadas]]-tblMatriculas[[#This Row],[Asistidas]]))</f>
        <v>4</v>
      </c>
      <c r="P667" s="1">
        <f>IF(OR(tblMatriculas[[#This Row],[Estado]]&lt;&gt;"activa",tblMatriculas[[#This Row],[Asistidas]]=""),"",tblMatriculas[[#This Row],[Asistencia]])</f>
        <v>0</v>
      </c>
      <c r="Q667" t="b">
        <f>AND(tblMatriculas[[#This Row],[Estado]]="activa",ISNUMBER(tblMatriculas[[#This Row],[% asistencia]]),NOT(ISNUMBER(SEARCH(pPrueba,tblMatriculas[[#This Row],[Nombre]]))))</f>
        <v>1</v>
      </c>
      <c r="R6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67" s="23" t="str" cm="1">
        <f t="array" ref="S6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7" s="23" t="str" cm="1">
        <f t="array" ref="T6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7" s="14" t="str" cm="1">
        <f t="array" ref="U6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7" t="str" cm="1">
        <f t="array" ref="V6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7" t="str" cm="1">
        <f t="array" ref="W6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67" t="str">
        <f>IF(COUNTIFS('Base Estudiantes'!$C:$C,tblMatriculas[[#This Row],[Cédula]],'Base Estudiantes'!$I:$I,tblMatriculas[[#This Row],[Código]])&gt;0,"Sí","No")</f>
        <v>Sí</v>
      </c>
      <c r="Z667" s="23" cm="1">
        <f t="array" ref="Z667">_xlfn.XLOOKUP(tblMatriculas[[#This Row],[Cédula]]&amp;"|"&amp;tblMatriculas[[#This Row],[Código]],tblBase[Documento]&amp;"|"&amp;tblBase[Código grupo],tblBase[Fecha matrícula],"")</f>
        <v>46262</v>
      </c>
    </row>
    <row r="668" spans="1:26" x14ac:dyDescent="0.2">
      <c r="A668" t="s">
        <v>1443</v>
      </c>
      <c r="B668" t="s">
        <v>1444</v>
      </c>
      <c r="C668" t="s">
        <v>13</v>
      </c>
      <c r="D668" t="s">
        <v>1381</v>
      </c>
      <c r="E668" t="s">
        <v>1382</v>
      </c>
      <c r="F668" t="s">
        <v>750</v>
      </c>
      <c r="G668" s="1">
        <v>0.13300000000000001</v>
      </c>
      <c r="H668" t="s">
        <v>112</v>
      </c>
      <c r="I668" t="s">
        <v>1145</v>
      </c>
      <c r="J668" t="s">
        <v>1383</v>
      </c>
      <c r="K668" t="s">
        <v>24</v>
      </c>
      <c r="L668" s="14">
        <f>IFERROR(VALUE(LEFT(tblMatriculas[[#This Row],[Clases]],FIND("/",tblMatriculas[[#This Row],[Clases]])-1)),"")</f>
        <v>4</v>
      </c>
      <c r="M668" s="14">
        <f>IFERROR(VALUE(MID(tblMatriculas[[#This Row],[Clases]],FIND("/",tblMatriculas[[#This Row],[Clases]])+1,5)),"")</f>
        <v>30</v>
      </c>
      <c r="N6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8" s="14">
        <f>IF(OR(tblMatriculas[[#This Row],[Estado]]&lt;&gt;"activa",tblMatriculas[[#This Row],[Clases dictadas]]=""),"",MAX(0,tblMatriculas[[#This Row],[Clases dictadas]]-tblMatriculas[[#This Row],[Asistidas]]))</f>
        <v>0</v>
      </c>
      <c r="P668" s="1">
        <f>IF(OR(tblMatriculas[[#This Row],[Estado]]&lt;&gt;"activa",tblMatriculas[[#This Row],[Asistidas]]=""),"",tblMatriculas[[#This Row],[Asistencia]])</f>
        <v>0.13300000000000001</v>
      </c>
      <c r="Q668" t="b">
        <f>AND(tblMatriculas[[#This Row],[Estado]]="activa",ISNUMBER(tblMatriculas[[#This Row],[% asistencia]]),NOT(ISNUMBER(SEARCH(pPrueba,tblMatriculas[[#This Row],[Nombre]]))))</f>
        <v>1</v>
      </c>
      <c r="R6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8" s="23" t="str" cm="1">
        <f t="array" ref="S6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8" s="23" t="str" cm="1">
        <f t="array" ref="T6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8" s="14" t="str" cm="1">
        <f t="array" ref="U6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8" t="str" cm="1">
        <f t="array" ref="V6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8" t="str" cm="1">
        <f t="array" ref="W6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8" t="str">
        <f>IF(COUNTIFS('Base Estudiantes'!$C:$C,tblMatriculas[[#This Row],[Cédula]],'Base Estudiantes'!$I:$I,tblMatriculas[[#This Row],[Código]])&gt;0,"Sí","No")</f>
        <v>Sí</v>
      </c>
      <c r="Z668" s="23" cm="1">
        <f t="array" ref="Z668">_xlfn.XLOOKUP(tblMatriculas[[#This Row],[Cédula]]&amp;"|"&amp;tblMatriculas[[#This Row],[Código]],tblBase[Documento]&amp;"|"&amp;tblBase[Código grupo],tblBase[Fecha matrícula],"")</f>
        <v>46262</v>
      </c>
    </row>
    <row r="669" spans="1:26" x14ac:dyDescent="0.2">
      <c r="A669" t="s">
        <v>1445</v>
      </c>
      <c r="B669" t="s">
        <v>1446</v>
      </c>
      <c r="C669" t="s">
        <v>13</v>
      </c>
      <c r="D669" t="s">
        <v>1381</v>
      </c>
      <c r="E669" t="s">
        <v>1382</v>
      </c>
      <c r="F669" t="s">
        <v>750</v>
      </c>
      <c r="G669" s="1">
        <v>0.13300000000000001</v>
      </c>
      <c r="H669" t="s">
        <v>112</v>
      </c>
      <c r="I669" t="s">
        <v>1145</v>
      </c>
      <c r="J669" t="s">
        <v>1383</v>
      </c>
      <c r="K669" t="s">
        <v>24</v>
      </c>
      <c r="L669" s="14">
        <f>IFERROR(VALUE(LEFT(tblMatriculas[[#This Row],[Clases]],FIND("/",tblMatriculas[[#This Row],[Clases]])-1)),"")</f>
        <v>4</v>
      </c>
      <c r="M669" s="14">
        <f>IFERROR(VALUE(MID(tblMatriculas[[#This Row],[Clases]],FIND("/",tblMatriculas[[#This Row],[Clases]])+1,5)),"")</f>
        <v>30</v>
      </c>
      <c r="N6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69" s="14">
        <f>IF(OR(tblMatriculas[[#This Row],[Estado]]&lt;&gt;"activa",tblMatriculas[[#This Row],[Clases dictadas]]=""),"",MAX(0,tblMatriculas[[#This Row],[Clases dictadas]]-tblMatriculas[[#This Row],[Asistidas]]))</f>
        <v>0</v>
      </c>
      <c r="P669" s="1">
        <f>IF(OR(tblMatriculas[[#This Row],[Estado]]&lt;&gt;"activa",tblMatriculas[[#This Row],[Asistidas]]=""),"",tblMatriculas[[#This Row],[Asistencia]])</f>
        <v>0.13300000000000001</v>
      </c>
      <c r="Q669" t="b">
        <f>AND(tblMatriculas[[#This Row],[Estado]]="activa",ISNUMBER(tblMatriculas[[#This Row],[% asistencia]]),NOT(ISNUMBER(SEARCH(pPrueba,tblMatriculas[[#This Row],[Nombre]]))))</f>
        <v>1</v>
      </c>
      <c r="R6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69" s="23" t="str" cm="1">
        <f t="array" ref="S6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69" s="23" t="str" cm="1">
        <f t="array" ref="T6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69" s="14" t="str" cm="1">
        <f t="array" ref="U6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69" t="str" cm="1">
        <f t="array" ref="V6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69" t="str" cm="1">
        <f t="array" ref="W6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69" t="str">
        <f>IF(COUNTIFS('Base Estudiantes'!$C:$C,tblMatriculas[[#This Row],[Cédula]],'Base Estudiantes'!$I:$I,tblMatriculas[[#This Row],[Código]])&gt;0,"Sí","No")</f>
        <v>Sí</v>
      </c>
      <c r="Z669" s="23" cm="1">
        <f t="array" ref="Z669">_xlfn.XLOOKUP(tblMatriculas[[#This Row],[Cédula]]&amp;"|"&amp;tblMatriculas[[#This Row],[Código]],tblBase[Documento]&amp;"|"&amp;tblBase[Código grupo],tblBase[Fecha matrícula],"")</f>
        <v>46262</v>
      </c>
    </row>
    <row r="670" spans="1:26" x14ac:dyDescent="0.2">
      <c r="A670" t="s">
        <v>1447</v>
      </c>
      <c r="B670" t="s">
        <v>1448</v>
      </c>
      <c r="C670" t="s">
        <v>13</v>
      </c>
      <c r="D670" t="s">
        <v>1381</v>
      </c>
      <c r="E670" t="s">
        <v>1382</v>
      </c>
      <c r="F670" t="s">
        <v>750</v>
      </c>
      <c r="G670" s="1">
        <v>0</v>
      </c>
      <c r="H670" t="s">
        <v>254</v>
      </c>
      <c r="I670" t="s">
        <v>1145</v>
      </c>
      <c r="J670" t="s">
        <v>1383</v>
      </c>
      <c r="K670" t="s">
        <v>1371</v>
      </c>
      <c r="L670" s="14">
        <f>IFERROR(VALUE(LEFT(tblMatriculas[[#This Row],[Clases]],FIND("/",tblMatriculas[[#This Row],[Clases]])-1)),"")</f>
        <v>0</v>
      </c>
      <c r="M670" s="14">
        <f>IFERROR(VALUE(MID(tblMatriculas[[#This Row],[Clases]],FIND("/",tblMatriculas[[#This Row],[Clases]])+1,5)),"")</f>
        <v>30</v>
      </c>
      <c r="N6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670" s="14">
        <f>IF(OR(tblMatriculas[[#This Row],[Estado]]&lt;&gt;"activa",tblMatriculas[[#This Row],[Clases dictadas]]=""),"",MAX(0,tblMatriculas[[#This Row],[Clases dictadas]]-tblMatriculas[[#This Row],[Asistidas]]))</f>
        <v>4</v>
      </c>
      <c r="P670" s="1">
        <f>IF(OR(tblMatriculas[[#This Row],[Estado]]&lt;&gt;"activa",tblMatriculas[[#This Row],[Asistidas]]=""),"",tblMatriculas[[#This Row],[Asistencia]])</f>
        <v>0</v>
      </c>
      <c r="Q670" t="b">
        <f>AND(tblMatriculas[[#This Row],[Estado]]="activa",ISNUMBER(tblMatriculas[[#This Row],[% asistencia]]),NOT(ISNUMBER(SEARCH(pPrueba,tblMatriculas[[#This Row],[Nombre]]))))</f>
        <v>1</v>
      </c>
      <c r="R6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70" s="23" t="str" cm="1">
        <f t="array" ref="S6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0" s="23" t="str" cm="1">
        <f t="array" ref="T6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0" s="14" t="str" cm="1">
        <f t="array" ref="U6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0" t="str" cm="1">
        <f t="array" ref="V6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0" t="str" cm="1">
        <f t="array" ref="W6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70" t="str">
        <f>IF(COUNTIFS('Base Estudiantes'!$C:$C,tblMatriculas[[#This Row],[Cédula]],'Base Estudiantes'!$I:$I,tblMatriculas[[#This Row],[Código]])&gt;0,"Sí","No")</f>
        <v>Sí</v>
      </c>
      <c r="Z670" s="23" cm="1">
        <f t="array" ref="Z670">_xlfn.XLOOKUP(tblMatriculas[[#This Row],[Cédula]]&amp;"|"&amp;tblMatriculas[[#This Row],[Código]],tblBase[Documento]&amp;"|"&amp;tblBase[Código grupo],tblBase[Fecha matrícula],"")</f>
        <v>46262</v>
      </c>
    </row>
    <row r="671" spans="1:26" x14ac:dyDescent="0.2">
      <c r="A671" t="s">
        <v>1449</v>
      </c>
      <c r="B671" t="s">
        <v>1450</v>
      </c>
      <c r="C671" t="s">
        <v>13</v>
      </c>
      <c r="D671" t="s">
        <v>1451</v>
      </c>
      <c r="E671" t="s">
        <v>1452</v>
      </c>
      <c r="F671" t="s">
        <v>1453</v>
      </c>
      <c r="G671" s="1">
        <v>0.2</v>
      </c>
      <c r="H671" t="s">
        <v>232</v>
      </c>
      <c r="I671" t="s">
        <v>1145</v>
      </c>
      <c r="J671" t="s">
        <v>1219</v>
      </c>
      <c r="K671" t="s">
        <v>24</v>
      </c>
      <c r="L671" s="14">
        <f>IFERROR(VALUE(LEFT(tblMatriculas[[#This Row],[Clases]],FIND("/",tblMatriculas[[#This Row],[Clases]])-1)),"")</f>
        <v>6</v>
      </c>
      <c r="M671" s="14">
        <f>IFERROR(VALUE(MID(tblMatriculas[[#This Row],[Clases]],FIND("/",tblMatriculas[[#This Row],[Clases]])+1,5)),"")</f>
        <v>30</v>
      </c>
      <c r="N6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1" s="14">
        <f>IF(OR(tblMatriculas[[#This Row],[Estado]]&lt;&gt;"activa",tblMatriculas[[#This Row],[Clases dictadas]]=""),"",MAX(0,tblMatriculas[[#This Row],[Clases dictadas]]-tblMatriculas[[#This Row],[Asistidas]]))</f>
        <v>0</v>
      </c>
      <c r="P671" s="1">
        <f>IF(OR(tblMatriculas[[#This Row],[Estado]]&lt;&gt;"activa",tblMatriculas[[#This Row],[Asistidas]]=""),"",tblMatriculas[[#This Row],[Asistencia]])</f>
        <v>0.2</v>
      </c>
      <c r="Q671" t="b">
        <f>AND(tblMatriculas[[#This Row],[Estado]]="activa",ISNUMBER(tblMatriculas[[#This Row],[% asistencia]]),NOT(ISNUMBER(SEARCH(pPrueba,tblMatriculas[[#This Row],[Nombre]]))))</f>
        <v>1</v>
      </c>
      <c r="R6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1" s="23" t="str" cm="1">
        <f t="array" ref="S6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1" s="23" t="str" cm="1">
        <f t="array" ref="T6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1" s="14" t="str" cm="1">
        <f t="array" ref="U6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1" t="str" cm="1">
        <f t="array" ref="V6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1" t="str" cm="1">
        <f t="array" ref="W6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1" t="str">
        <f>IF(COUNTIFS('Base Estudiantes'!$C:$C,tblMatriculas[[#This Row],[Cédula]],'Base Estudiantes'!$I:$I,tblMatriculas[[#This Row],[Código]])&gt;0,"Sí","No")</f>
        <v>Sí</v>
      </c>
      <c r="Z671" s="23" cm="1">
        <f t="array" ref="Z671">_xlfn.XLOOKUP(tblMatriculas[[#This Row],[Cédula]]&amp;"|"&amp;tblMatriculas[[#This Row],[Código]],tblBase[Documento]&amp;"|"&amp;tblBase[Código grupo],tblBase[Fecha matrícula],"")</f>
        <v>46262</v>
      </c>
    </row>
    <row r="672" spans="1:26" x14ac:dyDescent="0.2">
      <c r="A672" t="s">
        <v>1454</v>
      </c>
      <c r="B672" t="s">
        <v>1455</v>
      </c>
      <c r="C672" t="s">
        <v>13</v>
      </c>
      <c r="D672" t="s">
        <v>1451</v>
      </c>
      <c r="E672" t="s">
        <v>1452</v>
      </c>
      <c r="F672" t="s">
        <v>1453</v>
      </c>
      <c r="G672" s="1">
        <v>3.3000000000000002E-2</v>
      </c>
      <c r="H672" t="s">
        <v>225</v>
      </c>
      <c r="I672" t="s">
        <v>1145</v>
      </c>
      <c r="J672" t="s">
        <v>1219</v>
      </c>
      <c r="K672" t="s">
        <v>24</v>
      </c>
      <c r="L672" s="14">
        <f>IFERROR(VALUE(LEFT(tblMatriculas[[#This Row],[Clases]],FIND("/",tblMatriculas[[#This Row],[Clases]])-1)),"")</f>
        <v>1</v>
      </c>
      <c r="M672" s="14">
        <f>IFERROR(VALUE(MID(tblMatriculas[[#This Row],[Clases]],FIND("/",tblMatriculas[[#This Row],[Clases]])+1,5)),"")</f>
        <v>30</v>
      </c>
      <c r="N6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2" s="14">
        <f>IF(OR(tblMatriculas[[#This Row],[Estado]]&lt;&gt;"activa",tblMatriculas[[#This Row],[Clases dictadas]]=""),"",MAX(0,tblMatriculas[[#This Row],[Clases dictadas]]-tblMatriculas[[#This Row],[Asistidas]]))</f>
        <v>5</v>
      </c>
      <c r="P672" s="1">
        <f>IF(OR(tblMatriculas[[#This Row],[Estado]]&lt;&gt;"activa",tblMatriculas[[#This Row],[Asistidas]]=""),"",tblMatriculas[[#This Row],[Asistencia]])</f>
        <v>3.3000000000000002E-2</v>
      </c>
      <c r="Q672" t="b">
        <f>AND(tblMatriculas[[#This Row],[Estado]]="activa",ISNUMBER(tblMatriculas[[#This Row],[% asistencia]]),NOT(ISNUMBER(SEARCH(pPrueba,tblMatriculas[[#This Row],[Nombre]]))))</f>
        <v>1</v>
      </c>
      <c r="R6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672" s="23" t="str" cm="1">
        <f t="array" ref="S6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2" s="23" t="str" cm="1">
        <f t="array" ref="T6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2" s="14" t="str" cm="1">
        <f t="array" ref="U6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2" t="str" cm="1">
        <f t="array" ref="V6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2" t="str" cm="1">
        <f t="array" ref="W6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6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672" t="str">
        <f>IF(COUNTIFS('Base Estudiantes'!$C:$C,tblMatriculas[[#This Row],[Cédula]],'Base Estudiantes'!$I:$I,tblMatriculas[[#This Row],[Código]])&gt;0,"Sí","No")</f>
        <v>Sí</v>
      </c>
      <c r="Z672" s="23" cm="1">
        <f t="array" ref="Z672">_xlfn.XLOOKUP(tblMatriculas[[#This Row],[Cédula]]&amp;"|"&amp;tblMatriculas[[#This Row],[Código]],tblBase[Documento]&amp;"|"&amp;tblBase[Código grupo],tblBase[Fecha matrícula],"")</f>
        <v>46262</v>
      </c>
    </row>
    <row r="673" spans="1:26" x14ac:dyDescent="0.2">
      <c r="A673" t="s">
        <v>1456</v>
      </c>
      <c r="B673" t="s">
        <v>1457</v>
      </c>
      <c r="C673" t="s">
        <v>13</v>
      </c>
      <c r="D673" t="s">
        <v>1451</v>
      </c>
      <c r="E673" t="s">
        <v>1452</v>
      </c>
      <c r="F673" t="s">
        <v>1453</v>
      </c>
      <c r="G673" s="1">
        <v>0.16699999999999998</v>
      </c>
      <c r="H673" t="s">
        <v>229</v>
      </c>
      <c r="I673" t="s">
        <v>1145</v>
      </c>
      <c r="J673" t="s">
        <v>1219</v>
      </c>
      <c r="K673" t="s">
        <v>24</v>
      </c>
      <c r="L673" s="14">
        <f>IFERROR(VALUE(LEFT(tblMatriculas[[#This Row],[Clases]],FIND("/",tblMatriculas[[#This Row],[Clases]])-1)),"")</f>
        <v>5</v>
      </c>
      <c r="M673" s="14">
        <f>IFERROR(VALUE(MID(tblMatriculas[[#This Row],[Clases]],FIND("/",tblMatriculas[[#This Row],[Clases]])+1,5)),"")</f>
        <v>30</v>
      </c>
      <c r="N6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3" s="14">
        <f>IF(OR(tblMatriculas[[#This Row],[Estado]]&lt;&gt;"activa",tblMatriculas[[#This Row],[Clases dictadas]]=""),"",MAX(0,tblMatriculas[[#This Row],[Clases dictadas]]-tblMatriculas[[#This Row],[Asistidas]]))</f>
        <v>1</v>
      </c>
      <c r="P673" s="1">
        <f>IF(OR(tblMatriculas[[#This Row],[Estado]]&lt;&gt;"activa",tblMatriculas[[#This Row],[Asistidas]]=""),"",tblMatriculas[[#This Row],[Asistencia]])</f>
        <v>0.16699999999999998</v>
      </c>
      <c r="Q673" t="b">
        <f>AND(tblMatriculas[[#This Row],[Estado]]="activa",ISNUMBER(tblMatriculas[[#This Row],[% asistencia]]),NOT(ISNUMBER(SEARCH(pPrueba,tblMatriculas[[#This Row],[Nombre]]))))</f>
        <v>1</v>
      </c>
      <c r="R6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3" s="23" t="str" cm="1">
        <f t="array" ref="S6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3" s="23" t="str" cm="1">
        <f t="array" ref="T6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3" s="14" t="str" cm="1">
        <f t="array" ref="U6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3" t="str" cm="1">
        <f t="array" ref="V6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3" t="str" cm="1">
        <f t="array" ref="W6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3" t="str">
        <f>IF(COUNTIFS('Base Estudiantes'!$C:$C,tblMatriculas[[#This Row],[Cédula]],'Base Estudiantes'!$I:$I,tblMatriculas[[#This Row],[Código]])&gt;0,"Sí","No")</f>
        <v>Sí</v>
      </c>
      <c r="Z673" s="23" cm="1">
        <f t="array" ref="Z673">_xlfn.XLOOKUP(tblMatriculas[[#This Row],[Cédula]]&amp;"|"&amp;tblMatriculas[[#This Row],[Código]],tblBase[Documento]&amp;"|"&amp;tblBase[Código grupo],tblBase[Fecha matrícula],"")</f>
        <v>46262</v>
      </c>
    </row>
    <row r="674" spans="1:26" x14ac:dyDescent="0.2">
      <c r="A674" t="s">
        <v>1458</v>
      </c>
      <c r="B674" t="s">
        <v>1459</v>
      </c>
      <c r="C674" t="s">
        <v>13</v>
      </c>
      <c r="D674" t="s">
        <v>1451</v>
      </c>
      <c r="E674" t="s">
        <v>1452</v>
      </c>
      <c r="F674" t="s">
        <v>1453</v>
      </c>
      <c r="G674" s="1">
        <v>0.2</v>
      </c>
      <c r="H674" t="s">
        <v>232</v>
      </c>
      <c r="I674" t="s">
        <v>1145</v>
      </c>
      <c r="J674" t="s">
        <v>1219</v>
      </c>
      <c r="K674" t="s">
        <v>24</v>
      </c>
      <c r="L674" s="14">
        <f>IFERROR(VALUE(LEFT(tblMatriculas[[#This Row],[Clases]],FIND("/",tblMatriculas[[#This Row],[Clases]])-1)),"")</f>
        <v>6</v>
      </c>
      <c r="M674" s="14">
        <f>IFERROR(VALUE(MID(tblMatriculas[[#This Row],[Clases]],FIND("/",tblMatriculas[[#This Row],[Clases]])+1,5)),"")</f>
        <v>30</v>
      </c>
      <c r="N6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4" s="14">
        <f>IF(OR(tblMatriculas[[#This Row],[Estado]]&lt;&gt;"activa",tblMatriculas[[#This Row],[Clases dictadas]]=""),"",MAX(0,tblMatriculas[[#This Row],[Clases dictadas]]-tblMatriculas[[#This Row],[Asistidas]]))</f>
        <v>0</v>
      </c>
      <c r="P674" s="1">
        <f>IF(OR(tblMatriculas[[#This Row],[Estado]]&lt;&gt;"activa",tblMatriculas[[#This Row],[Asistidas]]=""),"",tblMatriculas[[#This Row],[Asistencia]])</f>
        <v>0.2</v>
      </c>
      <c r="Q674" t="b">
        <f>AND(tblMatriculas[[#This Row],[Estado]]="activa",ISNUMBER(tblMatriculas[[#This Row],[% asistencia]]),NOT(ISNUMBER(SEARCH(pPrueba,tblMatriculas[[#This Row],[Nombre]]))))</f>
        <v>1</v>
      </c>
      <c r="R6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4" s="23" t="str" cm="1">
        <f t="array" ref="S6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4" s="23" t="str" cm="1">
        <f t="array" ref="T6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4" s="14" t="str" cm="1">
        <f t="array" ref="U6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4" t="str" cm="1">
        <f t="array" ref="V6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4" t="str" cm="1">
        <f t="array" ref="W6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4" t="str">
        <f>IF(COUNTIFS('Base Estudiantes'!$C:$C,tblMatriculas[[#This Row],[Cédula]],'Base Estudiantes'!$I:$I,tblMatriculas[[#This Row],[Código]])&gt;0,"Sí","No")</f>
        <v>Sí</v>
      </c>
      <c r="Z674" s="23" cm="1">
        <f t="array" ref="Z674">_xlfn.XLOOKUP(tblMatriculas[[#This Row],[Cédula]]&amp;"|"&amp;tblMatriculas[[#This Row],[Código]],tblBase[Documento]&amp;"|"&amp;tblBase[Código grupo],tblBase[Fecha matrícula],"")</f>
        <v>46262</v>
      </c>
    </row>
    <row r="675" spans="1:26" x14ac:dyDescent="0.2">
      <c r="A675" t="s">
        <v>1460</v>
      </c>
      <c r="B675" t="s">
        <v>1461</v>
      </c>
      <c r="C675" t="s">
        <v>13</v>
      </c>
      <c r="D675" t="s">
        <v>1451</v>
      </c>
      <c r="E675" t="s">
        <v>1452</v>
      </c>
      <c r="F675" t="s">
        <v>1453</v>
      </c>
      <c r="G675" s="1">
        <v>0.2</v>
      </c>
      <c r="H675" t="s">
        <v>232</v>
      </c>
      <c r="I675" t="s">
        <v>1145</v>
      </c>
      <c r="J675" t="s">
        <v>1219</v>
      </c>
      <c r="K675" t="s">
        <v>24</v>
      </c>
      <c r="L675" s="14">
        <f>IFERROR(VALUE(LEFT(tblMatriculas[[#This Row],[Clases]],FIND("/",tblMatriculas[[#This Row],[Clases]])-1)),"")</f>
        <v>6</v>
      </c>
      <c r="M675" s="14">
        <f>IFERROR(VALUE(MID(tblMatriculas[[#This Row],[Clases]],FIND("/",tblMatriculas[[#This Row],[Clases]])+1,5)),"")</f>
        <v>30</v>
      </c>
      <c r="N6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5" s="14">
        <f>IF(OR(tblMatriculas[[#This Row],[Estado]]&lt;&gt;"activa",tblMatriculas[[#This Row],[Clases dictadas]]=""),"",MAX(0,tblMatriculas[[#This Row],[Clases dictadas]]-tblMatriculas[[#This Row],[Asistidas]]))</f>
        <v>0</v>
      </c>
      <c r="P675" s="1">
        <f>IF(OR(tblMatriculas[[#This Row],[Estado]]&lt;&gt;"activa",tblMatriculas[[#This Row],[Asistidas]]=""),"",tblMatriculas[[#This Row],[Asistencia]])</f>
        <v>0.2</v>
      </c>
      <c r="Q675" t="b">
        <f>AND(tblMatriculas[[#This Row],[Estado]]="activa",ISNUMBER(tblMatriculas[[#This Row],[% asistencia]]),NOT(ISNUMBER(SEARCH(pPrueba,tblMatriculas[[#This Row],[Nombre]]))))</f>
        <v>1</v>
      </c>
      <c r="R6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5" s="23" t="str" cm="1">
        <f t="array" ref="S6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5" s="23" t="str" cm="1">
        <f t="array" ref="T6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5" s="14" t="str" cm="1">
        <f t="array" ref="U6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5" t="str" cm="1">
        <f t="array" ref="V6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5" t="str" cm="1">
        <f t="array" ref="W6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5" t="str">
        <f>IF(COUNTIFS('Base Estudiantes'!$C:$C,tblMatriculas[[#This Row],[Cédula]],'Base Estudiantes'!$I:$I,tblMatriculas[[#This Row],[Código]])&gt;0,"Sí","No")</f>
        <v>Sí</v>
      </c>
      <c r="Z675" s="23" cm="1">
        <f t="array" ref="Z675">_xlfn.XLOOKUP(tblMatriculas[[#This Row],[Cédula]]&amp;"|"&amp;tblMatriculas[[#This Row],[Código]],tblBase[Documento]&amp;"|"&amp;tblBase[Código grupo],tblBase[Fecha matrícula],"")</f>
        <v>46262</v>
      </c>
    </row>
    <row r="676" spans="1:26" x14ac:dyDescent="0.2">
      <c r="A676" t="s">
        <v>1462</v>
      </c>
      <c r="B676" t="s">
        <v>1463</v>
      </c>
      <c r="C676" t="s">
        <v>13</v>
      </c>
      <c r="D676" t="s">
        <v>1451</v>
      </c>
      <c r="E676" t="s">
        <v>1452</v>
      </c>
      <c r="F676" t="s">
        <v>1453</v>
      </c>
      <c r="G676" s="1">
        <v>0.16699999999999998</v>
      </c>
      <c r="H676" t="s">
        <v>229</v>
      </c>
      <c r="I676" t="s">
        <v>1145</v>
      </c>
      <c r="J676" t="s">
        <v>1219</v>
      </c>
      <c r="K676" t="s">
        <v>24</v>
      </c>
      <c r="L676" s="14">
        <f>IFERROR(VALUE(LEFT(tblMatriculas[[#This Row],[Clases]],FIND("/",tblMatriculas[[#This Row],[Clases]])-1)),"")</f>
        <v>5</v>
      </c>
      <c r="M676" s="14">
        <f>IFERROR(VALUE(MID(tblMatriculas[[#This Row],[Clases]],FIND("/",tblMatriculas[[#This Row],[Clases]])+1,5)),"")</f>
        <v>30</v>
      </c>
      <c r="N6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6" s="14">
        <f>IF(OR(tblMatriculas[[#This Row],[Estado]]&lt;&gt;"activa",tblMatriculas[[#This Row],[Clases dictadas]]=""),"",MAX(0,tblMatriculas[[#This Row],[Clases dictadas]]-tblMatriculas[[#This Row],[Asistidas]]))</f>
        <v>1</v>
      </c>
      <c r="P676" s="1">
        <f>IF(OR(tblMatriculas[[#This Row],[Estado]]&lt;&gt;"activa",tblMatriculas[[#This Row],[Asistidas]]=""),"",tblMatriculas[[#This Row],[Asistencia]])</f>
        <v>0.16699999999999998</v>
      </c>
      <c r="Q676" t="b">
        <f>AND(tblMatriculas[[#This Row],[Estado]]="activa",ISNUMBER(tblMatriculas[[#This Row],[% asistencia]]),NOT(ISNUMBER(SEARCH(pPrueba,tblMatriculas[[#This Row],[Nombre]]))))</f>
        <v>1</v>
      </c>
      <c r="R6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6" s="23" t="str" cm="1">
        <f t="array" ref="S6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6" s="23" t="str" cm="1">
        <f t="array" ref="T6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6" s="14" t="str" cm="1">
        <f t="array" ref="U6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6" t="str" cm="1">
        <f t="array" ref="V6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6" t="str" cm="1">
        <f t="array" ref="W6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6" t="str">
        <f>IF(COUNTIFS('Base Estudiantes'!$C:$C,tblMatriculas[[#This Row],[Cédula]],'Base Estudiantes'!$I:$I,tblMatriculas[[#This Row],[Código]])&gt;0,"Sí","No")</f>
        <v>Sí</v>
      </c>
      <c r="Z676" s="23" cm="1">
        <f t="array" ref="Z676">_xlfn.XLOOKUP(tblMatriculas[[#This Row],[Cédula]]&amp;"|"&amp;tblMatriculas[[#This Row],[Código]],tblBase[Documento]&amp;"|"&amp;tblBase[Código grupo],tblBase[Fecha matrícula],"")</f>
        <v>46262</v>
      </c>
    </row>
    <row r="677" spans="1:26" x14ac:dyDescent="0.2">
      <c r="A677" t="s">
        <v>1464</v>
      </c>
      <c r="B677" t="s">
        <v>1465</v>
      </c>
      <c r="C677" t="s">
        <v>13</v>
      </c>
      <c r="D677" t="s">
        <v>1451</v>
      </c>
      <c r="E677" t="s">
        <v>1452</v>
      </c>
      <c r="F677" t="s">
        <v>1453</v>
      </c>
      <c r="G677" s="1">
        <v>3.3000000000000002E-2</v>
      </c>
      <c r="H677" t="s">
        <v>225</v>
      </c>
      <c r="I677" t="s">
        <v>1145</v>
      </c>
      <c r="J677" t="s">
        <v>1219</v>
      </c>
      <c r="K677" t="s">
        <v>24</v>
      </c>
      <c r="L677" s="14">
        <f>IFERROR(VALUE(LEFT(tblMatriculas[[#This Row],[Clases]],FIND("/",tblMatriculas[[#This Row],[Clases]])-1)),"")</f>
        <v>1</v>
      </c>
      <c r="M677" s="14">
        <f>IFERROR(VALUE(MID(tblMatriculas[[#This Row],[Clases]],FIND("/",tblMatriculas[[#This Row],[Clases]])+1,5)),"")</f>
        <v>30</v>
      </c>
      <c r="N6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7" s="14">
        <f>IF(OR(tblMatriculas[[#This Row],[Estado]]&lt;&gt;"activa",tblMatriculas[[#This Row],[Clases dictadas]]=""),"",MAX(0,tblMatriculas[[#This Row],[Clases dictadas]]-tblMatriculas[[#This Row],[Asistidas]]))</f>
        <v>5</v>
      </c>
      <c r="P677" s="1">
        <f>IF(OR(tblMatriculas[[#This Row],[Estado]]&lt;&gt;"activa",tblMatriculas[[#This Row],[Asistidas]]=""),"",tblMatriculas[[#This Row],[Asistencia]])</f>
        <v>3.3000000000000002E-2</v>
      </c>
      <c r="Q677" t="b">
        <f>AND(tblMatriculas[[#This Row],[Estado]]="activa",ISNUMBER(tblMatriculas[[#This Row],[% asistencia]]),NOT(ISNUMBER(SEARCH(pPrueba,tblMatriculas[[#This Row],[Nombre]]))))</f>
        <v>1</v>
      </c>
      <c r="R6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677" s="23" t="str" cm="1">
        <f t="array" ref="S6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7" s="23" t="str" cm="1">
        <f t="array" ref="T6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7" s="14" t="str" cm="1">
        <f t="array" ref="U6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7" t="str" cm="1">
        <f t="array" ref="V6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7" t="str" cm="1">
        <f t="array" ref="W6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6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677" t="str">
        <f>IF(COUNTIFS('Base Estudiantes'!$C:$C,tblMatriculas[[#This Row],[Cédula]],'Base Estudiantes'!$I:$I,tblMatriculas[[#This Row],[Código]])&gt;0,"Sí","No")</f>
        <v>Sí</v>
      </c>
      <c r="Z677" s="23" cm="1">
        <f t="array" ref="Z677">_xlfn.XLOOKUP(tblMatriculas[[#This Row],[Cédula]]&amp;"|"&amp;tblMatriculas[[#This Row],[Código]],tblBase[Documento]&amp;"|"&amp;tblBase[Código grupo],tblBase[Fecha matrícula],"")</f>
        <v>46262</v>
      </c>
    </row>
    <row r="678" spans="1:26" x14ac:dyDescent="0.2">
      <c r="A678" t="s">
        <v>1466</v>
      </c>
      <c r="B678" t="s">
        <v>1467</v>
      </c>
      <c r="C678" t="s">
        <v>13</v>
      </c>
      <c r="D678" t="s">
        <v>1451</v>
      </c>
      <c r="E678" t="s">
        <v>1452</v>
      </c>
      <c r="F678" t="s">
        <v>1453</v>
      </c>
      <c r="G678" s="1">
        <v>0.2</v>
      </c>
      <c r="H678" t="s">
        <v>232</v>
      </c>
      <c r="I678" t="s">
        <v>1145</v>
      </c>
      <c r="J678" t="s">
        <v>1219</v>
      </c>
      <c r="K678" t="s">
        <v>24</v>
      </c>
      <c r="L678" s="14">
        <f>IFERROR(VALUE(LEFT(tblMatriculas[[#This Row],[Clases]],FIND("/",tblMatriculas[[#This Row],[Clases]])-1)),"")</f>
        <v>6</v>
      </c>
      <c r="M678" s="14">
        <f>IFERROR(VALUE(MID(tblMatriculas[[#This Row],[Clases]],FIND("/",tblMatriculas[[#This Row],[Clases]])+1,5)),"")</f>
        <v>30</v>
      </c>
      <c r="N6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8" s="14">
        <f>IF(OR(tblMatriculas[[#This Row],[Estado]]&lt;&gt;"activa",tblMatriculas[[#This Row],[Clases dictadas]]=""),"",MAX(0,tblMatriculas[[#This Row],[Clases dictadas]]-tblMatriculas[[#This Row],[Asistidas]]))</f>
        <v>0</v>
      </c>
      <c r="P678" s="1">
        <f>IF(OR(tblMatriculas[[#This Row],[Estado]]&lt;&gt;"activa",tblMatriculas[[#This Row],[Asistidas]]=""),"",tblMatriculas[[#This Row],[Asistencia]])</f>
        <v>0.2</v>
      </c>
      <c r="Q678" t="b">
        <f>AND(tblMatriculas[[#This Row],[Estado]]="activa",ISNUMBER(tblMatriculas[[#This Row],[% asistencia]]),NOT(ISNUMBER(SEARCH(pPrueba,tblMatriculas[[#This Row],[Nombre]]))))</f>
        <v>1</v>
      </c>
      <c r="R6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8" s="23" t="str" cm="1">
        <f t="array" ref="S6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8" s="23" t="str" cm="1">
        <f t="array" ref="T6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8" s="14" t="str" cm="1">
        <f t="array" ref="U6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8" t="str" cm="1">
        <f t="array" ref="V6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8" t="str" cm="1">
        <f t="array" ref="W6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8" t="str">
        <f>IF(COUNTIFS('Base Estudiantes'!$C:$C,tblMatriculas[[#This Row],[Cédula]],'Base Estudiantes'!$I:$I,tblMatriculas[[#This Row],[Código]])&gt;0,"Sí","No")</f>
        <v>Sí</v>
      </c>
      <c r="Z678" s="23" cm="1">
        <f t="array" ref="Z678">_xlfn.XLOOKUP(tblMatriculas[[#This Row],[Cédula]]&amp;"|"&amp;tblMatriculas[[#This Row],[Código]],tblBase[Documento]&amp;"|"&amp;tblBase[Código grupo],tblBase[Fecha matrícula],"")</f>
        <v>46262</v>
      </c>
    </row>
    <row r="679" spans="1:26" x14ac:dyDescent="0.2">
      <c r="A679" t="s">
        <v>1468</v>
      </c>
      <c r="B679" t="s">
        <v>1469</v>
      </c>
      <c r="C679" t="s">
        <v>13</v>
      </c>
      <c r="D679" t="s">
        <v>1451</v>
      </c>
      <c r="E679" t="s">
        <v>1452</v>
      </c>
      <c r="F679" t="s">
        <v>1453</v>
      </c>
      <c r="G679" s="1">
        <v>0.1</v>
      </c>
      <c r="H679" t="s">
        <v>117</v>
      </c>
      <c r="I679" t="s">
        <v>1145</v>
      </c>
      <c r="J679" t="s">
        <v>1219</v>
      </c>
      <c r="K679" t="s">
        <v>24</v>
      </c>
      <c r="L679" s="14">
        <f>IFERROR(VALUE(LEFT(tblMatriculas[[#This Row],[Clases]],FIND("/",tblMatriculas[[#This Row],[Clases]])-1)),"")</f>
        <v>3</v>
      </c>
      <c r="M679" s="14">
        <f>IFERROR(VALUE(MID(tblMatriculas[[#This Row],[Clases]],FIND("/",tblMatriculas[[#This Row],[Clases]])+1,5)),"")</f>
        <v>30</v>
      </c>
      <c r="N6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79" s="14">
        <f>IF(OR(tblMatriculas[[#This Row],[Estado]]&lt;&gt;"activa",tblMatriculas[[#This Row],[Clases dictadas]]=""),"",MAX(0,tblMatriculas[[#This Row],[Clases dictadas]]-tblMatriculas[[#This Row],[Asistidas]]))</f>
        <v>3</v>
      </c>
      <c r="P679" s="1">
        <f>IF(OR(tblMatriculas[[#This Row],[Estado]]&lt;&gt;"activa",tblMatriculas[[#This Row],[Asistidas]]=""),"",tblMatriculas[[#This Row],[Asistencia]])</f>
        <v>0.1</v>
      </c>
      <c r="Q679" t="b">
        <f>AND(tblMatriculas[[#This Row],[Estado]]="activa",ISNUMBER(tblMatriculas[[#This Row],[% asistencia]]),NOT(ISNUMBER(SEARCH(pPrueba,tblMatriculas[[#This Row],[Nombre]]))))</f>
        <v>1</v>
      </c>
      <c r="R6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79" s="23" t="str" cm="1">
        <f t="array" ref="S6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79" s="23" t="str" cm="1">
        <f t="array" ref="T6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79" s="14" t="str" cm="1">
        <f t="array" ref="U6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79" t="str" cm="1">
        <f t="array" ref="V6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79" t="str" cm="1">
        <f t="array" ref="W6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79" t="str">
        <f>IF(COUNTIFS('Base Estudiantes'!$C:$C,tblMatriculas[[#This Row],[Cédula]],'Base Estudiantes'!$I:$I,tblMatriculas[[#This Row],[Código]])&gt;0,"Sí","No")</f>
        <v>Sí</v>
      </c>
      <c r="Z679" s="23" cm="1">
        <f t="array" ref="Z679">_xlfn.XLOOKUP(tblMatriculas[[#This Row],[Cédula]]&amp;"|"&amp;tblMatriculas[[#This Row],[Código]],tblBase[Documento]&amp;"|"&amp;tblBase[Código grupo],tblBase[Fecha matrícula],"")</f>
        <v>46262</v>
      </c>
    </row>
    <row r="680" spans="1:26" x14ac:dyDescent="0.2">
      <c r="A680" t="s">
        <v>1470</v>
      </c>
      <c r="B680" t="s">
        <v>1471</v>
      </c>
      <c r="C680" t="s">
        <v>13</v>
      </c>
      <c r="D680" t="s">
        <v>1451</v>
      </c>
      <c r="E680" t="s">
        <v>1452</v>
      </c>
      <c r="F680" t="s">
        <v>1453</v>
      </c>
      <c r="G680" s="1">
        <v>0.2</v>
      </c>
      <c r="H680" t="s">
        <v>232</v>
      </c>
      <c r="I680" t="s">
        <v>1145</v>
      </c>
      <c r="J680" t="s">
        <v>1219</v>
      </c>
      <c r="K680" t="s">
        <v>24</v>
      </c>
      <c r="L680" s="14">
        <f>IFERROR(VALUE(LEFT(tblMatriculas[[#This Row],[Clases]],FIND("/",tblMatriculas[[#This Row],[Clases]])-1)),"")</f>
        <v>6</v>
      </c>
      <c r="M680" s="14">
        <f>IFERROR(VALUE(MID(tblMatriculas[[#This Row],[Clases]],FIND("/",tblMatriculas[[#This Row],[Clases]])+1,5)),"")</f>
        <v>30</v>
      </c>
      <c r="N6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0" s="14">
        <f>IF(OR(tblMatriculas[[#This Row],[Estado]]&lt;&gt;"activa",tblMatriculas[[#This Row],[Clases dictadas]]=""),"",MAX(0,tblMatriculas[[#This Row],[Clases dictadas]]-tblMatriculas[[#This Row],[Asistidas]]))</f>
        <v>0</v>
      </c>
      <c r="P680" s="1">
        <f>IF(OR(tblMatriculas[[#This Row],[Estado]]&lt;&gt;"activa",tblMatriculas[[#This Row],[Asistidas]]=""),"",tblMatriculas[[#This Row],[Asistencia]])</f>
        <v>0.2</v>
      </c>
      <c r="Q680" t="b">
        <f>AND(tblMatriculas[[#This Row],[Estado]]="activa",ISNUMBER(tblMatriculas[[#This Row],[% asistencia]]),NOT(ISNUMBER(SEARCH(pPrueba,tblMatriculas[[#This Row],[Nombre]]))))</f>
        <v>1</v>
      </c>
      <c r="R6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0" s="23" t="str" cm="1">
        <f t="array" ref="S6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0" s="23" t="str" cm="1">
        <f t="array" ref="T6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0" s="14" t="str" cm="1">
        <f t="array" ref="U6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0" t="str" cm="1">
        <f t="array" ref="V6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0" t="str" cm="1">
        <f t="array" ref="W6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0" t="str">
        <f>IF(COUNTIFS('Base Estudiantes'!$C:$C,tblMatriculas[[#This Row],[Cédula]],'Base Estudiantes'!$I:$I,tblMatriculas[[#This Row],[Código]])&gt;0,"Sí","No")</f>
        <v>Sí</v>
      </c>
      <c r="Z680" s="23" cm="1">
        <f t="array" ref="Z680">_xlfn.XLOOKUP(tblMatriculas[[#This Row],[Cédula]]&amp;"|"&amp;tblMatriculas[[#This Row],[Código]],tblBase[Documento]&amp;"|"&amp;tblBase[Código grupo],tblBase[Fecha matrícula],"")</f>
        <v>46262</v>
      </c>
    </row>
    <row r="681" spans="1:26" x14ac:dyDescent="0.2">
      <c r="A681" t="s">
        <v>1472</v>
      </c>
      <c r="B681" t="s">
        <v>1473</v>
      </c>
      <c r="C681" t="s">
        <v>13</v>
      </c>
      <c r="D681" t="s">
        <v>1451</v>
      </c>
      <c r="E681" t="s">
        <v>1452</v>
      </c>
      <c r="F681" t="s">
        <v>1453</v>
      </c>
      <c r="G681" s="1">
        <v>0</v>
      </c>
      <c r="H681" t="s">
        <v>254</v>
      </c>
      <c r="I681" t="s">
        <v>1145</v>
      </c>
      <c r="J681" t="s">
        <v>1219</v>
      </c>
      <c r="K681" t="s">
        <v>24</v>
      </c>
      <c r="L681" s="14">
        <f>IFERROR(VALUE(LEFT(tblMatriculas[[#This Row],[Clases]],FIND("/",tblMatriculas[[#This Row],[Clases]])-1)),"")</f>
        <v>0</v>
      </c>
      <c r="M681" s="14">
        <f>IFERROR(VALUE(MID(tblMatriculas[[#This Row],[Clases]],FIND("/",tblMatriculas[[#This Row],[Clases]])+1,5)),"")</f>
        <v>30</v>
      </c>
      <c r="N6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1" s="14">
        <f>IF(OR(tblMatriculas[[#This Row],[Estado]]&lt;&gt;"activa",tblMatriculas[[#This Row],[Clases dictadas]]=""),"",MAX(0,tblMatriculas[[#This Row],[Clases dictadas]]-tblMatriculas[[#This Row],[Asistidas]]))</f>
        <v>6</v>
      </c>
      <c r="P681" s="1">
        <f>IF(OR(tblMatriculas[[#This Row],[Estado]]&lt;&gt;"activa",tblMatriculas[[#This Row],[Asistidas]]=""),"",tblMatriculas[[#This Row],[Asistencia]])</f>
        <v>0</v>
      </c>
      <c r="Q681" t="b">
        <f>AND(tblMatriculas[[#This Row],[Estado]]="activa",ISNUMBER(tblMatriculas[[#This Row],[% asistencia]]),NOT(ISNUMBER(SEARCH(pPrueba,tblMatriculas[[#This Row],[Nombre]]))))</f>
        <v>1</v>
      </c>
      <c r="R6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81" s="23" t="str" cm="1">
        <f t="array" ref="S6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1" s="23" t="str" cm="1">
        <f t="array" ref="T6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1" s="14" t="str" cm="1">
        <f t="array" ref="U6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1" t="str" cm="1">
        <f t="array" ref="V6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1" t="str" cm="1">
        <f t="array" ref="W6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81" t="str">
        <f>IF(COUNTIFS('Base Estudiantes'!$C:$C,tblMatriculas[[#This Row],[Cédula]],'Base Estudiantes'!$I:$I,tblMatriculas[[#This Row],[Código]])&gt;0,"Sí","No")</f>
        <v>Sí</v>
      </c>
      <c r="Z681" s="23" cm="1">
        <f t="array" ref="Z681">_xlfn.XLOOKUP(tblMatriculas[[#This Row],[Cédula]]&amp;"|"&amp;tblMatriculas[[#This Row],[Código]],tblBase[Documento]&amp;"|"&amp;tblBase[Código grupo],tblBase[Fecha matrícula],"")</f>
        <v>46262</v>
      </c>
    </row>
    <row r="682" spans="1:26" x14ac:dyDescent="0.2">
      <c r="A682" t="s">
        <v>1474</v>
      </c>
      <c r="B682" t="s">
        <v>1475</v>
      </c>
      <c r="C682" t="s">
        <v>13</v>
      </c>
      <c r="D682" t="s">
        <v>1451</v>
      </c>
      <c r="E682" t="s">
        <v>1452</v>
      </c>
      <c r="F682" t="s">
        <v>1453</v>
      </c>
      <c r="G682" s="1">
        <v>0.08</v>
      </c>
      <c r="H682" t="s">
        <v>1476</v>
      </c>
      <c r="I682" t="s">
        <v>1145</v>
      </c>
      <c r="J682" t="s">
        <v>1219</v>
      </c>
      <c r="K682" t="s">
        <v>1371</v>
      </c>
      <c r="L682" s="14">
        <f>IFERROR(VALUE(LEFT(tblMatriculas[[#This Row],[Clases]],FIND("/",tblMatriculas[[#This Row],[Clases]])-1)),"")</f>
        <v>6</v>
      </c>
      <c r="M682" s="14">
        <f>IFERROR(VALUE(MID(tblMatriculas[[#This Row],[Clases]],FIND("/",tblMatriculas[[#This Row],[Clases]])+1,5)),"")</f>
        <v>75</v>
      </c>
      <c r="N6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13</v>
      </c>
      <c r="O682" s="14">
        <f>IF(OR(tblMatriculas[[#This Row],[Estado]]&lt;&gt;"activa",tblMatriculas[[#This Row],[Clases dictadas]]=""),"",MAX(0,tblMatriculas[[#This Row],[Clases dictadas]]-tblMatriculas[[#This Row],[Asistidas]]))</f>
        <v>7</v>
      </c>
      <c r="P682" s="1">
        <f>IF(OR(tblMatriculas[[#This Row],[Estado]]&lt;&gt;"activa",tblMatriculas[[#This Row],[Asistidas]]=""),"",tblMatriculas[[#This Row],[Asistencia]])</f>
        <v>0.08</v>
      </c>
      <c r="Q682" t="b">
        <f>AND(tblMatriculas[[#This Row],[Estado]]="activa",ISNUMBER(tblMatriculas[[#This Row],[% asistencia]]),NOT(ISNUMBER(SEARCH(pPrueba,tblMatriculas[[#This Row],[Nombre]]))))</f>
        <v>1</v>
      </c>
      <c r="R6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2" s="23" t="str" cm="1">
        <f t="array" ref="S6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2" s="23" t="str" cm="1">
        <f t="array" ref="T6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2" s="14" t="str" cm="1">
        <f t="array" ref="U6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2" t="str" cm="1">
        <f t="array" ref="V6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2" t="str" cm="1">
        <f t="array" ref="W6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2" t="str">
        <f>IF(COUNTIFS('Base Estudiantes'!$C:$C,tblMatriculas[[#This Row],[Cédula]],'Base Estudiantes'!$I:$I,tblMatriculas[[#This Row],[Código]])&gt;0,"Sí","No")</f>
        <v>Sí</v>
      </c>
      <c r="Z682" s="23" cm="1">
        <f t="array" ref="Z682">_xlfn.XLOOKUP(tblMatriculas[[#This Row],[Cédula]]&amp;"|"&amp;tblMatriculas[[#This Row],[Código]],tblBase[Documento]&amp;"|"&amp;tblBase[Código grupo],tblBase[Fecha matrícula],"")</f>
        <v>46262</v>
      </c>
    </row>
    <row r="683" spans="1:26" x14ac:dyDescent="0.2">
      <c r="A683" t="s">
        <v>1477</v>
      </c>
      <c r="B683" t="s">
        <v>1478</v>
      </c>
      <c r="C683" t="s">
        <v>13</v>
      </c>
      <c r="D683" t="s">
        <v>1451</v>
      </c>
      <c r="E683" t="s">
        <v>1452</v>
      </c>
      <c r="F683" t="s">
        <v>1453</v>
      </c>
      <c r="G683" s="1">
        <v>0.16699999999999998</v>
      </c>
      <c r="H683" t="s">
        <v>229</v>
      </c>
      <c r="I683" t="s">
        <v>1145</v>
      </c>
      <c r="J683" t="s">
        <v>1219</v>
      </c>
      <c r="K683" t="s">
        <v>24</v>
      </c>
      <c r="L683" s="14">
        <f>IFERROR(VALUE(LEFT(tblMatriculas[[#This Row],[Clases]],FIND("/",tblMatriculas[[#This Row],[Clases]])-1)),"")</f>
        <v>5</v>
      </c>
      <c r="M683" s="14">
        <f>IFERROR(VALUE(MID(tblMatriculas[[#This Row],[Clases]],FIND("/",tblMatriculas[[#This Row],[Clases]])+1,5)),"")</f>
        <v>30</v>
      </c>
      <c r="N6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3" s="14">
        <f>IF(OR(tblMatriculas[[#This Row],[Estado]]&lt;&gt;"activa",tblMatriculas[[#This Row],[Clases dictadas]]=""),"",MAX(0,tblMatriculas[[#This Row],[Clases dictadas]]-tblMatriculas[[#This Row],[Asistidas]]))</f>
        <v>1</v>
      </c>
      <c r="P683" s="1">
        <f>IF(OR(tblMatriculas[[#This Row],[Estado]]&lt;&gt;"activa",tblMatriculas[[#This Row],[Asistidas]]=""),"",tblMatriculas[[#This Row],[Asistencia]])</f>
        <v>0.16699999999999998</v>
      </c>
      <c r="Q683" t="b">
        <f>AND(tblMatriculas[[#This Row],[Estado]]="activa",ISNUMBER(tblMatriculas[[#This Row],[% asistencia]]),NOT(ISNUMBER(SEARCH(pPrueba,tblMatriculas[[#This Row],[Nombre]]))))</f>
        <v>1</v>
      </c>
      <c r="R6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3" s="23" t="str" cm="1">
        <f t="array" ref="S6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3" s="23" t="str" cm="1">
        <f t="array" ref="T6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3" s="14" t="str" cm="1">
        <f t="array" ref="U6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3" t="str" cm="1">
        <f t="array" ref="V6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3" t="str" cm="1">
        <f t="array" ref="W6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3" t="str">
        <f>IF(COUNTIFS('Base Estudiantes'!$C:$C,tblMatriculas[[#This Row],[Cédula]],'Base Estudiantes'!$I:$I,tblMatriculas[[#This Row],[Código]])&gt;0,"Sí","No")</f>
        <v>Sí</v>
      </c>
      <c r="Z683" s="23" cm="1">
        <f t="array" ref="Z683">_xlfn.XLOOKUP(tblMatriculas[[#This Row],[Cédula]]&amp;"|"&amp;tblMatriculas[[#This Row],[Código]],tblBase[Documento]&amp;"|"&amp;tblBase[Código grupo],tblBase[Fecha matrícula],"")</f>
        <v>46262</v>
      </c>
    </row>
    <row r="684" spans="1:26" x14ac:dyDescent="0.2">
      <c r="A684" t="s">
        <v>1479</v>
      </c>
      <c r="B684" t="s">
        <v>1480</v>
      </c>
      <c r="C684" t="s">
        <v>13</v>
      </c>
      <c r="D684" t="s">
        <v>1451</v>
      </c>
      <c r="E684" t="s">
        <v>1452</v>
      </c>
      <c r="F684" t="s">
        <v>1453</v>
      </c>
      <c r="G684" s="1">
        <v>0</v>
      </c>
      <c r="H684" t="s">
        <v>254</v>
      </c>
      <c r="I684" t="s">
        <v>1145</v>
      </c>
      <c r="J684" t="s">
        <v>1219</v>
      </c>
      <c r="K684" t="s">
        <v>24</v>
      </c>
      <c r="L684" s="14">
        <f>IFERROR(VALUE(LEFT(tblMatriculas[[#This Row],[Clases]],FIND("/",tblMatriculas[[#This Row],[Clases]])-1)),"")</f>
        <v>0</v>
      </c>
      <c r="M684" s="14">
        <f>IFERROR(VALUE(MID(tblMatriculas[[#This Row],[Clases]],FIND("/",tblMatriculas[[#This Row],[Clases]])+1,5)),"")</f>
        <v>30</v>
      </c>
      <c r="N6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4" s="14">
        <f>IF(OR(tblMatriculas[[#This Row],[Estado]]&lt;&gt;"activa",tblMatriculas[[#This Row],[Clases dictadas]]=""),"",MAX(0,tblMatriculas[[#This Row],[Clases dictadas]]-tblMatriculas[[#This Row],[Asistidas]]))</f>
        <v>6</v>
      </c>
      <c r="P684" s="1">
        <f>IF(OR(tblMatriculas[[#This Row],[Estado]]&lt;&gt;"activa",tblMatriculas[[#This Row],[Asistidas]]=""),"",tblMatriculas[[#This Row],[Asistencia]])</f>
        <v>0</v>
      </c>
      <c r="Q684" t="b">
        <f>AND(tblMatriculas[[#This Row],[Estado]]="activa",ISNUMBER(tblMatriculas[[#This Row],[% asistencia]]),NOT(ISNUMBER(SEARCH(pPrueba,tblMatriculas[[#This Row],[Nombre]]))))</f>
        <v>1</v>
      </c>
      <c r="R6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684" s="23" t="str" cm="1">
        <f t="array" ref="S6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4" s="23" t="str" cm="1">
        <f t="array" ref="T6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4" s="14" t="str" cm="1">
        <f t="array" ref="U6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4" t="str" cm="1">
        <f t="array" ref="V6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4" t="str" cm="1">
        <f t="array" ref="W6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6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684" t="str">
        <f>IF(COUNTIFS('Base Estudiantes'!$C:$C,tblMatriculas[[#This Row],[Cédula]],'Base Estudiantes'!$I:$I,tblMatriculas[[#This Row],[Código]])&gt;0,"Sí","No")</f>
        <v>Sí</v>
      </c>
      <c r="Z684" s="23" cm="1">
        <f t="array" ref="Z684">_xlfn.XLOOKUP(tblMatriculas[[#This Row],[Cédula]]&amp;"|"&amp;tblMatriculas[[#This Row],[Código]],tblBase[Documento]&amp;"|"&amp;tblBase[Código grupo],tblBase[Fecha matrícula],"")</f>
        <v>46262</v>
      </c>
    </row>
    <row r="685" spans="1:26" x14ac:dyDescent="0.2">
      <c r="A685" t="s">
        <v>1481</v>
      </c>
      <c r="B685" t="s">
        <v>1482</v>
      </c>
      <c r="C685" t="s">
        <v>13</v>
      </c>
      <c r="D685" t="s">
        <v>1451</v>
      </c>
      <c r="E685" t="s">
        <v>1452</v>
      </c>
      <c r="F685" t="s">
        <v>1453</v>
      </c>
      <c r="G685" s="1">
        <v>6.7000000000000004E-2</v>
      </c>
      <c r="H685" t="s">
        <v>166</v>
      </c>
      <c r="I685" t="s">
        <v>1145</v>
      </c>
      <c r="J685" t="s">
        <v>1219</v>
      </c>
      <c r="K685" t="s">
        <v>24</v>
      </c>
      <c r="L685" s="14">
        <f>IFERROR(VALUE(LEFT(tblMatriculas[[#This Row],[Clases]],FIND("/",tblMatriculas[[#This Row],[Clases]])-1)),"")</f>
        <v>2</v>
      </c>
      <c r="M685" s="14">
        <f>IFERROR(VALUE(MID(tblMatriculas[[#This Row],[Clases]],FIND("/",tblMatriculas[[#This Row],[Clases]])+1,5)),"")</f>
        <v>30</v>
      </c>
      <c r="N6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5" s="14">
        <f>IF(OR(tblMatriculas[[#This Row],[Estado]]&lt;&gt;"activa",tblMatriculas[[#This Row],[Clases dictadas]]=""),"",MAX(0,tblMatriculas[[#This Row],[Clases dictadas]]-tblMatriculas[[#This Row],[Asistidas]]))</f>
        <v>4</v>
      </c>
      <c r="P685" s="1">
        <f>IF(OR(tblMatriculas[[#This Row],[Estado]]&lt;&gt;"activa",tblMatriculas[[#This Row],[Asistidas]]=""),"",tblMatriculas[[#This Row],[Asistencia]])</f>
        <v>6.7000000000000004E-2</v>
      </c>
      <c r="Q685" t="b">
        <f>AND(tblMatriculas[[#This Row],[Estado]]="activa",ISNUMBER(tblMatriculas[[#This Row],[% asistencia]]),NOT(ISNUMBER(SEARCH(pPrueba,tblMatriculas[[#This Row],[Nombre]]))))</f>
        <v>1</v>
      </c>
      <c r="R6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85" s="23" t="str" cm="1">
        <f t="array" ref="S6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5" s="23" t="str" cm="1">
        <f t="array" ref="T6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5" s="14" t="str" cm="1">
        <f t="array" ref="U6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5" t="str" cm="1">
        <f t="array" ref="V6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5" t="str" cm="1">
        <f t="array" ref="W6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85" t="str">
        <f>IF(COUNTIFS('Base Estudiantes'!$C:$C,tblMatriculas[[#This Row],[Cédula]],'Base Estudiantes'!$I:$I,tblMatriculas[[#This Row],[Código]])&gt;0,"Sí","No")</f>
        <v>Sí</v>
      </c>
      <c r="Z685" s="23" cm="1">
        <f t="array" ref="Z685">_xlfn.XLOOKUP(tblMatriculas[[#This Row],[Cédula]]&amp;"|"&amp;tblMatriculas[[#This Row],[Código]],tblBase[Documento]&amp;"|"&amp;tblBase[Código grupo],tblBase[Fecha matrícula],"")</f>
        <v>46262</v>
      </c>
    </row>
    <row r="686" spans="1:26" x14ac:dyDescent="0.2">
      <c r="A686" t="s">
        <v>1483</v>
      </c>
      <c r="B686" t="s">
        <v>1484</v>
      </c>
      <c r="C686" t="s">
        <v>13</v>
      </c>
      <c r="D686" t="s">
        <v>1451</v>
      </c>
      <c r="E686" t="s">
        <v>1452</v>
      </c>
      <c r="F686" t="s">
        <v>1453</v>
      </c>
      <c r="G686" s="1">
        <v>0.13300000000000001</v>
      </c>
      <c r="H686" t="s">
        <v>112</v>
      </c>
      <c r="I686" t="s">
        <v>1145</v>
      </c>
      <c r="J686" t="s">
        <v>1219</v>
      </c>
      <c r="K686" t="s">
        <v>24</v>
      </c>
      <c r="L686" s="14">
        <f>IFERROR(VALUE(LEFT(tblMatriculas[[#This Row],[Clases]],FIND("/",tblMatriculas[[#This Row],[Clases]])-1)),"")</f>
        <v>4</v>
      </c>
      <c r="M686" s="14">
        <f>IFERROR(VALUE(MID(tblMatriculas[[#This Row],[Clases]],FIND("/",tblMatriculas[[#This Row],[Clases]])+1,5)),"")</f>
        <v>30</v>
      </c>
      <c r="N6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6" s="14">
        <f>IF(OR(tblMatriculas[[#This Row],[Estado]]&lt;&gt;"activa",tblMatriculas[[#This Row],[Clases dictadas]]=""),"",MAX(0,tblMatriculas[[#This Row],[Clases dictadas]]-tblMatriculas[[#This Row],[Asistidas]]))</f>
        <v>2</v>
      </c>
      <c r="P686" s="1">
        <f>IF(OR(tblMatriculas[[#This Row],[Estado]]&lt;&gt;"activa",tblMatriculas[[#This Row],[Asistidas]]=""),"",tblMatriculas[[#This Row],[Asistencia]])</f>
        <v>0.13300000000000001</v>
      </c>
      <c r="Q686" t="b">
        <f>AND(tblMatriculas[[#This Row],[Estado]]="activa",ISNUMBER(tblMatriculas[[#This Row],[% asistencia]]),NOT(ISNUMBER(SEARCH(pPrueba,tblMatriculas[[#This Row],[Nombre]]))))</f>
        <v>1</v>
      </c>
      <c r="R6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6" s="23" t="str" cm="1">
        <f t="array" ref="S6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6" s="23" t="str" cm="1">
        <f t="array" ref="T6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6" s="14" t="str" cm="1">
        <f t="array" ref="U6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6" t="str" cm="1">
        <f t="array" ref="V6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6" t="str" cm="1">
        <f t="array" ref="W6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6" t="str">
        <f>IF(COUNTIFS('Base Estudiantes'!$C:$C,tblMatriculas[[#This Row],[Cédula]],'Base Estudiantes'!$I:$I,tblMatriculas[[#This Row],[Código]])&gt;0,"Sí","No")</f>
        <v>Sí</v>
      </c>
      <c r="Z686" s="23" cm="1">
        <f t="array" ref="Z686">_xlfn.XLOOKUP(tblMatriculas[[#This Row],[Cédula]]&amp;"|"&amp;tblMatriculas[[#This Row],[Código]],tblBase[Documento]&amp;"|"&amp;tblBase[Código grupo],tblBase[Fecha matrícula],"")</f>
        <v>46262</v>
      </c>
    </row>
    <row r="687" spans="1:26" x14ac:dyDescent="0.2">
      <c r="A687" t="s">
        <v>1485</v>
      </c>
      <c r="B687" t="s">
        <v>1486</v>
      </c>
      <c r="C687" t="s">
        <v>13</v>
      </c>
      <c r="D687" t="s">
        <v>1451</v>
      </c>
      <c r="E687" t="s">
        <v>1452</v>
      </c>
      <c r="F687" t="s">
        <v>1453</v>
      </c>
      <c r="G687" s="1">
        <v>0.08</v>
      </c>
      <c r="H687" t="s">
        <v>1476</v>
      </c>
      <c r="I687" t="s">
        <v>1145</v>
      </c>
      <c r="J687" t="s">
        <v>1219</v>
      </c>
      <c r="K687" t="s">
        <v>1371</v>
      </c>
      <c r="L687" s="14">
        <f>IFERROR(VALUE(LEFT(tblMatriculas[[#This Row],[Clases]],FIND("/",tblMatriculas[[#This Row],[Clases]])-1)),"")</f>
        <v>6</v>
      </c>
      <c r="M687" s="14">
        <f>IFERROR(VALUE(MID(tblMatriculas[[#This Row],[Clases]],FIND("/",tblMatriculas[[#This Row],[Clases]])+1,5)),"")</f>
        <v>75</v>
      </c>
      <c r="N6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13</v>
      </c>
      <c r="O687" s="14">
        <f>IF(OR(tblMatriculas[[#This Row],[Estado]]&lt;&gt;"activa",tblMatriculas[[#This Row],[Clases dictadas]]=""),"",MAX(0,tblMatriculas[[#This Row],[Clases dictadas]]-tblMatriculas[[#This Row],[Asistidas]]))</f>
        <v>7</v>
      </c>
      <c r="P687" s="1">
        <f>IF(OR(tblMatriculas[[#This Row],[Estado]]&lt;&gt;"activa",tblMatriculas[[#This Row],[Asistidas]]=""),"",tblMatriculas[[#This Row],[Asistencia]])</f>
        <v>0.08</v>
      </c>
      <c r="Q687" t="b">
        <f>AND(tblMatriculas[[#This Row],[Estado]]="activa",ISNUMBER(tblMatriculas[[#This Row],[% asistencia]]),NOT(ISNUMBER(SEARCH(pPrueba,tblMatriculas[[#This Row],[Nombre]]))))</f>
        <v>1</v>
      </c>
      <c r="R6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7" s="23" t="str" cm="1">
        <f t="array" ref="S6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7" s="23" t="str" cm="1">
        <f t="array" ref="T6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7" s="14" t="str" cm="1">
        <f t="array" ref="U6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7" t="str" cm="1">
        <f t="array" ref="V6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7" t="str" cm="1">
        <f t="array" ref="W6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7" t="str">
        <f>IF(COUNTIFS('Base Estudiantes'!$C:$C,tblMatriculas[[#This Row],[Cédula]],'Base Estudiantes'!$I:$I,tblMatriculas[[#This Row],[Código]])&gt;0,"Sí","No")</f>
        <v>Sí</v>
      </c>
      <c r="Z687" s="23" cm="1">
        <f t="array" ref="Z687">_xlfn.XLOOKUP(tblMatriculas[[#This Row],[Cédula]]&amp;"|"&amp;tblMatriculas[[#This Row],[Código]],tblBase[Documento]&amp;"|"&amp;tblBase[Código grupo],tblBase[Fecha matrícula],"")</f>
        <v>46262</v>
      </c>
    </row>
    <row r="688" spans="1:26" x14ac:dyDescent="0.2">
      <c r="A688" t="s">
        <v>1487</v>
      </c>
      <c r="B688" t="s">
        <v>1488</v>
      </c>
      <c r="C688" t="s">
        <v>13</v>
      </c>
      <c r="D688" t="s">
        <v>1451</v>
      </c>
      <c r="E688" t="s">
        <v>1452</v>
      </c>
      <c r="F688" t="s">
        <v>1453</v>
      </c>
      <c r="G688" s="1">
        <v>0.2</v>
      </c>
      <c r="H688" t="s">
        <v>232</v>
      </c>
      <c r="I688" t="s">
        <v>1145</v>
      </c>
      <c r="J688" t="s">
        <v>1219</v>
      </c>
      <c r="K688" t="s">
        <v>24</v>
      </c>
      <c r="L688" s="14">
        <f>IFERROR(VALUE(LEFT(tblMatriculas[[#This Row],[Clases]],FIND("/",tblMatriculas[[#This Row],[Clases]])-1)),"")</f>
        <v>6</v>
      </c>
      <c r="M688" s="14">
        <f>IFERROR(VALUE(MID(tblMatriculas[[#This Row],[Clases]],FIND("/",tblMatriculas[[#This Row],[Clases]])+1,5)),"")</f>
        <v>30</v>
      </c>
      <c r="N6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8" s="14">
        <f>IF(OR(tblMatriculas[[#This Row],[Estado]]&lt;&gt;"activa",tblMatriculas[[#This Row],[Clases dictadas]]=""),"",MAX(0,tblMatriculas[[#This Row],[Clases dictadas]]-tblMatriculas[[#This Row],[Asistidas]]))</f>
        <v>0</v>
      </c>
      <c r="P688" s="1">
        <f>IF(OR(tblMatriculas[[#This Row],[Estado]]&lt;&gt;"activa",tblMatriculas[[#This Row],[Asistidas]]=""),"",tblMatriculas[[#This Row],[Asistencia]])</f>
        <v>0.2</v>
      </c>
      <c r="Q688" t="b">
        <f>AND(tblMatriculas[[#This Row],[Estado]]="activa",ISNUMBER(tblMatriculas[[#This Row],[% asistencia]]),NOT(ISNUMBER(SEARCH(pPrueba,tblMatriculas[[#This Row],[Nombre]]))))</f>
        <v>1</v>
      </c>
      <c r="R6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88" s="23" t="str" cm="1">
        <f t="array" ref="S6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8" s="23" t="str" cm="1">
        <f t="array" ref="T6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8" s="14" t="str" cm="1">
        <f t="array" ref="U6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8" t="str" cm="1">
        <f t="array" ref="V6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8" t="str" cm="1">
        <f t="array" ref="W6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88" t="str">
        <f>IF(COUNTIFS('Base Estudiantes'!$C:$C,tblMatriculas[[#This Row],[Cédula]],'Base Estudiantes'!$I:$I,tblMatriculas[[#This Row],[Código]])&gt;0,"Sí","No")</f>
        <v>Sí</v>
      </c>
      <c r="Z688" s="23" cm="1">
        <f t="array" ref="Z688">_xlfn.XLOOKUP(tblMatriculas[[#This Row],[Cédula]]&amp;"|"&amp;tblMatriculas[[#This Row],[Código]],tblBase[Documento]&amp;"|"&amp;tblBase[Código grupo],tblBase[Fecha matrícula],"")</f>
        <v>46262</v>
      </c>
    </row>
    <row r="689" spans="1:26" x14ac:dyDescent="0.2">
      <c r="A689" t="s">
        <v>1489</v>
      </c>
      <c r="B689" t="s">
        <v>1490</v>
      </c>
      <c r="C689" t="s">
        <v>13</v>
      </c>
      <c r="D689" t="s">
        <v>1451</v>
      </c>
      <c r="E689" t="s">
        <v>1452</v>
      </c>
      <c r="F689" t="s">
        <v>1453</v>
      </c>
      <c r="G689" s="1">
        <v>6.7000000000000004E-2</v>
      </c>
      <c r="H689" t="s">
        <v>166</v>
      </c>
      <c r="I689" t="s">
        <v>1145</v>
      </c>
      <c r="J689" t="s">
        <v>1219</v>
      </c>
      <c r="K689" t="s">
        <v>24</v>
      </c>
      <c r="L689" s="14">
        <f>IFERROR(VALUE(LEFT(tblMatriculas[[#This Row],[Clases]],FIND("/",tblMatriculas[[#This Row],[Clases]])-1)),"")</f>
        <v>2</v>
      </c>
      <c r="M689" s="14">
        <f>IFERROR(VALUE(MID(tblMatriculas[[#This Row],[Clases]],FIND("/",tblMatriculas[[#This Row],[Clases]])+1,5)),"")</f>
        <v>30</v>
      </c>
      <c r="N6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89" s="14">
        <f>IF(OR(tblMatriculas[[#This Row],[Estado]]&lt;&gt;"activa",tblMatriculas[[#This Row],[Clases dictadas]]=""),"",MAX(0,tblMatriculas[[#This Row],[Clases dictadas]]-tblMatriculas[[#This Row],[Asistidas]]))</f>
        <v>4</v>
      </c>
      <c r="P689" s="1">
        <f>IF(OR(tblMatriculas[[#This Row],[Estado]]&lt;&gt;"activa",tblMatriculas[[#This Row],[Asistidas]]=""),"",tblMatriculas[[#This Row],[Asistencia]])</f>
        <v>6.7000000000000004E-2</v>
      </c>
      <c r="Q689" t="b">
        <f>AND(tblMatriculas[[#This Row],[Estado]]="activa",ISNUMBER(tblMatriculas[[#This Row],[% asistencia]]),NOT(ISNUMBER(SEARCH(pPrueba,tblMatriculas[[#This Row],[Nombre]]))))</f>
        <v>1</v>
      </c>
      <c r="R6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89" s="23" t="str" cm="1">
        <f t="array" ref="S6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89" s="23" t="str" cm="1">
        <f t="array" ref="T6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89" s="14" t="str" cm="1">
        <f t="array" ref="U6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89" t="str" cm="1">
        <f t="array" ref="V6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89" t="str" cm="1">
        <f t="array" ref="W6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89" t="str">
        <f>IF(COUNTIFS('Base Estudiantes'!$C:$C,tblMatriculas[[#This Row],[Cédula]],'Base Estudiantes'!$I:$I,tblMatriculas[[#This Row],[Código]])&gt;0,"Sí","No")</f>
        <v>Sí</v>
      </c>
      <c r="Z689" s="23" cm="1">
        <f t="array" ref="Z689">_xlfn.XLOOKUP(tblMatriculas[[#This Row],[Cédula]]&amp;"|"&amp;tblMatriculas[[#This Row],[Código]],tblBase[Documento]&amp;"|"&amp;tblBase[Código grupo],tblBase[Fecha matrícula],"")</f>
        <v>46262</v>
      </c>
    </row>
    <row r="690" spans="1:26" x14ac:dyDescent="0.2">
      <c r="A690" t="s">
        <v>1491</v>
      </c>
      <c r="B690" t="s">
        <v>1492</v>
      </c>
      <c r="C690" t="s">
        <v>13</v>
      </c>
      <c r="D690" t="s">
        <v>1451</v>
      </c>
      <c r="E690" t="s">
        <v>1452</v>
      </c>
      <c r="F690" t="s">
        <v>1453</v>
      </c>
      <c r="G690" s="1">
        <v>0.2</v>
      </c>
      <c r="H690" t="s">
        <v>232</v>
      </c>
      <c r="I690" t="s">
        <v>1145</v>
      </c>
      <c r="J690" t="s">
        <v>1219</v>
      </c>
      <c r="K690" t="s">
        <v>24</v>
      </c>
      <c r="L690" s="14">
        <f>IFERROR(VALUE(LEFT(tblMatriculas[[#This Row],[Clases]],FIND("/",tblMatriculas[[#This Row],[Clases]])-1)),"")</f>
        <v>6</v>
      </c>
      <c r="M690" s="14">
        <f>IFERROR(VALUE(MID(tblMatriculas[[#This Row],[Clases]],FIND("/",tblMatriculas[[#This Row],[Clases]])+1,5)),"")</f>
        <v>30</v>
      </c>
      <c r="N6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0" s="14">
        <f>IF(OR(tblMatriculas[[#This Row],[Estado]]&lt;&gt;"activa",tblMatriculas[[#This Row],[Clases dictadas]]=""),"",MAX(0,tblMatriculas[[#This Row],[Clases dictadas]]-tblMatriculas[[#This Row],[Asistidas]]))</f>
        <v>0</v>
      </c>
      <c r="P690" s="1">
        <f>IF(OR(tblMatriculas[[#This Row],[Estado]]&lt;&gt;"activa",tblMatriculas[[#This Row],[Asistidas]]=""),"",tblMatriculas[[#This Row],[Asistencia]])</f>
        <v>0.2</v>
      </c>
      <c r="Q690" t="b">
        <f>AND(tblMatriculas[[#This Row],[Estado]]="activa",ISNUMBER(tblMatriculas[[#This Row],[% asistencia]]),NOT(ISNUMBER(SEARCH(pPrueba,tblMatriculas[[#This Row],[Nombre]]))))</f>
        <v>1</v>
      </c>
      <c r="R6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0" s="23" t="str" cm="1">
        <f t="array" ref="S6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0" s="23" t="str" cm="1">
        <f t="array" ref="T6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0" s="14" t="str" cm="1">
        <f t="array" ref="U6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0" t="str" cm="1">
        <f t="array" ref="V6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0" t="str" cm="1">
        <f t="array" ref="W6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0" t="str">
        <f>IF(COUNTIFS('Base Estudiantes'!$C:$C,tblMatriculas[[#This Row],[Cédula]],'Base Estudiantes'!$I:$I,tblMatriculas[[#This Row],[Código]])&gt;0,"Sí","No")</f>
        <v>Sí</v>
      </c>
      <c r="Z690" s="23" cm="1">
        <f t="array" ref="Z690">_xlfn.XLOOKUP(tblMatriculas[[#This Row],[Cédula]]&amp;"|"&amp;tblMatriculas[[#This Row],[Código]],tblBase[Documento]&amp;"|"&amp;tblBase[Código grupo],tblBase[Fecha matrícula],"")</f>
        <v>46262</v>
      </c>
    </row>
    <row r="691" spans="1:26" x14ac:dyDescent="0.2">
      <c r="A691" t="s">
        <v>1493</v>
      </c>
      <c r="B691" t="s">
        <v>1494</v>
      </c>
      <c r="C691" t="s">
        <v>13</v>
      </c>
      <c r="D691" t="s">
        <v>1451</v>
      </c>
      <c r="E691" t="s">
        <v>1452</v>
      </c>
      <c r="F691" t="s">
        <v>1453</v>
      </c>
      <c r="G691" s="1">
        <v>0.2</v>
      </c>
      <c r="H691" t="s">
        <v>232</v>
      </c>
      <c r="I691" t="s">
        <v>1145</v>
      </c>
      <c r="J691" t="s">
        <v>1219</v>
      </c>
      <c r="K691" t="s">
        <v>24</v>
      </c>
      <c r="L691" s="14">
        <f>IFERROR(VALUE(LEFT(tblMatriculas[[#This Row],[Clases]],FIND("/",tblMatriculas[[#This Row],[Clases]])-1)),"")</f>
        <v>6</v>
      </c>
      <c r="M691" s="14">
        <f>IFERROR(VALUE(MID(tblMatriculas[[#This Row],[Clases]],FIND("/",tblMatriculas[[#This Row],[Clases]])+1,5)),"")</f>
        <v>30</v>
      </c>
      <c r="N6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1" s="14">
        <f>IF(OR(tblMatriculas[[#This Row],[Estado]]&lt;&gt;"activa",tblMatriculas[[#This Row],[Clases dictadas]]=""),"",MAX(0,tblMatriculas[[#This Row],[Clases dictadas]]-tblMatriculas[[#This Row],[Asistidas]]))</f>
        <v>0</v>
      </c>
      <c r="P691" s="1">
        <f>IF(OR(tblMatriculas[[#This Row],[Estado]]&lt;&gt;"activa",tblMatriculas[[#This Row],[Asistidas]]=""),"",tblMatriculas[[#This Row],[Asistencia]])</f>
        <v>0.2</v>
      </c>
      <c r="Q691" t="b">
        <f>AND(tblMatriculas[[#This Row],[Estado]]="activa",ISNUMBER(tblMatriculas[[#This Row],[% asistencia]]),NOT(ISNUMBER(SEARCH(pPrueba,tblMatriculas[[#This Row],[Nombre]]))))</f>
        <v>1</v>
      </c>
      <c r="R6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1" s="23" t="str" cm="1">
        <f t="array" ref="S6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1" s="23" t="str" cm="1">
        <f t="array" ref="T6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1" s="14" t="str" cm="1">
        <f t="array" ref="U6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1" t="str" cm="1">
        <f t="array" ref="V6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1" t="str" cm="1">
        <f t="array" ref="W6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1" t="str">
        <f>IF(COUNTIFS('Base Estudiantes'!$C:$C,tblMatriculas[[#This Row],[Cédula]],'Base Estudiantes'!$I:$I,tblMatriculas[[#This Row],[Código]])&gt;0,"Sí","No")</f>
        <v>Sí</v>
      </c>
      <c r="Z691" s="23" cm="1">
        <f t="array" ref="Z691">_xlfn.XLOOKUP(tblMatriculas[[#This Row],[Cédula]]&amp;"|"&amp;tblMatriculas[[#This Row],[Código]],tblBase[Documento]&amp;"|"&amp;tblBase[Código grupo],tblBase[Fecha matrícula],"")</f>
        <v>46262</v>
      </c>
    </row>
    <row r="692" spans="1:26" x14ac:dyDescent="0.2">
      <c r="A692" t="s">
        <v>1495</v>
      </c>
      <c r="B692" t="s">
        <v>1496</v>
      </c>
      <c r="C692" t="s">
        <v>13</v>
      </c>
      <c r="D692" t="s">
        <v>1451</v>
      </c>
      <c r="E692" t="s">
        <v>1452</v>
      </c>
      <c r="F692" t="s">
        <v>1453</v>
      </c>
      <c r="G692" s="1">
        <v>0.2</v>
      </c>
      <c r="H692" t="s">
        <v>232</v>
      </c>
      <c r="I692" t="s">
        <v>1145</v>
      </c>
      <c r="J692" t="s">
        <v>1219</v>
      </c>
      <c r="K692" t="s">
        <v>24</v>
      </c>
      <c r="L692" s="14">
        <f>IFERROR(VALUE(LEFT(tblMatriculas[[#This Row],[Clases]],FIND("/",tblMatriculas[[#This Row],[Clases]])-1)),"")</f>
        <v>6</v>
      </c>
      <c r="M692" s="14">
        <f>IFERROR(VALUE(MID(tblMatriculas[[#This Row],[Clases]],FIND("/",tblMatriculas[[#This Row],[Clases]])+1,5)),"")</f>
        <v>30</v>
      </c>
      <c r="N6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2" s="14">
        <f>IF(OR(tblMatriculas[[#This Row],[Estado]]&lt;&gt;"activa",tblMatriculas[[#This Row],[Clases dictadas]]=""),"",MAX(0,tblMatriculas[[#This Row],[Clases dictadas]]-tblMatriculas[[#This Row],[Asistidas]]))</f>
        <v>0</v>
      </c>
      <c r="P692" s="1">
        <f>IF(OR(tblMatriculas[[#This Row],[Estado]]&lt;&gt;"activa",tblMatriculas[[#This Row],[Asistidas]]=""),"",tblMatriculas[[#This Row],[Asistencia]])</f>
        <v>0.2</v>
      </c>
      <c r="Q692" t="b">
        <f>AND(tblMatriculas[[#This Row],[Estado]]="activa",ISNUMBER(tblMatriculas[[#This Row],[% asistencia]]),NOT(ISNUMBER(SEARCH(pPrueba,tblMatriculas[[#This Row],[Nombre]]))))</f>
        <v>1</v>
      </c>
      <c r="R6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2" s="23" t="str" cm="1">
        <f t="array" ref="S6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2" s="23" t="str" cm="1">
        <f t="array" ref="T6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2" s="14" t="str" cm="1">
        <f t="array" ref="U6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2" t="str" cm="1">
        <f t="array" ref="V6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2" t="str" cm="1">
        <f t="array" ref="W6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2" t="str">
        <f>IF(COUNTIFS('Base Estudiantes'!$C:$C,tblMatriculas[[#This Row],[Cédula]],'Base Estudiantes'!$I:$I,tblMatriculas[[#This Row],[Código]])&gt;0,"Sí","No")</f>
        <v>Sí</v>
      </c>
      <c r="Z692" s="23" cm="1">
        <f t="array" ref="Z692">_xlfn.XLOOKUP(tblMatriculas[[#This Row],[Cédula]]&amp;"|"&amp;tblMatriculas[[#This Row],[Código]],tblBase[Documento]&amp;"|"&amp;tblBase[Código grupo],tblBase[Fecha matrícula],"")</f>
        <v>46262</v>
      </c>
    </row>
    <row r="693" spans="1:26" x14ac:dyDescent="0.2">
      <c r="A693" t="s">
        <v>1497</v>
      </c>
      <c r="B693" t="s">
        <v>1498</v>
      </c>
      <c r="C693" t="s">
        <v>13</v>
      </c>
      <c r="D693" t="s">
        <v>1451</v>
      </c>
      <c r="E693" t="s">
        <v>1452</v>
      </c>
      <c r="F693" t="s">
        <v>1453</v>
      </c>
      <c r="G693" s="1">
        <v>0.16699999999999998</v>
      </c>
      <c r="H693" t="s">
        <v>229</v>
      </c>
      <c r="I693" t="s">
        <v>1145</v>
      </c>
      <c r="J693" t="s">
        <v>1219</v>
      </c>
      <c r="K693" t="s">
        <v>24</v>
      </c>
      <c r="L693" s="14">
        <f>IFERROR(VALUE(LEFT(tblMatriculas[[#This Row],[Clases]],FIND("/",tblMatriculas[[#This Row],[Clases]])-1)),"")</f>
        <v>5</v>
      </c>
      <c r="M693" s="14">
        <f>IFERROR(VALUE(MID(tblMatriculas[[#This Row],[Clases]],FIND("/",tblMatriculas[[#This Row],[Clases]])+1,5)),"")</f>
        <v>30</v>
      </c>
      <c r="N6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3" s="14">
        <f>IF(OR(tblMatriculas[[#This Row],[Estado]]&lt;&gt;"activa",tblMatriculas[[#This Row],[Clases dictadas]]=""),"",MAX(0,tblMatriculas[[#This Row],[Clases dictadas]]-tblMatriculas[[#This Row],[Asistidas]]))</f>
        <v>1</v>
      </c>
      <c r="P693" s="1">
        <f>IF(OR(tblMatriculas[[#This Row],[Estado]]&lt;&gt;"activa",tblMatriculas[[#This Row],[Asistidas]]=""),"",tblMatriculas[[#This Row],[Asistencia]])</f>
        <v>0.16699999999999998</v>
      </c>
      <c r="Q693" t="b">
        <f>AND(tblMatriculas[[#This Row],[Estado]]="activa",ISNUMBER(tblMatriculas[[#This Row],[% asistencia]]),NOT(ISNUMBER(SEARCH(pPrueba,tblMatriculas[[#This Row],[Nombre]]))))</f>
        <v>1</v>
      </c>
      <c r="R6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3" s="23" t="str" cm="1">
        <f t="array" ref="S6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3" s="23" t="str" cm="1">
        <f t="array" ref="T6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3" s="14" t="str" cm="1">
        <f t="array" ref="U6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3" t="str" cm="1">
        <f t="array" ref="V6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3" t="str" cm="1">
        <f t="array" ref="W6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3" t="str">
        <f>IF(COUNTIFS('Base Estudiantes'!$C:$C,tblMatriculas[[#This Row],[Cédula]],'Base Estudiantes'!$I:$I,tblMatriculas[[#This Row],[Código]])&gt;0,"Sí","No")</f>
        <v>Sí</v>
      </c>
      <c r="Z693" s="23" cm="1">
        <f t="array" ref="Z693">_xlfn.XLOOKUP(tblMatriculas[[#This Row],[Cédula]]&amp;"|"&amp;tblMatriculas[[#This Row],[Código]],tblBase[Documento]&amp;"|"&amp;tblBase[Código grupo],tblBase[Fecha matrícula],"")</f>
        <v>46262</v>
      </c>
    </row>
    <row r="694" spans="1:26" x14ac:dyDescent="0.2">
      <c r="A694" t="s">
        <v>1499</v>
      </c>
      <c r="B694" t="s">
        <v>1500</v>
      </c>
      <c r="C694" t="s">
        <v>13</v>
      </c>
      <c r="D694" t="s">
        <v>1451</v>
      </c>
      <c r="E694" t="s">
        <v>1452</v>
      </c>
      <c r="F694" t="s">
        <v>1453</v>
      </c>
      <c r="G694" s="1">
        <v>0.2</v>
      </c>
      <c r="H694" t="s">
        <v>232</v>
      </c>
      <c r="I694" t="s">
        <v>1145</v>
      </c>
      <c r="J694" t="s">
        <v>1219</v>
      </c>
      <c r="K694" t="s">
        <v>24</v>
      </c>
      <c r="L694" s="14">
        <f>IFERROR(VALUE(LEFT(tblMatriculas[[#This Row],[Clases]],FIND("/",tblMatriculas[[#This Row],[Clases]])-1)),"")</f>
        <v>6</v>
      </c>
      <c r="M694" s="14">
        <f>IFERROR(VALUE(MID(tblMatriculas[[#This Row],[Clases]],FIND("/",tblMatriculas[[#This Row],[Clases]])+1,5)),"")</f>
        <v>30</v>
      </c>
      <c r="N6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4" s="14">
        <f>IF(OR(tblMatriculas[[#This Row],[Estado]]&lt;&gt;"activa",tblMatriculas[[#This Row],[Clases dictadas]]=""),"",MAX(0,tblMatriculas[[#This Row],[Clases dictadas]]-tblMatriculas[[#This Row],[Asistidas]]))</f>
        <v>0</v>
      </c>
      <c r="P694" s="1">
        <f>IF(OR(tblMatriculas[[#This Row],[Estado]]&lt;&gt;"activa",tblMatriculas[[#This Row],[Asistidas]]=""),"",tblMatriculas[[#This Row],[Asistencia]])</f>
        <v>0.2</v>
      </c>
      <c r="Q694" t="b">
        <f>AND(tblMatriculas[[#This Row],[Estado]]="activa",ISNUMBER(tblMatriculas[[#This Row],[% asistencia]]),NOT(ISNUMBER(SEARCH(pPrueba,tblMatriculas[[#This Row],[Nombre]]))))</f>
        <v>1</v>
      </c>
      <c r="R6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4" s="23" t="str" cm="1">
        <f t="array" ref="S6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4" s="23" t="str" cm="1">
        <f t="array" ref="T6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4" s="14" t="str" cm="1">
        <f t="array" ref="U6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4" t="str" cm="1">
        <f t="array" ref="V6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4" t="str" cm="1">
        <f t="array" ref="W6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4" t="str">
        <f>IF(COUNTIFS('Base Estudiantes'!$C:$C,tblMatriculas[[#This Row],[Cédula]],'Base Estudiantes'!$I:$I,tblMatriculas[[#This Row],[Código]])&gt;0,"Sí","No")</f>
        <v>Sí</v>
      </c>
      <c r="Z694" s="23" cm="1">
        <f t="array" ref="Z694">_xlfn.XLOOKUP(tblMatriculas[[#This Row],[Cédula]]&amp;"|"&amp;tblMatriculas[[#This Row],[Código]],tblBase[Documento]&amp;"|"&amp;tblBase[Código grupo],tblBase[Fecha matrícula],"")</f>
        <v>46262</v>
      </c>
    </row>
    <row r="695" spans="1:26" x14ac:dyDescent="0.2">
      <c r="A695" t="s">
        <v>1501</v>
      </c>
      <c r="B695" t="s">
        <v>1502</v>
      </c>
      <c r="C695" t="s">
        <v>13</v>
      </c>
      <c r="D695" t="s">
        <v>1451</v>
      </c>
      <c r="E695" t="s">
        <v>1452</v>
      </c>
      <c r="F695" t="s">
        <v>1453</v>
      </c>
      <c r="G695" s="1">
        <v>0.2</v>
      </c>
      <c r="H695" t="s">
        <v>232</v>
      </c>
      <c r="I695" t="s">
        <v>1145</v>
      </c>
      <c r="J695" t="s">
        <v>1219</v>
      </c>
      <c r="K695" t="s">
        <v>24</v>
      </c>
      <c r="L695" s="14">
        <f>IFERROR(VALUE(LEFT(tblMatriculas[[#This Row],[Clases]],FIND("/",tblMatriculas[[#This Row],[Clases]])-1)),"")</f>
        <v>6</v>
      </c>
      <c r="M695" s="14">
        <f>IFERROR(VALUE(MID(tblMatriculas[[#This Row],[Clases]],FIND("/",tblMatriculas[[#This Row],[Clases]])+1,5)),"")</f>
        <v>30</v>
      </c>
      <c r="N6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5" s="14">
        <f>IF(OR(tblMatriculas[[#This Row],[Estado]]&lt;&gt;"activa",tblMatriculas[[#This Row],[Clases dictadas]]=""),"",MAX(0,tblMatriculas[[#This Row],[Clases dictadas]]-tblMatriculas[[#This Row],[Asistidas]]))</f>
        <v>0</v>
      </c>
      <c r="P695" s="1">
        <f>IF(OR(tblMatriculas[[#This Row],[Estado]]&lt;&gt;"activa",tblMatriculas[[#This Row],[Asistidas]]=""),"",tblMatriculas[[#This Row],[Asistencia]])</f>
        <v>0.2</v>
      </c>
      <c r="Q695" t="b">
        <f>AND(tblMatriculas[[#This Row],[Estado]]="activa",ISNUMBER(tblMatriculas[[#This Row],[% asistencia]]),NOT(ISNUMBER(SEARCH(pPrueba,tblMatriculas[[#This Row],[Nombre]]))))</f>
        <v>1</v>
      </c>
      <c r="R6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5" s="23" t="str" cm="1">
        <f t="array" ref="S6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5" s="23" t="str" cm="1">
        <f t="array" ref="T6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5" s="14" t="str" cm="1">
        <f t="array" ref="U6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5" t="str" cm="1">
        <f t="array" ref="V6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5" t="str" cm="1">
        <f t="array" ref="W6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5" t="str">
        <f>IF(COUNTIFS('Base Estudiantes'!$C:$C,tblMatriculas[[#This Row],[Cédula]],'Base Estudiantes'!$I:$I,tblMatriculas[[#This Row],[Código]])&gt;0,"Sí","No")</f>
        <v>Sí</v>
      </c>
      <c r="Z695" s="23" cm="1">
        <f t="array" ref="Z695">_xlfn.XLOOKUP(tblMatriculas[[#This Row],[Cédula]]&amp;"|"&amp;tblMatriculas[[#This Row],[Código]],tblBase[Documento]&amp;"|"&amp;tblBase[Código grupo],tblBase[Fecha matrícula],"")</f>
        <v>46262</v>
      </c>
    </row>
    <row r="696" spans="1:26" x14ac:dyDescent="0.2">
      <c r="A696" t="s">
        <v>1503</v>
      </c>
      <c r="B696" t="s">
        <v>1504</v>
      </c>
      <c r="C696" t="s">
        <v>13</v>
      </c>
      <c r="D696" t="s">
        <v>1451</v>
      </c>
      <c r="E696" t="s">
        <v>1452</v>
      </c>
      <c r="F696" t="s">
        <v>1453</v>
      </c>
      <c r="G696" s="1">
        <v>3.3000000000000002E-2</v>
      </c>
      <c r="H696" t="s">
        <v>225</v>
      </c>
      <c r="I696" t="s">
        <v>1145</v>
      </c>
      <c r="J696" t="s">
        <v>1219</v>
      </c>
      <c r="K696" t="s">
        <v>1220</v>
      </c>
      <c r="L696" s="14">
        <f>IFERROR(VALUE(LEFT(tblMatriculas[[#This Row],[Clases]],FIND("/",tblMatriculas[[#This Row],[Clases]])-1)),"")</f>
        <v>1</v>
      </c>
      <c r="M696" s="14">
        <f>IFERROR(VALUE(MID(tblMatriculas[[#This Row],[Clases]],FIND("/",tblMatriculas[[#This Row],[Clases]])+1,5)),"")</f>
        <v>30</v>
      </c>
      <c r="N6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6" s="14">
        <f>IF(OR(tblMatriculas[[#This Row],[Estado]]&lt;&gt;"activa",tblMatriculas[[#This Row],[Clases dictadas]]=""),"",MAX(0,tblMatriculas[[#This Row],[Clases dictadas]]-tblMatriculas[[#This Row],[Asistidas]]))</f>
        <v>5</v>
      </c>
      <c r="P696" s="1">
        <f>IF(OR(tblMatriculas[[#This Row],[Estado]]&lt;&gt;"activa",tblMatriculas[[#This Row],[Asistidas]]=""),"",tblMatriculas[[#This Row],[Asistencia]])</f>
        <v>3.3000000000000002E-2</v>
      </c>
      <c r="Q696" t="b">
        <f>AND(tblMatriculas[[#This Row],[Estado]]="activa",ISNUMBER(tblMatriculas[[#This Row],[% asistencia]]),NOT(ISNUMBER(SEARCH(pPrueba,tblMatriculas[[#This Row],[Nombre]]))))</f>
        <v>1</v>
      </c>
      <c r="R6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696" s="23" t="str" cm="1">
        <f t="array" ref="S6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6" s="23" t="str" cm="1">
        <f t="array" ref="T6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6" s="14" t="str" cm="1">
        <f t="array" ref="U6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6" t="str" cm="1">
        <f t="array" ref="V6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6" t="str" cm="1">
        <f t="array" ref="W6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6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696" t="str">
        <f>IF(COUNTIFS('Base Estudiantes'!$C:$C,tblMatriculas[[#This Row],[Cédula]],'Base Estudiantes'!$I:$I,tblMatriculas[[#This Row],[Código]])&gt;0,"Sí","No")</f>
        <v>Sí</v>
      </c>
      <c r="Z696" s="23" cm="1">
        <f t="array" ref="Z696">_xlfn.XLOOKUP(tblMatriculas[[#This Row],[Cédula]]&amp;"|"&amp;tblMatriculas[[#This Row],[Código]],tblBase[Documento]&amp;"|"&amp;tblBase[Código grupo],tblBase[Fecha matrícula],"")</f>
        <v>46262</v>
      </c>
    </row>
    <row r="697" spans="1:26" x14ac:dyDescent="0.2">
      <c r="A697" t="s">
        <v>1505</v>
      </c>
      <c r="B697" t="s">
        <v>1506</v>
      </c>
      <c r="C697" t="s">
        <v>13</v>
      </c>
      <c r="D697" t="s">
        <v>1451</v>
      </c>
      <c r="E697" t="s">
        <v>1452</v>
      </c>
      <c r="F697" t="s">
        <v>1453</v>
      </c>
      <c r="G697" s="1">
        <v>0.16699999999999998</v>
      </c>
      <c r="H697" t="s">
        <v>229</v>
      </c>
      <c r="I697" t="s">
        <v>1145</v>
      </c>
      <c r="J697" t="s">
        <v>1219</v>
      </c>
      <c r="K697" t="s">
        <v>24</v>
      </c>
      <c r="L697" s="14">
        <f>IFERROR(VALUE(LEFT(tblMatriculas[[#This Row],[Clases]],FIND("/",tblMatriculas[[#This Row],[Clases]])-1)),"")</f>
        <v>5</v>
      </c>
      <c r="M697" s="14">
        <f>IFERROR(VALUE(MID(tblMatriculas[[#This Row],[Clases]],FIND("/",tblMatriculas[[#This Row],[Clases]])+1,5)),"")</f>
        <v>30</v>
      </c>
      <c r="N6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697" s="14">
        <f>IF(OR(tblMatriculas[[#This Row],[Estado]]&lt;&gt;"activa",tblMatriculas[[#This Row],[Clases dictadas]]=""),"",MAX(0,tblMatriculas[[#This Row],[Clases dictadas]]-tblMatriculas[[#This Row],[Asistidas]]))</f>
        <v>1</v>
      </c>
      <c r="P697" s="1">
        <f>IF(OR(tblMatriculas[[#This Row],[Estado]]&lt;&gt;"activa",tblMatriculas[[#This Row],[Asistidas]]=""),"",tblMatriculas[[#This Row],[Asistencia]])</f>
        <v>0.16699999999999998</v>
      </c>
      <c r="Q697" t="b">
        <f>AND(tblMatriculas[[#This Row],[Estado]]="activa",ISNUMBER(tblMatriculas[[#This Row],[% asistencia]]),NOT(ISNUMBER(SEARCH(pPrueba,tblMatriculas[[#This Row],[Nombre]]))))</f>
        <v>1</v>
      </c>
      <c r="R6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697" s="23" t="str" cm="1">
        <f t="array" ref="S6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7" s="23" t="str" cm="1">
        <f t="array" ref="T6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7" s="14" t="str" cm="1">
        <f t="array" ref="U6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7" t="str" cm="1">
        <f t="array" ref="V6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7" t="str" cm="1">
        <f t="array" ref="W6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6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697" t="str">
        <f>IF(COUNTIFS('Base Estudiantes'!$C:$C,tblMatriculas[[#This Row],[Cédula]],'Base Estudiantes'!$I:$I,tblMatriculas[[#This Row],[Código]])&gt;0,"Sí","No")</f>
        <v>Sí</v>
      </c>
      <c r="Z697" s="23" cm="1">
        <f t="array" ref="Z697">_xlfn.XLOOKUP(tblMatriculas[[#This Row],[Cédula]]&amp;"|"&amp;tblMatriculas[[#This Row],[Código]],tblBase[Documento]&amp;"|"&amp;tblBase[Código grupo],tblBase[Fecha matrícula],"")</f>
        <v>46265</v>
      </c>
    </row>
    <row r="698" spans="1:26" x14ac:dyDescent="0.2">
      <c r="A698" t="s">
        <v>1507</v>
      </c>
      <c r="B698" t="s">
        <v>1508</v>
      </c>
      <c r="C698" t="s">
        <v>13</v>
      </c>
      <c r="D698" t="s">
        <v>1509</v>
      </c>
      <c r="E698" t="s">
        <v>1510</v>
      </c>
      <c r="F698" t="s">
        <v>516</v>
      </c>
      <c r="G698" s="1">
        <v>6.7000000000000004E-2</v>
      </c>
      <c r="H698" t="s">
        <v>166</v>
      </c>
      <c r="I698" t="s">
        <v>1145</v>
      </c>
      <c r="J698" t="s">
        <v>1511</v>
      </c>
      <c r="K698" t="s">
        <v>24</v>
      </c>
      <c r="L698" s="14">
        <f>IFERROR(VALUE(LEFT(tblMatriculas[[#This Row],[Clases]],FIND("/",tblMatriculas[[#This Row],[Clases]])-1)),"")</f>
        <v>2</v>
      </c>
      <c r="M698" s="14">
        <f>IFERROR(VALUE(MID(tblMatriculas[[#This Row],[Clases]],FIND("/",tblMatriculas[[#This Row],[Clases]])+1,5)),"")</f>
        <v>30</v>
      </c>
      <c r="N6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698" s="14">
        <f>IF(OR(tblMatriculas[[#This Row],[Estado]]&lt;&gt;"activa",tblMatriculas[[#This Row],[Clases dictadas]]=""),"",MAX(0,tblMatriculas[[#This Row],[Clases dictadas]]-tblMatriculas[[#This Row],[Asistidas]]))</f>
        <v>0</v>
      </c>
      <c r="P698" s="1">
        <f>IF(OR(tblMatriculas[[#This Row],[Estado]]&lt;&gt;"activa",tblMatriculas[[#This Row],[Asistidas]]=""),"",tblMatriculas[[#This Row],[Asistencia]])</f>
        <v>6.7000000000000004E-2</v>
      </c>
      <c r="Q698" t="b">
        <f>AND(tblMatriculas[[#This Row],[Estado]]="activa",ISNUMBER(tblMatriculas[[#This Row],[% asistencia]]),NOT(ISNUMBER(SEARCH(pPrueba,tblMatriculas[[#This Row],[Nombre]]))))</f>
        <v>1</v>
      </c>
      <c r="R6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98" s="23" t="str" cm="1">
        <f t="array" ref="S6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8" s="23" t="str" cm="1">
        <f t="array" ref="T6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8" s="14" t="str" cm="1">
        <f t="array" ref="U6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8" t="str" cm="1">
        <f t="array" ref="V6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8" t="str" cm="1">
        <f t="array" ref="W6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98" t="str">
        <f>IF(COUNTIFS('Base Estudiantes'!$C:$C,tblMatriculas[[#This Row],[Cédula]],'Base Estudiantes'!$I:$I,tblMatriculas[[#This Row],[Código]])&gt;0,"Sí","No")</f>
        <v>Sí</v>
      </c>
      <c r="Z698" s="23" cm="1">
        <f t="array" ref="Z698">_xlfn.XLOOKUP(tblMatriculas[[#This Row],[Cédula]]&amp;"|"&amp;tblMatriculas[[#This Row],[Código]],tblBase[Documento]&amp;"|"&amp;tblBase[Código grupo],tblBase[Fecha matrícula],"")</f>
        <v>46262</v>
      </c>
    </row>
    <row r="699" spans="1:26" x14ac:dyDescent="0.2">
      <c r="A699" t="s">
        <v>1512</v>
      </c>
      <c r="B699" t="s">
        <v>1513</v>
      </c>
      <c r="C699" t="s">
        <v>13</v>
      </c>
      <c r="D699" t="s">
        <v>1509</v>
      </c>
      <c r="E699" t="s">
        <v>1510</v>
      </c>
      <c r="F699" t="s">
        <v>516</v>
      </c>
      <c r="G699" s="1">
        <v>6.7000000000000004E-2</v>
      </c>
      <c r="H699" t="s">
        <v>166</v>
      </c>
      <c r="I699" t="s">
        <v>1145</v>
      </c>
      <c r="J699" t="s">
        <v>1511</v>
      </c>
      <c r="K699" t="s">
        <v>24</v>
      </c>
      <c r="L699" s="14">
        <f>IFERROR(VALUE(LEFT(tblMatriculas[[#This Row],[Clases]],FIND("/",tblMatriculas[[#This Row],[Clases]])-1)),"")</f>
        <v>2</v>
      </c>
      <c r="M699" s="14">
        <f>IFERROR(VALUE(MID(tblMatriculas[[#This Row],[Clases]],FIND("/",tblMatriculas[[#This Row],[Clases]])+1,5)),"")</f>
        <v>30</v>
      </c>
      <c r="N6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699" s="14">
        <f>IF(OR(tblMatriculas[[#This Row],[Estado]]&lt;&gt;"activa",tblMatriculas[[#This Row],[Clases dictadas]]=""),"",MAX(0,tblMatriculas[[#This Row],[Clases dictadas]]-tblMatriculas[[#This Row],[Asistidas]]))</f>
        <v>0</v>
      </c>
      <c r="P699" s="1">
        <f>IF(OR(tblMatriculas[[#This Row],[Estado]]&lt;&gt;"activa",tblMatriculas[[#This Row],[Asistidas]]=""),"",tblMatriculas[[#This Row],[Asistencia]])</f>
        <v>6.7000000000000004E-2</v>
      </c>
      <c r="Q699" t="b">
        <f>AND(tblMatriculas[[#This Row],[Estado]]="activa",ISNUMBER(tblMatriculas[[#This Row],[% asistencia]]),NOT(ISNUMBER(SEARCH(pPrueba,tblMatriculas[[#This Row],[Nombre]]))))</f>
        <v>1</v>
      </c>
      <c r="R6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699" s="23" t="str" cm="1">
        <f t="array" ref="S6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699" s="23" t="str" cm="1">
        <f t="array" ref="T6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699" s="14" t="str" cm="1">
        <f t="array" ref="U6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699" t="str" cm="1">
        <f t="array" ref="V6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699" t="str" cm="1">
        <f t="array" ref="W6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6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699" t="str">
        <f>IF(COUNTIFS('Base Estudiantes'!$C:$C,tblMatriculas[[#This Row],[Cédula]],'Base Estudiantes'!$I:$I,tblMatriculas[[#This Row],[Código]])&gt;0,"Sí","No")</f>
        <v>Sí</v>
      </c>
      <c r="Z699" s="23" cm="1">
        <f t="array" ref="Z699">_xlfn.XLOOKUP(tblMatriculas[[#This Row],[Cédula]]&amp;"|"&amp;tblMatriculas[[#This Row],[Código]],tblBase[Documento]&amp;"|"&amp;tblBase[Código grupo],tblBase[Fecha matrícula],"")</f>
        <v>46262</v>
      </c>
    </row>
    <row r="700" spans="1:26" x14ac:dyDescent="0.2">
      <c r="A700" t="s">
        <v>1514</v>
      </c>
      <c r="B700" t="s">
        <v>1515</v>
      </c>
      <c r="C700" t="s">
        <v>13</v>
      </c>
      <c r="D700" t="s">
        <v>1509</v>
      </c>
      <c r="E700" t="s">
        <v>1510</v>
      </c>
      <c r="F700" t="s">
        <v>516</v>
      </c>
      <c r="G700" s="1">
        <v>6.7000000000000004E-2</v>
      </c>
      <c r="H700" t="s">
        <v>166</v>
      </c>
      <c r="I700" t="s">
        <v>1145</v>
      </c>
      <c r="J700" t="s">
        <v>1511</v>
      </c>
      <c r="K700" t="s">
        <v>24</v>
      </c>
      <c r="L700" s="14">
        <f>IFERROR(VALUE(LEFT(tblMatriculas[[#This Row],[Clases]],FIND("/",tblMatriculas[[#This Row],[Clases]])-1)),"")</f>
        <v>2</v>
      </c>
      <c r="M700" s="14">
        <f>IFERROR(VALUE(MID(tblMatriculas[[#This Row],[Clases]],FIND("/",tblMatriculas[[#This Row],[Clases]])+1,5)),"")</f>
        <v>30</v>
      </c>
      <c r="N7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0" s="14">
        <f>IF(OR(tblMatriculas[[#This Row],[Estado]]&lt;&gt;"activa",tblMatriculas[[#This Row],[Clases dictadas]]=""),"",MAX(0,tblMatriculas[[#This Row],[Clases dictadas]]-tblMatriculas[[#This Row],[Asistidas]]))</f>
        <v>0</v>
      </c>
      <c r="P700" s="1">
        <f>IF(OR(tblMatriculas[[#This Row],[Estado]]&lt;&gt;"activa",tblMatriculas[[#This Row],[Asistidas]]=""),"",tblMatriculas[[#This Row],[Asistencia]])</f>
        <v>6.7000000000000004E-2</v>
      </c>
      <c r="Q700" t="b">
        <f>AND(tblMatriculas[[#This Row],[Estado]]="activa",ISNUMBER(tblMatriculas[[#This Row],[% asistencia]]),NOT(ISNUMBER(SEARCH(pPrueba,tblMatriculas[[#This Row],[Nombre]]))))</f>
        <v>1</v>
      </c>
      <c r="R7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0" s="23" t="str" cm="1">
        <f t="array" ref="S7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0" s="23" t="str" cm="1">
        <f t="array" ref="T7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0" s="14" t="str" cm="1">
        <f t="array" ref="U7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0" t="str" cm="1">
        <f t="array" ref="V7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0" t="str" cm="1">
        <f t="array" ref="W7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0" t="str">
        <f>IF(COUNTIFS('Base Estudiantes'!$C:$C,tblMatriculas[[#This Row],[Cédula]],'Base Estudiantes'!$I:$I,tblMatriculas[[#This Row],[Código]])&gt;0,"Sí","No")</f>
        <v>Sí</v>
      </c>
      <c r="Z700" s="23" cm="1">
        <f t="array" ref="Z700">_xlfn.XLOOKUP(tblMatriculas[[#This Row],[Cédula]]&amp;"|"&amp;tblMatriculas[[#This Row],[Código]],tblBase[Documento]&amp;"|"&amp;tblBase[Código grupo],tblBase[Fecha matrícula],"")</f>
        <v>46262</v>
      </c>
    </row>
    <row r="701" spans="1:26" x14ac:dyDescent="0.2">
      <c r="A701" t="s">
        <v>1516</v>
      </c>
      <c r="B701" t="s">
        <v>1517</v>
      </c>
      <c r="C701" t="s">
        <v>13</v>
      </c>
      <c r="D701" t="s">
        <v>1509</v>
      </c>
      <c r="E701" t="s">
        <v>1510</v>
      </c>
      <c r="F701" t="s">
        <v>516</v>
      </c>
      <c r="G701" s="1">
        <v>6.7000000000000004E-2</v>
      </c>
      <c r="H701" t="s">
        <v>166</v>
      </c>
      <c r="I701" t="s">
        <v>1145</v>
      </c>
      <c r="J701" t="s">
        <v>1511</v>
      </c>
      <c r="K701" t="s">
        <v>24</v>
      </c>
      <c r="L701" s="14">
        <f>IFERROR(VALUE(LEFT(tblMatriculas[[#This Row],[Clases]],FIND("/",tblMatriculas[[#This Row],[Clases]])-1)),"")</f>
        <v>2</v>
      </c>
      <c r="M701" s="14">
        <f>IFERROR(VALUE(MID(tblMatriculas[[#This Row],[Clases]],FIND("/",tblMatriculas[[#This Row],[Clases]])+1,5)),"")</f>
        <v>30</v>
      </c>
      <c r="N7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1" s="14">
        <f>IF(OR(tblMatriculas[[#This Row],[Estado]]&lt;&gt;"activa",tblMatriculas[[#This Row],[Clases dictadas]]=""),"",MAX(0,tblMatriculas[[#This Row],[Clases dictadas]]-tblMatriculas[[#This Row],[Asistidas]]))</f>
        <v>0</v>
      </c>
      <c r="P701" s="1">
        <f>IF(OR(tblMatriculas[[#This Row],[Estado]]&lt;&gt;"activa",tblMatriculas[[#This Row],[Asistidas]]=""),"",tblMatriculas[[#This Row],[Asistencia]])</f>
        <v>6.7000000000000004E-2</v>
      </c>
      <c r="Q701" t="b">
        <f>AND(tblMatriculas[[#This Row],[Estado]]="activa",ISNUMBER(tblMatriculas[[#This Row],[% asistencia]]),NOT(ISNUMBER(SEARCH(pPrueba,tblMatriculas[[#This Row],[Nombre]]))))</f>
        <v>1</v>
      </c>
      <c r="R7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1" s="23" t="str" cm="1">
        <f t="array" ref="S7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1" s="23" t="str" cm="1">
        <f t="array" ref="T7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1" s="14" t="str" cm="1">
        <f t="array" ref="U7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1" t="str" cm="1">
        <f t="array" ref="V7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1" t="str" cm="1">
        <f t="array" ref="W7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1" t="str">
        <f>IF(COUNTIFS('Base Estudiantes'!$C:$C,tblMatriculas[[#This Row],[Cédula]],'Base Estudiantes'!$I:$I,tblMatriculas[[#This Row],[Código]])&gt;0,"Sí","No")</f>
        <v>Sí</v>
      </c>
      <c r="Z701" s="23" cm="1">
        <f t="array" ref="Z701">_xlfn.XLOOKUP(tblMatriculas[[#This Row],[Cédula]]&amp;"|"&amp;tblMatriculas[[#This Row],[Código]],tblBase[Documento]&amp;"|"&amp;tblBase[Código grupo],tblBase[Fecha matrícula],"")</f>
        <v>46262</v>
      </c>
    </row>
    <row r="702" spans="1:26" x14ac:dyDescent="0.2">
      <c r="A702" t="s">
        <v>1518</v>
      </c>
      <c r="B702" t="s">
        <v>1519</v>
      </c>
      <c r="C702" t="s">
        <v>13</v>
      </c>
      <c r="D702" t="s">
        <v>1509</v>
      </c>
      <c r="E702" t="s">
        <v>1510</v>
      </c>
      <c r="F702" t="s">
        <v>516</v>
      </c>
      <c r="G702" s="1">
        <v>0</v>
      </c>
      <c r="H702" t="s">
        <v>254</v>
      </c>
      <c r="I702" t="s">
        <v>1145</v>
      </c>
      <c r="J702" t="s">
        <v>1511</v>
      </c>
      <c r="K702" t="s">
        <v>24</v>
      </c>
      <c r="L702" s="14">
        <f>IFERROR(VALUE(LEFT(tblMatriculas[[#This Row],[Clases]],FIND("/",tblMatriculas[[#This Row],[Clases]])-1)),"")</f>
        <v>0</v>
      </c>
      <c r="M702" s="14">
        <f>IFERROR(VALUE(MID(tblMatriculas[[#This Row],[Clases]],FIND("/",tblMatriculas[[#This Row],[Clases]])+1,5)),"")</f>
        <v>30</v>
      </c>
      <c r="N7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2" s="14">
        <f>IF(OR(tblMatriculas[[#This Row],[Estado]]&lt;&gt;"activa",tblMatriculas[[#This Row],[Clases dictadas]]=""),"",MAX(0,tblMatriculas[[#This Row],[Clases dictadas]]-tblMatriculas[[#This Row],[Asistidas]]))</f>
        <v>2</v>
      </c>
      <c r="P702" s="1">
        <f>IF(OR(tblMatriculas[[#This Row],[Estado]]&lt;&gt;"activa",tblMatriculas[[#This Row],[Asistidas]]=""),"",tblMatriculas[[#This Row],[Asistencia]])</f>
        <v>0</v>
      </c>
      <c r="Q702" t="b">
        <f>AND(tblMatriculas[[#This Row],[Estado]]="activa",ISNUMBER(tblMatriculas[[#This Row],[% asistencia]]),NOT(ISNUMBER(SEARCH(pPrueba,tblMatriculas[[#This Row],[Nombre]]))))</f>
        <v>1</v>
      </c>
      <c r="R7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02" s="23" t="str" cm="1">
        <f t="array" ref="S7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2" s="23" t="str" cm="1">
        <f t="array" ref="T7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2" s="14" t="str" cm="1">
        <f t="array" ref="U7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2" t="str" cm="1">
        <f t="array" ref="V7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2" t="str" cm="1">
        <f t="array" ref="W7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02" t="str">
        <f>IF(COUNTIFS('Base Estudiantes'!$C:$C,tblMatriculas[[#This Row],[Cédula]],'Base Estudiantes'!$I:$I,tblMatriculas[[#This Row],[Código]])&gt;0,"Sí","No")</f>
        <v>Sí</v>
      </c>
      <c r="Z702" s="23" cm="1">
        <f t="array" ref="Z702">_xlfn.XLOOKUP(tblMatriculas[[#This Row],[Cédula]]&amp;"|"&amp;tblMatriculas[[#This Row],[Código]],tblBase[Documento]&amp;"|"&amp;tblBase[Código grupo],tblBase[Fecha matrícula],"")</f>
        <v>46262</v>
      </c>
    </row>
    <row r="703" spans="1:26" x14ac:dyDescent="0.2">
      <c r="A703" t="s">
        <v>1520</v>
      </c>
      <c r="B703" t="s">
        <v>1521</v>
      </c>
      <c r="C703" t="s">
        <v>13</v>
      </c>
      <c r="D703" t="s">
        <v>1509</v>
      </c>
      <c r="E703" t="s">
        <v>1510</v>
      </c>
      <c r="F703" t="s">
        <v>516</v>
      </c>
      <c r="G703" s="1">
        <v>6.7000000000000004E-2</v>
      </c>
      <c r="H703" t="s">
        <v>166</v>
      </c>
      <c r="I703" t="s">
        <v>1145</v>
      </c>
      <c r="J703" t="s">
        <v>1511</v>
      </c>
      <c r="K703" t="s">
        <v>24</v>
      </c>
      <c r="L703" s="14">
        <f>IFERROR(VALUE(LEFT(tblMatriculas[[#This Row],[Clases]],FIND("/",tblMatriculas[[#This Row],[Clases]])-1)),"")</f>
        <v>2</v>
      </c>
      <c r="M703" s="14">
        <f>IFERROR(VALUE(MID(tblMatriculas[[#This Row],[Clases]],FIND("/",tblMatriculas[[#This Row],[Clases]])+1,5)),"")</f>
        <v>30</v>
      </c>
      <c r="N7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3" s="14">
        <f>IF(OR(tblMatriculas[[#This Row],[Estado]]&lt;&gt;"activa",tblMatriculas[[#This Row],[Clases dictadas]]=""),"",MAX(0,tblMatriculas[[#This Row],[Clases dictadas]]-tblMatriculas[[#This Row],[Asistidas]]))</f>
        <v>0</v>
      </c>
      <c r="P703" s="1">
        <f>IF(OR(tblMatriculas[[#This Row],[Estado]]&lt;&gt;"activa",tblMatriculas[[#This Row],[Asistidas]]=""),"",tblMatriculas[[#This Row],[Asistencia]])</f>
        <v>6.7000000000000004E-2</v>
      </c>
      <c r="Q703" t="b">
        <f>AND(tblMatriculas[[#This Row],[Estado]]="activa",ISNUMBER(tblMatriculas[[#This Row],[% asistencia]]),NOT(ISNUMBER(SEARCH(pPrueba,tblMatriculas[[#This Row],[Nombre]]))))</f>
        <v>1</v>
      </c>
      <c r="R7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3" s="23" t="str" cm="1">
        <f t="array" ref="S7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3" s="23" t="str" cm="1">
        <f t="array" ref="T7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3" s="14" t="str" cm="1">
        <f t="array" ref="U7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3" t="str" cm="1">
        <f t="array" ref="V7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3" t="str" cm="1">
        <f t="array" ref="W7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3" t="str">
        <f>IF(COUNTIFS('Base Estudiantes'!$C:$C,tblMatriculas[[#This Row],[Cédula]],'Base Estudiantes'!$I:$I,tblMatriculas[[#This Row],[Código]])&gt;0,"Sí","No")</f>
        <v>Sí</v>
      </c>
      <c r="Z703" s="23" cm="1">
        <f t="array" ref="Z703">_xlfn.XLOOKUP(tblMatriculas[[#This Row],[Cédula]]&amp;"|"&amp;tblMatriculas[[#This Row],[Código]],tblBase[Documento]&amp;"|"&amp;tblBase[Código grupo],tblBase[Fecha matrícula],"")</f>
        <v>46262</v>
      </c>
    </row>
    <row r="704" spans="1:26" x14ac:dyDescent="0.2">
      <c r="A704" t="s">
        <v>1522</v>
      </c>
      <c r="B704" t="s">
        <v>1523</v>
      </c>
      <c r="C704" t="s">
        <v>13</v>
      </c>
      <c r="D704" t="s">
        <v>1509</v>
      </c>
      <c r="E704" t="s">
        <v>1510</v>
      </c>
      <c r="F704" t="s">
        <v>516</v>
      </c>
      <c r="G704" s="1">
        <v>6.7000000000000004E-2</v>
      </c>
      <c r="H704" t="s">
        <v>166</v>
      </c>
      <c r="I704" t="s">
        <v>1145</v>
      </c>
      <c r="J704" t="s">
        <v>1511</v>
      </c>
      <c r="K704" t="s">
        <v>24</v>
      </c>
      <c r="L704" s="14">
        <f>IFERROR(VALUE(LEFT(tblMatriculas[[#This Row],[Clases]],FIND("/",tblMatriculas[[#This Row],[Clases]])-1)),"")</f>
        <v>2</v>
      </c>
      <c r="M704" s="14">
        <f>IFERROR(VALUE(MID(tblMatriculas[[#This Row],[Clases]],FIND("/",tblMatriculas[[#This Row],[Clases]])+1,5)),"")</f>
        <v>30</v>
      </c>
      <c r="N7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4" s="14">
        <f>IF(OR(tblMatriculas[[#This Row],[Estado]]&lt;&gt;"activa",tblMatriculas[[#This Row],[Clases dictadas]]=""),"",MAX(0,tblMatriculas[[#This Row],[Clases dictadas]]-tblMatriculas[[#This Row],[Asistidas]]))</f>
        <v>0</v>
      </c>
      <c r="P704" s="1">
        <f>IF(OR(tblMatriculas[[#This Row],[Estado]]&lt;&gt;"activa",tblMatriculas[[#This Row],[Asistidas]]=""),"",tblMatriculas[[#This Row],[Asistencia]])</f>
        <v>6.7000000000000004E-2</v>
      </c>
      <c r="Q704" t="b">
        <f>AND(tblMatriculas[[#This Row],[Estado]]="activa",ISNUMBER(tblMatriculas[[#This Row],[% asistencia]]),NOT(ISNUMBER(SEARCH(pPrueba,tblMatriculas[[#This Row],[Nombre]]))))</f>
        <v>1</v>
      </c>
      <c r="R7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4" s="23" t="str" cm="1">
        <f t="array" ref="S7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4" s="23" t="str" cm="1">
        <f t="array" ref="T7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4" s="14" t="str" cm="1">
        <f t="array" ref="U7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4" t="str" cm="1">
        <f t="array" ref="V7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4" t="str" cm="1">
        <f t="array" ref="W7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4" t="str">
        <f>IF(COUNTIFS('Base Estudiantes'!$C:$C,tblMatriculas[[#This Row],[Cédula]],'Base Estudiantes'!$I:$I,tblMatriculas[[#This Row],[Código]])&gt;0,"Sí","No")</f>
        <v>Sí</v>
      </c>
      <c r="Z704" s="23" cm="1">
        <f t="array" ref="Z704">_xlfn.XLOOKUP(tblMatriculas[[#This Row],[Cédula]]&amp;"|"&amp;tblMatriculas[[#This Row],[Código]],tblBase[Documento]&amp;"|"&amp;tblBase[Código grupo],tblBase[Fecha matrícula],"")</f>
        <v>46262</v>
      </c>
    </row>
    <row r="705" spans="1:26" x14ac:dyDescent="0.2">
      <c r="A705" t="s">
        <v>1524</v>
      </c>
      <c r="B705" t="s">
        <v>1525</v>
      </c>
      <c r="C705" t="s">
        <v>13</v>
      </c>
      <c r="D705" t="s">
        <v>1509</v>
      </c>
      <c r="E705" t="s">
        <v>1510</v>
      </c>
      <c r="F705" t="s">
        <v>516</v>
      </c>
      <c r="G705" s="1">
        <v>6.7000000000000004E-2</v>
      </c>
      <c r="H705" t="s">
        <v>166</v>
      </c>
      <c r="I705" t="s">
        <v>1145</v>
      </c>
      <c r="J705" t="s">
        <v>1511</v>
      </c>
      <c r="K705" t="s">
        <v>24</v>
      </c>
      <c r="L705" s="14">
        <f>IFERROR(VALUE(LEFT(tblMatriculas[[#This Row],[Clases]],FIND("/",tblMatriculas[[#This Row],[Clases]])-1)),"")</f>
        <v>2</v>
      </c>
      <c r="M705" s="14">
        <f>IFERROR(VALUE(MID(tblMatriculas[[#This Row],[Clases]],FIND("/",tblMatriculas[[#This Row],[Clases]])+1,5)),"")</f>
        <v>30</v>
      </c>
      <c r="N7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5" s="14">
        <f>IF(OR(tblMatriculas[[#This Row],[Estado]]&lt;&gt;"activa",tblMatriculas[[#This Row],[Clases dictadas]]=""),"",MAX(0,tblMatriculas[[#This Row],[Clases dictadas]]-tblMatriculas[[#This Row],[Asistidas]]))</f>
        <v>0</v>
      </c>
      <c r="P705" s="1">
        <f>IF(OR(tblMatriculas[[#This Row],[Estado]]&lt;&gt;"activa",tblMatriculas[[#This Row],[Asistidas]]=""),"",tblMatriculas[[#This Row],[Asistencia]])</f>
        <v>6.7000000000000004E-2</v>
      </c>
      <c r="Q705" t="b">
        <f>AND(tblMatriculas[[#This Row],[Estado]]="activa",ISNUMBER(tblMatriculas[[#This Row],[% asistencia]]),NOT(ISNUMBER(SEARCH(pPrueba,tblMatriculas[[#This Row],[Nombre]]))))</f>
        <v>1</v>
      </c>
      <c r="R7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5" s="23" t="str" cm="1">
        <f t="array" ref="S7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5" s="23" t="str" cm="1">
        <f t="array" ref="T7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5" s="14" t="str" cm="1">
        <f t="array" ref="U7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5" t="str" cm="1">
        <f t="array" ref="V7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5" t="str" cm="1">
        <f t="array" ref="W7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5" t="str">
        <f>IF(COUNTIFS('Base Estudiantes'!$C:$C,tblMatriculas[[#This Row],[Cédula]],'Base Estudiantes'!$I:$I,tblMatriculas[[#This Row],[Código]])&gt;0,"Sí","No")</f>
        <v>Sí</v>
      </c>
      <c r="Z705" s="23" cm="1">
        <f t="array" ref="Z705">_xlfn.XLOOKUP(tblMatriculas[[#This Row],[Cédula]]&amp;"|"&amp;tblMatriculas[[#This Row],[Código]],tblBase[Documento]&amp;"|"&amp;tblBase[Código grupo],tblBase[Fecha matrícula],"")</f>
        <v>46262</v>
      </c>
    </row>
    <row r="706" spans="1:26" x14ac:dyDescent="0.2">
      <c r="A706" t="s">
        <v>1526</v>
      </c>
      <c r="B706" t="s">
        <v>1527</v>
      </c>
      <c r="C706" t="s">
        <v>13</v>
      </c>
      <c r="D706" t="s">
        <v>1509</v>
      </c>
      <c r="E706" t="s">
        <v>1510</v>
      </c>
      <c r="F706" t="s">
        <v>516</v>
      </c>
      <c r="G706" s="1">
        <v>6.7000000000000004E-2</v>
      </c>
      <c r="H706" t="s">
        <v>166</v>
      </c>
      <c r="I706" t="s">
        <v>1145</v>
      </c>
      <c r="J706" t="s">
        <v>1511</v>
      </c>
      <c r="K706" t="s">
        <v>24</v>
      </c>
      <c r="L706" s="14">
        <f>IFERROR(VALUE(LEFT(tblMatriculas[[#This Row],[Clases]],FIND("/",tblMatriculas[[#This Row],[Clases]])-1)),"")</f>
        <v>2</v>
      </c>
      <c r="M706" s="14">
        <f>IFERROR(VALUE(MID(tblMatriculas[[#This Row],[Clases]],FIND("/",tblMatriculas[[#This Row],[Clases]])+1,5)),"")</f>
        <v>30</v>
      </c>
      <c r="N7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6" s="14">
        <f>IF(OR(tblMatriculas[[#This Row],[Estado]]&lt;&gt;"activa",tblMatriculas[[#This Row],[Clases dictadas]]=""),"",MAX(0,tblMatriculas[[#This Row],[Clases dictadas]]-tblMatriculas[[#This Row],[Asistidas]]))</f>
        <v>0</v>
      </c>
      <c r="P706" s="1">
        <f>IF(OR(tblMatriculas[[#This Row],[Estado]]&lt;&gt;"activa",tblMatriculas[[#This Row],[Asistidas]]=""),"",tblMatriculas[[#This Row],[Asistencia]])</f>
        <v>6.7000000000000004E-2</v>
      </c>
      <c r="Q706" t="b">
        <f>AND(tblMatriculas[[#This Row],[Estado]]="activa",ISNUMBER(tblMatriculas[[#This Row],[% asistencia]]),NOT(ISNUMBER(SEARCH(pPrueba,tblMatriculas[[#This Row],[Nombre]]))))</f>
        <v>1</v>
      </c>
      <c r="R7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6" s="23" t="str" cm="1">
        <f t="array" ref="S7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6" s="23" t="str" cm="1">
        <f t="array" ref="T7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6" s="14" t="str" cm="1">
        <f t="array" ref="U7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6" t="str" cm="1">
        <f t="array" ref="V7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6" t="str" cm="1">
        <f t="array" ref="W7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6" t="str">
        <f>IF(COUNTIFS('Base Estudiantes'!$C:$C,tblMatriculas[[#This Row],[Cédula]],'Base Estudiantes'!$I:$I,tblMatriculas[[#This Row],[Código]])&gt;0,"Sí","No")</f>
        <v>Sí</v>
      </c>
      <c r="Z706" s="23" cm="1">
        <f t="array" ref="Z706">_xlfn.XLOOKUP(tblMatriculas[[#This Row],[Cédula]]&amp;"|"&amp;tblMatriculas[[#This Row],[Código]],tblBase[Documento]&amp;"|"&amp;tblBase[Código grupo],tblBase[Fecha matrícula],"")</f>
        <v>46262</v>
      </c>
    </row>
    <row r="707" spans="1:26" x14ac:dyDescent="0.2">
      <c r="A707" t="s">
        <v>1528</v>
      </c>
      <c r="B707" t="s">
        <v>1529</v>
      </c>
      <c r="C707" t="s">
        <v>13</v>
      </c>
      <c r="D707" t="s">
        <v>1509</v>
      </c>
      <c r="E707" t="s">
        <v>1510</v>
      </c>
      <c r="F707" t="s">
        <v>516</v>
      </c>
      <c r="G707" s="1">
        <v>6.7000000000000004E-2</v>
      </c>
      <c r="H707" t="s">
        <v>166</v>
      </c>
      <c r="I707" t="s">
        <v>1145</v>
      </c>
      <c r="J707" t="s">
        <v>1511</v>
      </c>
      <c r="K707" t="s">
        <v>24</v>
      </c>
      <c r="L707" s="14">
        <f>IFERROR(VALUE(LEFT(tblMatriculas[[#This Row],[Clases]],FIND("/",tblMatriculas[[#This Row],[Clases]])-1)),"")</f>
        <v>2</v>
      </c>
      <c r="M707" s="14">
        <f>IFERROR(VALUE(MID(tblMatriculas[[#This Row],[Clases]],FIND("/",tblMatriculas[[#This Row],[Clases]])+1,5)),"")</f>
        <v>30</v>
      </c>
      <c r="N7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7" s="14">
        <f>IF(OR(tblMatriculas[[#This Row],[Estado]]&lt;&gt;"activa",tblMatriculas[[#This Row],[Clases dictadas]]=""),"",MAX(0,tblMatriculas[[#This Row],[Clases dictadas]]-tblMatriculas[[#This Row],[Asistidas]]))</f>
        <v>0</v>
      </c>
      <c r="P707" s="1">
        <f>IF(OR(tblMatriculas[[#This Row],[Estado]]&lt;&gt;"activa",tblMatriculas[[#This Row],[Asistidas]]=""),"",tblMatriculas[[#This Row],[Asistencia]])</f>
        <v>6.7000000000000004E-2</v>
      </c>
      <c r="Q707" t="b">
        <f>AND(tblMatriculas[[#This Row],[Estado]]="activa",ISNUMBER(tblMatriculas[[#This Row],[% asistencia]]),NOT(ISNUMBER(SEARCH(pPrueba,tblMatriculas[[#This Row],[Nombre]]))))</f>
        <v>1</v>
      </c>
      <c r="R7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7" s="23" t="str" cm="1">
        <f t="array" ref="S7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7" s="23" t="str" cm="1">
        <f t="array" ref="T7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7" s="14" t="str" cm="1">
        <f t="array" ref="U7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7" t="str" cm="1">
        <f t="array" ref="V7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7" t="str" cm="1">
        <f t="array" ref="W7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7" t="str">
        <f>IF(COUNTIFS('Base Estudiantes'!$C:$C,tblMatriculas[[#This Row],[Cédula]],'Base Estudiantes'!$I:$I,tblMatriculas[[#This Row],[Código]])&gt;0,"Sí","No")</f>
        <v>Sí</v>
      </c>
      <c r="Z707" s="23" cm="1">
        <f t="array" ref="Z707">_xlfn.XLOOKUP(tblMatriculas[[#This Row],[Cédula]]&amp;"|"&amp;tblMatriculas[[#This Row],[Código]],tblBase[Documento]&amp;"|"&amp;tblBase[Código grupo],tblBase[Fecha matrícula],"")</f>
        <v>46262</v>
      </c>
    </row>
    <row r="708" spans="1:26" x14ac:dyDescent="0.2">
      <c r="A708" t="s">
        <v>1530</v>
      </c>
      <c r="B708" t="s">
        <v>1531</v>
      </c>
      <c r="C708" t="s">
        <v>13</v>
      </c>
      <c r="D708" t="s">
        <v>1509</v>
      </c>
      <c r="E708" t="s">
        <v>1510</v>
      </c>
      <c r="F708" t="s">
        <v>516</v>
      </c>
      <c r="G708" s="1">
        <v>0</v>
      </c>
      <c r="H708" t="s">
        <v>254</v>
      </c>
      <c r="I708" t="s">
        <v>1145</v>
      </c>
      <c r="J708" t="s">
        <v>1511</v>
      </c>
      <c r="K708" t="s">
        <v>24</v>
      </c>
      <c r="L708" s="14">
        <f>IFERROR(VALUE(LEFT(tblMatriculas[[#This Row],[Clases]],FIND("/",tblMatriculas[[#This Row],[Clases]])-1)),"")</f>
        <v>0</v>
      </c>
      <c r="M708" s="14">
        <f>IFERROR(VALUE(MID(tblMatriculas[[#This Row],[Clases]],FIND("/",tblMatriculas[[#This Row],[Clases]])+1,5)),"")</f>
        <v>30</v>
      </c>
      <c r="N7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8" s="14">
        <f>IF(OR(tblMatriculas[[#This Row],[Estado]]&lt;&gt;"activa",tblMatriculas[[#This Row],[Clases dictadas]]=""),"",MAX(0,tblMatriculas[[#This Row],[Clases dictadas]]-tblMatriculas[[#This Row],[Asistidas]]))</f>
        <v>2</v>
      </c>
      <c r="P708" s="1">
        <f>IF(OR(tblMatriculas[[#This Row],[Estado]]&lt;&gt;"activa",tblMatriculas[[#This Row],[Asistidas]]=""),"",tblMatriculas[[#This Row],[Asistencia]])</f>
        <v>0</v>
      </c>
      <c r="Q708" t="b">
        <f>AND(tblMatriculas[[#This Row],[Estado]]="activa",ISNUMBER(tblMatriculas[[#This Row],[% asistencia]]),NOT(ISNUMBER(SEARCH(pPrueba,tblMatriculas[[#This Row],[Nombre]]))))</f>
        <v>1</v>
      </c>
      <c r="R7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08" s="23" t="str" cm="1">
        <f t="array" ref="S7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8" s="23" t="str" cm="1">
        <f t="array" ref="T7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8" s="14" t="str" cm="1">
        <f t="array" ref="U7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8" t="str" cm="1">
        <f t="array" ref="V7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8" t="str" cm="1">
        <f t="array" ref="W7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08" t="str">
        <f>IF(COUNTIFS('Base Estudiantes'!$C:$C,tblMatriculas[[#This Row],[Cédula]],'Base Estudiantes'!$I:$I,tblMatriculas[[#This Row],[Código]])&gt;0,"Sí","No")</f>
        <v>Sí</v>
      </c>
      <c r="Z708" s="23" cm="1">
        <f t="array" ref="Z708">_xlfn.XLOOKUP(tblMatriculas[[#This Row],[Cédula]]&amp;"|"&amp;tblMatriculas[[#This Row],[Código]],tblBase[Documento]&amp;"|"&amp;tblBase[Código grupo],tblBase[Fecha matrícula],"")</f>
        <v>46262</v>
      </c>
    </row>
    <row r="709" spans="1:26" x14ac:dyDescent="0.2">
      <c r="A709" t="s">
        <v>1532</v>
      </c>
      <c r="B709" t="s">
        <v>1533</v>
      </c>
      <c r="C709" t="s">
        <v>13</v>
      </c>
      <c r="D709" t="s">
        <v>1509</v>
      </c>
      <c r="E709" t="s">
        <v>1510</v>
      </c>
      <c r="F709" t="s">
        <v>516</v>
      </c>
      <c r="G709" s="1">
        <v>6.7000000000000004E-2</v>
      </c>
      <c r="H709" t="s">
        <v>166</v>
      </c>
      <c r="I709" t="s">
        <v>1145</v>
      </c>
      <c r="J709" t="s">
        <v>1511</v>
      </c>
      <c r="K709" t="s">
        <v>24</v>
      </c>
      <c r="L709" s="14">
        <f>IFERROR(VALUE(LEFT(tblMatriculas[[#This Row],[Clases]],FIND("/",tblMatriculas[[#This Row],[Clases]])-1)),"")</f>
        <v>2</v>
      </c>
      <c r="M709" s="14">
        <f>IFERROR(VALUE(MID(tblMatriculas[[#This Row],[Clases]],FIND("/",tblMatriculas[[#This Row],[Clases]])+1,5)),"")</f>
        <v>30</v>
      </c>
      <c r="N7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09" s="14">
        <f>IF(OR(tblMatriculas[[#This Row],[Estado]]&lt;&gt;"activa",tblMatriculas[[#This Row],[Clases dictadas]]=""),"",MAX(0,tblMatriculas[[#This Row],[Clases dictadas]]-tblMatriculas[[#This Row],[Asistidas]]))</f>
        <v>0</v>
      </c>
      <c r="P709" s="1">
        <f>IF(OR(tblMatriculas[[#This Row],[Estado]]&lt;&gt;"activa",tblMatriculas[[#This Row],[Asistidas]]=""),"",tblMatriculas[[#This Row],[Asistencia]])</f>
        <v>6.7000000000000004E-2</v>
      </c>
      <c r="Q709" t="b">
        <f>AND(tblMatriculas[[#This Row],[Estado]]="activa",ISNUMBER(tblMatriculas[[#This Row],[% asistencia]]),NOT(ISNUMBER(SEARCH(pPrueba,tblMatriculas[[#This Row],[Nombre]]))))</f>
        <v>1</v>
      </c>
      <c r="R7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09" s="23" t="str" cm="1">
        <f t="array" ref="S7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09" s="23" t="str" cm="1">
        <f t="array" ref="T7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09" s="14" t="str" cm="1">
        <f t="array" ref="U7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09" t="str" cm="1">
        <f t="array" ref="V7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09" t="str" cm="1">
        <f t="array" ref="W7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09" t="str">
        <f>IF(COUNTIFS('Base Estudiantes'!$C:$C,tblMatriculas[[#This Row],[Cédula]],'Base Estudiantes'!$I:$I,tblMatriculas[[#This Row],[Código]])&gt;0,"Sí","No")</f>
        <v>Sí</v>
      </c>
      <c r="Z709" s="23" cm="1">
        <f t="array" ref="Z709">_xlfn.XLOOKUP(tblMatriculas[[#This Row],[Cédula]]&amp;"|"&amp;tblMatriculas[[#This Row],[Código]],tblBase[Documento]&amp;"|"&amp;tblBase[Código grupo],tblBase[Fecha matrícula],"")</f>
        <v>46262</v>
      </c>
    </row>
    <row r="710" spans="1:26" x14ac:dyDescent="0.2">
      <c r="A710" t="s">
        <v>1534</v>
      </c>
      <c r="B710" t="s">
        <v>1535</v>
      </c>
      <c r="C710" t="s">
        <v>13</v>
      </c>
      <c r="D710" t="s">
        <v>1509</v>
      </c>
      <c r="E710" t="s">
        <v>1510</v>
      </c>
      <c r="F710" t="s">
        <v>516</v>
      </c>
      <c r="G710" s="1">
        <v>6.7000000000000004E-2</v>
      </c>
      <c r="H710" t="s">
        <v>166</v>
      </c>
      <c r="I710" t="s">
        <v>1145</v>
      </c>
      <c r="J710" t="s">
        <v>1511</v>
      </c>
      <c r="K710" t="s">
        <v>24</v>
      </c>
      <c r="L710" s="14">
        <f>IFERROR(VALUE(LEFT(tblMatriculas[[#This Row],[Clases]],FIND("/",tblMatriculas[[#This Row],[Clases]])-1)),"")</f>
        <v>2</v>
      </c>
      <c r="M710" s="14">
        <f>IFERROR(VALUE(MID(tblMatriculas[[#This Row],[Clases]],FIND("/",tblMatriculas[[#This Row],[Clases]])+1,5)),"")</f>
        <v>30</v>
      </c>
      <c r="N7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0" s="14">
        <f>IF(OR(tblMatriculas[[#This Row],[Estado]]&lt;&gt;"activa",tblMatriculas[[#This Row],[Clases dictadas]]=""),"",MAX(0,tblMatriculas[[#This Row],[Clases dictadas]]-tblMatriculas[[#This Row],[Asistidas]]))</f>
        <v>0</v>
      </c>
      <c r="P710" s="1">
        <f>IF(OR(tblMatriculas[[#This Row],[Estado]]&lt;&gt;"activa",tblMatriculas[[#This Row],[Asistidas]]=""),"",tblMatriculas[[#This Row],[Asistencia]])</f>
        <v>6.7000000000000004E-2</v>
      </c>
      <c r="Q710" t="b">
        <f>AND(tblMatriculas[[#This Row],[Estado]]="activa",ISNUMBER(tblMatriculas[[#This Row],[% asistencia]]),NOT(ISNUMBER(SEARCH(pPrueba,tblMatriculas[[#This Row],[Nombre]]))))</f>
        <v>1</v>
      </c>
      <c r="R7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0" s="23" t="str" cm="1">
        <f t="array" ref="S7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0" s="23" t="str" cm="1">
        <f t="array" ref="T7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0" s="14" t="str" cm="1">
        <f t="array" ref="U7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0" t="str" cm="1">
        <f t="array" ref="V7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0" t="str" cm="1">
        <f t="array" ref="W7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0" t="str">
        <f>IF(COUNTIFS('Base Estudiantes'!$C:$C,tblMatriculas[[#This Row],[Cédula]],'Base Estudiantes'!$I:$I,tblMatriculas[[#This Row],[Código]])&gt;0,"Sí","No")</f>
        <v>Sí</v>
      </c>
      <c r="Z710" s="23" cm="1">
        <f t="array" ref="Z710">_xlfn.XLOOKUP(tblMatriculas[[#This Row],[Cédula]]&amp;"|"&amp;tblMatriculas[[#This Row],[Código]],tblBase[Documento]&amp;"|"&amp;tblBase[Código grupo],tblBase[Fecha matrícula],"")</f>
        <v>46262</v>
      </c>
    </row>
    <row r="711" spans="1:26" x14ac:dyDescent="0.2">
      <c r="A711" t="s">
        <v>1536</v>
      </c>
      <c r="B711" t="s">
        <v>1537</v>
      </c>
      <c r="C711" t="s">
        <v>13</v>
      </c>
      <c r="D711" t="s">
        <v>1509</v>
      </c>
      <c r="E711" t="s">
        <v>1510</v>
      </c>
      <c r="F711" t="s">
        <v>516</v>
      </c>
      <c r="G711" s="1">
        <v>6.7000000000000004E-2</v>
      </c>
      <c r="H711" t="s">
        <v>166</v>
      </c>
      <c r="I711" t="s">
        <v>1145</v>
      </c>
      <c r="J711" t="s">
        <v>1511</v>
      </c>
      <c r="K711" t="s">
        <v>24</v>
      </c>
      <c r="L711" s="14">
        <f>IFERROR(VALUE(LEFT(tblMatriculas[[#This Row],[Clases]],FIND("/",tblMatriculas[[#This Row],[Clases]])-1)),"")</f>
        <v>2</v>
      </c>
      <c r="M711" s="14">
        <f>IFERROR(VALUE(MID(tblMatriculas[[#This Row],[Clases]],FIND("/",tblMatriculas[[#This Row],[Clases]])+1,5)),"")</f>
        <v>30</v>
      </c>
      <c r="N7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1" s="14">
        <f>IF(OR(tblMatriculas[[#This Row],[Estado]]&lt;&gt;"activa",tblMatriculas[[#This Row],[Clases dictadas]]=""),"",MAX(0,tblMatriculas[[#This Row],[Clases dictadas]]-tblMatriculas[[#This Row],[Asistidas]]))</f>
        <v>0</v>
      </c>
      <c r="P711" s="1">
        <f>IF(OR(tblMatriculas[[#This Row],[Estado]]&lt;&gt;"activa",tblMatriculas[[#This Row],[Asistidas]]=""),"",tblMatriculas[[#This Row],[Asistencia]])</f>
        <v>6.7000000000000004E-2</v>
      </c>
      <c r="Q711" t="b">
        <f>AND(tblMatriculas[[#This Row],[Estado]]="activa",ISNUMBER(tblMatriculas[[#This Row],[% asistencia]]),NOT(ISNUMBER(SEARCH(pPrueba,tblMatriculas[[#This Row],[Nombre]]))))</f>
        <v>1</v>
      </c>
      <c r="R7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1" s="23" t="str" cm="1">
        <f t="array" ref="S7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1" s="23" t="str" cm="1">
        <f t="array" ref="T7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1" s="14" t="str" cm="1">
        <f t="array" ref="U7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1" t="str" cm="1">
        <f t="array" ref="V7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1" t="str" cm="1">
        <f t="array" ref="W7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1" t="str">
        <f>IF(COUNTIFS('Base Estudiantes'!$C:$C,tblMatriculas[[#This Row],[Cédula]],'Base Estudiantes'!$I:$I,tblMatriculas[[#This Row],[Código]])&gt;0,"Sí","No")</f>
        <v>Sí</v>
      </c>
      <c r="Z711" s="23" cm="1">
        <f t="array" ref="Z711">_xlfn.XLOOKUP(tblMatriculas[[#This Row],[Cédula]]&amp;"|"&amp;tblMatriculas[[#This Row],[Código]],tblBase[Documento]&amp;"|"&amp;tblBase[Código grupo],tblBase[Fecha matrícula],"")</f>
        <v>46262</v>
      </c>
    </row>
    <row r="712" spans="1:26" x14ac:dyDescent="0.2">
      <c r="A712" t="s">
        <v>1538</v>
      </c>
      <c r="B712" t="s">
        <v>1539</v>
      </c>
      <c r="C712" t="s">
        <v>13</v>
      </c>
      <c r="D712" t="s">
        <v>1509</v>
      </c>
      <c r="E712" t="s">
        <v>1510</v>
      </c>
      <c r="F712" t="s">
        <v>516</v>
      </c>
      <c r="G712" s="1">
        <v>6.7000000000000004E-2</v>
      </c>
      <c r="H712" t="s">
        <v>166</v>
      </c>
      <c r="I712" t="s">
        <v>1145</v>
      </c>
      <c r="J712" t="s">
        <v>1511</v>
      </c>
      <c r="K712" t="s">
        <v>24</v>
      </c>
      <c r="L712" s="14">
        <f>IFERROR(VALUE(LEFT(tblMatriculas[[#This Row],[Clases]],FIND("/",tblMatriculas[[#This Row],[Clases]])-1)),"")</f>
        <v>2</v>
      </c>
      <c r="M712" s="14">
        <f>IFERROR(VALUE(MID(tblMatriculas[[#This Row],[Clases]],FIND("/",tblMatriculas[[#This Row],[Clases]])+1,5)),"")</f>
        <v>30</v>
      </c>
      <c r="N7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2" s="14">
        <f>IF(OR(tblMatriculas[[#This Row],[Estado]]&lt;&gt;"activa",tblMatriculas[[#This Row],[Clases dictadas]]=""),"",MAX(0,tblMatriculas[[#This Row],[Clases dictadas]]-tblMatriculas[[#This Row],[Asistidas]]))</f>
        <v>0</v>
      </c>
      <c r="P712" s="1">
        <f>IF(OR(tblMatriculas[[#This Row],[Estado]]&lt;&gt;"activa",tblMatriculas[[#This Row],[Asistidas]]=""),"",tblMatriculas[[#This Row],[Asistencia]])</f>
        <v>6.7000000000000004E-2</v>
      </c>
      <c r="Q712" t="b">
        <f>AND(tblMatriculas[[#This Row],[Estado]]="activa",ISNUMBER(tblMatriculas[[#This Row],[% asistencia]]),NOT(ISNUMBER(SEARCH(pPrueba,tblMatriculas[[#This Row],[Nombre]]))))</f>
        <v>1</v>
      </c>
      <c r="R7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2" s="23" t="str" cm="1">
        <f t="array" ref="S7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2" s="23" t="str" cm="1">
        <f t="array" ref="T7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2" s="14" t="str" cm="1">
        <f t="array" ref="U7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2" t="str" cm="1">
        <f t="array" ref="V7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2" t="str" cm="1">
        <f t="array" ref="W7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2" t="str">
        <f>IF(COUNTIFS('Base Estudiantes'!$C:$C,tblMatriculas[[#This Row],[Cédula]],'Base Estudiantes'!$I:$I,tblMatriculas[[#This Row],[Código]])&gt;0,"Sí","No")</f>
        <v>Sí</v>
      </c>
      <c r="Z712" s="23" cm="1">
        <f t="array" ref="Z712">_xlfn.XLOOKUP(tblMatriculas[[#This Row],[Cédula]]&amp;"|"&amp;tblMatriculas[[#This Row],[Código]],tblBase[Documento]&amp;"|"&amp;tblBase[Código grupo],tblBase[Fecha matrícula],"")</f>
        <v>46262</v>
      </c>
    </row>
    <row r="713" spans="1:26" x14ac:dyDescent="0.2">
      <c r="A713" t="s">
        <v>1540</v>
      </c>
      <c r="B713" t="s">
        <v>1541</v>
      </c>
      <c r="C713" t="s">
        <v>13</v>
      </c>
      <c r="D713" t="s">
        <v>1509</v>
      </c>
      <c r="E713" t="s">
        <v>1510</v>
      </c>
      <c r="F713" t="s">
        <v>516</v>
      </c>
      <c r="G713" s="1">
        <v>0</v>
      </c>
      <c r="H713" t="s">
        <v>254</v>
      </c>
      <c r="I713" t="s">
        <v>1145</v>
      </c>
      <c r="J713" t="s">
        <v>1511</v>
      </c>
      <c r="K713" t="s">
        <v>24</v>
      </c>
      <c r="L713" s="14">
        <f>IFERROR(VALUE(LEFT(tblMatriculas[[#This Row],[Clases]],FIND("/",tblMatriculas[[#This Row],[Clases]])-1)),"")</f>
        <v>0</v>
      </c>
      <c r="M713" s="14">
        <f>IFERROR(VALUE(MID(tblMatriculas[[#This Row],[Clases]],FIND("/",tblMatriculas[[#This Row],[Clases]])+1,5)),"")</f>
        <v>30</v>
      </c>
      <c r="N7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3" s="14">
        <f>IF(OR(tblMatriculas[[#This Row],[Estado]]&lt;&gt;"activa",tblMatriculas[[#This Row],[Clases dictadas]]=""),"",MAX(0,tblMatriculas[[#This Row],[Clases dictadas]]-tblMatriculas[[#This Row],[Asistidas]]))</f>
        <v>2</v>
      </c>
      <c r="P713" s="1">
        <f>IF(OR(tblMatriculas[[#This Row],[Estado]]&lt;&gt;"activa",tblMatriculas[[#This Row],[Asistidas]]=""),"",tblMatriculas[[#This Row],[Asistencia]])</f>
        <v>0</v>
      </c>
      <c r="Q713" t="b">
        <f>AND(tblMatriculas[[#This Row],[Estado]]="activa",ISNUMBER(tblMatriculas[[#This Row],[% asistencia]]),NOT(ISNUMBER(SEARCH(pPrueba,tblMatriculas[[#This Row],[Nombre]]))))</f>
        <v>1</v>
      </c>
      <c r="R7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13" s="23" t="str" cm="1">
        <f t="array" ref="S7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3" s="23" t="str" cm="1">
        <f t="array" ref="T7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3" s="14" t="str" cm="1">
        <f t="array" ref="U7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3" t="str" cm="1">
        <f t="array" ref="V7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3" t="str" cm="1">
        <f t="array" ref="W7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13" t="str">
        <f>IF(COUNTIFS('Base Estudiantes'!$C:$C,tblMatriculas[[#This Row],[Cédula]],'Base Estudiantes'!$I:$I,tblMatriculas[[#This Row],[Código]])&gt;0,"Sí","No")</f>
        <v>Sí</v>
      </c>
      <c r="Z713" s="23" cm="1">
        <f t="array" ref="Z713">_xlfn.XLOOKUP(tblMatriculas[[#This Row],[Cédula]]&amp;"|"&amp;tblMatriculas[[#This Row],[Código]],tblBase[Documento]&amp;"|"&amp;tblBase[Código grupo],tblBase[Fecha matrícula],"")</f>
        <v>46262</v>
      </c>
    </row>
    <row r="714" spans="1:26" x14ac:dyDescent="0.2">
      <c r="A714" t="s">
        <v>1542</v>
      </c>
      <c r="B714" t="s">
        <v>1543</v>
      </c>
      <c r="C714" t="s">
        <v>13</v>
      </c>
      <c r="D714" t="s">
        <v>1509</v>
      </c>
      <c r="E714" t="s">
        <v>1510</v>
      </c>
      <c r="F714" t="s">
        <v>516</v>
      </c>
      <c r="G714" s="1">
        <v>6.7000000000000004E-2</v>
      </c>
      <c r="H714" t="s">
        <v>166</v>
      </c>
      <c r="I714" t="s">
        <v>1145</v>
      </c>
      <c r="J714" t="s">
        <v>1511</v>
      </c>
      <c r="K714" t="s">
        <v>24</v>
      </c>
      <c r="L714" s="14">
        <f>IFERROR(VALUE(LEFT(tblMatriculas[[#This Row],[Clases]],FIND("/",tblMatriculas[[#This Row],[Clases]])-1)),"")</f>
        <v>2</v>
      </c>
      <c r="M714" s="14">
        <f>IFERROR(VALUE(MID(tblMatriculas[[#This Row],[Clases]],FIND("/",tblMatriculas[[#This Row],[Clases]])+1,5)),"")</f>
        <v>30</v>
      </c>
      <c r="N7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4" s="14">
        <f>IF(OR(tblMatriculas[[#This Row],[Estado]]&lt;&gt;"activa",tblMatriculas[[#This Row],[Clases dictadas]]=""),"",MAX(0,tblMatriculas[[#This Row],[Clases dictadas]]-tblMatriculas[[#This Row],[Asistidas]]))</f>
        <v>0</v>
      </c>
      <c r="P714" s="1">
        <f>IF(OR(tblMatriculas[[#This Row],[Estado]]&lt;&gt;"activa",tblMatriculas[[#This Row],[Asistidas]]=""),"",tblMatriculas[[#This Row],[Asistencia]])</f>
        <v>6.7000000000000004E-2</v>
      </c>
      <c r="Q714" t="b">
        <f>AND(tblMatriculas[[#This Row],[Estado]]="activa",ISNUMBER(tblMatriculas[[#This Row],[% asistencia]]),NOT(ISNUMBER(SEARCH(pPrueba,tblMatriculas[[#This Row],[Nombre]]))))</f>
        <v>1</v>
      </c>
      <c r="R7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4" s="23" t="str" cm="1">
        <f t="array" ref="S7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4" s="23" t="str" cm="1">
        <f t="array" ref="T7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4" s="14" t="str" cm="1">
        <f t="array" ref="U7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4" t="str" cm="1">
        <f t="array" ref="V7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4" t="str" cm="1">
        <f t="array" ref="W7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4" t="str">
        <f>IF(COUNTIFS('Base Estudiantes'!$C:$C,tblMatriculas[[#This Row],[Cédula]],'Base Estudiantes'!$I:$I,tblMatriculas[[#This Row],[Código]])&gt;0,"Sí","No")</f>
        <v>Sí</v>
      </c>
      <c r="Z714" s="23" cm="1">
        <f t="array" ref="Z714">_xlfn.XLOOKUP(tblMatriculas[[#This Row],[Cédula]]&amp;"|"&amp;tblMatriculas[[#This Row],[Código]],tblBase[Documento]&amp;"|"&amp;tblBase[Código grupo],tblBase[Fecha matrícula],"")</f>
        <v>46262</v>
      </c>
    </row>
    <row r="715" spans="1:26" x14ac:dyDescent="0.2">
      <c r="A715" t="s">
        <v>1544</v>
      </c>
      <c r="B715" t="s">
        <v>1545</v>
      </c>
      <c r="C715" t="s">
        <v>13</v>
      </c>
      <c r="D715" t="s">
        <v>1509</v>
      </c>
      <c r="E715" t="s">
        <v>1510</v>
      </c>
      <c r="F715" t="s">
        <v>516</v>
      </c>
      <c r="G715" s="1">
        <v>6.7000000000000004E-2</v>
      </c>
      <c r="H715" t="s">
        <v>166</v>
      </c>
      <c r="I715" t="s">
        <v>1145</v>
      </c>
      <c r="J715" t="s">
        <v>1511</v>
      </c>
      <c r="K715" t="s">
        <v>24</v>
      </c>
      <c r="L715" s="14">
        <f>IFERROR(VALUE(LEFT(tblMatriculas[[#This Row],[Clases]],FIND("/",tblMatriculas[[#This Row],[Clases]])-1)),"")</f>
        <v>2</v>
      </c>
      <c r="M715" s="14">
        <f>IFERROR(VALUE(MID(tblMatriculas[[#This Row],[Clases]],FIND("/",tblMatriculas[[#This Row],[Clases]])+1,5)),"")</f>
        <v>30</v>
      </c>
      <c r="N7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5" s="14">
        <f>IF(OR(tblMatriculas[[#This Row],[Estado]]&lt;&gt;"activa",tblMatriculas[[#This Row],[Clases dictadas]]=""),"",MAX(0,tblMatriculas[[#This Row],[Clases dictadas]]-tblMatriculas[[#This Row],[Asistidas]]))</f>
        <v>0</v>
      </c>
      <c r="P715" s="1">
        <f>IF(OR(tblMatriculas[[#This Row],[Estado]]&lt;&gt;"activa",tblMatriculas[[#This Row],[Asistidas]]=""),"",tblMatriculas[[#This Row],[Asistencia]])</f>
        <v>6.7000000000000004E-2</v>
      </c>
      <c r="Q715" t="b">
        <f>AND(tblMatriculas[[#This Row],[Estado]]="activa",ISNUMBER(tblMatriculas[[#This Row],[% asistencia]]),NOT(ISNUMBER(SEARCH(pPrueba,tblMatriculas[[#This Row],[Nombre]]))))</f>
        <v>1</v>
      </c>
      <c r="R7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5" s="23" t="str" cm="1">
        <f t="array" ref="S7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5" s="23" t="str" cm="1">
        <f t="array" ref="T7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5" s="14" t="str" cm="1">
        <f t="array" ref="U7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5" t="str" cm="1">
        <f t="array" ref="V7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5" t="str" cm="1">
        <f t="array" ref="W7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5" t="str">
        <f>IF(COUNTIFS('Base Estudiantes'!$C:$C,tblMatriculas[[#This Row],[Cédula]],'Base Estudiantes'!$I:$I,tblMatriculas[[#This Row],[Código]])&gt;0,"Sí","No")</f>
        <v>Sí</v>
      </c>
      <c r="Z715" s="23" cm="1">
        <f t="array" ref="Z715">_xlfn.XLOOKUP(tblMatriculas[[#This Row],[Cédula]]&amp;"|"&amp;tblMatriculas[[#This Row],[Código]],tblBase[Documento]&amp;"|"&amp;tblBase[Código grupo],tblBase[Fecha matrícula],"")</f>
        <v>46262</v>
      </c>
    </row>
    <row r="716" spans="1:26" x14ac:dyDescent="0.2">
      <c r="A716" t="s">
        <v>1546</v>
      </c>
      <c r="B716" t="s">
        <v>1547</v>
      </c>
      <c r="C716" t="s">
        <v>13</v>
      </c>
      <c r="D716" t="s">
        <v>1509</v>
      </c>
      <c r="E716" t="s">
        <v>1510</v>
      </c>
      <c r="F716" t="s">
        <v>516</v>
      </c>
      <c r="G716" s="1">
        <v>6.7000000000000004E-2</v>
      </c>
      <c r="H716" t="s">
        <v>166</v>
      </c>
      <c r="I716" t="s">
        <v>1145</v>
      </c>
      <c r="J716" t="s">
        <v>1511</v>
      </c>
      <c r="K716" t="s">
        <v>24</v>
      </c>
      <c r="L716" s="14">
        <f>IFERROR(VALUE(LEFT(tblMatriculas[[#This Row],[Clases]],FIND("/",tblMatriculas[[#This Row],[Clases]])-1)),"")</f>
        <v>2</v>
      </c>
      <c r="M716" s="14">
        <f>IFERROR(VALUE(MID(tblMatriculas[[#This Row],[Clases]],FIND("/",tblMatriculas[[#This Row],[Clases]])+1,5)),"")</f>
        <v>30</v>
      </c>
      <c r="N7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6" s="14">
        <f>IF(OR(tblMatriculas[[#This Row],[Estado]]&lt;&gt;"activa",tblMatriculas[[#This Row],[Clases dictadas]]=""),"",MAX(0,tblMatriculas[[#This Row],[Clases dictadas]]-tblMatriculas[[#This Row],[Asistidas]]))</f>
        <v>0</v>
      </c>
      <c r="P716" s="1">
        <f>IF(OR(tblMatriculas[[#This Row],[Estado]]&lt;&gt;"activa",tblMatriculas[[#This Row],[Asistidas]]=""),"",tblMatriculas[[#This Row],[Asistencia]])</f>
        <v>6.7000000000000004E-2</v>
      </c>
      <c r="Q716" t="b">
        <f>AND(tblMatriculas[[#This Row],[Estado]]="activa",ISNUMBER(tblMatriculas[[#This Row],[% asistencia]]),NOT(ISNUMBER(SEARCH(pPrueba,tblMatriculas[[#This Row],[Nombre]]))))</f>
        <v>1</v>
      </c>
      <c r="R7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6" s="23" t="str" cm="1">
        <f t="array" ref="S7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6" s="23" t="str" cm="1">
        <f t="array" ref="T7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6" s="14" t="str" cm="1">
        <f t="array" ref="U7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6" t="str" cm="1">
        <f t="array" ref="V7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6" t="str" cm="1">
        <f t="array" ref="W7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6" t="str">
        <f>IF(COUNTIFS('Base Estudiantes'!$C:$C,tblMatriculas[[#This Row],[Cédula]],'Base Estudiantes'!$I:$I,tblMatriculas[[#This Row],[Código]])&gt;0,"Sí","No")</f>
        <v>Sí</v>
      </c>
      <c r="Z716" s="23" cm="1">
        <f t="array" ref="Z716">_xlfn.XLOOKUP(tblMatriculas[[#This Row],[Cédula]]&amp;"|"&amp;tblMatriculas[[#This Row],[Código]],tblBase[Documento]&amp;"|"&amp;tblBase[Código grupo],tblBase[Fecha matrícula],"")</f>
        <v>46262</v>
      </c>
    </row>
    <row r="717" spans="1:26" x14ac:dyDescent="0.2">
      <c r="A717" t="s">
        <v>1548</v>
      </c>
      <c r="B717" t="s">
        <v>1549</v>
      </c>
      <c r="C717" t="s">
        <v>13</v>
      </c>
      <c r="D717" t="s">
        <v>1509</v>
      </c>
      <c r="E717" t="s">
        <v>1510</v>
      </c>
      <c r="F717" t="s">
        <v>516</v>
      </c>
      <c r="G717" s="1">
        <v>6.7000000000000004E-2</v>
      </c>
      <c r="H717" t="s">
        <v>166</v>
      </c>
      <c r="I717" t="s">
        <v>1145</v>
      </c>
      <c r="J717" t="s">
        <v>1511</v>
      </c>
      <c r="K717" t="s">
        <v>24</v>
      </c>
      <c r="L717" s="14">
        <f>IFERROR(VALUE(LEFT(tblMatriculas[[#This Row],[Clases]],FIND("/",tblMatriculas[[#This Row],[Clases]])-1)),"")</f>
        <v>2</v>
      </c>
      <c r="M717" s="14">
        <f>IFERROR(VALUE(MID(tblMatriculas[[#This Row],[Clases]],FIND("/",tblMatriculas[[#This Row],[Clases]])+1,5)),"")</f>
        <v>30</v>
      </c>
      <c r="N7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7" s="14">
        <f>IF(OR(tblMatriculas[[#This Row],[Estado]]&lt;&gt;"activa",tblMatriculas[[#This Row],[Clases dictadas]]=""),"",MAX(0,tblMatriculas[[#This Row],[Clases dictadas]]-tblMatriculas[[#This Row],[Asistidas]]))</f>
        <v>0</v>
      </c>
      <c r="P717" s="1">
        <f>IF(OR(tblMatriculas[[#This Row],[Estado]]&lt;&gt;"activa",tblMatriculas[[#This Row],[Asistidas]]=""),"",tblMatriculas[[#This Row],[Asistencia]])</f>
        <v>6.7000000000000004E-2</v>
      </c>
      <c r="Q717" t="b">
        <f>AND(tblMatriculas[[#This Row],[Estado]]="activa",ISNUMBER(tblMatriculas[[#This Row],[% asistencia]]),NOT(ISNUMBER(SEARCH(pPrueba,tblMatriculas[[#This Row],[Nombre]]))))</f>
        <v>1</v>
      </c>
      <c r="R7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7" s="23" t="str" cm="1">
        <f t="array" ref="S7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7" s="23" t="str" cm="1">
        <f t="array" ref="T7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7" s="14" t="str" cm="1">
        <f t="array" ref="U7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7" t="str" cm="1">
        <f t="array" ref="V7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7" t="str" cm="1">
        <f t="array" ref="W7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7" t="str">
        <f>IF(COUNTIFS('Base Estudiantes'!$C:$C,tblMatriculas[[#This Row],[Cédula]],'Base Estudiantes'!$I:$I,tblMatriculas[[#This Row],[Código]])&gt;0,"Sí","No")</f>
        <v>Sí</v>
      </c>
      <c r="Z717" s="23" cm="1">
        <f t="array" ref="Z717">_xlfn.XLOOKUP(tblMatriculas[[#This Row],[Cédula]]&amp;"|"&amp;tblMatriculas[[#This Row],[Código]],tblBase[Documento]&amp;"|"&amp;tblBase[Código grupo],tblBase[Fecha matrícula],"")</f>
        <v>46262</v>
      </c>
    </row>
    <row r="718" spans="1:26" x14ac:dyDescent="0.2">
      <c r="A718" t="s">
        <v>1550</v>
      </c>
      <c r="B718" t="s">
        <v>1551</v>
      </c>
      <c r="C718" t="s">
        <v>13</v>
      </c>
      <c r="D718" t="s">
        <v>1509</v>
      </c>
      <c r="E718" t="s">
        <v>1510</v>
      </c>
      <c r="F718" t="s">
        <v>516</v>
      </c>
      <c r="G718" s="1">
        <v>6.7000000000000004E-2</v>
      </c>
      <c r="H718" t="s">
        <v>166</v>
      </c>
      <c r="I718" t="s">
        <v>1145</v>
      </c>
      <c r="J718" t="s">
        <v>1511</v>
      </c>
      <c r="K718" t="s">
        <v>24</v>
      </c>
      <c r="L718" s="14">
        <f>IFERROR(VALUE(LEFT(tblMatriculas[[#This Row],[Clases]],FIND("/",tblMatriculas[[#This Row],[Clases]])-1)),"")</f>
        <v>2</v>
      </c>
      <c r="M718" s="14">
        <f>IFERROR(VALUE(MID(tblMatriculas[[#This Row],[Clases]],FIND("/",tblMatriculas[[#This Row],[Clases]])+1,5)),"")</f>
        <v>30</v>
      </c>
      <c r="N7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8" s="14">
        <f>IF(OR(tblMatriculas[[#This Row],[Estado]]&lt;&gt;"activa",tblMatriculas[[#This Row],[Clases dictadas]]=""),"",MAX(0,tblMatriculas[[#This Row],[Clases dictadas]]-tblMatriculas[[#This Row],[Asistidas]]))</f>
        <v>0</v>
      </c>
      <c r="P718" s="1">
        <f>IF(OR(tblMatriculas[[#This Row],[Estado]]&lt;&gt;"activa",tblMatriculas[[#This Row],[Asistidas]]=""),"",tblMatriculas[[#This Row],[Asistencia]])</f>
        <v>6.7000000000000004E-2</v>
      </c>
      <c r="Q718" t="b">
        <f>AND(tblMatriculas[[#This Row],[Estado]]="activa",ISNUMBER(tblMatriculas[[#This Row],[% asistencia]]),NOT(ISNUMBER(SEARCH(pPrueba,tblMatriculas[[#This Row],[Nombre]]))))</f>
        <v>1</v>
      </c>
      <c r="R7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18" s="23" t="str" cm="1">
        <f t="array" ref="S7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8" s="23" t="str" cm="1">
        <f t="array" ref="T7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8" s="14" t="str" cm="1">
        <f t="array" ref="U7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8" t="str" cm="1">
        <f t="array" ref="V7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8" t="str" cm="1">
        <f t="array" ref="W7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18" t="str">
        <f>IF(COUNTIFS('Base Estudiantes'!$C:$C,tblMatriculas[[#This Row],[Cédula]],'Base Estudiantes'!$I:$I,tblMatriculas[[#This Row],[Código]])&gt;0,"Sí","No")</f>
        <v>Sí</v>
      </c>
      <c r="Z718" s="23" cm="1">
        <f t="array" ref="Z718">_xlfn.XLOOKUP(tblMatriculas[[#This Row],[Cédula]]&amp;"|"&amp;tblMatriculas[[#This Row],[Código]],tblBase[Documento]&amp;"|"&amp;tblBase[Código grupo],tblBase[Fecha matrícula],"")</f>
        <v>46262</v>
      </c>
    </row>
    <row r="719" spans="1:26" x14ac:dyDescent="0.2">
      <c r="A719" t="s">
        <v>1552</v>
      </c>
      <c r="B719" t="s">
        <v>1553</v>
      </c>
      <c r="C719" t="s">
        <v>13</v>
      </c>
      <c r="D719" t="s">
        <v>1509</v>
      </c>
      <c r="E719" t="s">
        <v>1510</v>
      </c>
      <c r="F719" t="s">
        <v>516</v>
      </c>
      <c r="G719" s="1">
        <v>0</v>
      </c>
      <c r="H719" t="s">
        <v>254</v>
      </c>
      <c r="I719" t="s">
        <v>1145</v>
      </c>
      <c r="J719" t="s">
        <v>1511</v>
      </c>
      <c r="K719" t="s">
        <v>24</v>
      </c>
      <c r="L719" s="14">
        <f>IFERROR(VALUE(LEFT(tblMatriculas[[#This Row],[Clases]],FIND("/",tblMatriculas[[#This Row],[Clases]])-1)),"")</f>
        <v>0</v>
      </c>
      <c r="M719" s="14">
        <f>IFERROR(VALUE(MID(tblMatriculas[[#This Row],[Clases]],FIND("/",tblMatriculas[[#This Row],[Clases]])+1,5)),"")</f>
        <v>30</v>
      </c>
      <c r="N7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19" s="14">
        <f>IF(OR(tblMatriculas[[#This Row],[Estado]]&lt;&gt;"activa",tblMatriculas[[#This Row],[Clases dictadas]]=""),"",MAX(0,tblMatriculas[[#This Row],[Clases dictadas]]-tblMatriculas[[#This Row],[Asistidas]]))</f>
        <v>2</v>
      </c>
      <c r="P719" s="1">
        <f>IF(OR(tblMatriculas[[#This Row],[Estado]]&lt;&gt;"activa",tblMatriculas[[#This Row],[Asistidas]]=""),"",tblMatriculas[[#This Row],[Asistencia]])</f>
        <v>0</v>
      </c>
      <c r="Q719" t="b">
        <f>AND(tblMatriculas[[#This Row],[Estado]]="activa",ISNUMBER(tblMatriculas[[#This Row],[% asistencia]]),NOT(ISNUMBER(SEARCH(pPrueba,tblMatriculas[[#This Row],[Nombre]]))))</f>
        <v>1</v>
      </c>
      <c r="R7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19" s="23" t="str" cm="1">
        <f t="array" ref="S7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19" s="23" t="str" cm="1">
        <f t="array" ref="T7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19" s="14" t="str" cm="1">
        <f t="array" ref="U7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19" t="str" cm="1">
        <f t="array" ref="V7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19" t="str" cm="1">
        <f t="array" ref="W7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19" t="str">
        <f>IF(COUNTIFS('Base Estudiantes'!$C:$C,tblMatriculas[[#This Row],[Cédula]],'Base Estudiantes'!$I:$I,tblMatriculas[[#This Row],[Código]])&gt;0,"Sí","No")</f>
        <v>Sí</v>
      </c>
      <c r="Z719" s="23" cm="1">
        <f t="array" ref="Z719">_xlfn.XLOOKUP(tblMatriculas[[#This Row],[Cédula]]&amp;"|"&amp;tblMatriculas[[#This Row],[Código]],tblBase[Documento]&amp;"|"&amp;tblBase[Código grupo],tblBase[Fecha matrícula],"")</f>
        <v>46262</v>
      </c>
    </row>
    <row r="720" spans="1:26" x14ac:dyDescent="0.2">
      <c r="A720" t="s">
        <v>643</v>
      </c>
      <c r="B720" t="s">
        <v>644</v>
      </c>
      <c r="C720" t="s">
        <v>49</v>
      </c>
      <c r="D720" t="s">
        <v>1509</v>
      </c>
      <c r="E720" t="s">
        <v>1510</v>
      </c>
      <c r="F720" t="s">
        <v>516</v>
      </c>
      <c r="G720" s="1">
        <v>0</v>
      </c>
      <c r="H720" t="s">
        <v>254</v>
      </c>
      <c r="I720" t="s">
        <v>1145</v>
      </c>
      <c r="J720" t="s">
        <v>1511</v>
      </c>
      <c r="K720" t="s">
        <v>24</v>
      </c>
      <c r="L720" s="14">
        <f>IFERROR(VALUE(LEFT(tblMatriculas[[#This Row],[Clases]],FIND("/",tblMatriculas[[#This Row],[Clases]])-1)),"")</f>
        <v>0</v>
      </c>
      <c r="M720" s="14">
        <f>IFERROR(VALUE(MID(tblMatriculas[[#This Row],[Clases]],FIND("/",tblMatriculas[[#This Row],[Clases]])+1,5)),"")</f>
        <v>30</v>
      </c>
      <c r="N7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0" s="14" t="str">
        <f>IF(OR(tblMatriculas[[#This Row],[Estado]]&lt;&gt;"activa",tblMatriculas[[#This Row],[Clases dictadas]]=""),"",MAX(0,tblMatriculas[[#This Row],[Clases dictadas]]-tblMatriculas[[#This Row],[Asistidas]]))</f>
        <v/>
      </c>
      <c r="P720" s="1" t="str">
        <f>IF(OR(tblMatriculas[[#This Row],[Estado]]&lt;&gt;"activa",tblMatriculas[[#This Row],[Asistidas]]=""),"",tblMatriculas[[#This Row],[Asistencia]])</f>
        <v/>
      </c>
      <c r="Q720" t="b">
        <f>AND(tblMatriculas[[#This Row],[Estado]]="activa",ISNUMBER(tblMatriculas[[#This Row],[% asistencia]]),NOT(ISNUMBER(SEARCH(pPrueba,tblMatriculas[[#This Row],[Nombre]]))))</f>
        <v>0</v>
      </c>
      <c r="R7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720" s="23" t="str" cm="1">
        <f t="array" ref="S7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0" s="23" t="str" cm="1">
        <f t="array" ref="T7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0" s="14" t="str" cm="1">
        <f t="array" ref="U7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0" t="str" cm="1">
        <f t="array" ref="V7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0" t="str" cm="1">
        <f t="array" ref="W7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20" t="str">
        <f>IF(COUNTIFS('Base Estudiantes'!$C:$C,tblMatriculas[[#This Row],[Cédula]],'Base Estudiantes'!$I:$I,tblMatriculas[[#This Row],[Código]])&gt;0,"Sí","No")</f>
        <v>No</v>
      </c>
      <c r="Z720" s="23" t="str" cm="1">
        <f t="array" ref="Z720">_xlfn.XLOOKUP(tblMatriculas[[#This Row],[Cédula]]&amp;"|"&amp;tblMatriculas[[#This Row],[Código]],tblBase[Documento]&amp;"|"&amp;tblBase[Código grupo],tblBase[Fecha matrícula],"")</f>
        <v/>
      </c>
    </row>
    <row r="721" spans="1:26" x14ac:dyDescent="0.2">
      <c r="A721" t="s">
        <v>1554</v>
      </c>
      <c r="B721" t="s">
        <v>1555</v>
      </c>
      <c r="C721" t="s">
        <v>13</v>
      </c>
      <c r="D721" t="s">
        <v>1509</v>
      </c>
      <c r="E721" t="s">
        <v>1510</v>
      </c>
      <c r="F721" t="s">
        <v>516</v>
      </c>
      <c r="G721" s="1">
        <v>0</v>
      </c>
      <c r="H721" t="s">
        <v>254</v>
      </c>
      <c r="I721" t="s">
        <v>1145</v>
      </c>
      <c r="J721" t="s">
        <v>1511</v>
      </c>
      <c r="K721" t="s">
        <v>24</v>
      </c>
      <c r="L721" s="14">
        <f>IFERROR(VALUE(LEFT(tblMatriculas[[#This Row],[Clases]],FIND("/",tblMatriculas[[#This Row],[Clases]])-1)),"")</f>
        <v>0</v>
      </c>
      <c r="M721" s="14">
        <f>IFERROR(VALUE(MID(tblMatriculas[[#This Row],[Clases]],FIND("/",tblMatriculas[[#This Row],[Clases]])+1,5)),"")</f>
        <v>30</v>
      </c>
      <c r="N7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1" s="14">
        <f>IF(OR(tblMatriculas[[#This Row],[Estado]]&lt;&gt;"activa",tblMatriculas[[#This Row],[Clases dictadas]]=""),"",MAX(0,tblMatriculas[[#This Row],[Clases dictadas]]-tblMatriculas[[#This Row],[Asistidas]]))</f>
        <v>2</v>
      </c>
      <c r="P721" s="1">
        <f>IF(OR(tblMatriculas[[#This Row],[Estado]]&lt;&gt;"activa",tblMatriculas[[#This Row],[Asistidas]]=""),"",tblMatriculas[[#This Row],[Asistencia]])</f>
        <v>0</v>
      </c>
      <c r="Q721" t="b">
        <f>AND(tblMatriculas[[#This Row],[Estado]]="activa",ISNUMBER(tblMatriculas[[#This Row],[% asistencia]]),NOT(ISNUMBER(SEARCH(pPrueba,tblMatriculas[[#This Row],[Nombre]]))))</f>
        <v>1</v>
      </c>
      <c r="R7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21" s="23" t="str" cm="1">
        <f t="array" ref="S7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1" s="23" t="str" cm="1">
        <f t="array" ref="T7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1" s="14" t="str" cm="1">
        <f t="array" ref="U7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1" t="str" cm="1">
        <f t="array" ref="V7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1" t="str" cm="1">
        <f t="array" ref="W7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21" t="str">
        <f>IF(COUNTIFS('Base Estudiantes'!$C:$C,tblMatriculas[[#This Row],[Cédula]],'Base Estudiantes'!$I:$I,tblMatriculas[[#This Row],[Código]])&gt;0,"Sí","No")</f>
        <v>Sí</v>
      </c>
      <c r="Z721" s="23" cm="1">
        <f t="array" ref="Z721">_xlfn.XLOOKUP(tblMatriculas[[#This Row],[Cédula]]&amp;"|"&amp;tblMatriculas[[#This Row],[Código]],tblBase[Documento]&amp;"|"&amp;tblBase[Código grupo],tblBase[Fecha matrícula],"")</f>
        <v>46262</v>
      </c>
    </row>
    <row r="722" spans="1:26" x14ac:dyDescent="0.2">
      <c r="A722" t="s">
        <v>1556</v>
      </c>
      <c r="B722" t="s">
        <v>1557</v>
      </c>
      <c r="C722" t="s">
        <v>13</v>
      </c>
      <c r="D722" t="s">
        <v>1509</v>
      </c>
      <c r="E722" t="s">
        <v>1510</v>
      </c>
      <c r="F722" t="s">
        <v>516</v>
      </c>
      <c r="G722" s="1">
        <v>6.7000000000000004E-2</v>
      </c>
      <c r="H722" t="s">
        <v>166</v>
      </c>
      <c r="I722" t="s">
        <v>1145</v>
      </c>
      <c r="J722" t="s">
        <v>1511</v>
      </c>
      <c r="K722" t="s">
        <v>24</v>
      </c>
      <c r="L722" s="14">
        <f>IFERROR(VALUE(LEFT(tblMatriculas[[#This Row],[Clases]],FIND("/",tblMatriculas[[#This Row],[Clases]])-1)),"")</f>
        <v>2</v>
      </c>
      <c r="M722" s="14">
        <f>IFERROR(VALUE(MID(tblMatriculas[[#This Row],[Clases]],FIND("/",tblMatriculas[[#This Row],[Clases]])+1,5)),"")</f>
        <v>30</v>
      </c>
      <c r="N7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2" s="14">
        <f>IF(OR(tblMatriculas[[#This Row],[Estado]]&lt;&gt;"activa",tblMatriculas[[#This Row],[Clases dictadas]]=""),"",MAX(0,tblMatriculas[[#This Row],[Clases dictadas]]-tblMatriculas[[#This Row],[Asistidas]]))</f>
        <v>0</v>
      </c>
      <c r="P722" s="1">
        <f>IF(OR(tblMatriculas[[#This Row],[Estado]]&lt;&gt;"activa",tblMatriculas[[#This Row],[Asistidas]]=""),"",tblMatriculas[[#This Row],[Asistencia]])</f>
        <v>6.7000000000000004E-2</v>
      </c>
      <c r="Q722" t="b">
        <f>AND(tblMatriculas[[#This Row],[Estado]]="activa",ISNUMBER(tblMatriculas[[#This Row],[% asistencia]]),NOT(ISNUMBER(SEARCH(pPrueba,tblMatriculas[[#This Row],[Nombre]]))))</f>
        <v>1</v>
      </c>
      <c r="R7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22" s="23" t="str" cm="1">
        <f t="array" ref="S7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2" s="23" t="str" cm="1">
        <f t="array" ref="T7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2" s="14" t="str" cm="1">
        <f t="array" ref="U7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2" t="str" cm="1">
        <f t="array" ref="V7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2" t="str" cm="1">
        <f t="array" ref="W7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22" t="str">
        <f>IF(COUNTIFS('Base Estudiantes'!$C:$C,tblMatriculas[[#This Row],[Cédula]],'Base Estudiantes'!$I:$I,tblMatriculas[[#This Row],[Código]])&gt;0,"Sí","No")</f>
        <v>Sí</v>
      </c>
      <c r="Z722" s="23" cm="1">
        <f t="array" ref="Z722">_xlfn.XLOOKUP(tblMatriculas[[#This Row],[Cédula]]&amp;"|"&amp;tblMatriculas[[#This Row],[Código]],tblBase[Documento]&amp;"|"&amp;tblBase[Código grupo],tblBase[Fecha matrícula],"")</f>
        <v>46262</v>
      </c>
    </row>
    <row r="723" spans="1:26" x14ac:dyDescent="0.2">
      <c r="A723" t="s">
        <v>1558</v>
      </c>
      <c r="B723" t="s">
        <v>1559</v>
      </c>
      <c r="C723" t="s">
        <v>13</v>
      </c>
      <c r="D723" t="s">
        <v>1509</v>
      </c>
      <c r="E723" t="s">
        <v>1510</v>
      </c>
      <c r="F723" t="s">
        <v>516</v>
      </c>
      <c r="G723" s="1">
        <v>3.3000000000000002E-2</v>
      </c>
      <c r="H723" t="s">
        <v>225</v>
      </c>
      <c r="I723" t="s">
        <v>1145</v>
      </c>
      <c r="J723" t="s">
        <v>1511</v>
      </c>
      <c r="K723" t="s">
        <v>24</v>
      </c>
      <c r="L723" s="14">
        <f>IFERROR(VALUE(LEFT(tblMatriculas[[#This Row],[Clases]],FIND("/",tblMatriculas[[#This Row],[Clases]])-1)),"")</f>
        <v>1</v>
      </c>
      <c r="M723" s="14">
        <f>IFERROR(VALUE(MID(tblMatriculas[[#This Row],[Clases]],FIND("/",tblMatriculas[[#This Row],[Clases]])+1,5)),"")</f>
        <v>30</v>
      </c>
      <c r="N7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3" s="14">
        <f>IF(OR(tblMatriculas[[#This Row],[Estado]]&lt;&gt;"activa",tblMatriculas[[#This Row],[Clases dictadas]]=""),"",MAX(0,tblMatriculas[[#This Row],[Clases dictadas]]-tblMatriculas[[#This Row],[Asistidas]]))</f>
        <v>1</v>
      </c>
      <c r="P723" s="1">
        <f>IF(OR(tblMatriculas[[#This Row],[Estado]]&lt;&gt;"activa",tblMatriculas[[#This Row],[Asistidas]]=""),"",tblMatriculas[[#This Row],[Asistencia]])</f>
        <v>3.3000000000000002E-2</v>
      </c>
      <c r="Q723" t="b">
        <f>AND(tblMatriculas[[#This Row],[Estado]]="activa",ISNUMBER(tblMatriculas[[#This Row],[% asistencia]]),NOT(ISNUMBER(SEARCH(pPrueba,tblMatriculas[[#This Row],[Nombre]]))))</f>
        <v>1</v>
      </c>
      <c r="R7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23" s="23" t="str" cm="1">
        <f t="array" ref="S7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3" s="23" t="str" cm="1">
        <f t="array" ref="T7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3" s="14" t="str" cm="1">
        <f t="array" ref="U7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3" t="str" cm="1">
        <f t="array" ref="V7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3" t="str" cm="1">
        <f t="array" ref="W7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23" t="str">
        <f>IF(COUNTIFS('Base Estudiantes'!$C:$C,tblMatriculas[[#This Row],[Cédula]],'Base Estudiantes'!$I:$I,tblMatriculas[[#This Row],[Código]])&gt;0,"Sí","No")</f>
        <v>Sí</v>
      </c>
      <c r="Z723" s="23" cm="1">
        <f t="array" ref="Z723">_xlfn.XLOOKUP(tblMatriculas[[#This Row],[Cédula]]&amp;"|"&amp;tblMatriculas[[#This Row],[Código]],tblBase[Documento]&amp;"|"&amp;tblBase[Código grupo],tblBase[Fecha matrícula],"")</f>
        <v>46262</v>
      </c>
    </row>
    <row r="724" spans="1:26" x14ac:dyDescent="0.2">
      <c r="A724" t="s">
        <v>1560</v>
      </c>
      <c r="B724" t="s">
        <v>1561</v>
      </c>
      <c r="C724" t="s">
        <v>13</v>
      </c>
      <c r="D724" t="s">
        <v>1509</v>
      </c>
      <c r="E724" t="s">
        <v>1510</v>
      </c>
      <c r="F724" t="s">
        <v>516</v>
      </c>
      <c r="G724" s="1">
        <v>6.7000000000000004E-2</v>
      </c>
      <c r="H724" t="s">
        <v>166</v>
      </c>
      <c r="I724" t="s">
        <v>1145</v>
      </c>
      <c r="J724" t="s">
        <v>1511</v>
      </c>
      <c r="K724" t="s">
        <v>24</v>
      </c>
      <c r="L724" s="14">
        <f>IFERROR(VALUE(LEFT(tblMatriculas[[#This Row],[Clases]],FIND("/",tblMatriculas[[#This Row],[Clases]])-1)),"")</f>
        <v>2</v>
      </c>
      <c r="M724" s="14">
        <f>IFERROR(VALUE(MID(tblMatriculas[[#This Row],[Clases]],FIND("/",tblMatriculas[[#This Row],[Clases]])+1,5)),"")</f>
        <v>30</v>
      </c>
      <c r="N7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4" s="14">
        <f>IF(OR(tblMatriculas[[#This Row],[Estado]]&lt;&gt;"activa",tblMatriculas[[#This Row],[Clases dictadas]]=""),"",MAX(0,tblMatriculas[[#This Row],[Clases dictadas]]-tblMatriculas[[#This Row],[Asistidas]]))</f>
        <v>0</v>
      </c>
      <c r="P724" s="1">
        <f>IF(OR(tblMatriculas[[#This Row],[Estado]]&lt;&gt;"activa",tblMatriculas[[#This Row],[Asistidas]]=""),"",tblMatriculas[[#This Row],[Asistencia]])</f>
        <v>6.7000000000000004E-2</v>
      </c>
      <c r="Q724" t="b">
        <f>AND(tblMatriculas[[#This Row],[Estado]]="activa",ISNUMBER(tblMatriculas[[#This Row],[% asistencia]]),NOT(ISNUMBER(SEARCH(pPrueba,tblMatriculas[[#This Row],[Nombre]]))))</f>
        <v>1</v>
      </c>
      <c r="R7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24" s="23" t="str" cm="1">
        <f t="array" ref="S7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4" s="23" t="str" cm="1">
        <f t="array" ref="T7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4" s="14" t="str" cm="1">
        <f t="array" ref="U7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4" t="str" cm="1">
        <f t="array" ref="V7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4" t="str" cm="1">
        <f t="array" ref="W7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2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24" t="str">
        <f>IF(COUNTIFS('Base Estudiantes'!$C:$C,tblMatriculas[[#This Row],[Cédula]],'Base Estudiantes'!$I:$I,tblMatriculas[[#This Row],[Código]])&gt;0,"Sí","No")</f>
        <v>Sí</v>
      </c>
      <c r="Z724" s="23" cm="1">
        <f t="array" ref="Z724">_xlfn.XLOOKUP(tblMatriculas[[#This Row],[Cédula]]&amp;"|"&amp;tblMatriculas[[#This Row],[Código]],tblBase[Documento]&amp;"|"&amp;tblBase[Código grupo],tblBase[Fecha matrícula],"")</f>
        <v>46262</v>
      </c>
    </row>
    <row r="725" spans="1:26" x14ac:dyDescent="0.2">
      <c r="A725" t="s">
        <v>1562</v>
      </c>
      <c r="B725" t="s">
        <v>1563</v>
      </c>
      <c r="C725" t="s">
        <v>13</v>
      </c>
      <c r="D725" t="s">
        <v>1509</v>
      </c>
      <c r="E725" t="s">
        <v>1510</v>
      </c>
      <c r="F725" t="s">
        <v>516</v>
      </c>
      <c r="G725" s="1">
        <v>6.7000000000000004E-2</v>
      </c>
      <c r="H725" t="s">
        <v>166</v>
      </c>
      <c r="I725" t="s">
        <v>1145</v>
      </c>
      <c r="J725" t="s">
        <v>1511</v>
      </c>
      <c r="K725" t="s">
        <v>24</v>
      </c>
      <c r="L725" s="14">
        <f>IFERROR(VALUE(LEFT(tblMatriculas[[#This Row],[Clases]],FIND("/",tblMatriculas[[#This Row],[Clases]])-1)),"")</f>
        <v>2</v>
      </c>
      <c r="M725" s="14">
        <f>IFERROR(VALUE(MID(tblMatriculas[[#This Row],[Clases]],FIND("/",tblMatriculas[[#This Row],[Clases]])+1,5)),"")</f>
        <v>30</v>
      </c>
      <c r="N7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5" s="14">
        <f>IF(OR(tblMatriculas[[#This Row],[Estado]]&lt;&gt;"activa",tblMatriculas[[#This Row],[Clases dictadas]]=""),"",MAX(0,tblMatriculas[[#This Row],[Clases dictadas]]-tblMatriculas[[#This Row],[Asistidas]]))</f>
        <v>0</v>
      </c>
      <c r="P725" s="1">
        <f>IF(OR(tblMatriculas[[#This Row],[Estado]]&lt;&gt;"activa",tblMatriculas[[#This Row],[Asistidas]]=""),"",tblMatriculas[[#This Row],[Asistencia]])</f>
        <v>6.7000000000000004E-2</v>
      </c>
      <c r="Q725" t="b">
        <f>AND(tblMatriculas[[#This Row],[Estado]]="activa",ISNUMBER(tblMatriculas[[#This Row],[% asistencia]]),NOT(ISNUMBER(SEARCH(pPrueba,tblMatriculas[[#This Row],[Nombre]]))))</f>
        <v>1</v>
      </c>
      <c r="R7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25" s="23" t="str" cm="1">
        <f t="array" ref="S7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5" s="23" t="str" cm="1">
        <f t="array" ref="T7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5" s="14" t="str" cm="1">
        <f t="array" ref="U7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5" t="str" cm="1">
        <f t="array" ref="V7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5" t="str" cm="1">
        <f t="array" ref="W7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25" t="str">
        <f>IF(COUNTIFS('Base Estudiantes'!$C:$C,tblMatriculas[[#This Row],[Cédula]],'Base Estudiantes'!$I:$I,tblMatriculas[[#This Row],[Código]])&gt;0,"Sí","No")</f>
        <v>Sí</v>
      </c>
      <c r="Z725" s="23" cm="1">
        <f t="array" ref="Z725">_xlfn.XLOOKUP(tblMatriculas[[#This Row],[Cédula]]&amp;"|"&amp;tblMatriculas[[#This Row],[Código]],tblBase[Documento]&amp;"|"&amp;tblBase[Código grupo],tblBase[Fecha matrícula],"")</f>
        <v>46262</v>
      </c>
    </row>
    <row r="726" spans="1:26" x14ac:dyDescent="0.2">
      <c r="A726" t="s">
        <v>1564</v>
      </c>
      <c r="B726" t="s">
        <v>1565</v>
      </c>
      <c r="C726" t="s">
        <v>13</v>
      </c>
      <c r="D726" t="s">
        <v>1509</v>
      </c>
      <c r="E726" t="s">
        <v>1510</v>
      </c>
      <c r="F726" t="s">
        <v>516</v>
      </c>
      <c r="G726" s="1">
        <v>3.3000000000000002E-2</v>
      </c>
      <c r="H726" t="s">
        <v>225</v>
      </c>
      <c r="I726" t="s">
        <v>1145</v>
      </c>
      <c r="J726" t="s">
        <v>1511</v>
      </c>
      <c r="K726" t="s">
        <v>24</v>
      </c>
      <c r="L726" s="14">
        <f>IFERROR(VALUE(LEFT(tblMatriculas[[#This Row],[Clases]],FIND("/",tblMatriculas[[#This Row],[Clases]])-1)),"")</f>
        <v>1</v>
      </c>
      <c r="M726" s="14">
        <f>IFERROR(VALUE(MID(tblMatriculas[[#This Row],[Clases]],FIND("/",tblMatriculas[[#This Row],[Clases]])+1,5)),"")</f>
        <v>30</v>
      </c>
      <c r="N7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6" s="14">
        <f>IF(OR(tblMatriculas[[#This Row],[Estado]]&lt;&gt;"activa",tblMatriculas[[#This Row],[Clases dictadas]]=""),"",MAX(0,tblMatriculas[[#This Row],[Clases dictadas]]-tblMatriculas[[#This Row],[Asistidas]]))</f>
        <v>1</v>
      </c>
      <c r="P726" s="1">
        <f>IF(OR(tblMatriculas[[#This Row],[Estado]]&lt;&gt;"activa",tblMatriculas[[#This Row],[Asistidas]]=""),"",tblMatriculas[[#This Row],[Asistencia]])</f>
        <v>3.3000000000000002E-2</v>
      </c>
      <c r="Q726" t="b">
        <f>AND(tblMatriculas[[#This Row],[Estado]]="activa",ISNUMBER(tblMatriculas[[#This Row],[% asistencia]]),NOT(ISNUMBER(SEARCH(pPrueba,tblMatriculas[[#This Row],[Nombre]]))))</f>
        <v>1</v>
      </c>
      <c r="R7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26" s="23" t="str" cm="1">
        <f t="array" ref="S7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6" s="23" t="str" cm="1">
        <f t="array" ref="T7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6" s="14" t="str" cm="1">
        <f t="array" ref="U7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6" t="str" cm="1">
        <f t="array" ref="V7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6" t="str" cm="1">
        <f t="array" ref="W7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2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26" t="str">
        <f>IF(COUNTIFS('Base Estudiantes'!$C:$C,tblMatriculas[[#This Row],[Cédula]],'Base Estudiantes'!$I:$I,tblMatriculas[[#This Row],[Código]])&gt;0,"Sí","No")</f>
        <v>Sí</v>
      </c>
      <c r="Z726" s="23" cm="1">
        <f t="array" ref="Z726">_xlfn.XLOOKUP(tblMatriculas[[#This Row],[Cédula]]&amp;"|"&amp;tblMatriculas[[#This Row],[Código]],tblBase[Documento]&amp;"|"&amp;tblBase[Código grupo],tblBase[Fecha matrícula],"")</f>
        <v>46262</v>
      </c>
    </row>
    <row r="727" spans="1:26" x14ac:dyDescent="0.2">
      <c r="A727" t="s">
        <v>1566</v>
      </c>
      <c r="B727" t="s">
        <v>1567</v>
      </c>
      <c r="C727" t="s">
        <v>13</v>
      </c>
      <c r="D727" t="s">
        <v>1509</v>
      </c>
      <c r="E727" t="s">
        <v>1510</v>
      </c>
      <c r="F727" t="s">
        <v>516</v>
      </c>
      <c r="G727" s="1">
        <v>6.7000000000000004E-2</v>
      </c>
      <c r="H727" t="s">
        <v>166</v>
      </c>
      <c r="I727" t="s">
        <v>1145</v>
      </c>
      <c r="J727" t="s">
        <v>1511</v>
      </c>
      <c r="K727" t="s">
        <v>24</v>
      </c>
      <c r="L727" s="14">
        <f>IFERROR(VALUE(LEFT(tblMatriculas[[#This Row],[Clases]],FIND("/",tblMatriculas[[#This Row],[Clases]])-1)),"")</f>
        <v>2</v>
      </c>
      <c r="M727" s="14">
        <f>IFERROR(VALUE(MID(tblMatriculas[[#This Row],[Clases]],FIND("/",tblMatriculas[[#This Row],[Clases]])+1,5)),"")</f>
        <v>30</v>
      </c>
      <c r="N7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7" s="14">
        <f>IF(OR(tblMatriculas[[#This Row],[Estado]]&lt;&gt;"activa",tblMatriculas[[#This Row],[Clases dictadas]]=""),"",MAX(0,tblMatriculas[[#This Row],[Clases dictadas]]-tblMatriculas[[#This Row],[Asistidas]]))</f>
        <v>0</v>
      </c>
      <c r="P727" s="1">
        <f>IF(OR(tblMatriculas[[#This Row],[Estado]]&lt;&gt;"activa",tblMatriculas[[#This Row],[Asistidas]]=""),"",tblMatriculas[[#This Row],[Asistencia]])</f>
        <v>6.7000000000000004E-2</v>
      </c>
      <c r="Q727" t="b">
        <f>AND(tblMatriculas[[#This Row],[Estado]]="activa",ISNUMBER(tblMatriculas[[#This Row],[% asistencia]]),NOT(ISNUMBER(SEARCH(pPrueba,tblMatriculas[[#This Row],[Nombre]]))))</f>
        <v>1</v>
      </c>
      <c r="R7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27" s="23" t="str" cm="1">
        <f t="array" ref="S7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7" s="23" t="str" cm="1">
        <f t="array" ref="T7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7" s="14" t="str" cm="1">
        <f t="array" ref="U7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7" t="str" cm="1">
        <f t="array" ref="V7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7" t="str" cm="1">
        <f t="array" ref="W7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27" t="str">
        <f>IF(COUNTIFS('Base Estudiantes'!$C:$C,tblMatriculas[[#This Row],[Cédula]],'Base Estudiantes'!$I:$I,tblMatriculas[[#This Row],[Código]])&gt;0,"Sí","No")</f>
        <v>Sí</v>
      </c>
      <c r="Z727" s="23" cm="1">
        <f t="array" ref="Z727">_xlfn.XLOOKUP(tblMatriculas[[#This Row],[Cédula]]&amp;"|"&amp;tblMatriculas[[#This Row],[Código]],tblBase[Documento]&amp;"|"&amp;tblBase[Código grupo],tblBase[Fecha matrícula],"")</f>
        <v>46262</v>
      </c>
    </row>
    <row r="728" spans="1:26" x14ac:dyDescent="0.2">
      <c r="A728" t="s">
        <v>1568</v>
      </c>
      <c r="B728" t="s">
        <v>1569</v>
      </c>
      <c r="C728" t="s">
        <v>49</v>
      </c>
      <c r="D728" t="s">
        <v>1509</v>
      </c>
      <c r="E728" t="s">
        <v>1510</v>
      </c>
      <c r="F728" t="s">
        <v>516</v>
      </c>
      <c r="G728" s="1">
        <v>0</v>
      </c>
      <c r="H728" t="s">
        <v>254</v>
      </c>
      <c r="I728" t="s">
        <v>1145</v>
      </c>
      <c r="J728" t="s">
        <v>1511</v>
      </c>
      <c r="K728" t="s">
        <v>1220</v>
      </c>
      <c r="L728" s="14">
        <f>IFERROR(VALUE(LEFT(tblMatriculas[[#This Row],[Clases]],FIND("/",tblMatriculas[[#This Row],[Clases]])-1)),"")</f>
        <v>0</v>
      </c>
      <c r="M728" s="14">
        <f>IFERROR(VALUE(MID(tblMatriculas[[#This Row],[Clases]],FIND("/",tblMatriculas[[#This Row],[Clases]])+1,5)),"")</f>
        <v>30</v>
      </c>
      <c r="N7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8" s="14" t="str">
        <f>IF(OR(tblMatriculas[[#This Row],[Estado]]&lt;&gt;"activa",tblMatriculas[[#This Row],[Clases dictadas]]=""),"",MAX(0,tblMatriculas[[#This Row],[Clases dictadas]]-tblMatriculas[[#This Row],[Asistidas]]))</f>
        <v/>
      </c>
      <c r="P728" s="1" t="str">
        <f>IF(OR(tblMatriculas[[#This Row],[Estado]]&lt;&gt;"activa",tblMatriculas[[#This Row],[Asistidas]]=""),"",tblMatriculas[[#This Row],[Asistencia]])</f>
        <v/>
      </c>
      <c r="Q728" t="b">
        <f>AND(tblMatriculas[[#This Row],[Estado]]="activa",ISNUMBER(tblMatriculas[[#This Row],[% asistencia]]),NOT(ISNUMBER(SEARCH(pPrueba,tblMatriculas[[#This Row],[Nombre]]))))</f>
        <v>0</v>
      </c>
      <c r="R7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728" s="23" t="str" cm="1">
        <f t="array" ref="S7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8" s="23" t="str" cm="1">
        <f t="array" ref="T7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8" s="14" t="str" cm="1">
        <f t="array" ref="U7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8" t="str" cm="1">
        <f t="array" ref="V7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8" t="str" cm="1">
        <f t="array" ref="W7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28" t="str">
        <f>IF(COUNTIFS('Base Estudiantes'!$C:$C,tblMatriculas[[#This Row],[Cédula]],'Base Estudiantes'!$I:$I,tblMatriculas[[#This Row],[Código]])&gt;0,"Sí","No")</f>
        <v>No</v>
      </c>
      <c r="Z728" s="23" t="str" cm="1">
        <f t="array" ref="Z728">_xlfn.XLOOKUP(tblMatriculas[[#This Row],[Cédula]]&amp;"|"&amp;tblMatriculas[[#This Row],[Código]],tblBase[Documento]&amp;"|"&amp;tblBase[Código grupo],tblBase[Fecha matrícula],"")</f>
        <v/>
      </c>
    </row>
    <row r="729" spans="1:26" x14ac:dyDescent="0.2">
      <c r="A729" t="s">
        <v>1570</v>
      </c>
      <c r="B729" t="s">
        <v>1571</v>
      </c>
      <c r="C729" t="s">
        <v>13</v>
      </c>
      <c r="D729" t="s">
        <v>1509</v>
      </c>
      <c r="E729" t="s">
        <v>1510</v>
      </c>
      <c r="F729" t="s">
        <v>516</v>
      </c>
      <c r="G729" s="1">
        <v>6.7000000000000004E-2</v>
      </c>
      <c r="H729" t="s">
        <v>166</v>
      </c>
      <c r="I729" t="s">
        <v>1145</v>
      </c>
      <c r="J729" t="s">
        <v>1511</v>
      </c>
      <c r="K729" t="s">
        <v>1366</v>
      </c>
      <c r="L729" s="14">
        <f>IFERROR(VALUE(LEFT(tblMatriculas[[#This Row],[Clases]],FIND("/",tblMatriculas[[#This Row],[Clases]])-1)),"")</f>
        <v>2</v>
      </c>
      <c r="M729" s="14">
        <f>IFERROR(VALUE(MID(tblMatriculas[[#This Row],[Clases]],FIND("/",tblMatriculas[[#This Row],[Clases]])+1,5)),"")</f>
        <v>30</v>
      </c>
      <c r="N7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29" s="14">
        <f>IF(OR(tblMatriculas[[#This Row],[Estado]]&lt;&gt;"activa",tblMatriculas[[#This Row],[Clases dictadas]]=""),"",MAX(0,tblMatriculas[[#This Row],[Clases dictadas]]-tblMatriculas[[#This Row],[Asistidas]]))</f>
        <v>0</v>
      </c>
      <c r="P729" s="1">
        <f>IF(OR(tblMatriculas[[#This Row],[Estado]]&lt;&gt;"activa",tblMatriculas[[#This Row],[Asistidas]]=""),"",tblMatriculas[[#This Row],[Asistencia]])</f>
        <v>6.7000000000000004E-2</v>
      </c>
      <c r="Q729" t="b">
        <f>AND(tblMatriculas[[#This Row],[Estado]]="activa",ISNUMBER(tblMatriculas[[#This Row],[% asistencia]]),NOT(ISNUMBER(SEARCH(pPrueba,tblMatriculas[[#This Row],[Nombre]]))))</f>
        <v>1</v>
      </c>
      <c r="R7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29" s="23" t="str" cm="1">
        <f t="array" ref="S7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29" s="23" t="str" cm="1">
        <f t="array" ref="T7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29" s="14" t="str" cm="1">
        <f t="array" ref="U7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29" t="str" cm="1">
        <f t="array" ref="V7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29" t="str" cm="1">
        <f t="array" ref="W7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2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29" t="str">
        <f>IF(COUNTIFS('Base Estudiantes'!$C:$C,tblMatriculas[[#This Row],[Cédula]],'Base Estudiantes'!$I:$I,tblMatriculas[[#This Row],[Código]])&gt;0,"Sí","No")</f>
        <v>Sí</v>
      </c>
      <c r="Z729" s="23" cm="1">
        <f t="array" ref="Z729">_xlfn.XLOOKUP(tblMatriculas[[#This Row],[Cédula]]&amp;"|"&amp;tblMatriculas[[#This Row],[Código]],tblBase[Documento]&amp;"|"&amp;tblBase[Código grupo],tblBase[Fecha matrícula],"")</f>
        <v>46262</v>
      </c>
    </row>
    <row r="730" spans="1:26" x14ac:dyDescent="0.2">
      <c r="A730" t="s">
        <v>1572</v>
      </c>
      <c r="B730" t="s">
        <v>1573</v>
      </c>
      <c r="C730" t="s">
        <v>13</v>
      </c>
      <c r="D730" t="s">
        <v>1509</v>
      </c>
      <c r="E730" t="s">
        <v>1510</v>
      </c>
      <c r="F730" t="s">
        <v>516</v>
      </c>
      <c r="G730" s="1">
        <v>6.7000000000000004E-2</v>
      </c>
      <c r="H730" t="s">
        <v>166</v>
      </c>
      <c r="I730" t="s">
        <v>1145</v>
      </c>
      <c r="J730" t="s">
        <v>1511</v>
      </c>
      <c r="K730" t="s">
        <v>24</v>
      </c>
      <c r="L730" s="14">
        <f>IFERROR(VALUE(LEFT(tblMatriculas[[#This Row],[Clases]],FIND("/",tblMatriculas[[#This Row],[Clases]])-1)),"")</f>
        <v>2</v>
      </c>
      <c r="M730" s="14">
        <f>IFERROR(VALUE(MID(tblMatriculas[[#This Row],[Clases]],FIND("/",tblMatriculas[[#This Row],[Clases]])+1,5)),"")</f>
        <v>30</v>
      </c>
      <c r="N7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30" s="14">
        <f>IF(OR(tblMatriculas[[#This Row],[Estado]]&lt;&gt;"activa",tblMatriculas[[#This Row],[Clases dictadas]]=""),"",MAX(0,tblMatriculas[[#This Row],[Clases dictadas]]-tblMatriculas[[#This Row],[Asistidas]]))</f>
        <v>0</v>
      </c>
      <c r="P730" s="1">
        <f>IF(OR(tblMatriculas[[#This Row],[Estado]]&lt;&gt;"activa",tblMatriculas[[#This Row],[Asistidas]]=""),"",tblMatriculas[[#This Row],[Asistencia]])</f>
        <v>6.7000000000000004E-2</v>
      </c>
      <c r="Q730" t="b">
        <f>AND(tblMatriculas[[#This Row],[Estado]]="activa",ISNUMBER(tblMatriculas[[#This Row],[% asistencia]]),NOT(ISNUMBER(SEARCH(pPrueba,tblMatriculas[[#This Row],[Nombre]]))))</f>
        <v>1</v>
      </c>
      <c r="R7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30" s="23" t="str" cm="1">
        <f t="array" ref="S7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0" s="23" t="str" cm="1">
        <f t="array" ref="T7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0" s="14" t="str" cm="1">
        <f t="array" ref="U7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0" t="str" cm="1">
        <f t="array" ref="V7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0" t="str" cm="1">
        <f t="array" ref="W7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30" t="str">
        <f>IF(COUNTIFS('Base Estudiantes'!$C:$C,tblMatriculas[[#This Row],[Cédula]],'Base Estudiantes'!$I:$I,tblMatriculas[[#This Row],[Código]])&gt;0,"Sí","No")</f>
        <v>Sí</v>
      </c>
      <c r="Z730" s="23" cm="1">
        <f t="array" ref="Z730">_xlfn.XLOOKUP(tblMatriculas[[#This Row],[Cédula]]&amp;"|"&amp;tblMatriculas[[#This Row],[Código]],tblBase[Documento]&amp;"|"&amp;tblBase[Código grupo],tblBase[Fecha matrícula],"")</f>
        <v>46263</v>
      </c>
    </row>
    <row r="731" spans="1:26" x14ac:dyDescent="0.2">
      <c r="A731" t="s">
        <v>656</v>
      </c>
      <c r="B731" t="s">
        <v>657</v>
      </c>
      <c r="C731" t="s">
        <v>13</v>
      </c>
      <c r="D731" t="s">
        <v>1509</v>
      </c>
      <c r="E731" t="s">
        <v>1510</v>
      </c>
      <c r="F731" t="s">
        <v>516</v>
      </c>
      <c r="G731" s="1">
        <v>6.7000000000000004E-2</v>
      </c>
      <c r="H731" t="s">
        <v>166</v>
      </c>
      <c r="I731" t="s">
        <v>1145</v>
      </c>
      <c r="J731" t="s">
        <v>1511</v>
      </c>
      <c r="K731" t="s">
        <v>24</v>
      </c>
      <c r="L731" s="14">
        <f>IFERROR(VALUE(LEFT(tblMatriculas[[#This Row],[Clases]],FIND("/",tblMatriculas[[#This Row],[Clases]])-1)),"")</f>
        <v>2</v>
      </c>
      <c r="M731" s="14">
        <f>IFERROR(VALUE(MID(tblMatriculas[[#This Row],[Clases]],FIND("/",tblMatriculas[[#This Row],[Clases]])+1,5)),"")</f>
        <v>30</v>
      </c>
      <c r="N7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31" s="14">
        <f>IF(OR(tblMatriculas[[#This Row],[Estado]]&lt;&gt;"activa",tblMatriculas[[#This Row],[Clases dictadas]]=""),"",MAX(0,tblMatriculas[[#This Row],[Clases dictadas]]-tblMatriculas[[#This Row],[Asistidas]]))</f>
        <v>0</v>
      </c>
      <c r="P731" s="1">
        <f>IF(OR(tblMatriculas[[#This Row],[Estado]]&lt;&gt;"activa",tblMatriculas[[#This Row],[Asistidas]]=""),"",tblMatriculas[[#This Row],[Asistencia]])</f>
        <v>6.7000000000000004E-2</v>
      </c>
      <c r="Q731" t="b">
        <f>AND(tblMatriculas[[#This Row],[Estado]]="activa",ISNUMBER(tblMatriculas[[#This Row],[% asistencia]]),NOT(ISNUMBER(SEARCH(pPrueba,tblMatriculas[[#This Row],[Nombre]]))))</f>
        <v>1</v>
      </c>
      <c r="R7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31" s="23" t="str" cm="1">
        <f t="array" ref="S7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1" s="23" t="str" cm="1">
        <f t="array" ref="T7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1" s="14" t="str" cm="1">
        <f t="array" ref="U7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1" t="str" cm="1">
        <f t="array" ref="V7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1" t="str" cm="1">
        <f t="array" ref="W7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3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31" t="str">
        <f>IF(COUNTIFS('Base Estudiantes'!$C:$C,tblMatriculas[[#This Row],[Cédula]],'Base Estudiantes'!$I:$I,tblMatriculas[[#This Row],[Código]])&gt;0,"Sí","No")</f>
        <v>Sí</v>
      </c>
      <c r="Z731" s="23" cm="1">
        <f t="array" ref="Z731">_xlfn.XLOOKUP(tblMatriculas[[#This Row],[Cédula]]&amp;"|"&amp;tblMatriculas[[#This Row],[Código]],tblBase[Documento]&amp;"|"&amp;tblBase[Código grupo],tblBase[Fecha matrícula],"")</f>
        <v>46273</v>
      </c>
    </row>
    <row r="732" spans="1:26" x14ac:dyDescent="0.2">
      <c r="A732" t="s">
        <v>1574</v>
      </c>
      <c r="B732" t="s">
        <v>1575</v>
      </c>
      <c r="C732" t="s">
        <v>13</v>
      </c>
      <c r="D732" t="s">
        <v>1509</v>
      </c>
      <c r="E732" t="s">
        <v>1510</v>
      </c>
      <c r="F732" t="s">
        <v>516</v>
      </c>
      <c r="G732" s="1">
        <v>6.7000000000000004E-2</v>
      </c>
      <c r="H732" t="s">
        <v>166</v>
      </c>
      <c r="I732" t="s">
        <v>1145</v>
      </c>
      <c r="J732" t="s">
        <v>1511</v>
      </c>
      <c r="K732" t="s">
        <v>24</v>
      </c>
      <c r="L732" s="14">
        <f>IFERROR(VALUE(LEFT(tblMatriculas[[#This Row],[Clases]],FIND("/",tblMatriculas[[#This Row],[Clases]])-1)),"")</f>
        <v>2</v>
      </c>
      <c r="M732" s="14">
        <f>IFERROR(VALUE(MID(tblMatriculas[[#This Row],[Clases]],FIND("/",tblMatriculas[[#This Row],[Clases]])+1,5)),"")</f>
        <v>30</v>
      </c>
      <c r="N7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732" s="14">
        <f>IF(OR(tblMatriculas[[#This Row],[Estado]]&lt;&gt;"activa",tblMatriculas[[#This Row],[Clases dictadas]]=""),"",MAX(0,tblMatriculas[[#This Row],[Clases dictadas]]-tblMatriculas[[#This Row],[Asistidas]]))</f>
        <v>0</v>
      </c>
      <c r="P732" s="1">
        <f>IF(OR(tblMatriculas[[#This Row],[Estado]]&lt;&gt;"activa",tblMatriculas[[#This Row],[Asistidas]]=""),"",tblMatriculas[[#This Row],[Asistencia]])</f>
        <v>6.7000000000000004E-2</v>
      </c>
      <c r="Q732" t="b">
        <f>AND(tblMatriculas[[#This Row],[Estado]]="activa",ISNUMBER(tblMatriculas[[#This Row],[% asistencia]]),NOT(ISNUMBER(SEARCH(pPrueba,tblMatriculas[[#This Row],[Nombre]]))))</f>
        <v>1</v>
      </c>
      <c r="R7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32" s="23" t="str" cm="1">
        <f t="array" ref="S7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2" s="23" t="str" cm="1">
        <f t="array" ref="T7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2" s="14" t="str" cm="1">
        <f t="array" ref="U7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2" t="str" cm="1">
        <f t="array" ref="V7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2" t="str" cm="1">
        <f t="array" ref="W7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32" t="str">
        <f>IF(COUNTIFS('Base Estudiantes'!$C:$C,tblMatriculas[[#This Row],[Cédula]],'Base Estudiantes'!$I:$I,tblMatriculas[[#This Row],[Código]])&gt;0,"Sí","No")</f>
        <v>Sí</v>
      </c>
      <c r="Z732" s="23" cm="1">
        <f t="array" ref="Z732">_xlfn.XLOOKUP(tblMatriculas[[#This Row],[Cédula]]&amp;"|"&amp;tblMatriculas[[#This Row],[Código]],tblBase[Documento]&amp;"|"&amp;tblBase[Código grupo],tblBase[Fecha matrícula],"")</f>
        <v>46280</v>
      </c>
    </row>
    <row r="733" spans="1:26" x14ac:dyDescent="0.2">
      <c r="A733" t="s">
        <v>1576</v>
      </c>
      <c r="B733" t="s">
        <v>1577</v>
      </c>
      <c r="C733" t="s">
        <v>13</v>
      </c>
      <c r="D733" t="s">
        <v>1578</v>
      </c>
      <c r="E733" t="s">
        <v>1579</v>
      </c>
      <c r="F733" t="s">
        <v>16</v>
      </c>
      <c r="G733" s="1">
        <v>0.08</v>
      </c>
      <c r="H733" t="s">
        <v>1476</v>
      </c>
      <c r="I733" t="s">
        <v>1580</v>
      </c>
      <c r="J733" t="s">
        <v>1581</v>
      </c>
      <c r="K733" t="s">
        <v>1582</v>
      </c>
      <c r="L733" s="14">
        <f>IFERROR(VALUE(LEFT(tblMatriculas[[#This Row],[Clases]],FIND("/",tblMatriculas[[#This Row],[Clases]])-1)),"")</f>
        <v>6</v>
      </c>
      <c r="M733" s="14">
        <f>IFERROR(VALUE(MID(tblMatriculas[[#This Row],[Clases]],FIND("/",tblMatriculas[[#This Row],[Clases]])+1,5)),"")</f>
        <v>75</v>
      </c>
      <c r="N7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733" s="14">
        <f>IF(OR(tblMatriculas[[#This Row],[Estado]]&lt;&gt;"activa",tblMatriculas[[#This Row],[Clases dictadas]]=""),"",MAX(0,tblMatriculas[[#This Row],[Clases dictadas]]-tblMatriculas[[#This Row],[Asistidas]]))</f>
        <v>2</v>
      </c>
      <c r="P733" s="1">
        <f>IF(OR(tblMatriculas[[#This Row],[Estado]]&lt;&gt;"activa",tblMatriculas[[#This Row],[Asistidas]]=""),"",tblMatriculas[[#This Row],[Asistencia]])</f>
        <v>0.08</v>
      </c>
      <c r="Q733" t="b">
        <f>AND(tblMatriculas[[#This Row],[Estado]]="activa",ISNUMBER(tblMatriculas[[#This Row],[% asistencia]]),NOT(ISNUMBER(SEARCH(pPrueba,tblMatriculas[[#This Row],[Nombre]]))))</f>
        <v>1</v>
      </c>
      <c r="R7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3" s="23" t="str" cm="1">
        <f t="array" ref="S7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3" s="23" t="str" cm="1">
        <f t="array" ref="T7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3" s="14" t="str" cm="1">
        <f t="array" ref="U7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3" t="str" cm="1">
        <f t="array" ref="V7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3" t="str" cm="1">
        <f t="array" ref="W7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3" t="str">
        <f>IF(COUNTIFS('Base Estudiantes'!$C:$C,tblMatriculas[[#This Row],[Cédula]],'Base Estudiantes'!$I:$I,tblMatriculas[[#This Row],[Código]])&gt;0,"Sí","No")</f>
        <v>Sí</v>
      </c>
      <c r="Z733" s="23" cm="1">
        <f t="array" ref="Z733">_xlfn.XLOOKUP(tblMatriculas[[#This Row],[Cédula]]&amp;"|"&amp;tblMatriculas[[#This Row],[Código]],tblBase[Documento]&amp;"|"&amp;tblBase[Código grupo],tblBase[Fecha matrícula],"")</f>
        <v>46263</v>
      </c>
    </row>
    <row r="734" spans="1:26" x14ac:dyDescent="0.2">
      <c r="A734" t="s">
        <v>1583</v>
      </c>
      <c r="B734" t="s">
        <v>1584</v>
      </c>
      <c r="C734" t="s">
        <v>13</v>
      </c>
      <c r="D734" t="s">
        <v>1578</v>
      </c>
      <c r="E734" t="s">
        <v>1579</v>
      </c>
      <c r="F734" t="s">
        <v>16</v>
      </c>
      <c r="G734" s="1">
        <v>0.13300000000000001</v>
      </c>
      <c r="H734" t="s">
        <v>36</v>
      </c>
      <c r="I734" t="s">
        <v>1580</v>
      </c>
      <c r="J734" t="s">
        <v>1581</v>
      </c>
      <c r="K734" t="s">
        <v>1585</v>
      </c>
      <c r="L734" s="14">
        <f>IFERROR(VALUE(LEFT(tblMatriculas[[#This Row],[Clases]],FIND("/",tblMatriculas[[#This Row],[Clases]])-1)),"")</f>
        <v>6</v>
      </c>
      <c r="M734" s="14">
        <f>IFERROR(VALUE(MID(tblMatriculas[[#This Row],[Clases]],FIND("/",tblMatriculas[[#This Row],[Clases]])+1,5)),"")</f>
        <v>45</v>
      </c>
      <c r="N7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4" s="14">
        <f>IF(OR(tblMatriculas[[#This Row],[Estado]]&lt;&gt;"activa",tblMatriculas[[#This Row],[Clases dictadas]]=""),"",MAX(0,tblMatriculas[[#This Row],[Clases dictadas]]-tblMatriculas[[#This Row],[Asistidas]]))</f>
        <v>0</v>
      </c>
      <c r="P734" s="1">
        <f>IF(OR(tblMatriculas[[#This Row],[Estado]]&lt;&gt;"activa",tblMatriculas[[#This Row],[Asistidas]]=""),"",tblMatriculas[[#This Row],[Asistencia]])</f>
        <v>0.13300000000000001</v>
      </c>
      <c r="Q734" t="b">
        <f>AND(tblMatriculas[[#This Row],[Estado]]="activa",ISNUMBER(tblMatriculas[[#This Row],[% asistencia]]),NOT(ISNUMBER(SEARCH(pPrueba,tblMatriculas[[#This Row],[Nombre]]))))</f>
        <v>1</v>
      </c>
      <c r="R7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4" s="23" t="str" cm="1">
        <f t="array" ref="S7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4" s="23" t="str" cm="1">
        <f t="array" ref="T7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4" s="14" t="str" cm="1">
        <f t="array" ref="U7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4" t="str" cm="1">
        <f t="array" ref="V7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4" t="str" cm="1">
        <f t="array" ref="W7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4" t="str">
        <f>IF(COUNTIFS('Base Estudiantes'!$C:$C,tblMatriculas[[#This Row],[Cédula]],'Base Estudiantes'!$I:$I,tblMatriculas[[#This Row],[Código]])&gt;0,"Sí","No")</f>
        <v>Sí</v>
      </c>
      <c r="Z734" s="23" cm="1">
        <f t="array" ref="Z734">_xlfn.XLOOKUP(tblMatriculas[[#This Row],[Cédula]]&amp;"|"&amp;tblMatriculas[[#This Row],[Código]],tblBase[Documento]&amp;"|"&amp;tblBase[Código grupo],tblBase[Fecha matrícula],"")</f>
        <v>46263</v>
      </c>
    </row>
    <row r="735" spans="1:26" x14ac:dyDescent="0.2">
      <c r="A735" t="s">
        <v>1586</v>
      </c>
      <c r="B735" t="s">
        <v>1587</v>
      </c>
      <c r="C735" t="s">
        <v>13</v>
      </c>
      <c r="D735" t="s">
        <v>1578</v>
      </c>
      <c r="E735" t="s">
        <v>1579</v>
      </c>
      <c r="F735" t="s">
        <v>16</v>
      </c>
      <c r="G735" s="1">
        <v>0.13300000000000001</v>
      </c>
      <c r="H735" t="s">
        <v>36</v>
      </c>
      <c r="I735" t="s">
        <v>1580</v>
      </c>
      <c r="J735" t="s">
        <v>1581</v>
      </c>
      <c r="K735" t="s">
        <v>1585</v>
      </c>
      <c r="L735" s="14">
        <f>IFERROR(VALUE(LEFT(tblMatriculas[[#This Row],[Clases]],FIND("/",tblMatriculas[[#This Row],[Clases]])-1)),"")</f>
        <v>6</v>
      </c>
      <c r="M735" s="14">
        <f>IFERROR(VALUE(MID(tblMatriculas[[#This Row],[Clases]],FIND("/",tblMatriculas[[#This Row],[Clases]])+1,5)),"")</f>
        <v>45</v>
      </c>
      <c r="N7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5" s="14">
        <f>IF(OR(tblMatriculas[[#This Row],[Estado]]&lt;&gt;"activa",tblMatriculas[[#This Row],[Clases dictadas]]=""),"",MAX(0,tblMatriculas[[#This Row],[Clases dictadas]]-tblMatriculas[[#This Row],[Asistidas]]))</f>
        <v>0</v>
      </c>
      <c r="P735" s="1">
        <f>IF(OR(tblMatriculas[[#This Row],[Estado]]&lt;&gt;"activa",tblMatriculas[[#This Row],[Asistidas]]=""),"",tblMatriculas[[#This Row],[Asistencia]])</f>
        <v>0.13300000000000001</v>
      </c>
      <c r="Q735" t="b">
        <f>AND(tblMatriculas[[#This Row],[Estado]]="activa",ISNUMBER(tblMatriculas[[#This Row],[% asistencia]]),NOT(ISNUMBER(SEARCH(pPrueba,tblMatriculas[[#This Row],[Nombre]]))))</f>
        <v>1</v>
      </c>
      <c r="R7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5" s="23" t="str" cm="1">
        <f t="array" ref="S7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5" s="23" t="str" cm="1">
        <f t="array" ref="T7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5" s="14" t="str" cm="1">
        <f t="array" ref="U7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5" t="str" cm="1">
        <f t="array" ref="V7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5" t="str" cm="1">
        <f t="array" ref="W7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5" t="str">
        <f>IF(COUNTIFS('Base Estudiantes'!$C:$C,tblMatriculas[[#This Row],[Cédula]],'Base Estudiantes'!$I:$I,tblMatriculas[[#This Row],[Código]])&gt;0,"Sí","No")</f>
        <v>Sí</v>
      </c>
      <c r="Z735" s="23" cm="1">
        <f t="array" ref="Z735">_xlfn.XLOOKUP(tblMatriculas[[#This Row],[Cédula]]&amp;"|"&amp;tblMatriculas[[#This Row],[Código]],tblBase[Documento]&amp;"|"&amp;tblBase[Código grupo],tblBase[Fecha matrícula],"")</f>
        <v>46263</v>
      </c>
    </row>
    <row r="736" spans="1:26" x14ac:dyDescent="0.2">
      <c r="A736" t="s">
        <v>1588</v>
      </c>
      <c r="B736" t="s">
        <v>1589</v>
      </c>
      <c r="C736" t="s">
        <v>13</v>
      </c>
      <c r="D736" t="s">
        <v>1578</v>
      </c>
      <c r="E736" t="s">
        <v>1579</v>
      </c>
      <c r="F736" t="s">
        <v>16</v>
      </c>
      <c r="G736" s="1">
        <v>8.900000000000001E-2</v>
      </c>
      <c r="H736" t="s">
        <v>17</v>
      </c>
      <c r="I736" t="s">
        <v>1580</v>
      </c>
      <c r="J736" t="s">
        <v>1581</v>
      </c>
      <c r="K736" t="s">
        <v>1590</v>
      </c>
      <c r="L736" s="14">
        <f>IFERROR(VALUE(LEFT(tblMatriculas[[#This Row],[Clases]],FIND("/",tblMatriculas[[#This Row],[Clases]])-1)),"")</f>
        <v>4</v>
      </c>
      <c r="M736" s="14">
        <f>IFERROR(VALUE(MID(tblMatriculas[[#This Row],[Clases]],FIND("/",tblMatriculas[[#This Row],[Clases]])+1,5)),"")</f>
        <v>45</v>
      </c>
      <c r="N7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6" s="14">
        <f>IF(OR(tblMatriculas[[#This Row],[Estado]]&lt;&gt;"activa",tblMatriculas[[#This Row],[Clases dictadas]]=""),"",MAX(0,tblMatriculas[[#This Row],[Clases dictadas]]-tblMatriculas[[#This Row],[Asistidas]]))</f>
        <v>2</v>
      </c>
      <c r="P736" s="1">
        <f>IF(OR(tblMatriculas[[#This Row],[Estado]]&lt;&gt;"activa",tblMatriculas[[#This Row],[Asistidas]]=""),"",tblMatriculas[[#This Row],[Asistencia]])</f>
        <v>8.900000000000001E-2</v>
      </c>
      <c r="Q736" t="b">
        <f>AND(tblMatriculas[[#This Row],[Estado]]="activa",ISNUMBER(tblMatriculas[[#This Row],[% asistencia]]),NOT(ISNUMBER(SEARCH(pPrueba,tblMatriculas[[#This Row],[Nombre]]))))</f>
        <v>1</v>
      </c>
      <c r="R7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6" s="23" t="str" cm="1">
        <f t="array" ref="S7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6" s="23" t="str" cm="1">
        <f t="array" ref="T7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6" s="14" t="str" cm="1">
        <f t="array" ref="U7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6" t="str" cm="1">
        <f t="array" ref="V7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6" t="str" cm="1">
        <f t="array" ref="W7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6" t="str">
        <f>IF(COUNTIFS('Base Estudiantes'!$C:$C,tblMatriculas[[#This Row],[Cédula]],'Base Estudiantes'!$I:$I,tblMatriculas[[#This Row],[Código]])&gt;0,"Sí","No")</f>
        <v>Sí</v>
      </c>
      <c r="Z736" s="23" cm="1">
        <f t="array" ref="Z736">_xlfn.XLOOKUP(tblMatriculas[[#This Row],[Cédula]]&amp;"|"&amp;tblMatriculas[[#This Row],[Código]],tblBase[Documento]&amp;"|"&amp;tblBase[Código grupo],tblBase[Fecha matrícula],"")</f>
        <v>46263</v>
      </c>
    </row>
    <row r="737" spans="1:26" x14ac:dyDescent="0.2">
      <c r="A737" t="s">
        <v>1591</v>
      </c>
      <c r="B737" t="s">
        <v>1592</v>
      </c>
      <c r="C737" t="s">
        <v>13</v>
      </c>
      <c r="D737" t="s">
        <v>1578</v>
      </c>
      <c r="E737" t="s">
        <v>1579</v>
      </c>
      <c r="F737" t="s">
        <v>16</v>
      </c>
      <c r="G737" s="1">
        <v>0</v>
      </c>
      <c r="H737" t="s">
        <v>1149</v>
      </c>
      <c r="I737" t="s">
        <v>1580</v>
      </c>
      <c r="J737" t="s">
        <v>1581</v>
      </c>
      <c r="K737" t="s">
        <v>24</v>
      </c>
      <c r="L737" s="14">
        <f>IFERROR(VALUE(LEFT(tblMatriculas[[#This Row],[Clases]],FIND("/",tblMatriculas[[#This Row],[Clases]])-1)),"")</f>
        <v>0</v>
      </c>
      <c r="M737" s="14">
        <f>IFERROR(VALUE(MID(tblMatriculas[[#This Row],[Clases]],FIND("/",tblMatriculas[[#This Row],[Clases]])+1,5)),"")</f>
        <v>45</v>
      </c>
      <c r="N7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7" s="14">
        <f>IF(OR(tblMatriculas[[#This Row],[Estado]]&lt;&gt;"activa",tblMatriculas[[#This Row],[Clases dictadas]]=""),"",MAX(0,tblMatriculas[[#This Row],[Clases dictadas]]-tblMatriculas[[#This Row],[Asistidas]]))</f>
        <v>6</v>
      </c>
      <c r="P737" s="1">
        <f>IF(OR(tblMatriculas[[#This Row],[Estado]]&lt;&gt;"activa",tblMatriculas[[#This Row],[Asistidas]]=""),"",tblMatriculas[[#This Row],[Asistencia]])</f>
        <v>0</v>
      </c>
      <c r="Q737" t="b">
        <f>AND(tblMatriculas[[#This Row],[Estado]]="activa",ISNUMBER(tblMatriculas[[#This Row],[% asistencia]]),NOT(ISNUMBER(SEARCH(pPrueba,tblMatriculas[[#This Row],[Nombre]]))))</f>
        <v>1</v>
      </c>
      <c r="R7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37" s="23" t="str" cm="1">
        <f t="array" ref="S7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7" s="23" t="str" cm="1">
        <f t="array" ref="T7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7" s="14" t="str" cm="1">
        <f t="array" ref="U7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7" t="str" cm="1">
        <f t="array" ref="V7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7" t="str" cm="1">
        <f t="array" ref="W7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37" t="str">
        <f>IF(COUNTIFS('Base Estudiantes'!$C:$C,tblMatriculas[[#This Row],[Cédula]],'Base Estudiantes'!$I:$I,tblMatriculas[[#This Row],[Código]])&gt;0,"Sí","No")</f>
        <v>Sí</v>
      </c>
      <c r="Z737" s="23" cm="1">
        <f t="array" ref="Z737">_xlfn.XLOOKUP(tblMatriculas[[#This Row],[Cédula]]&amp;"|"&amp;tblMatriculas[[#This Row],[Código]],tblBase[Documento]&amp;"|"&amp;tblBase[Código grupo],tblBase[Fecha matrícula],"")</f>
        <v>46263</v>
      </c>
    </row>
    <row r="738" spans="1:26" x14ac:dyDescent="0.2">
      <c r="A738" t="s">
        <v>1593</v>
      </c>
      <c r="B738" t="s">
        <v>1594</v>
      </c>
      <c r="C738" t="s">
        <v>13</v>
      </c>
      <c r="D738" t="s">
        <v>1578</v>
      </c>
      <c r="E738" t="s">
        <v>1579</v>
      </c>
      <c r="F738" t="s">
        <v>16</v>
      </c>
      <c r="G738" s="1">
        <v>0</v>
      </c>
      <c r="H738" t="s">
        <v>1149</v>
      </c>
      <c r="I738" t="s">
        <v>1580</v>
      </c>
      <c r="J738" t="s">
        <v>1581</v>
      </c>
      <c r="K738" t="s">
        <v>24</v>
      </c>
      <c r="L738" s="14">
        <f>IFERROR(VALUE(LEFT(tblMatriculas[[#This Row],[Clases]],FIND("/",tblMatriculas[[#This Row],[Clases]])-1)),"")</f>
        <v>0</v>
      </c>
      <c r="M738" s="14">
        <f>IFERROR(VALUE(MID(tblMatriculas[[#This Row],[Clases]],FIND("/",tblMatriculas[[#This Row],[Clases]])+1,5)),"")</f>
        <v>45</v>
      </c>
      <c r="N7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8" s="14">
        <f>IF(OR(tblMatriculas[[#This Row],[Estado]]&lt;&gt;"activa",tblMatriculas[[#This Row],[Clases dictadas]]=""),"",MAX(0,tblMatriculas[[#This Row],[Clases dictadas]]-tblMatriculas[[#This Row],[Asistidas]]))</f>
        <v>6</v>
      </c>
      <c r="P738" s="1">
        <f>IF(OR(tblMatriculas[[#This Row],[Estado]]&lt;&gt;"activa",tblMatriculas[[#This Row],[Asistidas]]=""),"",tblMatriculas[[#This Row],[Asistencia]])</f>
        <v>0</v>
      </c>
      <c r="Q738" t="b">
        <f>AND(tblMatriculas[[#This Row],[Estado]]="activa",ISNUMBER(tblMatriculas[[#This Row],[% asistencia]]),NOT(ISNUMBER(SEARCH(pPrueba,tblMatriculas[[#This Row],[Nombre]]))))</f>
        <v>1</v>
      </c>
      <c r="R7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38" s="23" t="str" cm="1">
        <f t="array" ref="S7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8" s="23" t="str" cm="1">
        <f t="array" ref="T7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8" s="14" t="str" cm="1">
        <f t="array" ref="U7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8" t="str" cm="1">
        <f t="array" ref="V7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8" t="str" cm="1">
        <f t="array" ref="W7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3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38" t="str">
        <f>IF(COUNTIFS('Base Estudiantes'!$C:$C,tblMatriculas[[#This Row],[Cédula]],'Base Estudiantes'!$I:$I,tblMatriculas[[#This Row],[Código]])&gt;0,"Sí","No")</f>
        <v>Sí</v>
      </c>
      <c r="Z738" s="23" cm="1">
        <f t="array" ref="Z738">_xlfn.XLOOKUP(tblMatriculas[[#This Row],[Cédula]]&amp;"|"&amp;tblMatriculas[[#This Row],[Código]],tblBase[Documento]&amp;"|"&amp;tblBase[Código grupo],tblBase[Fecha matrícula],"")</f>
        <v>46263</v>
      </c>
    </row>
    <row r="739" spans="1:26" x14ac:dyDescent="0.2">
      <c r="A739" t="s">
        <v>1595</v>
      </c>
      <c r="B739" t="s">
        <v>1596</v>
      </c>
      <c r="C739" t="s">
        <v>13</v>
      </c>
      <c r="D739" t="s">
        <v>1578</v>
      </c>
      <c r="E739" t="s">
        <v>1579</v>
      </c>
      <c r="F739" t="s">
        <v>16</v>
      </c>
      <c r="G739" s="1">
        <v>0.111</v>
      </c>
      <c r="H739" t="s">
        <v>55</v>
      </c>
      <c r="I739" t="s">
        <v>1580</v>
      </c>
      <c r="J739" t="s">
        <v>1581</v>
      </c>
      <c r="K739" t="s">
        <v>24</v>
      </c>
      <c r="L739" s="14">
        <f>IFERROR(VALUE(LEFT(tblMatriculas[[#This Row],[Clases]],FIND("/",tblMatriculas[[#This Row],[Clases]])-1)),"")</f>
        <v>5</v>
      </c>
      <c r="M739" s="14">
        <f>IFERROR(VALUE(MID(tblMatriculas[[#This Row],[Clases]],FIND("/",tblMatriculas[[#This Row],[Clases]])+1,5)),"")</f>
        <v>45</v>
      </c>
      <c r="N7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39" s="14">
        <f>IF(OR(tblMatriculas[[#This Row],[Estado]]&lt;&gt;"activa",tblMatriculas[[#This Row],[Clases dictadas]]=""),"",MAX(0,tblMatriculas[[#This Row],[Clases dictadas]]-tblMatriculas[[#This Row],[Asistidas]]))</f>
        <v>1</v>
      </c>
      <c r="P739" s="1">
        <f>IF(OR(tblMatriculas[[#This Row],[Estado]]&lt;&gt;"activa",tblMatriculas[[#This Row],[Asistidas]]=""),"",tblMatriculas[[#This Row],[Asistencia]])</f>
        <v>0.111</v>
      </c>
      <c r="Q739" t="b">
        <f>AND(tblMatriculas[[#This Row],[Estado]]="activa",ISNUMBER(tblMatriculas[[#This Row],[% asistencia]]),NOT(ISNUMBER(SEARCH(pPrueba,tblMatriculas[[#This Row],[Nombre]]))))</f>
        <v>1</v>
      </c>
      <c r="R7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39" s="23" t="str" cm="1">
        <f t="array" ref="S7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39" s="23" t="str" cm="1">
        <f t="array" ref="T7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39" s="14" t="str" cm="1">
        <f t="array" ref="U7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39" t="str" cm="1">
        <f t="array" ref="V7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39" t="str" cm="1">
        <f t="array" ref="W7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39" t="str">
        <f>IF(COUNTIFS('Base Estudiantes'!$C:$C,tblMatriculas[[#This Row],[Cédula]],'Base Estudiantes'!$I:$I,tblMatriculas[[#This Row],[Código]])&gt;0,"Sí","No")</f>
        <v>Sí</v>
      </c>
      <c r="Z739" s="23" cm="1">
        <f t="array" ref="Z739">_xlfn.XLOOKUP(tblMatriculas[[#This Row],[Cédula]]&amp;"|"&amp;tblMatriculas[[#This Row],[Código]],tblBase[Documento]&amp;"|"&amp;tblBase[Código grupo],tblBase[Fecha matrícula],"")</f>
        <v>46263</v>
      </c>
    </row>
    <row r="740" spans="1:26" x14ac:dyDescent="0.2">
      <c r="A740" t="s">
        <v>1597</v>
      </c>
      <c r="B740" t="s">
        <v>1598</v>
      </c>
      <c r="C740" t="s">
        <v>13</v>
      </c>
      <c r="D740" t="s">
        <v>1578</v>
      </c>
      <c r="E740" t="s">
        <v>1579</v>
      </c>
      <c r="F740" t="s">
        <v>16</v>
      </c>
      <c r="G740" s="1">
        <v>0.13300000000000001</v>
      </c>
      <c r="H740" t="s">
        <v>36</v>
      </c>
      <c r="I740" t="s">
        <v>1580</v>
      </c>
      <c r="J740" t="s">
        <v>1581</v>
      </c>
      <c r="K740" t="s">
        <v>24</v>
      </c>
      <c r="L740" s="14">
        <f>IFERROR(VALUE(LEFT(tblMatriculas[[#This Row],[Clases]],FIND("/",tblMatriculas[[#This Row],[Clases]])-1)),"")</f>
        <v>6</v>
      </c>
      <c r="M740" s="14">
        <f>IFERROR(VALUE(MID(tblMatriculas[[#This Row],[Clases]],FIND("/",tblMatriculas[[#This Row],[Clases]])+1,5)),"")</f>
        <v>45</v>
      </c>
      <c r="N7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0" s="14">
        <f>IF(OR(tblMatriculas[[#This Row],[Estado]]&lt;&gt;"activa",tblMatriculas[[#This Row],[Clases dictadas]]=""),"",MAX(0,tblMatriculas[[#This Row],[Clases dictadas]]-tblMatriculas[[#This Row],[Asistidas]]))</f>
        <v>0</v>
      </c>
      <c r="P740" s="1">
        <f>IF(OR(tblMatriculas[[#This Row],[Estado]]&lt;&gt;"activa",tblMatriculas[[#This Row],[Asistidas]]=""),"",tblMatriculas[[#This Row],[Asistencia]])</f>
        <v>0.13300000000000001</v>
      </c>
      <c r="Q740" t="b">
        <f>AND(tblMatriculas[[#This Row],[Estado]]="activa",ISNUMBER(tblMatriculas[[#This Row],[% asistencia]]),NOT(ISNUMBER(SEARCH(pPrueba,tblMatriculas[[#This Row],[Nombre]]))))</f>
        <v>1</v>
      </c>
      <c r="R7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0" s="23" t="str" cm="1">
        <f t="array" ref="S7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0" s="23" t="str" cm="1">
        <f t="array" ref="T7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0" s="14" t="str" cm="1">
        <f t="array" ref="U7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0" t="str" cm="1">
        <f t="array" ref="V7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0" t="str" cm="1">
        <f t="array" ref="W7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0" t="str">
        <f>IF(COUNTIFS('Base Estudiantes'!$C:$C,tblMatriculas[[#This Row],[Cédula]],'Base Estudiantes'!$I:$I,tblMatriculas[[#This Row],[Código]])&gt;0,"Sí","No")</f>
        <v>Sí</v>
      </c>
      <c r="Z740" s="23" cm="1">
        <f t="array" ref="Z740">_xlfn.XLOOKUP(tblMatriculas[[#This Row],[Cédula]]&amp;"|"&amp;tblMatriculas[[#This Row],[Código]],tblBase[Documento]&amp;"|"&amp;tblBase[Código grupo],tblBase[Fecha matrícula],"")</f>
        <v>46263</v>
      </c>
    </row>
    <row r="741" spans="1:26" x14ac:dyDescent="0.2">
      <c r="A741" t="s">
        <v>1599</v>
      </c>
      <c r="B741" t="s">
        <v>1600</v>
      </c>
      <c r="C741" t="s">
        <v>13</v>
      </c>
      <c r="D741" t="s">
        <v>1578</v>
      </c>
      <c r="E741" t="s">
        <v>1579</v>
      </c>
      <c r="F741" t="s">
        <v>16</v>
      </c>
      <c r="G741" s="1">
        <v>0</v>
      </c>
      <c r="H741" t="s">
        <v>1149</v>
      </c>
      <c r="I741" t="s">
        <v>1580</v>
      </c>
      <c r="J741" t="s">
        <v>1581</v>
      </c>
      <c r="K741" t="s">
        <v>24</v>
      </c>
      <c r="L741" s="14">
        <f>IFERROR(VALUE(LEFT(tblMatriculas[[#This Row],[Clases]],FIND("/",tblMatriculas[[#This Row],[Clases]])-1)),"")</f>
        <v>0</v>
      </c>
      <c r="M741" s="14">
        <f>IFERROR(VALUE(MID(tblMatriculas[[#This Row],[Clases]],FIND("/",tblMatriculas[[#This Row],[Clases]])+1,5)),"")</f>
        <v>45</v>
      </c>
      <c r="N7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1" s="14">
        <f>IF(OR(tblMatriculas[[#This Row],[Estado]]&lt;&gt;"activa",tblMatriculas[[#This Row],[Clases dictadas]]=""),"",MAX(0,tblMatriculas[[#This Row],[Clases dictadas]]-tblMatriculas[[#This Row],[Asistidas]]))</f>
        <v>6</v>
      </c>
      <c r="P741" s="1">
        <f>IF(OR(tblMatriculas[[#This Row],[Estado]]&lt;&gt;"activa",tblMatriculas[[#This Row],[Asistidas]]=""),"",tblMatriculas[[#This Row],[Asistencia]])</f>
        <v>0</v>
      </c>
      <c r="Q741" t="b">
        <f>AND(tblMatriculas[[#This Row],[Estado]]="activa",ISNUMBER(tblMatriculas[[#This Row],[% asistencia]]),NOT(ISNUMBER(SEARCH(pPrueba,tblMatriculas[[#This Row],[Nombre]]))))</f>
        <v>1</v>
      </c>
      <c r="R7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41" s="23" t="str" cm="1">
        <f t="array" ref="S7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1" s="23" t="str" cm="1">
        <f t="array" ref="T7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1" s="14" t="str" cm="1">
        <f t="array" ref="U7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1" t="str" cm="1">
        <f t="array" ref="V7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1" t="str" cm="1">
        <f t="array" ref="W7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41" t="str">
        <f>IF(COUNTIFS('Base Estudiantes'!$C:$C,tblMatriculas[[#This Row],[Cédula]],'Base Estudiantes'!$I:$I,tblMatriculas[[#This Row],[Código]])&gt;0,"Sí","No")</f>
        <v>Sí</v>
      </c>
      <c r="Z741" s="23" cm="1">
        <f t="array" ref="Z741">_xlfn.XLOOKUP(tblMatriculas[[#This Row],[Cédula]]&amp;"|"&amp;tblMatriculas[[#This Row],[Código]],tblBase[Documento]&amp;"|"&amp;tblBase[Código grupo],tblBase[Fecha matrícula],"")</f>
        <v>46263</v>
      </c>
    </row>
    <row r="742" spans="1:26" x14ac:dyDescent="0.2">
      <c r="A742" t="s">
        <v>1601</v>
      </c>
      <c r="B742" t="s">
        <v>1602</v>
      </c>
      <c r="C742" t="s">
        <v>13</v>
      </c>
      <c r="D742" t="s">
        <v>1578</v>
      </c>
      <c r="E742" t="s">
        <v>1579</v>
      </c>
      <c r="F742" t="s">
        <v>16</v>
      </c>
      <c r="G742" s="1">
        <v>8.900000000000001E-2</v>
      </c>
      <c r="H742" t="s">
        <v>17</v>
      </c>
      <c r="I742" t="s">
        <v>1580</v>
      </c>
      <c r="J742" t="s">
        <v>1581</v>
      </c>
      <c r="K742" t="s">
        <v>24</v>
      </c>
      <c r="L742" s="14">
        <f>IFERROR(VALUE(LEFT(tblMatriculas[[#This Row],[Clases]],FIND("/",tblMatriculas[[#This Row],[Clases]])-1)),"")</f>
        <v>4</v>
      </c>
      <c r="M742" s="14">
        <f>IFERROR(VALUE(MID(tblMatriculas[[#This Row],[Clases]],FIND("/",tblMatriculas[[#This Row],[Clases]])+1,5)),"")</f>
        <v>45</v>
      </c>
      <c r="N7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2" s="14">
        <f>IF(OR(tblMatriculas[[#This Row],[Estado]]&lt;&gt;"activa",tblMatriculas[[#This Row],[Clases dictadas]]=""),"",MAX(0,tblMatriculas[[#This Row],[Clases dictadas]]-tblMatriculas[[#This Row],[Asistidas]]))</f>
        <v>2</v>
      </c>
      <c r="P742" s="1">
        <f>IF(OR(tblMatriculas[[#This Row],[Estado]]&lt;&gt;"activa",tblMatriculas[[#This Row],[Asistidas]]=""),"",tblMatriculas[[#This Row],[Asistencia]])</f>
        <v>8.900000000000001E-2</v>
      </c>
      <c r="Q742" t="b">
        <f>AND(tblMatriculas[[#This Row],[Estado]]="activa",ISNUMBER(tblMatriculas[[#This Row],[% asistencia]]),NOT(ISNUMBER(SEARCH(pPrueba,tblMatriculas[[#This Row],[Nombre]]))))</f>
        <v>1</v>
      </c>
      <c r="R7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2" s="23" t="str" cm="1">
        <f t="array" ref="S7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2" s="23" t="str" cm="1">
        <f t="array" ref="T7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2" s="14" t="str" cm="1">
        <f t="array" ref="U7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2" t="str" cm="1">
        <f t="array" ref="V7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2" t="str" cm="1">
        <f t="array" ref="W7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2" t="str">
        <f>IF(COUNTIFS('Base Estudiantes'!$C:$C,tblMatriculas[[#This Row],[Cédula]],'Base Estudiantes'!$I:$I,tblMatriculas[[#This Row],[Código]])&gt;0,"Sí","No")</f>
        <v>Sí</v>
      </c>
      <c r="Z742" s="23" cm="1">
        <f t="array" ref="Z742">_xlfn.XLOOKUP(tblMatriculas[[#This Row],[Cédula]]&amp;"|"&amp;tblMatriculas[[#This Row],[Código]],tblBase[Documento]&amp;"|"&amp;tblBase[Código grupo],tblBase[Fecha matrícula],"")</f>
        <v>46263</v>
      </c>
    </row>
    <row r="743" spans="1:26" x14ac:dyDescent="0.2">
      <c r="A743" t="s">
        <v>1603</v>
      </c>
      <c r="B743" t="s">
        <v>1604</v>
      </c>
      <c r="C743" t="s">
        <v>13</v>
      </c>
      <c r="D743" t="s">
        <v>1578</v>
      </c>
      <c r="E743" t="s">
        <v>1579</v>
      </c>
      <c r="F743" t="s">
        <v>16</v>
      </c>
      <c r="G743" s="1">
        <v>0.13300000000000001</v>
      </c>
      <c r="H743" t="s">
        <v>36</v>
      </c>
      <c r="I743" t="s">
        <v>1580</v>
      </c>
      <c r="J743" t="s">
        <v>1581</v>
      </c>
      <c r="K743" t="s">
        <v>24</v>
      </c>
      <c r="L743" s="14">
        <f>IFERROR(VALUE(LEFT(tblMatriculas[[#This Row],[Clases]],FIND("/",tblMatriculas[[#This Row],[Clases]])-1)),"")</f>
        <v>6</v>
      </c>
      <c r="M743" s="14">
        <f>IFERROR(VALUE(MID(tblMatriculas[[#This Row],[Clases]],FIND("/",tblMatriculas[[#This Row],[Clases]])+1,5)),"")</f>
        <v>45</v>
      </c>
      <c r="N7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3" s="14">
        <f>IF(OR(tblMatriculas[[#This Row],[Estado]]&lt;&gt;"activa",tblMatriculas[[#This Row],[Clases dictadas]]=""),"",MAX(0,tblMatriculas[[#This Row],[Clases dictadas]]-tblMatriculas[[#This Row],[Asistidas]]))</f>
        <v>0</v>
      </c>
      <c r="P743" s="1">
        <f>IF(OR(tblMatriculas[[#This Row],[Estado]]&lt;&gt;"activa",tblMatriculas[[#This Row],[Asistidas]]=""),"",tblMatriculas[[#This Row],[Asistencia]])</f>
        <v>0.13300000000000001</v>
      </c>
      <c r="Q743" t="b">
        <f>AND(tblMatriculas[[#This Row],[Estado]]="activa",ISNUMBER(tblMatriculas[[#This Row],[% asistencia]]),NOT(ISNUMBER(SEARCH(pPrueba,tblMatriculas[[#This Row],[Nombre]]))))</f>
        <v>1</v>
      </c>
      <c r="R7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3" s="23" t="str" cm="1">
        <f t="array" ref="S7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3" s="23" t="str" cm="1">
        <f t="array" ref="T7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3" s="14" t="str" cm="1">
        <f t="array" ref="U7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3" t="str" cm="1">
        <f t="array" ref="V7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3" t="str" cm="1">
        <f t="array" ref="W7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3" t="str">
        <f>IF(COUNTIFS('Base Estudiantes'!$C:$C,tblMatriculas[[#This Row],[Cédula]],'Base Estudiantes'!$I:$I,tblMatriculas[[#This Row],[Código]])&gt;0,"Sí","No")</f>
        <v>Sí</v>
      </c>
      <c r="Z743" s="23" cm="1">
        <f t="array" ref="Z743">_xlfn.XLOOKUP(tblMatriculas[[#This Row],[Cédula]]&amp;"|"&amp;tblMatriculas[[#This Row],[Código]],tblBase[Documento]&amp;"|"&amp;tblBase[Código grupo],tblBase[Fecha matrícula],"")</f>
        <v>46263</v>
      </c>
    </row>
    <row r="744" spans="1:26" x14ac:dyDescent="0.2">
      <c r="A744" t="s">
        <v>1605</v>
      </c>
      <c r="B744" t="s">
        <v>1606</v>
      </c>
      <c r="C744" t="s">
        <v>13</v>
      </c>
      <c r="D744" t="s">
        <v>1578</v>
      </c>
      <c r="E744" t="s">
        <v>1579</v>
      </c>
      <c r="F744" t="s">
        <v>16</v>
      </c>
      <c r="G744" s="1">
        <v>0.13300000000000001</v>
      </c>
      <c r="H744" t="s">
        <v>36</v>
      </c>
      <c r="I744" t="s">
        <v>1580</v>
      </c>
      <c r="J744" t="s">
        <v>1581</v>
      </c>
      <c r="K744" t="s">
        <v>24</v>
      </c>
      <c r="L744" s="14">
        <f>IFERROR(VALUE(LEFT(tblMatriculas[[#This Row],[Clases]],FIND("/",tblMatriculas[[#This Row],[Clases]])-1)),"")</f>
        <v>6</v>
      </c>
      <c r="M744" s="14">
        <f>IFERROR(VALUE(MID(tblMatriculas[[#This Row],[Clases]],FIND("/",tblMatriculas[[#This Row],[Clases]])+1,5)),"")</f>
        <v>45</v>
      </c>
      <c r="N7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4" s="14">
        <f>IF(OR(tblMatriculas[[#This Row],[Estado]]&lt;&gt;"activa",tblMatriculas[[#This Row],[Clases dictadas]]=""),"",MAX(0,tblMatriculas[[#This Row],[Clases dictadas]]-tblMatriculas[[#This Row],[Asistidas]]))</f>
        <v>0</v>
      </c>
      <c r="P744" s="1">
        <f>IF(OR(tblMatriculas[[#This Row],[Estado]]&lt;&gt;"activa",tblMatriculas[[#This Row],[Asistidas]]=""),"",tblMatriculas[[#This Row],[Asistencia]])</f>
        <v>0.13300000000000001</v>
      </c>
      <c r="Q744" t="b">
        <f>AND(tblMatriculas[[#This Row],[Estado]]="activa",ISNUMBER(tblMatriculas[[#This Row],[% asistencia]]),NOT(ISNUMBER(SEARCH(pPrueba,tblMatriculas[[#This Row],[Nombre]]))))</f>
        <v>1</v>
      </c>
      <c r="R7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4" s="23" t="str" cm="1">
        <f t="array" ref="S7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4" s="23" t="str" cm="1">
        <f t="array" ref="T7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4" s="14" t="str" cm="1">
        <f t="array" ref="U7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4" t="str" cm="1">
        <f t="array" ref="V7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4" t="str" cm="1">
        <f t="array" ref="W7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4" t="str">
        <f>IF(COUNTIFS('Base Estudiantes'!$C:$C,tblMatriculas[[#This Row],[Cédula]],'Base Estudiantes'!$I:$I,tblMatriculas[[#This Row],[Código]])&gt;0,"Sí","No")</f>
        <v>Sí</v>
      </c>
      <c r="Z744" s="23" cm="1">
        <f t="array" ref="Z744">_xlfn.XLOOKUP(tblMatriculas[[#This Row],[Cédula]]&amp;"|"&amp;tblMatriculas[[#This Row],[Código]],tblBase[Documento]&amp;"|"&amp;tblBase[Código grupo],tblBase[Fecha matrícula],"")</f>
        <v>46263</v>
      </c>
    </row>
    <row r="745" spans="1:26" x14ac:dyDescent="0.2">
      <c r="A745" t="s">
        <v>1607</v>
      </c>
      <c r="B745" t="s">
        <v>1608</v>
      </c>
      <c r="C745" t="s">
        <v>13</v>
      </c>
      <c r="D745" t="s">
        <v>1578</v>
      </c>
      <c r="E745" t="s">
        <v>1579</v>
      </c>
      <c r="F745" t="s">
        <v>16</v>
      </c>
      <c r="G745" s="1">
        <v>0.111</v>
      </c>
      <c r="H745" t="s">
        <v>55</v>
      </c>
      <c r="I745" t="s">
        <v>1580</v>
      </c>
      <c r="J745" t="s">
        <v>1581</v>
      </c>
      <c r="K745" t="s">
        <v>24</v>
      </c>
      <c r="L745" s="14">
        <f>IFERROR(VALUE(LEFT(tblMatriculas[[#This Row],[Clases]],FIND("/",tblMatriculas[[#This Row],[Clases]])-1)),"")</f>
        <v>5</v>
      </c>
      <c r="M745" s="14">
        <f>IFERROR(VALUE(MID(tblMatriculas[[#This Row],[Clases]],FIND("/",tblMatriculas[[#This Row],[Clases]])+1,5)),"")</f>
        <v>45</v>
      </c>
      <c r="N7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5" s="14">
        <f>IF(OR(tblMatriculas[[#This Row],[Estado]]&lt;&gt;"activa",tblMatriculas[[#This Row],[Clases dictadas]]=""),"",MAX(0,tblMatriculas[[#This Row],[Clases dictadas]]-tblMatriculas[[#This Row],[Asistidas]]))</f>
        <v>1</v>
      </c>
      <c r="P745" s="1">
        <f>IF(OR(tblMatriculas[[#This Row],[Estado]]&lt;&gt;"activa",tblMatriculas[[#This Row],[Asistidas]]=""),"",tblMatriculas[[#This Row],[Asistencia]])</f>
        <v>0.111</v>
      </c>
      <c r="Q745" t="b">
        <f>AND(tblMatriculas[[#This Row],[Estado]]="activa",ISNUMBER(tblMatriculas[[#This Row],[% asistencia]]),NOT(ISNUMBER(SEARCH(pPrueba,tblMatriculas[[#This Row],[Nombre]]))))</f>
        <v>1</v>
      </c>
      <c r="R7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5" s="23" t="str" cm="1">
        <f t="array" ref="S7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5" s="23" t="str" cm="1">
        <f t="array" ref="T7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5" s="14" t="str" cm="1">
        <f t="array" ref="U7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5" t="str" cm="1">
        <f t="array" ref="V7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5" t="str" cm="1">
        <f t="array" ref="W7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5" t="str">
        <f>IF(COUNTIFS('Base Estudiantes'!$C:$C,tblMatriculas[[#This Row],[Cédula]],'Base Estudiantes'!$I:$I,tblMatriculas[[#This Row],[Código]])&gt;0,"Sí","No")</f>
        <v>Sí</v>
      </c>
      <c r="Z745" s="23" cm="1">
        <f t="array" ref="Z745">_xlfn.XLOOKUP(tblMatriculas[[#This Row],[Cédula]]&amp;"|"&amp;tblMatriculas[[#This Row],[Código]],tblBase[Documento]&amp;"|"&amp;tblBase[Código grupo],tblBase[Fecha matrícula],"")</f>
        <v>46263</v>
      </c>
    </row>
    <row r="746" spans="1:26" x14ac:dyDescent="0.2">
      <c r="A746" t="s">
        <v>1609</v>
      </c>
      <c r="B746" t="s">
        <v>1610</v>
      </c>
      <c r="C746" t="s">
        <v>13</v>
      </c>
      <c r="D746" t="s">
        <v>1578</v>
      </c>
      <c r="E746" t="s">
        <v>1579</v>
      </c>
      <c r="F746" t="s">
        <v>16</v>
      </c>
      <c r="G746" s="1">
        <v>4.4000000000000004E-2</v>
      </c>
      <c r="H746" t="s">
        <v>76</v>
      </c>
      <c r="I746" t="s">
        <v>1580</v>
      </c>
      <c r="J746" t="s">
        <v>1581</v>
      </c>
      <c r="K746" t="s">
        <v>24</v>
      </c>
      <c r="L746" s="14">
        <f>IFERROR(VALUE(LEFT(tblMatriculas[[#This Row],[Clases]],FIND("/",tblMatriculas[[#This Row],[Clases]])-1)),"")</f>
        <v>2</v>
      </c>
      <c r="M746" s="14">
        <f>IFERROR(VALUE(MID(tblMatriculas[[#This Row],[Clases]],FIND("/",tblMatriculas[[#This Row],[Clases]])+1,5)),"")</f>
        <v>45</v>
      </c>
      <c r="N7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6" s="14">
        <f>IF(OR(tblMatriculas[[#This Row],[Estado]]&lt;&gt;"activa",tblMatriculas[[#This Row],[Clases dictadas]]=""),"",MAX(0,tblMatriculas[[#This Row],[Clases dictadas]]-tblMatriculas[[#This Row],[Asistidas]]))</f>
        <v>4</v>
      </c>
      <c r="P746" s="1">
        <f>IF(OR(tblMatriculas[[#This Row],[Estado]]&lt;&gt;"activa",tblMatriculas[[#This Row],[Asistidas]]=""),"",tblMatriculas[[#This Row],[Asistencia]])</f>
        <v>4.4000000000000004E-2</v>
      </c>
      <c r="Q746" t="b">
        <f>AND(tblMatriculas[[#This Row],[Estado]]="activa",ISNUMBER(tblMatriculas[[#This Row],[% asistencia]]),NOT(ISNUMBER(SEARCH(pPrueba,tblMatriculas[[#This Row],[Nombre]]))))</f>
        <v>1</v>
      </c>
      <c r="R7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46" s="23" t="str" cm="1">
        <f t="array" ref="S7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6" s="23" t="str" cm="1">
        <f t="array" ref="T7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6" s="14" t="str" cm="1">
        <f t="array" ref="U7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6" t="str" cm="1">
        <f t="array" ref="V7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6" t="str" cm="1">
        <f t="array" ref="W7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46" t="str">
        <f>IF(COUNTIFS('Base Estudiantes'!$C:$C,tblMatriculas[[#This Row],[Cédula]],'Base Estudiantes'!$I:$I,tblMatriculas[[#This Row],[Código]])&gt;0,"Sí","No")</f>
        <v>Sí</v>
      </c>
      <c r="Z746" s="23" cm="1">
        <f t="array" ref="Z746">_xlfn.XLOOKUP(tblMatriculas[[#This Row],[Cédula]]&amp;"|"&amp;tblMatriculas[[#This Row],[Código]],tblBase[Documento]&amp;"|"&amp;tblBase[Código grupo],tblBase[Fecha matrícula],"")</f>
        <v>46263</v>
      </c>
    </row>
    <row r="747" spans="1:26" x14ac:dyDescent="0.2">
      <c r="A747" t="s">
        <v>1611</v>
      </c>
      <c r="B747" t="s">
        <v>1612</v>
      </c>
      <c r="C747" t="s">
        <v>13</v>
      </c>
      <c r="D747" t="s">
        <v>1578</v>
      </c>
      <c r="E747" t="s">
        <v>1579</v>
      </c>
      <c r="F747" t="s">
        <v>16</v>
      </c>
      <c r="G747" s="1">
        <v>0.13300000000000001</v>
      </c>
      <c r="H747" t="s">
        <v>36</v>
      </c>
      <c r="I747" t="s">
        <v>1580</v>
      </c>
      <c r="J747" t="s">
        <v>1581</v>
      </c>
      <c r="K747" t="s">
        <v>24</v>
      </c>
      <c r="L747" s="14">
        <f>IFERROR(VALUE(LEFT(tblMatriculas[[#This Row],[Clases]],FIND("/",tblMatriculas[[#This Row],[Clases]])-1)),"")</f>
        <v>6</v>
      </c>
      <c r="M747" s="14">
        <f>IFERROR(VALUE(MID(tblMatriculas[[#This Row],[Clases]],FIND("/",tblMatriculas[[#This Row],[Clases]])+1,5)),"")</f>
        <v>45</v>
      </c>
      <c r="N7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7" s="14">
        <f>IF(OR(tblMatriculas[[#This Row],[Estado]]&lt;&gt;"activa",tblMatriculas[[#This Row],[Clases dictadas]]=""),"",MAX(0,tblMatriculas[[#This Row],[Clases dictadas]]-tblMatriculas[[#This Row],[Asistidas]]))</f>
        <v>0</v>
      </c>
      <c r="P747" s="1">
        <f>IF(OR(tblMatriculas[[#This Row],[Estado]]&lt;&gt;"activa",tblMatriculas[[#This Row],[Asistidas]]=""),"",tblMatriculas[[#This Row],[Asistencia]])</f>
        <v>0.13300000000000001</v>
      </c>
      <c r="Q747" t="b">
        <f>AND(tblMatriculas[[#This Row],[Estado]]="activa",ISNUMBER(tblMatriculas[[#This Row],[% asistencia]]),NOT(ISNUMBER(SEARCH(pPrueba,tblMatriculas[[#This Row],[Nombre]]))))</f>
        <v>1</v>
      </c>
      <c r="R7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7" s="23" t="str" cm="1">
        <f t="array" ref="S7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7" s="23" t="str" cm="1">
        <f t="array" ref="T7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7" s="14" t="str" cm="1">
        <f t="array" ref="U7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7" t="str" cm="1">
        <f t="array" ref="V7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7" t="str" cm="1">
        <f t="array" ref="W7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7" t="str">
        <f>IF(COUNTIFS('Base Estudiantes'!$C:$C,tblMatriculas[[#This Row],[Cédula]],'Base Estudiantes'!$I:$I,tblMatriculas[[#This Row],[Código]])&gt;0,"Sí","No")</f>
        <v>Sí</v>
      </c>
      <c r="Z747" s="23" cm="1">
        <f t="array" ref="Z747">_xlfn.XLOOKUP(tblMatriculas[[#This Row],[Cédula]]&amp;"|"&amp;tblMatriculas[[#This Row],[Código]],tblBase[Documento]&amp;"|"&amp;tblBase[Código grupo],tblBase[Fecha matrícula],"")</f>
        <v>46263</v>
      </c>
    </row>
    <row r="748" spans="1:26" x14ac:dyDescent="0.2">
      <c r="A748" t="s">
        <v>1613</v>
      </c>
      <c r="B748" t="s">
        <v>1614</v>
      </c>
      <c r="C748" t="s">
        <v>13</v>
      </c>
      <c r="D748" t="s">
        <v>1578</v>
      </c>
      <c r="E748" t="s">
        <v>1579</v>
      </c>
      <c r="F748" t="s">
        <v>16</v>
      </c>
      <c r="G748" s="1">
        <v>2.2000000000000002E-2</v>
      </c>
      <c r="H748" t="s">
        <v>23</v>
      </c>
      <c r="I748" t="s">
        <v>1580</v>
      </c>
      <c r="J748" t="s">
        <v>1581</v>
      </c>
      <c r="K748" t="s">
        <v>24</v>
      </c>
      <c r="L748" s="14">
        <f>IFERROR(VALUE(LEFT(tblMatriculas[[#This Row],[Clases]],FIND("/",tblMatriculas[[#This Row],[Clases]])-1)),"")</f>
        <v>1</v>
      </c>
      <c r="M748" s="14">
        <f>IFERROR(VALUE(MID(tblMatriculas[[#This Row],[Clases]],FIND("/",tblMatriculas[[#This Row],[Clases]])+1,5)),"")</f>
        <v>45</v>
      </c>
      <c r="N7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8" s="14">
        <f>IF(OR(tblMatriculas[[#This Row],[Estado]]&lt;&gt;"activa",tblMatriculas[[#This Row],[Clases dictadas]]=""),"",MAX(0,tblMatriculas[[#This Row],[Clases dictadas]]-tblMatriculas[[#This Row],[Asistidas]]))</f>
        <v>5</v>
      </c>
      <c r="P748" s="1">
        <f>IF(OR(tblMatriculas[[#This Row],[Estado]]&lt;&gt;"activa",tblMatriculas[[#This Row],[Asistidas]]=""),"",tblMatriculas[[#This Row],[Asistencia]])</f>
        <v>2.2000000000000002E-2</v>
      </c>
      <c r="Q748" t="b">
        <f>AND(tblMatriculas[[#This Row],[Estado]]="activa",ISNUMBER(tblMatriculas[[#This Row],[% asistencia]]),NOT(ISNUMBER(SEARCH(pPrueba,tblMatriculas[[#This Row],[Nombre]]))))</f>
        <v>1</v>
      </c>
      <c r="R7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48" s="23" t="str" cm="1">
        <f t="array" ref="S7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8" s="23" t="str" cm="1">
        <f t="array" ref="T7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8" s="14" t="str" cm="1">
        <f t="array" ref="U7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8" t="str" cm="1">
        <f t="array" ref="V7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8" t="str" cm="1">
        <f t="array" ref="W7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48" t="str">
        <f>IF(COUNTIFS('Base Estudiantes'!$C:$C,tblMatriculas[[#This Row],[Cédula]],'Base Estudiantes'!$I:$I,tblMatriculas[[#This Row],[Código]])&gt;0,"Sí","No")</f>
        <v>Sí</v>
      </c>
      <c r="Z748" s="23" cm="1">
        <f t="array" ref="Z748">_xlfn.XLOOKUP(tblMatriculas[[#This Row],[Cédula]]&amp;"|"&amp;tblMatriculas[[#This Row],[Código]],tblBase[Documento]&amp;"|"&amp;tblBase[Código grupo],tblBase[Fecha matrícula],"")</f>
        <v>46263</v>
      </c>
    </row>
    <row r="749" spans="1:26" x14ac:dyDescent="0.2">
      <c r="A749" t="s">
        <v>1615</v>
      </c>
      <c r="B749" t="s">
        <v>1616</v>
      </c>
      <c r="C749" t="s">
        <v>13</v>
      </c>
      <c r="D749" t="s">
        <v>1578</v>
      </c>
      <c r="E749" t="s">
        <v>1579</v>
      </c>
      <c r="F749" t="s">
        <v>16</v>
      </c>
      <c r="G749" s="1">
        <v>0.13300000000000001</v>
      </c>
      <c r="H749" t="s">
        <v>36</v>
      </c>
      <c r="I749" t="s">
        <v>1580</v>
      </c>
      <c r="J749" t="s">
        <v>1581</v>
      </c>
      <c r="K749" t="s">
        <v>24</v>
      </c>
      <c r="L749" s="14">
        <f>IFERROR(VALUE(LEFT(tblMatriculas[[#This Row],[Clases]],FIND("/",tblMatriculas[[#This Row],[Clases]])-1)),"")</f>
        <v>6</v>
      </c>
      <c r="M749" s="14">
        <f>IFERROR(VALUE(MID(tblMatriculas[[#This Row],[Clases]],FIND("/",tblMatriculas[[#This Row],[Clases]])+1,5)),"")</f>
        <v>45</v>
      </c>
      <c r="N7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49" s="14">
        <f>IF(OR(tblMatriculas[[#This Row],[Estado]]&lt;&gt;"activa",tblMatriculas[[#This Row],[Clases dictadas]]=""),"",MAX(0,tblMatriculas[[#This Row],[Clases dictadas]]-tblMatriculas[[#This Row],[Asistidas]]))</f>
        <v>0</v>
      </c>
      <c r="P749" s="1">
        <f>IF(OR(tblMatriculas[[#This Row],[Estado]]&lt;&gt;"activa",tblMatriculas[[#This Row],[Asistidas]]=""),"",tblMatriculas[[#This Row],[Asistencia]])</f>
        <v>0.13300000000000001</v>
      </c>
      <c r="Q749" t="b">
        <f>AND(tblMatriculas[[#This Row],[Estado]]="activa",ISNUMBER(tblMatriculas[[#This Row],[% asistencia]]),NOT(ISNUMBER(SEARCH(pPrueba,tblMatriculas[[#This Row],[Nombre]]))))</f>
        <v>1</v>
      </c>
      <c r="R7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49" s="23" t="str" cm="1">
        <f t="array" ref="S7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49" s="23" t="str" cm="1">
        <f t="array" ref="T7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49" s="14" t="str" cm="1">
        <f t="array" ref="U7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49" t="str" cm="1">
        <f t="array" ref="V7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49" t="str" cm="1">
        <f t="array" ref="W7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49" t="str">
        <f>IF(COUNTIFS('Base Estudiantes'!$C:$C,tblMatriculas[[#This Row],[Cédula]],'Base Estudiantes'!$I:$I,tblMatriculas[[#This Row],[Código]])&gt;0,"Sí","No")</f>
        <v>Sí</v>
      </c>
      <c r="Z749" s="23" cm="1">
        <f t="array" ref="Z749">_xlfn.XLOOKUP(tblMatriculas[[#This Row],[Cédula]]&amp;"|"&amp;tblMatriculas[[#This Row],[Código]],tblBase[Documento]&amp;"|"&amp;tblBase[Código grupo],tblBase[Fecha matrícula],"")</f>
        <v>46263</v>
      </c>
    </row>
    <row r="750" spans="1:26" x14ac:dyDescent="0.2">
      <c r="A750" t="s">
        <v>1617</v>
      </c>
      <c r="B750" t="s">
        <v>1618</v>
      </c>
      <c r="C750" t="s">
        <v>13</v>
      </c>
      <c r="D750" t="s">
        <v>1578</v>
      </c>
      <c r="E750" t="s">
        <v>1579</v>
      </c>
      <c r="F750" t="s">
        <v>16</v>
      </c>
      <c r="G750" s="1">
        <v>0.111</v>
      </c>
      <c r="H750" t="s">
        <v>55</v>
      </c>
      <c r="I750" t="s">
        <v>1580</v>
      </c>
      <c r="J750" t="s">
        <v>1581</v>
      </c>
      <c r="K750" t="s">
        <v>24</v>
      </c>
      <c r="L750" s="14">
        <f>IFERROR(VALUE(LEFT(tblMatriculas[[#This Row],[Clases]],FIND("/",tblMatriculas[[#This Row],[Clases]])-1)),"")</f>
        <v>5</v>
      </c>
      <c r="M750" s="14">
        <f>IFERROR(VALUE(MID(tblMatriculas[[#This Row],[Clases]],FIND("/",tblMatriculas[[#This Row],[Clases]])+1,5)),"")</f>
        <v>45</v>
      </c>
      <c r="N7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0" s="14">
        <f>IF(OR(tblMatriculas[[#This Row],[Estado]]&lt;&gt;"activa",tblMatriculas[[#This Row],[Clases dictadas]]=""),"",MAX(0,tblMatriculas[[#This Row],[Clases dictadas]]-tblMatriculas[[#This Row],[Asistidas]]))</f>
        <v>1</v>
      </c>
      <c r="P750" s="1">
        <f>IF(OR(tblMatriculas[[#This Row],[Estado]]&lt;&gt;"activa",tblMatriculas[[#This Row],[Asistidas]]=""),"",tblMatriculas[[#This Row],[Asistencia]])</f>
        <v>0.111</v>
      </c>
      <c r="Q750" t="b">
        <f>AND(tblMatriculas[[#This Row],[Estado]]="activa",ISNUMBER(tblMatriculas[[#This Row],[% asistencia]]),NOT(ISNUMBER(SEARCH(pPrueba,tblMatriculas[[#This Row],[Nombre]]))))</f>
        <v>1</v>
      </c>
      <c r="R7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0" s="23" t="str" cm="1">
        <f t="array" ref="S7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0" s="23" t="str" cm="1">
        <f t="array" ref="T7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0" s="14" t="str" cm="1">
        <f t="array" ref="U7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0" t="str" cm="1">
        <f t="array" ref="V7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0" t="str" cm="1">
        <f t="array" ref="W7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0" t="str">
        <f>IF(COUNTIFS('Base Estudiantes'!$C:$C,tblMatriculas[[#This Row],[Cédula]],'Base Estudiantes'!$I:$I,tblMatriculas[[#This Row],[Código]])&gt;0,"Sí","No")</f>
        <v>Sí</v>
      </c>
      <c r="Z750" s="23" cm="1">
        <f t="array" ref="Z750">_xlfn.XLOOKUP(tblMatriculas[[#This Row],[Cédula]]&amp;"|"&amp;tblMatriculas[[#This Row],[Código]],tblBase[Documento]&amp;"|"&amp;tblBase[Código grupo],tblBase[Fecha matrícula],"")</f>
        <v>46263</v>
      </c>
    </row>
    <row r="751" spans="1:26" x14ac:dyDescent="0.2">
      <c r="A751" t="s">
        <v>1619</v>
      </c>
      <c r="B751" t="s">
        <v>1620</v>
      </c>
      <c r="C751" t="s">
        <v>13</v>
      </c>
      <c r="D751" t="s">
        <v>1578</v>
      </c>
      <c r="E751" t="s">
        <v>1579</v>
      </c>
      <c r="F751" t="s">
        <v>16</v>
      </c>
      <c r="G751" s="1">
        <v>2.2000000000000002E-2</v>
      </c>
      <c r="H751" t="s">
        <v>23</v>
      </c>
      <c r="I751" t="s">
        <v>1580</v>
      </c>
      <c r="J751" t="s">
        <v>1581</v>
      </c>
      <c r="K751" t="s">
        <v>24</v>
      </c>
      <c r="L751" s="14">
        <f>IFERROR(VALUE(LEFT(tblMatriculas[[#This Row],[Clases]],FIND("/",tblMatriculas[[#This Row],[Clases]])-1)),"")</f>
        <v>1</v>
      </c>
      <c r="M751" s="14">
        <f>IFERROR(VALUE(MID(tblMatriculas[[#This Row],[Clases]],FIND("/",tblMatriculas[[#This Row],[Clases]])+1,5)),"")</f>
        <v>45</v>
      </c>
      <c r="N7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1" s="14">
        <f>IF(OR(tblMatriculas[[#This Row],[Estado]]&lt;&gt;"activa",tblMatriculas[[#This Row],[Clases dictadas]]=""),"",MAX(0,tblMatriculas[[#This Row],[Clases dictadas]]-tblMatriculas[[#This Row],[Asistidas]]))</f>
        <v>5</v>
      </c>
      <c r="P751" s="1">
        <f>IF(OR(tblMatriculas[[#This Row],[Estado]]&lt;&gt;"activa",tblMatriculas[[#This Row],[Asistidas]]=""),"",tblMatriculas[[#This Row],[Asistencia]])</f>
        <v>2.2000000000000002E-2</v>
      </c>
      <c r="Q751" t="b">
        <f>AND(tblMatriculas[[#This Row],[Estado]]="activa",ISNUMBER(tblMatriculas[[#This Row],[% asistencia]]),NOT(ISNUMBER(SEARCH(pPrueba,tblMatriculas[[#This Row],[Nombre]]))))</f>
        <v>1</v>
      </c>
      <c r="R7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51" s="23" t="str" cm="1">
        <f t="array" ref="S7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1" s="23" t="str" cm="1">
        <f t="array" ref="T7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1" s="14" t="str" cm="1">
        <f t="array" ref="U7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1" t="str" cm="1">
        <f t="array" ref="V7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1" t="str" cm="1">
        <f t="array" ref="W7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51" t="str">
        <f>IF(COUNTIFS('Base Estudiantes'!$C:$C,tblMatriculas[[#This Row],[Cédula]],'Base Estudiantes'!$I:$I,tblMatriculas[[#This Row],[Código]])&gt;0,"Sí","No")</f>
        <v>Sí</v>
      </c>
      <c r="Z751" s="23" cm="1">
        <f t="array" ref="Z751">_xlfn.XLOOKUP(tblMatriculas[[#This Row],[Cédula]]&amp;"|"&amp;tblMatriculas[[#This Row],[Código]],tblBase[Documento]&amp;"|"&amp;tblBase[Código grupo],tblBase[Fecha matrícula],"")</f>
        <v>46263</v>
      </c>
    </row>
    <row r="752" spans="1:26" x14ac:dyDescent="0.2">
      <c r="A752" t="s">
        <v>1621</v>
      </c>
      <c r="B752" t="s">
        <v>1622</v>
      </c>
      <c r="C752" t="s">
        <v>13</v>
      </c>
      <c r="D752" t="s">
        <v>1578</v>
      </c>
      <c r="E752" t="s">
        <v>1579</v>
      </c>
      <c r="F752" t="s">
        <v>16</v>
      </c>
      <c r="G752" s="1">
        <v>0.111</v>
      </c>
      <c r="H752" t="s">
        <v>55</v>
      </c>
      <c r="I752" t="s">
        <v>1580</v>
      </c>
      <c r="J752" t="s">
        <v>1581</v>
      </c>
      <c r="K752" t="s">
        <v>24</v>
      </c>
      <c r="L752" s="14">
        <f>IFERROR(VALUE(LEFT(tblMatriculas[[#This Row],[Clases]],FIND("/",tblMatriculas[[#This Row],[Clases]])-1)),"")</f>
        <v>5</v>
      </c>
      <c r="M752" s="14">
        <f>IFERROR(VALUE(MID(tblMatriculas[[#This Row],[Clases]],FIND("/",tblMatriculas[[#This Row],[Clases]])+1,5)),"")</f>
        <v>45</v>
      </c>
      <c r="N7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2" s="14">
        <f>IF(OR(tblMatriculas[[#This Row],[Estado]]&lt;&gt;"activa",tblMatriculas[[#This Row],[Clases dictadas]]=""),"",MAX(0,tblMatriculas[[#This Row],[Clases dictadas]]-tblMatriculas[[#This Row],[Asistidas]]))</f>
        <v>1</v>
      </c>
      <c r="P752" s="1">
        <f>IF(OR(tblMatriculas[[#This Row],[Estado]]&lt;&gt;"activa",tblMatriculas[[#This Row],[Asistidas]]=""),"",tblMatriculas[[#This Row],[Asistencia]])</f>
        <v>0.111</v>
      </c>
      <c r="Q752" t="b">
        <f>AND(tblMatriculas[[#This Row],[Estado]]="activa",ISNUMBER(tblMatriculas[[#This Row],[% asistencia]]),NOT(ISNUMBER(SEARCH(pPrueba,tblMatriculas[[#This Row],[Nombre]]))))</f>
        <v>1</v>
      </c>
      <c r="R7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2" s="23" t="str" cm="1">
        <f t="array" ref="S7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2" s="23" t="str" cm="1">
        <f t="array" ref="T7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2" s="14" t="str" cm="1">
        <f t="array" ref="U7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2" t="str" cm="1">
        <f t="array" ref="V7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2" t="str" cm="1">
        <f t="array" ref="W7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2" t="str">
        <f>IF(COUNTIFS('Base Estudiantes'!$C:$C,tblMatriculas[[#This Row],[Cédula]],'Base Estudiantes'!$I:$I,tblMatriculas[[#This Row],[Código]])&gt;0,"Sí","No")</f>
        <v>Sí</v>
      </c>
      <c r="Z752" s="23" cm="1">
        <f t="array" ref="Z752">_xlfn.XLOOKUP(tblMatriculas[[#This Row],[Cédula]]&amp;"|"&amp;tblMatriculas[[#This Row],[Código]],tblBase[Documento]&amp;"|"&amp;tblBase[Código grupo],tblBase[Fecha matrícula],"")</f>
        <v>46263</v>
      </c>
    </row>
    <row r="753" spans="1:26" x14ac:dyDescent="0.2">
      <c r="A753" t="s">
        <v>1623</v>
      </c>
      <c r="B753" t="s">
        <v>1624</v>
      </c>
      <c r="C753" t="s">
        <v>13</v>
      </c>
      <c r="D753" t="s">
        <v>1578</v>
      </c>
      <c r="E753" t="s">
        <v>1579</v>
      </c>
      <c r="F753" t="s">
        <v>16</v>
      </c>
      <c r="G753" s="1">
        <v>0.111</v>
      </c>
      <c r="H753" t="s">
        <v>55</v>
      </c>
      <c r="I753" t="s">
        <v>1580</v>
      </c>
      <c r="J753" t="s">
        <v>1581</v>
      </c>
      <c r="K753" t="s">
        <v>24</v>
      </c>
      <c r="L753" s="14">
        <f>IFERROR(VALUE(LEFT(tblMatriculas[[#This Row],[Clases]],FIND("/",tblMatriculas[[#This Row],[Clases]])-1)),"")</f>
        <v>5</v>
      </c>
      <c r="M753" s="14">
        <f>IFERROR(VALUE(MID(tblMatriculas[[#This Row],[Clases]],FIND("/",tblMatriculas[[#This Row],[Clases]])+1,5)),"")</f>
        <v>45</v>
      </c>
      <c r="N7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3" s="14">
        <f>IF(OR(tblMatriculas[[#This Row],[Estado]]&lt;&gt;"activa",tblMatriculas[[#This Row],[Clases dictadas]]=""),"",MAX(0,tblMatriculas[[#This Row],[Clases dictadas]]-tblMatriculas[[#This Row],[Asistidas]]))</f>
        <v>1</v>
      </c>
      <c r="P753" s="1">
        <f>IF(OR(tblMatriculas[[#This Row],[Estado]]&lt;&gt;"activa",tblMatriculas[[#This Row],[Asistidas]]=""),"",tblMatriculas[[#This Row],[Asistencia]])</f>
        <v>0.111</v>
      </c>
      <c r="Q753" t="b">
        <f>AND(tblMatriculas[[#This Row],[Estado]]="activa",ISNUMBER(tblMatriculas[[#This Row],[% asistencia]]),NOT(ISNUMBER(SEARCH(pPrueba,tblMatriculas[[#This Row],[Nombre]]))))</f>
        <v>1</v>
      </c>
      <c r="R7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3" s="23" t="str" cm="1">
        <f t="array" ref="S7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3" s="23" t="str" cm="1">
        <f t="array" ref="T7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3" s="14" t="str" cm="1">
        <f t="array" ref="U7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3" t="str" cm="1">
        <f t="array" ref="V7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3" t="str" cm="1">
        <f t="array" ref="W7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3" t="str">
        <f>IF(COUNTIFS('Base Estudiantes'!$C:$C,tblMatriculas[[#This Row],[Cédula]],'Base Estudiantes'!$I:$I,tblMatriculas[[#This Row],[Código]])&gt;0,"Sí","No")</f>
        <v>Sí</v>
      </c>
      <c r="Z753" s="23" cm="1">
        <f t="array" ref="Z753">_xlfn.XLOOKUP(tblMatriculas[[#This Row],[Cédula]]&amp;"|"&amp;tblMatriculas[[#This Row],[Código]],tblBase[Documento]&amp;"|"&amp;tblBase[Código grupo],tblBase[Fecha matrícula],"")</f>
        <v>46263</v>
      </c>
    </row>
    <row r="754" spans="1:26" x14ac:dyDescent="0.2">
      <c r="A754" t="s">
        <v>1625</v>
      </c>
      <c r="B754" t="s">
        <v>1626</v>
      </c>
      <c r="C754" t="s">
        <v>49</v>
      </c>
      <c r="D754" t="s">
        <v>1578</v>
      </c>
      <c r="E754" t="s">
        <v>1579</v>
      </c>
      <c r="F754" t="s">
        <v>16</v>
      </c>
      <c r="G754" s="1">
        <v>0</v>
      </c>
      <c r="H754" t="s">
        <v>1149</v>
      </c>
      <c r="I754" t="s">
        <v>1580</v>
      </c>
      <c r="J754" t="s">
        <v>1581</v>
      </c>
      <c r="K754" t="s">
        <v>24</v>
      </c>
      <c r="L754" s="14">
        <f>IFERROR(VALUE(LEFT(tblMatriculas[[#This Row],[Clases]],FIND("/",tblMatriculas[[#This Row],[Clases]])-1)),"")</f>
        <v>0</v>
      </c>
      <c r="M754" s="14">
        <f>IFERROR(VALUE(MID(tblMatriculas[[#This Row],[Clases]],FIND("/",tblMatriculas[[#This Row],[Clases]])+1,5)),"")</f>
        <v>45</v>
      </c>
      <c r="N7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4" s="14" t="str">
        <f>IF(OR(tblMatriculas[[#This Row],[Estado]]&lt;&gt;"activa",tblMatriculas[[#This Row],[Clases dictadas]]=""),"",MAX(0,tblMatriculas[[#This Row],[Clases dictadas]]-tblMatriculas[[#This Row],[Asistidas]]))</f>
        <v/>
      </c>
      <c r="P754" s="1" t="str">
        <f>IF(OR(tblMatriculas[[#This Row],[Estado]]&lt;&gt;"activa",tblMatriculas[[#This Row],[Asistidas]]=""),"",tblMatriculas[[#This Row],[Asistencia]])</f>
        <v/>
      </c>
      <c r="Q754" t="b">
        <f>AND(tblMatriculas[[#This Row],[Estado]]="activa",ISNUMBER(tblMatriculas[[#This Row],[% asistencia]]),NOT(ISNUMBER(SEARCH(pPrueba,tblMatriculas[[#This Row],[Nombre]]))))</f>
        <v>0</v>
      </c>
      <c r="R7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754" s="23" t="str" cm="1">
        <f t="array" ref="S7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4" s="23" t="str" cm="1">
        <f t="array" ref="T7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4" s="14" t="str" cm="1">
        <f t="array" ref="U7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4" t="str" cm="1">
        <f t="array" ref="V7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4" t="str" cm="1">
        <f t="array" ref="W7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4" t="str">
        <f>IF(COUNTIFS('Base Estudiantes'!$C:$C,tblMatriculas[[#This Row],[Cédula]],'Base Estudiantes'!$I:$I,tblMatriculas[[#This Row],[Código]])&gt;0,"Sí","No")</f>
        <v>No</v>
      </c>
      <c r="Z754" s="23" t="str" cm="1">
        <f t="array" ref="Z754">_xlfn.XLOOKUP(tblMatriculas[[#This Row],[Cédula]]&amp;"|"&amp;tblMatriculas[[#This Row],[Código]],tblBase[Documento]&amp;"|"&amp;tblBase[Código grupo],tblBase[Fecha matrícula],"")</f>
        <v/>
      </c>
    </row>
    <row r="755" spans="1:26" x14ac:dyDescent="0.2">
      <c r="A755" t="s">
        <v>1627</v>
      </c>
      <c r="B755" t="s">
        <v>1628</v>
      </c>
      <c r="C755" t="s">
        <v>13</v>
      </c>
      <c r="D755" t="s">
        <v>1578</v>
      </c>
      <c r="E755" t="s">
        <v>1579</v>
      </c>
      <c r="F755" t="s">
        <v>16</v>
      </c>
      <c r="G755" s="1">
        <v>0.111</v>
      </c>
      <c r="H755" t="s">
        <v>55</v>
      </c>
      <c r="I755" t="s">
        <v>1580</v>
      </c>
      <c r="J755" t="s">
        <v>1581</v>
      </c>
      <c r="K755" t="s">
        <v>24</v>
      </c>
      <c r="L755" s="14">
        <f>IFERROR(VALUE(LEFT(tblMatriculas[[#This Row],[Clases]],FIND("/",tblMatriculas[[#This Row],[Clases]])-1)),"")</f>
        <v>5</v>
      </c>
      <c r="M755" s="14">
        <f>IFERROR(VALUE(MID(tblMatriculas[[#This Row],[Clases]],FIND("/",tblMatriculas[[#This Row],[Clases]])+1,5)),"")</f>
        <v>45</v>
      </c>
      <c r="N7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5" s="14">
        <f>IF(OR(tblMatriculas[[#This Row],[Estado]]&lt;&gt;"activa",tblMatriculas[[#This Row],[Clases dictadas]]=""),"",MAX(0,tblMatriculas[[#This Row],[Clases dictadas]]-tblMatriculas[[#This Row],[Asistidas]]))</f>
        <v>1</v>
      </c>
      <c r="P755" s="1">
        <f>IF(OR(tblMatriculas[[#This Row],[Estado]]&lt;&gt;"activa",tblMatriculas[[#This Row],[Asistidas]]=""),"",tblMatriculas[[#This Row],[Asistencia]])</f>
        <v>0.111</v>
      </c>
      <c r="Q755" t="b">
        <f>AND(tblMatriculas[[#This Row],[Estado]]="activa",ISNUMBER(tblMatriculas[[#This Row],[% asistencia]]),NOT(ISNUMBER(SEARCH(pPrueba,tblMatriculas[[#This Row],[Nombre]]))))</f>
        <v>1</v>
      </c>
      <c r="R7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5" s="23" t="str" cm="1">
        <f t="array" ref="S7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5" s="23" t="str" cm="1">
        <f t="array" ref="T7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5" s="14" t="str" cm="1">
        <f t="array" ref="U7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5" t="str" cm="1">
        <f t="array" ref="V7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5" t="str" cm="1">
        <f t="array" ref="W7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5" t="str">
        <f>IF(COUNTIFS('Base Estudiantes'!$C:$C,tblMatriculas[[#This Row],[Cédula]],'Base Estudiantes'!$I:$I,tblMatriculas[[#This Row],[Código]])&gt;0,"Sí","No")</f>
        <v>Sí</v>
      </c>
      <c r="Z755" s="23" cm="1">
        <f t="array" ref="Z755">_xlfn.XLOOKUP(tblMatriculas[[#This Row],[Cédula]]&amp;"|"&amp;tblMatriculas[[#This Row],[Código]],tblBase[Documento]&amp;"|"&amp;tblBase[Código grupo],tblBase[Fecha matrícula],"")</f>
        <v>46263</v>
      </c>
    </row>
    <row r="756" spans="1:26" x14ac:dyDescent="0.2">
      <c r="A756" t="s">
        <v>1629</v>
      </c>
      <c r="B756" t="s">
        <v>1630</v>
      </c>
      <c r="C756" t="s">
        <v>13</v>
      </c>
      <c r="D756" t="s">
        <v>1578</v>
      </c>
      <c r="E756" t="s">
        <v>1579</v>
      </c>
      <c r="F756" t="s">
        <v>16</v>
      </c>
      <c r="G756" s="1">
        <v>0.111</v>
      </c>
      <c r="H756" t="s">
        <v>55</v>
      </c>
      <c r="I756" t="s">
        <v>1580</v>
      </c>
      <c r="J756" t="s">
        <v>1581</v>
      </c>
      <c r="K756" t="s">
        <v>24</v>
      </c>
      <c r="L756" s="14">
        <f>IFERROR(VALUE(LEFT(tblMatriculas[[#This Row],[Clases]],FIND("/",tblMatriculas[[#This Row],[Clases]])-1)),"")</f>
        <v>5</v>
      </c>
      <c r="M756" s="14">
        <f>IFERROR(VALUE(MID(tblMatriculas[[#This Row],[Clases]],FIND("/",tblMatriculas[[#This Row],[Clases]])+1,5)),"")</f>
        <v>45</v>
      </c>
      <c r="N7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6" s="14">
        <f>IF(OR(tblMatriculas[[#This Row],[Estado]]&lt;&gt;"activa",tblMatriculas[[#This Row],[Clases dictadas]]=""),"",MAX(0,tblMatriculas[[#This Row],[Clases dictadas]]-tblMatriculas[[#This Row],[Asistidas]]))</f>
        <v>1</v>
      </c>
      <c r="P756" s="1">
        <f>IF(OR(tblMatriculas[[#This Row],[Estado]]&lt;&gt;"activa",tblMatriculas[[#This Row],[Asistidas]]=""),"",tblMatriculas[[#This Row],[Asistencia]])</f>
        <v>0.111</v>
      </c>
      <c r="Q756" t="b">
        <f>AND(tblMatriculas[[#This Row],[Estado]]="activa",ISNUMBER(tblMatriculas[[#This Row],[% asistencia]]),NOT(ISNUMBER(SEARCH(pPrueba,tblMatriculas[[#This Row],[Nombre]]))))</f>
        <v>1</v>
      </c>
      <c r="R7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6" s="23" t="str" cm="1">
        <f t="array" ref="S7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6" s="23" t="str" cm="1">
        <f t="array" ref="T7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6" s="14" t="str" cm="1">
        <f t="array" ref="U7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6" t="str" cm="1">
        <f t="array" ref="V7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6" t="str" cm="1">
        <f t="array" ref="W7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6" t="str">
        <f>IF(COUNTIFS('Base Estudiantes'!$C:$C,tblMatriculas[[#This Row],[Cédula]],'Base Estudiantes'!$I:$I,tblMatriculas[[#This Row],[Código]])&gt;0,"Sí","No")</f>
        <v>Sí</v>
      </c>
      <c r="Z756" s="23" cm="1">
        <f t="array" ref="Z756">_xlfn.XLOOKUP(tblMatriculas[[#This Row],[Cédula]]&amp;"|"&amp;tblMatriculas[[#This Row],[Código]],tblBase[Documento]&amp;"|"&amp;tblBase[Código grupo],tblBase[Fecha matrícula],"")</f>
        <v>46263</v>
      </c>
    </row>
    <row r="757" spans="1:26" x14ac:dyDescent="0.2">
      <c r="A757" t="s">
        <v>1631</v>
      </c>
      <c r="B757" t="s">
        <v>1632</v>
      </c>
      <c r="C757" t="s">
        <v>13</v>
      </c>
      <c r="D757" t="s">
        <v>1578</v>
      </c>
      <c r="E757" t="s">
        <v>1579</v>
      </c>
      <c r="F757" t="s">
        <v>16</v>
      </c>
      <c r="G757" s="1">
        <v>0.13300000000000001</v>
      </c>
      <c r="H757" t="s">
        <v>36</v>
      </c>
      <c r="I757" t="s">
        <v>1580</v>
      </c>
      <c r="J757" t="s">
        <v>1581</v>
      </c>
      <c r="K757" t="s">
        <v>24</v>
      </c>
      <c r="L757" s="14">
        <f>IFERROR(VALUE(LEFT(tblMatriculas[[#This Row],[Clases]],FIND("/",tblMatriculas[[#This Row],[Clases]])-1)),"")</f>
        <v>6</v>
      </c>
      <c r="M757" s="14">
        <f>IFERROR(VALUE(MID(tblMatriculas[[#This Row],[Clases]],FIND("/",tblMatriculas[[#This Row],[Clases]])+1,5)),"")</f>
        <v>45</v>
      </c>
      <c r="N7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7" s="14">
        <f>IF(OR(tblMatriculas[[#This Row],[Estado]]&lt;&gt;"activa",tblMatriculas[[#This Row],[Clases dictadas]]=""),"",MAX(0,tblMatriculas[[#This Row],[Clases dictadas]]-tblMatriculas[[#This Row],[Asistidas]]))</f>
        <v>0</v>
      </c>
      <c r="P757" s="1">
        <f>IF(OR(tblMatriculas[[#This Row],[Estado]]&lt;&gt;"activa",tblMatriculas[[#This Row],[Asistidas]]=""),"",tblMatriculas[[#This Row],[Asistencia]])</f>
        <v>0.13300000000000001</v>
      </c>
      <c r="Q757" t="b">
        <f>AND(tblMatriculas[[#This Row],[Estado]]="activa",ISNUMBER(tblMatriculas[[#This Row],[% asistencia]]),NOT(ISNUMBER(SEARCH(pPrueba,tblMatriculas[[#This Row],[Nombre]]))))</f>
        <v>1</v>
      </c>
      <c r="R7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7" s="23" t="str" cm="1">
        <f t="array" ref="S7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7" s="23" t="str" cm="1">
        <f t="array" ref="T7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7" s="14" t="str" cm="1">
        <f t="array" ref="U7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7" t="str" cm="1">
        <f t="array" ref="V7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7" t="str" cm="1">
        <f t="array" ref="W7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7" t="str">
        <f>IF(COUNTIFS('Base Estudiantes'!$C:$C,tblMatriculas[[#This Row],[Cédula]],'Base Estudiantes'!$I:$I,tblMatriculas[[#This Row],[Código]])&gt;0,"Sí","No")</f>
        <v>Sí</v>
      </c>
      <c r="Z757" s="23" cm="1">
        <f t="array" ref="Z757">_xlfn.XLOOKUP(tblMatriculas[[#This Row],[Cédula]]&amp;"|"&amp;tblMatriculas[[#This Row],[Código]],tblBase[Documento]&amp;"|"&amp;tblBase[Código grupo],tblBase[Fecha matrícula],"")</f>
        <v>46263</v>
      </c>
    </row>
    <row r="758" spans="1:26" x14ac:dyDescent="0.2">
      <c r="A758" t="s">
        <v>1633</v>
      </c>
      <c r="B758" t="s">
        <v>1634</v>
      </c>
      <c r="C758" t="s">
        <v>13</v>
      </c>
      <c r="D758" t="s">
        <v>1578</v>
      </c>
      <c r="E758" t="s">
        <v>1579</v>
      </c>
      <c r="F758" t="s">
        <v>16</v>
      </c>
      <c r="G758" s="1">
        <v>0.111</v>
      </c>
      <c r="H758" t="s">
        <v>55</v>
      </c>
      <c r="I758" t="s">
        <v>1580</v>
      </c>
      <c r="J758" t="s">
        <v>1581</v>
      </c>
      <c r="K758" t="s">
        <v>24</v>
      </c>
      <c r="L758" s="14">
        <f>IFERROR(VALUE(LEFT(tblMatriculas[[#This Row],[Clases]],FIND("/",tblMatriculas[[#This Row],[Clases]])-1)),"")</f>
        <v>5</v>
      </c>
      <c r="M758" s="14">
        <f>IFERROR(VALUE(MID(tblMatriculas[[#This Row],[Clases]],FIND("/",tblMatriculas[[#This Row],[Clases]])+1,5)),"")</f>
        <v>45</v>
      </c>
      <c r="N7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8" s="14">
        <f>IF(OR(tblMatriculas[[#This Row],[Estado]]&lt;&gt;"activa",tblMatriculas[[#This Row],[Clases dictadas]]=""),"",MAX(0,tblMatriculas[[#This Row],[Clases dictadas]]-tblMatriculas[[#This Row],[Asistidas]]))</f>
        <v>1</v>
      </c>
      <c r="P758" s="1">
        <f>IF(OR(tblMatriculas[[#This Row],[Estado]]&lt;&gt;"activa",tblMatriculas[[#This Row],[Asistidas]]=""),"",tblMatriculas[[#This Row],[Asistencia]])</f>
        <v>0.111</v>
      </c>
      <c r="Q758" t="b">
        <f>AND(tblMatriculas[[#This Row],[Estado]]="activa",ISNUMBER(tblMatriculas[[#This Row],[% asistencia]]),NOT(ISNUMBER(SEARCH(pPrueba,tblMatriculas[[#This Row],[Nombre]]))))</f>
        <v>1</v>
      </c>
      <c r="R7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58" s="23" t="str" cm="1">
        <f t="array" ref="S7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8" s="23" t="str" cm="1">
        <f t="array" ref="T7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8" s="14" t="str" cm="1">
        <f t="array" ref="U7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8" t="str" cm="1">
        <f t="array" ref="V7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8" t="str" cm="1">
        <f t="array" ref="W7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58" t="str">
        <f>IF(COUNTIFS('Base Estudiantes'!$C:$C,tblMatriculas[[#This Row],[Cédula]],'Base Estudiantes'!$I:$I,tblMatriculas[[#This Row],[Código]])&gt;0,"Sí","No")</f>
        <v>Sí</v>
      </c>
      <c r="Z758" s="23" cm="1">
        <f t="array" ref="Z758">_xlfn.XLOOKUP(tblMatriculas[[#This Row],[Cédula]]&amp;"|"&amp;tblMatriculas[[#This Row],[Código]],tblBase[Documento]&amp;"|"&amp;tblBase[Código grupo],tblBase[Fecha matrícula],"")</f>
        <v>46263</v>
      </c>
    </row>
    <row r="759" spans="1:26" x14ac:dyDescent="0.2">
      <c r="A759" t="s">
        <v>1635</v>
      </c>
      <c r="B759" t="s">
        <v>1636</v>
      </c>
      <c r="C759" t="s">
        <v>13</v>
      </c>
      <c r="D759" t="s">
        <v>1578</v>
      </c>
      <c r="E759" t="s">
        <v>1579</v>
      </c>
      <c r="F759" t="s">
        <v>16</v>
      </c>
      <c r="G759" s="1">
        <v>0</v>
      </c>
      <c r="H759" t="s">
        <v>1149</v>
      </c>
      <c r="I759" t="s">
        <v>1580</v>
      </c>
      <c r="J759" t="s">
        <v>1581</v>
      </c>
      <c r="K759" t="s">
        <v>24</v>
      </c>
      <c r="L759" s="14">
        <f>IFERROR(VALUE(LEFT(tblMatriculas[[#This Row],[Clases]],FIND("/",tblMatriculas[[#This Row],[Clases]])-1)),"")</f>
        <v>0</v>
      </c>
      <c r="M759" s="14">
        <f>IFERROR(VALUE(MID(tblMatriculas[[#This Row],[Clases]],FIND("/",tblMatriculas[[#This Row],[Clases]])+1,5)),"")</f>
        <v>45</v>
      </c>
      <c r="N7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59" s="14">
        <f>IF(OR(tblMatriculas[[#This Row],[Estado]]&lt;&gt;"activa",tblMatriculas[[#This Row],[Clases dictadas]]=""),"",MAX(0,tblMatriculas[[#This Row],[Clases dictadas]]-tblMatriculas[[#This Row],[Asistidas]]))</f>
        <v>6</v>
      </c>
      <c r="P759" s="1">
        <f>IF(OR(tblMatriculas[[#This Row],[Estado]]&lt;&gt;"activa",tblMatriculas[[#This Row],[Asistidas]]=""),"",tblMatriculas[[#This Row],[Asistencia]])</f>
        <v>0</v>
      </c>
      <c r="Q759" t="b">
        <f>AND(tblMatriculas[[#This Row],[Estado]]="activa",ISNUMBER(tblMatriculas[[#This Row],[% asistencia]]),NOT(ISNUMBER(SEARCH(pPrueba,tblMatriculas[[#This Row],[Nombre]]))))</f>
        <v>1</v>
      </c>
      <c r="R7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59" s="23" t="str" cm="1">
        <f t="array" ref="S7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59" s="23" t="str" cm="1">
        <f t="array" ref="T7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59" s="14" t="str" cm="1">
        <f t="array" ref="U7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59" t="str" cm="1">
        <f t="array" ref="V7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59" t="str" cm="1">
        <f t="array" ref="W7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59" t="str">
        <f>IF(COUNTIFS('Base Estudiantes'!$C:$C,tblMatriculas[[#This Row],[Cédula]],'Base Estudiantes'!$I:$I,tblMatriculas[[#This Row],[Código]])&gt;0,"Sí","No")</f>
        <v>Sí</v>
      </c>
      <c r="Z759" s="23" cm="1">
        <f t="array" ref="Z759">_xlfn.XLOOKUP(tblMatriculas[[#This Row],[Cédula]]&amp;"|"&amp;tblMatriculas[[#This Row],[Código]],tblBase[Documento]&amp;"|"&amp;tblBase[Código grupo],tblBase[Fecha matrícula],"")</f>
        <v>46263</v>
      </c>
    </row>
    <row r="760" spans="1:26" x14ac:dyDescent="0.2">
      <c r="A760" t="s">
        <v>1637</v>
      </c>
      <c r="B760" t="s">
        <v>1638</v>
      </c>
      <c r="C760" t="s">
        <v>13</v>
      </c>
      <c r="D760" t="s">
        <v>1578</v>
      </c>
      <c r="E760" t="s">
        <v>1579</v>
      </c>
      <c r="F760" t="s">
        <v>16</v>
      </c>
      <c r="G760" s="1">
        <v>0</v>
      </c>
      <c r="H760" t="s">
        <v>1149</v>
      </c>
      <c r="I760" t="s">
        <v>1580</v>
      </c>
      <c r="J760" t="s">
        <v>1581</v>
      </c>
      <c r="K760" t="s">
        <v>24</v>
      </c>
      <c r="L760" s="14">
        <f>IFERROR(VALUE(LEFT(tblMatriculas[[#This Row],[Clases]],FIND("/",tblMatriculas[[#This Row],[Clases]])-1)),"")</f>
        <v>0</v>
      </c>
      <c r="M760" s="14">
        <f>IFERROR(VALUE(MID(tblMatriculas[[#This Row],[Clases]],FIND("/",tblMatriculas[[#This Row],[Clases]])+1,5)),"")</f>
        <v>45</v>
      </c>
      <c r="N7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0" s="14">
        <f>IF(OR(tblMatriculas[[#This Row],[Estado]]&lt;&gt;"activa",tblMatriculas[[#This Row],[Clases dictadas]]=""),"",MAX(0,tblMatriculas[[#This Row],[Clases dictadas]]-tblMatriculas[[#This Row],[Asistidas]]))</f>
        <v>6</v>
      </c>
      <c r="P760" s="1">
        <f>IF(OR(tblMatriculas[[#This Row],[Estado]]&lt;&gt;"activa",tblMatriculas[[#This Row],[Asistidas]]=""),"",tblMatriculas[[#This Row],[Asistencia]])</f>
        <v>0</v>
      </c>
      <c r="Q760" t="b">
        <f>AND(tblMatriculas[[#This Row],[Estado]]="activa",ISNUMBER(tblMatriculas[[#This Row],[% asistencia]]),NOT(ISNUMBER(SEARCH(pPrueba,tblMatriculas[[#This Row],[Nombre]]))))</f>
        <v>1</v>
      </c>
      <c r="R7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60" s="23" t="str" cm="1">
        <f t="array" ref="S7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0" s="23" t="str" cm="1">
        <f t="array" ref="T7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0" s="14" t="str" cm="1">
        <f t="array" ref="U7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0" t="str" cm="1">
        <f t="array" ref="V7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0" t="str" cm="1">
        <f t="array" ref="W7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60" t="str">
        <f>IF(COUNTIFS('Base Estudiantes'!$C:$C,tblMatriculas[[#This Row],[Cédula]],'Base Estudiantes'!$I:$I,tblMatriculas[[#This Row],[Código]])&gt;0,"Sí","No")</f>
        <v>Sí</v>
      </c>
      <c r="Z760" s="23" cm="1">
        <f t="array" ref="Z760">_xlfn.XLOOKUP(tblMatriculas[[#This Row],[Cédula]]&amp;"|"&amp;tblMatriculas[[#This Row],[Código]],tblBase[Documento]&amp;"|"&amp;tblBase[Código grupo],tblBase[Fecha matrícula],"")</f>
        <v>46263</v>
      </c>
    </row>
    <row r="761" spans="1:26" x14ac:dyDescent="0.2">
      <c r="A761" t="s">
        <v>1639</v>
      </c>
      <c r="B761" t="s">
        <v>1640</v>
      </c>
      <c r="C761" t="s">
        <v>13</v>
      </c>
      <c r="D761" t="s">
        <v>1578</v>
      </c>
      <c r="E761" t="s">
        <v>1579</v>
      </c>
      <c r="F761" t="s">
        <v>16</v>
      </c>
      <c r="G761" s="1">
        <v>0</v>
      </c>
      <c r="H761" t="s">
        <v>1149</v>
      </c>
      <c r="I761" t="s">
        <v>1580</v>
      </c>
      <c r="J761" t="s">
        <v>1581</v>
      </c>
      <c r="K761" t="s">
        <v>24</v>
      </c>
      <c r="L761" s="14">
        <f>IFERROR(VALUE(LEFT(tblMatriculas[[#This Row],[Clases]],FIND("/",tblMatriculas[[#This Row],[Clases]])-1)),"")</f>
        <v>0</v>
      </c>
      <c r="M761" s="14">
        <f>IFERROR(VALUE(MID(tblMatriculas[[#This Row],[Clases]],FIND("/",tblMatriculas[[#This Row],[Clases]])+1,5)),"")</f>
        <v>45</v>
      </c>
      <c r="N7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1" s="14">
        <f>IF(OR(tblMatriculas[[#This Row],[Estado]]&lt;&gt;"activa",tblMatriculas[[#This Row],[Clases dictadas]]=""),"",MAX(0,tblMatriculas[[#This Row],[Clases dictadas]]-tblMatriculas[[#This Row],[Asistidas]]))</f>
        <v>6</v>
      </c>
      <c r="P761" s="1">
        <f>IF(OR(tblMatriculas[[#This Row],[Estado]]&lt;&gt;"activa",tblMatriculas[[#This Row],[Asistidas]]=""),"",tblMatriculas[[#This Row],[Asistencia]])</f>
        <v>0</v>
      </c>
      <c r="Q761" t="b">
        <f>AND(tblMatriculas[[#This Row],[Estado]]="activa",ISNUMBER(tblMatriculas[[#This Row],[% asistencia]]),NOT(ISNUMBER(SEARCH(pPrueba,tblMatriculas[[#This Row],[Nombre]]))))</f>
        <v>1</v>
      </c>
      <c r="R7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761" s="23" t="str" cm="1">
        <f t="array" ref="S7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1" s="23" t="str" cm="1">
        <f t="array" ref="T7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1" s="14" t="str" cm="1">
        <f t="array" ref="U7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1" t="str" cm="1">
        <f t="array" ref="V7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1" t="str" cm="1">
        <f t="array" ref="W7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7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761" t="str">
        <f>IF(COUNTIFS('Base Estudiantes'!$C:$C,tblMatriculas[[#This Row],[Cédula]],'Base Estudiantes'!$I:$I,tblMatriculas[[#This Row],[Código]])&gt;0,"Sí","No")</f>
        <v>Sí</v>
      </c>
      <c r="Z761" s="23" cm="1">
        <f t="array" ref="Z761">_xlfn.XLOOKUP(tblMatriculas[[#This Row],[Cédula]]&amp;"|"&amp;tblMatriculas[[#This Row],[Código]],tblBase[Documento]&amp;"|"&amp;tblBase[Código grupo],tblBase[Fecha matrícula],"")</f>
        <v>46263</v>
      </c>
    </row>
    <row r="762" spans="1:26" x14ac:dyDescent="0.2">
      <c r="A762" t="s">
        <v>1641</v>
      </c>
      <c r="B762" t="s">
        <v>1642</v>
      </c>
      <c r="C762" t="s">
        <v>13</v>
      </c>
      <c r="D762" t="s">
        <v>1578</v>
      </c>
      <c r="E762" t="s">
        <v>1579</v>
      </c>
      <c r="F762" t="s">
        <v>16</v>
      </c>
      <c r="G762" s="1">
        <v>0.13300000000000001</v>
      </c>
      <c r="H762" t="s">
        <v>36</v>
      </c>
      <c r="I762" t="s">
        <v>1580</v>
      </c>
      <c r="J762" t="s">
        <v>1581</v>
      </c>
      <c r="K762" t="s">
        <v>24</v>
      </c>
      <c r="L762" s="14">
        <f>IFERROR(VALUE(LEFT(tblMatriculas[[#This Row],[Clases]],FIND("/",tblMatriculas[[#This Row],[Clases]])-1)),"")</f>
        <v>6</v>
      </c>
      <c r="M762" s="14">
        <f>IFERROR(VALUE(MID(tblMatriculas[[#This Row],[Clases]],FIND("/",tblMatriculas[[#This Row],[Clases]])+1,5)),"")</f>
        <v>45</v>
      </c>
      <c r="N7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2" s="14">
        <f>IF(OR(tblMatriculas[[#This Row],[Estado]]&lt;&gt;"activa",tblMatriculas[[#This Row],[Clases dictadas]]=""),"",MAX(0,tblMatriculas[[#This Row],[Clases dictadas]]-tblMatriculas[[#This Row],[Asistidas]]))</f>
        <v>0</v>
      </c>
      <c r="P762" s="1">
        <f>IF(OR(tblMatriculas[[#This Row],[Estado]]&lt;&gt;"activa",tblMatriculas[[#This Row],[Asistidas]]=""),"",tblMatriculas[[#This Row],[Asistencia]])</f>
        <v>0.13300000000000001</v>
      </c>
      <c r="Q762" t="b">
        <f>AND(tblMatriculas[[#This Row],[Estado]]="activa",ISNUMBER(tblMatriculas[[#This Row],[% asistencia]]),NOT(ISNUMBER(SEARCH(pPrueba,tblMatriculas[[#This Row],[Nombre]]))))</f>
        <v>1</v>
      </c>
      <c r="R7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62" s="23" t="str" cm="1">
        <f t="array" ref="S7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2" s="23" t="str" cm="1">
        <f t="array" ref="T7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2" s="14" t="str" cm="1">
        <f t="array" ref="U7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2" t="str" cm="1">
        <f t="array" ref="V7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2" t="str" cm="1">
        <f t="array" ref="W7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62" t="str">
        <f>IF(COUNTIFS('Base Estudiantes'!$C:$C,tblMatriculas[[#This Row],[Cédula]],'Base Estudiantes'!$I:$I,tblMatriculas[[#This Row],[Código]])&gt;0,"Sí","No")</f>
        <v>Sí</v>
      </c>
      <c r="Z762" s="23" cm="1">
        <f t="array" ref="Z762">_xlfn.XLOOKUP(tblMatriculas[[#This Row],[Cédula]]&amp;"|"&amp;tblMatriculas[[#This Row],[Código]],tblBase[Documento]&amp;"|"&amp;tblBase[Código grupo],tblBase[Fecha matrícula],"")</f>
        <v>46263</v>
      </c>
    </row>
    <row r="763" spans="1:26" x14ac:dyDescent="0.2">
      <c r="A763" t="s">
        <v>1643</v>
      </c>
      <c r="B763" t="s">
        <v>1644</v>
      </c>
      <c r="C763" t="s">
        <v>13</v>
      </c>
      <c r="D763" t="s">
        <v>1578</v>
      </c>
      <c r="E763" t="s">
        <v>1579</v>
      </c>
      <c r="F763" t="s">
        <v>16</v>
      </c>
      <c r="G763" s="1">
        <v>0.13300000000000001</v>
      </c>
      <c r="H763" t="s">
        <v>36</v>
      </c>
      <c r="I763" t="s">
        <v>1580</v>
      </c>
      <c r="J763" t="s">
        <v>1581</v>
      </c>
      <c r="K763" t="s">
        <v>24</v>
      </c>
      <c r="L763" s="14">
        <f>IFERROR(VALUE(LEFT(tblMatriculas[[#This Row],[Clases]],FIND("/",tblMatriculas[[#This Row],[Clases]])-1)),"")</f>
        <v>6</v>
      </c>
      <c r="M763" s="14">
        <f>IFERROR(VALUE(MID(tblMatriculas[[#This Row],[Clases]],FIND("/",tblMatriculas[[#This Row],[Clases]])+1,5)),"")</f>
        <v>45</v>
      </c>
      <c r="N7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3" s="14">
        <f>IF(OR(tblMatriculas[[#This Row],[Estado]]&lt;&gt;"activa",tblMatriculas[[#This Row],[Clases dictadas]]=""),"",MAX(0,tblMatriculas[[#This Row],[Clases dictadas]]-tblMatriculas[[#This Row],[Asistidas]]))</f>
        <v>0</v>
      </c>
      <c r="P763" s="1">
        <f>IF(OR(tblMatriculas[[#This Row],[Estado]]&lt;&gt;"activa",tblMatriculas[[#This Row],[Asistidas]]=""),"",tblMatriculas[[#This Row],[Asistencia]])</f>
        <v>0.13300000000000001</v>
      </c>
      <c r="Q763" t="b">
        <f>AND(tblMatriculas[[#This Row],[Estado]]="activa",ISNUMBER(tblMatriculas[[#This Row],[% asistencia]]),NOT(ISNUMBER(SEARCH(pPrueba,tblMatriculas[[#This Row],[Nombre]]))))</f>
        <v>1</v>
      </c>
      <c r="R7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63" s="23" t="str" cm="1">
        <f t="array" ref="S7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3" s="23" t="str" cm="1">
        <f t="array" ref="T7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3" s="14" t="str" cm="1">
        <f t="array" ref="U7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3" t="str" cm="1">
        <f t="array" ref="V7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3" t="str" cm="1">
        <f t="array" ref="W7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63" t="str">
        <f>IF(COUNTIFS('Base Estudiantes'!$C:$C,tblMatriculas[[#This Row],[Cédula]],'Base Estudiantes'!$I:$I,tblMatriculas[[#This Row],[Código]])&gt;0,"Sí","No")</f>
        <v>Sí</v>
      </c>
      <c r="Z763" s="23" cm="1">
        <f t="array" ref="Z763">_xlfn.XLOOKUP(tblMatriculas[[#This Row],[Cédula]]&amp;"|"&amp;tblMatriculas[[#This Row],[Código]],tblBase[Documento]&amp;"|"&amp;tblBase[Código grupo],tblBase[Fecha matrícula],"")</f>
        <v>46263</v>
      </c>
    </row>
    <row r="764" spans="1:26" x14ac:dyDescent="0.2">
      <c r="A764" t="s">
        <v>1645</v>
      </c>
      <c r="B764" t="s">
        <v>1646</v>
      </c>
      <c r="C764" t="s">
        <v>13</v>
      </c>
      <c r="D764" t="s">
        <v>1578</v>
      </c>
      <c r="E764" t="s">
        <v>1579</v>
      </c>
      <c r="F764" t="s">
        <v>16</v>
      </c>
      <c r="G764" s="1">
        <v>0.111</v>
      </c>
      <c r="H764" t="s">
        <v>55</v>
      </c>
      <c r="I764" t="s">
        <v>1580</v>
      </c>
      <c r="J764" t="s">
        <v>1581</v>
      </c>
      <c r="K764" t="s">
        <v>24</v>
      </c>
      <c r="L764" s="14">
        <f>IFERROR(VALUE(LEFT(tblMatriculas[[#This Row],[Clases]],FIND("/",tblMatriculas[[#This Row],[Clases]])-1)),"")</f>
        <v>5</v>
      </c>
      <c r="M764" s="14">
        <f>IFERROR(VALUE(MID(tblMatriculas[[#This Row],[Clases]],FIND("/",tblMatriculas[[#This Row],[Clases]])+1,5)),"")</f>
        <v>45</v>
      </c>
      <c r="N7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4" s="14">
        <f>IF(OR(tblMatriculas[[#This Row],[Estado]]&lt;&gt;"activa",tblMatriculas[[#This Row],[Clases dictadas]]=""),"",MAX(0,tblMatriculas[[#This Row],[Clases dictadas]]-tblMatriculas[[#This Row],[Asistidas]]))</f>
        <v>1</v>
      </c>
      <c r="P764" s="1">
        <f>IF(OR(tblMatriculas[[#This Row],[Estado]]&lt;&gt;"activa",tblMatriculas[[#This Row],[Asistidas]]=""),"",tblMatriculas[[#This Row],[Asistencia]])</f>
        <v>0.111</v>
      </c>
      <c r="Q764" t="b">
        <f>AND(tblMatriculas[[#This Row],[Estado]]="activa",ISNUMBER(tblMatriculas[[#This Row],[% asistencia]]),NOT(ISNUMBER(SEARCH(pPrueba,tblMatriculas[[#This Row],[Nombre]]))))</f>
        <v>1</v>
      </c>
      <c r="R7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64" s="23" t="str" cm="1">
        <f t="array" ref="S7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4" s="23" t="str" cm="1">
        <f t="array" ref="T7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4" s="14" t="str" cm="1">
        <f t="array" ref="U7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4" t="str" cm="1">
        <f t="array" ref="V7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4" t="str" cm="1">
        <f t="array" ref="W7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64" t="str">
        <f>IF(COUNTIFS('Base Estudiantes'!$C:$C,tblMatriculas[[#This Row],[Cédula]],'Base Estudiantes'!$I:$I,tblMatriculas[[#This Row],[Código]])&gt;0,"Sí","No")</f>
        <v>Sí</v>
      </c>
      <c r="Z764" s="23" cm="1">
        <f t="array" ref="Z764">_xlfn.XLOOKUP(tblMatriculas[[#This Row],[Cédula]]&amp;"|"&amp;tblMatriculas[[#This Row],[Código]],tblBase[Documento]&amp;"|"&amp;tblBase[Código grupo],tblBase[Fecha matrícula],"")</f>
        <v>46263</v>
      </c>
    </row>
    <row r="765" spans="1:26" x14ac:dyDescent="0.2">
      <c r="A765" t="s">
        <v>1158</v>
      </c>
      <c r="B765" t="s">
        <v>1159</v>
      </c>
      <c r="C765" t="s">
        <v>13</v>
      </c>
      <c r="D765" t="s">
        <v>1578</v>
      </c>
      <c r="E765" t="s">
        <v>1579</v>
      </c>
      <c r="F765" t="s">
        <v>16</v>
      </c>
      <c r="G765" s="1">
        <v>4.4000000000000004E-2</v>
      </c>
      <c r="H765" t="s">
        <v>76</v>
      </c>
      <c r="I765" t="s">
        <v>1580</v>
      </c>
      <c r="J765" t="s">
        <v>1581</v>
      </c>
      <c r="K765" t="s">
        <v>24</v>
      </c>
      <c r="L765" s="14">
        <f>IFERROR(VALUE(LEFT(tblMatriculas[[#This Row],[Clases]],FIND("/",tblMatriculas[[#This Row],[Clases]])-1)),"")</f>
        <v>2</v>
      </c>
      <c r="M765" s="14">
        <f>IFERROR(VALUE(MID(tblMatriculas[[#This Row],[Clases]],FIND("/",tblMatriculas[[#This Row],[Clases]])+1,5)),"")</f>
        <v>45</v>
      </c>
      <c r="N7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5" s="14">
        <f>IF(OR(tblMatriculas[[#This Row],[Estado]]&lt;&gt;"activa",tblMatriculas[[#This Row],[Clases dictadas]]=""),"",MAX(0,tblMatriculas[[#This Row],[Clases dictadas]]-tblMatriculas[[#This Row],[Asistidas]]))</f>
        <v>4</v>
      </c>
      <c r="P765" s="1">
        <f>IF(OR(tblMatriculas[[#This Row],[Estado]]&lt;&gt;"activa",tblMatriculas[[#This Row],[Asistidas]]=""),"",tblMatriculas[[#This Row],[Asistencia]])</f>
        <v>4.4000000000000004E-2</v>
      </c>
      <c r="Q765" t="b">
        <f>AND(tblMatriculas[[#This Row],[Estado]]="activa",ISNUMBER(tblMatriculas[[#This Row],[% asistencia]]),NOT(ISNUMBER(SEARCH(pPrueba,tblMatriculas[[#This Row],[Nombre]]))))</f>
        <v>1</v>
      </c>
      <c r="R7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65" s="23" t="str" cm="1">
        <f t="array" ref="S7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5" s="23" t="str" cm="1">
        <f t="array" ref="T7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5" s="14" t="str" cm="1">
        <f t="array" ref="U7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5" t="str" cm="1">
        <f t="array" ref="V7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5" t="str" cm="1">
        <f t="array" ref="W7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65" t="str">
        <f>IF(COUNTIFS('Base Estudiantes'!$C:$C,tblMatriculas[[#This Row],[Cédula]],'Base Estudiantes'!$I:$I,tblMatriculas[[#This Row],[Código]])&gt;0,"Sí","No")</f>
        <v>Sí</v>
      </c>
      <c r="Z765" s="23" cm="1">
        <f t="array" ref="Z765">_xlfn.XLOOKUP(tblMatriculas[[#This Row],[Cédula]]&amp;"|"&amp;tblMatriculas[[#This Row],[Código]],tblBase[Documento]&amp;"|"&amp;tblBase[Código grupo],tblBase[Fecha matrícula],"")</f>
        <v>46271</v>
      </c>
    </row>
    <row r="766" spans="1:26" x14ac:dyDescent="0.2">
      <c r="A766" t="s">
        <v>47</v>
      </c>
      <c r="B766" t="s">
        <v>48</v>
      </c>
      <c r="C766" t="s">
        <v>13</v>
      </c>
      <c r="D766" t="s">
        <v>1578</v>
      </c>
      <c r="E766" t="s">
        <v>1579</v>
      </c>
      <c r="F766" t="s">
        <v>16</v>
      </c>
      <c r="G766" s="1">
        <v>0.111</v>
      </c>
      <c r="H766" t="s">
        <v>55</v>
      </c>
      <c r="I766" t="s">
        <v>1580</v>
      </c>
      <c r="J766" t="s">
        <v>1581</v>
      </c>
      <c r="K766" t="s">
        <v>24</v>
      </c>
      <c r="L766" s="14">
        <f>IFERROR(VALUE(LEFT(tblMatriculas[[#This Row],[Clases]],FIND("/",tblMatriculas[[#This Row],[Clases]])-1)),"")</f>
        <v>5</v>
      </c>
      <c r="M766" s="14">
        <f>IFERROR(VALUE(MID(tblMatriculas[[#This Row],[Clases]],FIND("/",tblMatriculas[[#This Row],[Clases]])+1,5)),"")</f>
        <v>45</v>
      </c>
      <c r="N7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766" s="14">
        <f>IF(OR(tblMatriculas[[#This Row],[Estado]]&lt;&gt;"activa",tblMatriculas[[#This Row],[Clases dictadas]]=""),"",MAX(0,tblMatriculas[[#This Row],[Clases dictadas]]-tblMatriculas[[#This Row],[Asistidas]]))</f>
        <v>1</v>
      </c>
      <c r="P766" s="1">
        <f>IF(OR(tblMatriculas[[#This Row],[Estado]]&lt;&gt;"activa",tblMatriculas[[#This Row],[Asistidas]]=""),"",tblMatriculas[[#This Row],[Asistencia]])</f>
        <v>0.111</v>
      </c>
      <c r="Q766" t="b">
        <f>AND(tblMatriculas[[#This Row],[Estado]]="activa",ISNUMBER(tblMatriculas[[#This Row],[% asistencia]]),NOT(ISNUMBER(SEARCH(pPrueba,tblMatriculas[[#This Row],[Nombre]]))))</f>
        <v>1</v>
      </c>
      <c r="R7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766" s="23" t="str" cm="1">
        <f t="array" ref="S7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6" s="23" t="str" cm="1">
        <f t="array" ref="T7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6" s="14" t="str" cm="1">
        <f t="array" ref="U7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6" t="str" cm="1">
        <f t="array" ref="V7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6" t="str" cm="1">
        <f t="array" ref="W7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66" t="str">
        <f>IF(COUNTIFS('Base Estudiantes'!$C:$C,tblMatriculas[[#This Row],[Cédula]],'Base Estudiantes'!$I:$I,tblMatriculas[[#This Row],[Código]])&gt;0,"Sí","No")</f>
        <v>Sí</v>
      </c>
      <c r="Z766" s="23" cm="1">
        <f t="array" ref="Z766">_xlfn.XLOOKUP(tblMatriculas[[#This Row],[Cédula]]&amp;"|"&amp;tblMatriculas[[#This Row],[Código]],tblBase[Documento]&amp;"|"&amp;tblBase[Código grupo],tblBase[Fecha matrícula],"")</f>
        <v>46274</v>
      </c>
    </row>
    <row r="767" spans="1:26" x14ac:dyDescent="0.2">
      <c r="A767" t="s">
        <v>1647</v>
      </c>
      <c r="B767" t="s">
        <v>1648</v>
      </c>
      <c r="C767" t="s">
        <v>13</v>
      </c>
      <c r="D767" t="s">
        <v>1578</v>
      </c>
      <c r="E767" t="s">
        <v>1579</v>
      </c>
      <c r="F767" t="s">
        <v>16</v>
      </c>
      <c r="G767" s="1">
        <v>0</v>
      </c>
      <c r="H767" t="s">
        <v>1649</v>
      </c>
      <c r="I767" t="s">
        <v>1580</v>
      </c>
      <c r="J767" t="s">
        <v>1581</v>
      </c>
      <c r="K767" t="s">
        <v>24</v>
      </c>
      <c r="L767" s="14" t="str">
        <f>IFERROR(VALUE(LEFT(tblMatriculas[[#This Row],[Clases]],FIND("/",tblMatriculas[[#This Row],[Clases]])-1)),"")</f>
        <v/>
      </c>
      <c r="M767" s="14" t="str">
        <f>IFERROR(VALUE(MID(tblMatriculas[[#This Row],[Clases]],FIND("/",tblMatriculas[[#This Row],[Clases]])+1,5)),"")</f>
        <v/>
      </c>
      <c r="N767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67" s="14" t="str">
        <f>IF(OR(tblMatriculas[[#This Row],[Estado]]&lt;&gt;"activa",tblMatriculas[[#This Row],[Clases dictadas]]=""),"",MAX(0,tblMatriculas[[#This Row],[Clases dictadas]]-tblMatriculas[[#This Row],[Asistidas]]))</f>
        <v/>
      </c>
      <c r="P767" s="1" t="str">
        <f>IF(OR(tblMatriculas[[#This Row],[Estado]]&lt;&gt;"activa",tblMatriculas[[#This Row],[Asistidas]]=""),"",tblMatriculas[[#This Row],[Asistencia]])</f>
        <v/>
      </c>
      <c r="Q767" t="b">
        <f>AND(tblMatriculas[[#This Row],[Estado]]="activa",ISNUMBER(tblMatriculas[[#This Row],[% asistencia]]),NOT(ISNUMBER(SEARCH(pPrueba,tblMatriculas[[#This Row],[Nombre]]))))</f>
        <v>0</v>
      </c>
      <c r="R7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67" s="23" t="str" cm="1">
        <f t="array" ref="S7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7" s="23" t="str" cm="1">
        <f t="array" ref="T7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7" s="14" t="str" cm="1">
        <f t="array" ref="U7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7" t="str" cm="1">
        <f t="array" ref="V7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7" t="str" cm="1">
        <f t="array" ref="W7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67" t="str">
        <f>IF(COUNTIFS('Base Estudiantes'!$C:$C,tblMatriculas[[#This Row],[Cédula]],'Base Estudiantes'!$I:$I,tblMatriculas[[#This Row],[Código]])&gt;0,"Sí","No")</f>
        <v>No</v>
      </c>
      <c r="Z767" s="23" t="str" cm="1">
        <f t="array" ref="Z767">_xlfn.XLOOKUP(tblMatriculas[[#This Row],[Cédula]]&amp;"|"&amp;tblMatriculas[[#This Row],[Código]],tblBase[Documento]&amp;"|"&amp;tblBase[Código grupo],tblBase[Fecha matrícula],"")</f>
        <v/>
      </c>
    </row>
    <row r="768" spans="1:26" x14ac:dyDescent="0.2">
      <c r="A768" t="s">
        <v>1650</v>
      </c>
      <c r="B768" t="s">
        <v>1651</v>
      </c>
      <c r="C768" t="s">
        <v>13</v>
      </c>
      <c r="D768" t="s">
        <v>1652</v>
      </c>
      <c r="E768" t="s">
        <v>1653</v>
      </c>
      <c r="F768" t="s">
        <v>16</v>
      </c>
      <c r="G768" s="1">
        <v>2.2000000000000002E-2</v>
      </c>
      <c r="H768" t="s">
        <v>23</v>
      </c>
      <c r="I768" t="s">
        <v>1580</v>
      </c>
      <c r="J768" t="s">
        <v>1654</v>
      </c>
      <c r="K768" t="s">
        <v>1655</v>
      </c>
      <c r="L768" s="14">
        <f>IFERROR(VALUE(LEFT(tblMatriculas[[#This Row],[Clases]],FIND("/",tblMatriculas[[#This Row],[Clases]])-1)),"")</f>
        <v>1</v>
      </c>
      <c r="M768" s="14">
        <f>IFERROR(VALUE(MID(tblMatriculas[[#This Row],[Clases]],FIND("/",tblMatriculas[[#This Row],[Clases]])+1,5)),"")</f>
        <v>45</v>
      </c>
      <c r="N7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768" s="14">
        <f>IF(OR(tblMatriculas[[#This Row],[Estado]]&lt;&gt;"activa",tblMatriculas[[#This Row],[Clases dictadas]]=""),"",MAX(0,tblMatriculas[[#This Row],[Clases dictadas]]-tblMatriculas[[#This Row],[Asistidas]]))</f>
        <v>0</v>
      </c>
      <c r="P768" s="1">
        <f>IF(OR(tblMatriculas[[#This Row],[Estado]]&lt;&gt;"activa",tblMatriculas[[#This Row],[Asistidas]]=""),"",tblMatriculas[[#This Row],[Asistencia]])</f>
        <v>2.2000000000000002E-2</v>
      </c>
      <c r="Q768" t="b">
        <f>AND(tblMatriculas[[#This Row],[Estado]]="activa",ISNUMBER(tblMatriculas[[#This Row],[% asistencia]]),NOT(ISNUMBER(SEARCH(pPrueba,tblMatriculas[[#This Row],[Nombre]]))))</f>
        <v>1</v>
      </c>
      <c r="R7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68" s="23" t="str" cm="1">
        <f t="array" ref="S7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8" s="23" t="str" cm="1">
        <f t="array" ref="T7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8" s="14" t="str" cm="1">
        <f t="array" ref="U7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8" t="str" cm="1">
        <f t="array" ref="V7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8" t="str" cm="1">
        <f t="array" ref="W7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68" t="str">
        <f>IF(COUNTIFS('Base Estudiantes'!$C:$C,tblMatriculas[[#This Row],[Cédula]],'Base Estudiantes'!$I:$I,tblMatriculas[[#This Row],[Código]])&gt;0,"Sí","No")</f>
        <v>Sí</v>
      </c>
      <c r="Z768" s="23" cm="1">
        <f t="array" ref="Z768">_xlfn.XLOOKUP(tblMatriculas[[#This Row],[Cédula]]&amp;"|"&amp;tblMatriculas[[#This Row],[Código]],tblBase[Documento]&amp;"|"&amp;tblBase[Código grupo],tblBase[Fecha matrícula],"")</f>
        <v>46263</v>
      </c>
    </row>
    <row r="769" spans="1:26" x14ac:dyDescent="0.2">
      <c r="A769" t="s">
        <v>1656</v>
      </c>
      <c r="B769" t="s">
        <v>1657</v>
      </c>
      <c r="C769" t="s">
        <v>13</v>
      </c>
      <c r="D769" t="s">
        <v>1652</v>
      </c>
      <c r="E769" t="s">
        <v>1653</v>
      </c>
      <c r="F769" t="s">
        <v>16</v>
      </c>
      <c r="G769" s="1">
        <v>0</v>
      </c>
      <c r="H769" t="s">
        <v>1649</v>
      </c>
      <c r="I769" t="s">
        <v>1580</v>
      </c>
      <c r="J769" t="s">
        <v>1654</v>
      </c>
      <c r="K769" t="s">
        <v>24</v>
      </c>
      <c r="L769" s="14" t="str">
        <f>IFERROR(VALUE(LEFT(tblMatriculas[[#This Row],[Clases]],FIND("/",tblMatriculas[[#This Row],[Clases]])-1)),"")</f>
        <v/>
      </c>
      <c r="M769" s="14" t="str">
        <f>IFERROR(VALUE(MID(tblMatriculas[[#This Row],[Clases]],FIND("/",tblMatriculas[[#This Row],[Clases]])+1,5)),"")</f>
        <v/>
      </c>
      <c r="N769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69" s="14" t="str">
        <f>IF(OR(tblMatriculas[[#This Row],[Estado]]&lt;&gt;"activa",tblMatriculas[[#This Row],[Clases dictadas]]=""),"",MAX(0,tblMatriculas[[#This Row],[Clases dictadas]]-tblMatriculas[[#This Row],[Asistidas]]))</f>
        <v/>
      </c>
      <c r="P769" s="1" t="str">
        <f>IF(OR(tblMatriculas[[#This Row],[Estado]]&lt;&gt;"activa",tblMatriculas[[#This Row],[Asistidas]]=""),"",tblMatriculas[[#This Row],[Asistencia]])</f>
        <v/>
      </c>
      <c r="Q769" t="b">
        <f>AND(tblMatriculas[[#This Row],[Estado]]="activa",ISNUMBER(tblMatriculas[[#This Row],[% asistencia]]),NOT(ISNUMBER(SEARCH(pPrueba,tblMatriculas[[#This Row],[Nombre]]))))</f>
        <v>0</v>
      </c>
      <c r="R7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69" s="23" t="str" cm="1">
        <f t="array" ref="S7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69" s="23" t="str" cm="1">
        <f t="array" ref="T7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69" s="14" t="str" cm="1">
        <f t="array" ref="U7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69" t="str" cm="1">
        <f t="array" ref="V7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69" t="str" cm="1">
        <f t="array" ref="W7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69" t="str">
        <f>IF(COUNTIFS('Base Estudiantes'!$C:$C,tblMatriculas[[#This Row],[Cédula]],'Base Estudiantes'!$I:$I,tblMatriculas[[#This Row],[Código]])&gt;0,"Sí","No")</f>
        <v>Sí</v>
      </c>
      <c r="Z769" s="23" cm="1">
        <f t="array" ref="Z769">_xlfn.XLOOKUP(tblMatriculas[[#This Row],[Cédula]]&amp;"|"&amp;tblMatriculas[[#This Row],[Código]],tblBase[Documento]&amp;"|"&amp;tblBase[Código grupo],tblBase[Fecha matrícula],"")</f>
        <v>46263</v>
      </c>
    </row>
    <row r="770" spans="1:26" x14ac:dyDescent="0.2">
      <c r="A770" t="s">
        <v>1658</v>
      </c>
      <c r="B770" t="s">
        <v>1659</v>
      </c>
      <c r="C770" t="s">
        <v>13</v>
      </c>
      <c r="D770" t="s">
        <v>1652</v>
      </c>
      <c r="E770" t="s">
        <v>1653</v>
      </c>
      <c r="F770" t="s">
        <v>16</v>
      </c>
      <c r="G770" s="1">
        <v>0</v>
      </c>
      <c r="H770" t="s">
        <v>1649</v>
      </c>
      <c r="I770" t="s">
        <v>1580</v>
      </c>
      <c r="J770" t="s">
        <v>1654</v>
      </c>
      <c r="K770" t="s">
        <v>24</v>
      </c>
      <c r="L770" s="14" t="str">
        <f>IFERROR(VALUE(LEFT(tblMatriculas[[#This Row],[Clases]],FIND("/",tblMatriculas[[#This Row],[Clases]])-1)),"")</f>
        <v/>
      </c>
      <c r="M770" s="14" t="str">
        <f>IFERROR(VALUE(MID(tblMatriculas[[#This Row],[Clases]],FIND("/",tblMatriculas[[#This Row],[Clases]])+1,5)),"")</f>
        <v/>
      </c>
      <c r="N770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0" s="14" t="str">
        <f>IF(OR(tblMatriculas[[#This Row],[Estado]]&lt;&gt;"activa",tblMatriculas[[#This Row],[Clases dictadas]]=""),"",MAX(0,tblMatriculas[[#This Row],[Clases dictadas]]-tblMatriculas[[#This Row],[Asistidas]]))</f>
        <v/>
      </c>
      <c r="P770" s="1" t="str">
        <f>IF(OR(tblMatriculas[[#This Row],[Estado]]&lt;&gt;"activa",tblMatriculas[[#This Row],[Asistidas]]=""),"",tblMatriculas[[#This Row],[Asistencia]])</f>
        <v/>
      </c>
      <c r="Q770" t="b">
        <f>AND(tblMatriculas[[#This Row],[Estado]]="activa",ISNUMBER(tblMatriculas[[#This Row],[% asistencia]]),NOT(ISNUMBER(SEARCH(pPrueba,tblMatriculas[[#This Row],[Nombre]]))))</f>
        <v>0</v>
      </c>
      <c r="R7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0" s="23" t="str" cm="1">
        <f t="array" ref="S7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0" s="23" t="str" cm="1">
        <f t="array" ref="T7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0" s="14" t="str" cm="1">
        <f t="array" ref="U7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0" t="str" cm="1">
        <f t="array" ref="V7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0" t="str" cm="1">
        <f t="array" ref="W7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0" t="str">
        <f>IF(COUNTIFS('Base Estudiantes'!$C:$C,tblMatriculas[[#This Row],[Cédula]],'Base Estudiantes'!$I:$I,tblMatriculas[[#This Row],[Código]])&gt;0,"Sí","No")</f>
        <v>Sí</v>
      </c>
      <c r="Z770" s="23" cm="1">
        <f t="array" ref="Z770">_xlfn.XLOOKUP(tblMatriculas[[#This Row],[Cédula]]&amp;"|"&amp;tblMatriculas[[#This Row],[Código]],tblBase[Documento]&amp;"|"&amp;tblBase[Código grupo],tblBase[Fecha matrícula],"")</f>
        <v>46263</v>
      </c>
    </row>
    <row r="771" spans="1:26" x14ac:dyDescent="0.2">
      <c r="A771" t="s">
        <v>1660</v>
      </c>
      <c r="B771" t="s">
        <v>1661</v>
      </c>
      <c r="C771" t="s">
        <v>13</v>
      </c>
      <c r="D771" t="s">
        <v>1652</v>
      </c>
      <c r="E771" t="s">
        <v>1653</v>
      </c>
      <c r="F771" t="s">
        <v>16</v>
      </c>
      <c r="G771" s="1">
        <v>0</v>
      </c>
      <c r="H771" t="s">
        <v>1649</v>
      </c>
      <c r="I771" t="s">
        <v>1580</v>
      </c>
      <c r="J771" t="s">
        <v>1654</v>
      </c>
      <c r="K771" t="s">
        <v>24</v>
      </c>
      <c r="L771" s="14" t="str">
        <f>IFERROR(VALUE(LEFT(tblMatriculas[[#This Row],[Clases]],FIND("/",tblMatriculas[[#This Row],[Clases]])-1)),"")</f>
        <v/>
      </c>
      <c r="M771" s="14" t="str">
        <f>IFERROR(VALUE(MID(tblMatriculas[[#This Row],[Clases]],FIND("/",tblMatriculas[[#This Row],[Clases]])+1,5)),"")</f>
        <v/>
      </c>
      <c r="N771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1" s="14" t="str">
        <f>IF(OR(tblMatriculas[[#This Row],[Estado]]&lt;&gt;"activa",tblMatriculas[[#This Row],[Clases dictadas]]=""),"",MAX(0,tblMatriculas[[#This Row],[Clases dictadas]]-tblMatriculas[[#This Row],[Asistidas]]))</f>
        <v/>
      </c>
      <c r="P771" s="1" t="str">
        <f>IF(OR(tblMatriculas[[#This Row],[Estado]]&lt;&gt;"activa",tblMatriculas[[#This Row],[Asistidas]]=""),"",tblMatriculas[[#This Row],[Asistencia]])</f>
        <v/>
      </c>
      <c r="Q771" t="b">
        <f>AND(tblMatriculas[[#This Row],[Estado]]="activa",ISNUMBER(tblMatriculas[[#This Row],[% asistencia]]),NOT(ISNUMBER(SEARCH(pPrueba,tblMatriculas[[#This Row],[Nombre]]))))</f>
        <v>0</v>
      </c>
      <c r="R7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1" s="23" t="str" cm="1">
        <f t="array" ref="S7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1" s="23" t="str" cm="1">
        <f t="array" ref="T7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1" s="14" t="str" cm="1">
        <f t="array" ref="U7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1" t="str" cm="1">
        <f t="array" ref="V7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1" t="str" cm="1">
        <f t="array" ref="W7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1" t="str">
        <f>IF(COUNTIFS('Base Estudiantes'!$C:$C,tblMatriculas[[#This Row],[Cédula]],'Base Estudiantes'!$I:$I,tblMatriculas[[#This Row],[Código]])&gt;0,"Sí","No")</f>
        <v>Sí</v>
      </c>
      <c r="Z771" s="23" cm="1">
        <f t="array" ref="Z771">_xlfn.XLOOKUP(tblMatriculas[[#This Row],[Cédula]]&amp;"|"&amp;tblMatriculas[[#This Row],[Código]],tblBase[Documento]&amp;"|"&amp;tblBase[Código grupo],tblBase[Fecha matrícula],"")</f>
        <v>46263</v>
      </c>
    </row>
    <row r="772" spans="1:26" x14ac:dyDescent="0.2">
      <c r="A772" t="s">
        <v>1662</v>
      </c>
      <c r="B772" t="s">
        <v>1663</v>
      </c>
      <c r="C772" t="s">
        <v>13</v>
      </c>
      <c r="D772" t="s">
        <v>1652</v>
      </c>
      <c r="E772" t="s">
        <v>1653</v>
      </c>
      <c r="F772" t="s">
        <v>16</v>
      </c>
      <c r="G772" s="1">
        <v>0</v>
      </c>
      <c r="H772" t="s">
        <v>1649</v>
      </c>
      <c r="I772" t="s">
        <v>1580</v>
      </c>
      <c r="J772" t="s">
        <v>1654</v>
      </c>
      <c r="K772" t="s">
        <v>24</v>
      </c>
      <c r="L772" s="14" t="str">
        <f>IFERROR(VALUE(LEFT(tblMatriculas[[#This Row],[Clases]],FIND("/",tblMatriculas[[#This Row],[Clases]])-1)),"")</f>
        <v/>
      </c>
      <c r="M772" s="14" t="str">
        <f>IFERROR(VALUE(MID(tblMatriculas[[#This Row],[Clases]],FIND("/",tblMatriculas[[#This Row],[Clases]])+1,5)),"")</f>
        <v/>
      </c>
      <c r="N772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2" s="14" t="str">
        <f>IF(OR(tblMatriculas[[#This Row],[Estado]]&lt;&gt;"activa",tblMatriculas[[#This Row],[Clases dictadas]]=""),"",MAX(0,tblMatriculas[[#This Row],[Clases dictadas]]-tblMatriculas[[#This Row],[Asistidas]]))</f>
        <v/>
      </c>
      <c r="P772" s="1" t="str">
        <f>IF(OR(tblMatriculas[[#This Row],[Estado]]&lt;&gt;"activa",tblMatriculas[[#This Row],[Asistidas]]=""),"",tblMatriculas[[#This Row],[Asistencia]])</f>
        <v/>
      </c>
      <c r="Q772" t="b">
        <f>AND(tblMatriculas[[#This Row],[Estado]]="activa",ISNUMBER(tblMatriculas[[#This Row],[% asistencia]]),NOT(ISNUMBER(SEARCH(pPrueba,tblMatriculas[[#This Row],[Nombre]]))))</f>
        <v>0</v>
      </c>
      <c r="R7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2" s="23" t="str" cm="1">
        <f t="array" ref="S7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2" s="23" t="str" cm="1">
        <f t="array" ref="T7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2" s="14" t="str" cm="1">
        <f t="array" ref="U7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2" t="str" cm="1">
        <f t="array" ref="V7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2" t="str" cm="1">
        <f t="array" ref="W7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2" t="str">
        <f>IF(COUNTIFS('Base Estudiantes'!$C:$C,tblMatriculas[[#This Row],[Cédula]],'Base Estudiantes'!$I:$I,tblMatriculas[[#This Row],[Código]])&gt;0,"Sí","No")</f>
        <v>Sí</v>
      </c>
      <c r="Z772" s="23" cm="1">
        <f t="array" ref="Z772">_xlfn.XLOOKUP(tblMatriculas[[#This Row],[Cédula]]&amp;"|"&amp;tblMatriculas[[#This Row],[Código]],tblBase[Documento]&amp;"|"&amp;tblBase[Código grupo],tblBase[Fecha matrícula],"")</f>
        <v>46263</v>
      </c>
    </row>
    <row r="773" spans="1:26" x14ac:dyDescent="0.2">
      <c r="A773" t="s">
        <v>1664</v>
      </c>
      <c r="B773" t="s">
        <v>1665</v>
      </c>
      <c r="C773" t="s">
        <v>13</v>
      </c>
      <c r="D773" t="s">
        <v>1652</v>
      </c>
      <c r="E773" t="s">
        <v>1653</v>
      </c>
      <c r="F773" t="s">
        <v>16</v>
      </c>
      <c r="G773" s="1">
        <v>0</v>
      </c>
      <c r="H773" t="s">
        <v>1649</v>
      </c>
      <c r="I773" t="s">
        <v>1580</v>
      </c>
      <c r="J773" t="s">
        <v>1654</v>
      </c>
      <c r="K773" t="s">
        <v>24</v>
      </c>
      <c r="L773" s="14" t="str">
        <f>IFERROR(VALUE(LEFT(tblMatriculas[[#This Row],[Clases]],FIND("/",tblMatriculas[[#This Row],[Clases]])-1)),"")</f>
        <v/>
      </c>
      <c r="M773" s="14" t="str">
        <f>IFERROR(VALUE(MID(tblMatriculas[[#This Row],[Clases]],FIND("/",tblMatriculas[[#This Row],[Clases]])+1,5)),"")</f>
        <v/>
      </c>
      <c r="N773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3" s="14" t="str">
        <f>IF(OR(tblMatriculas[[#This Row],[Estado]]&lt;&gt;"activa",tblMatriculas[[#This Row],[Clases dictadas]]=""),"",MAX(0,tblMatriculas[[#This Row],[Clases dictadas]]-tblMatriculas[[#This Row],[Asistidas]]))</f>
        <v/>
      </c>
      <c r="P773" s="1" t="str">
        <f>IF(OR(tblMatriculas[[#This Row],[Estado]]&lt;&gt;"activa",tblMatriculas[[#This Row],[Asistidas]]=""),"",tblMatriculas[[#This Row],[Asistencia]])</f>
        <v/>
      </c>
      <c r="Q773" t="b">
        <f>AND(tblMatriculas[[#This Row],[Estado]]="activa",ISNUMBER(tblMatriculas[[#This Row],[% asistencia]]),NOT(ISNUMBER(SEARCH(pPrueba,tblMatriculas[[#This Row],[Nombre]]))))</f>
        <v>0</v>
      </c>
      <c r="R7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3" s="23" t="str" cm="1">
        <f t="array" ref="S7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3" s="23" t="str" cm="1">
        <f t="array" ref="T7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3" s="14" t="str" cm="1">
        <f t="array" ref="U7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3" t="str" cm="1">
        <f t="array" ref="V7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3" t="str" cm="1">
        <f t="array" ref="W7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3" t="str">
        <f>IF(COUNTIFS('Base Estudiantes'!$C:$C,tblMatriculas[[#This Row],[Cédula]],'Base Estudiantes'!$I:$I,tblMatriculas[[#This Row],[Código]])&gt;0,"Sí","No")</f>
        <v>Sí</v>
      </c>
      <c r="Z773" s="23" cm="1">
        <f t="array" ref="Z773">_xlfn.XLOOKUP(tblMatriculas[[#This Row],[Cédula]]&amp;"|"&amp;tblMatriculas[[#This Row],[Código]],tblBase[Documento]&amp;"|"&amp;tblBase[Código grupo],tblBase[Fecha matrícula],"")</f>
        <v>46263</v>
      </c>
    </row>
    <row r="774" spans="1:26" x14ac:dyDescent="0.2">
      <c r="A774" t="s">
        <v>1666</v>
      </c>
      <c r="B774" t="s">
        <v>1667</v>
      </c>
      <c r="C774" t="s">
        <v>13</v>
      </c>
      <c r="D774" t="s">
        <v>1652</v>
      </c>
      <c r="E774" t="s">
        <v>1653</v>
      </c>
      <c r="F774" t="s">
        <v>16</v>
      </c>
      <c r="G774" s="1">
        <v>0</v>
      </c>
      <c r="H774" t="s">
        <v>1649</v>
      </c>
      <c r="I774" t="s">
        <v>1580</v>
      </c>
      <c r="J774" t="s">
        <v>1654</v>
      </c>
      <c r="K774" t="s">
        <v>24</v>
      </c>
      <c r="L774" s="14" t="str">
        <f>IFERROR(VALUE(LEFT(tblMatriculas[[#This Row],[Clases]],FIND("/",tblMatriculas[[#This Row],[Clases]])-1)),"")</f>
        <v/>
      </c>
      <c r="M774" s="14" t="str">
        <f>IFERROR(VALUE(MID(tblMatriculas[[#This Row],[Clases]],FIND("/",tblMatriculas[[#This Row],[Clases]])+1,5)),"")</f>
        <v/>
      </c>
      <c r="N77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4" s="14" t="str">
        <f>IF(OR(tblMatriculas[[#This Row],[Estado]]&lt;&gt;"activa",tblMatriculas[[#This Row],[Clases dictadas]]=""),"",MAX(0,tblMatriculas[[#This Row],[Clases dictadas]]-tblMatriculas[[#This Row],[Asistidas]]))</f>
        <v/>
      </c>
      <c r="P774" s="1" t="str">
        <f>IF(OR(tblMatriculas[[#This Row],[Estado]]&lt;&gt;"activa",tblMatriculas[[#This Row],[Asistidas]]=""),"",tblMatriculas[[#This Row],[Asistencia]])</f>
        <v/>
      </c>
      <c r="Q774" t="b">
        <f>AND(tblMatriculas[[#This Row],[Estado]]="activa",ISNUMBER(tblMatriculas[[#This Row],[% asistencia]]),NOT(ISNUMBER(SEARCH(pPrueba,tblMatriculas[[#This Row],[Nombre]]))))</f>
        <v>0</v>
      </c>
      <c r="R7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4" s="23" t="str" cm="1">
        <f t="array" ref="S7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4" s="23" t="str" cm="1">
        <f t="array" ref="T7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4" s="14" t="str" cm="1">
        <f t="array" ref="U7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4" t="str" cm="1">
        <f t="array" ref="V7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4" t="str" cm="1">
        <f t="array" ref="W7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4" t="str">
        <f>IF(COUNTIFS('Base Estudiantes'!$C:$C,tblMatriculas[[#This Row],[Cédula]],'Base Estudiantes'!$I:$I,tblMatriculas[[#This Row],[Código]])&gt;0,"Sí","No")</f>
        <v>Sí</v>
      </c>
      <c r="Z774" s="23" cm="1">
        <f t="array" ref="Z774">_xlfn.XLOOKUP(tblMatriculas[[#This Row],[Cédula]]&amp;"|"&amp;tblMatriculas[[#This Row],[Código]],tblBase[Documento]&amp;"|"&amp;tblBase[Código grupo],tblBase[Fecha matrícula],"")</f>
        <v>46263</v>
      </c>
    </row>
    <row r="775" spans="1:26" x14ac:dyDescent="0.2">
      <c r="A775" t="s">
        <v>1668</v>
      </c>
      <c r="B775" t="s">
        <v>1669</v>
      </c>
      <c r="C775" t="s">
        <v>13</v>
      </c>
      <c r="D775" t="s">
        <v>1652</v>
      </c>
      <c r="E775" t="s">
        <v>1653</v>
      </c>
      <c r="F775" t="s">
        <v>16</v>
      </c>
      <c r="G775" s="1">
        <v>0</v>
      </c>
      <c r="H775" t="s">
        <v>1649</v>
      </c>
      <c r="I775" t="s">
        <v>1580</v>
      </c>
      <c r="J775" t="s">
        <v>1654</v>
      </c>
      <c r="K775" t="s">
        <v>24</v>
      </c>
      <c r="L775" s="14" t="str">
        <f>IFERROR(VALUE(LEFT(tblMatriculas[[#This Row],[Clases]],FIND("/",tblMatriculas[[#This Row],[Clases]])-1)),"")</f>
        <v/>
      </c>
      <c r="M775" s="14" t="str">
        <f>IFERROR(VALUE(MID(tblMatriculas[[#This Row],[Clases]],FIND("/",tblMatriculas[[#This Row],[Clases]])+1,5)),"")</f>
        <v/>
      </c>
      <c r="N775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5" s="14" t="str">
        <f>IF(OR(tblMatriculas[[#This Row],[Estado]]&lt;&gt;"activa",tblMatriculas[[#This Row],[Clases dictadas]]=""),"",MAX(0,tblMatriculas[[#This Row],[Clases dictadas]]-tblMatriculas[[#This Row],[Asistidas]]))</f>
        <v/>
      </c>
      <c r="P775" s="1" t="str">
        <f>IF(OR(tblMatriculas[[#This Row],[Estado]]&lt;&gt;"activa",tblMatriculas[[#This Row],[Asistidas]]=""),"",tblMatriculas[[#This Row],[Asistencia]])</f>
        <v/>
      </c>
      <c r="Q775" t="b">
        <f>AND(tblMatriculas[[#This Row],[Estado]]="activa",ISNUMBER(tblMatriculas[[#This Row],[% asistencia]]),NOT(ISNUMBER(SEARCH(pPrueba,tblMatriculas[[#This Row],[Nombre]]))))</f>
        <v>0</v>
      </c>
      <c r="R7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5" s="23" t="str" cm="1">
        <f t="array" ref="S7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5" s="23" t="str" cm="1">
        <f t="array" ref="T7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5" s="14" t="str" cm="1">
        <f t="array" ref="U7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5" t="str" cm="1">
        <f t="array" ref="V7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5" t="str" cm="1">
        <f t="array" ref="W7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5" t="str">
        <f>IF(COUNTIFS('Base Estudiantes'!$C:$C,tblMatriculas[[#This Row],[Cédula]],'Base Estudiantes'!$I:$I,tblMatriculas[[#This Row],[Código]])&gt;0,"Sí","No")</f>
        <v>Sí</v>
      </c>
      <c r="Z775" s="23" cm="1">
        <f t="array" ref="Z775">_xlfn.XLOOKUP(tblMatriculas[[#This Row],[Cédula]]&amp;"|"&amp;tblMatriculas[[#This Row],[Código]],tblBase[Documento]&amp;"|"&amp;tblBase[Código grupo],tblBase[Fecha matrícula],"")</f>
        <v>46263</v>
      </c>
    </row>
    <row r="776" spans="1:26" x14ac:dyDescent="0.2">
      <c r="A776" t="s">
        <v>1670</v>
      </c>
      <c r="B776" t="s">
        <v>1671</v>
      </c>
      <c r="C776" t="s">
        <v>49</v>
      </c>
      <c r="D776" t="s">
        <v>1652</v>
      </c>
      <c r="E776" t="s">
        <v>1653</v>
      </c>
      <c r="F776" t="s">
        <v>16</v>
      </c>
      <c r="G776" s="1">
        <v>0</v>
      </c>
      <c r="H776" t="s">
        <v>1649</v>
      </c>
      <c r="I776" t="s">
        <v>1580</v>
      </c>
      <c r="J776" t="s">
        <v>1654</v>
      </c>
      <c r="K776" t="s">
        <v>24</v>
      </c>
      <c r="L776" s="14" t="str">
        <f>IFERROR(VALUE(LEFT(tblMatriculas[[#This Row],[Clases]],FIND("/",tblMatriculas[[#This Row],[Clases]])-1)),"")</f>
        <v/>
      </c>
      <c r="M776" s="14" t="str">
        <f>IFERROR(VALUE(MID(tblMatriculas[[#This Row],[Clases]],FIND("/",tblMatriculas[[#This Row],[Clases]])+1,5)),"")</f>
        <v/>
      </c>
      <c r="N776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6" s="14" t="str">
        <f>IF(OR(tblMatriculas[[#This Row],[Estado]]&lt;&gt;"activa",tblMatriculas[[#This Row],[Clases dictadas]]=""),"",MAX(0,tblMatriculas[[#This Row],[Clases dictadas]]-tblMatriculas[[#This Row],[Asistidas]]))</f>
        <v/>
      </c>
      <c r="P776" s="1" t="str">
        <f>IF(OR(tblMatriculas[[#This Row],[Estado]]&lt;&gt;"activa",tblMatriculas[[#This Row],[Asistidas]]=""),"",tblMatriculas[[#This Row],[Asistencia]])</f>
        <v/>
      </c>
      <c r="Q776" t="b">
        <f>AND(tblMatriculas[[#This Row],[Estado]]="activa",ISNUMBER(tblMatriculas[[#This Row],[% asistencia]]),NOT(ISNUMBER(SEARCH(pPrueba,tblMatriculas[[#This Row],[Nombre]]))))</f>
        <v>0</v>
      </c>
      <c r="R7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776" s="23" t="str" cm="1">
        <f t="array" ref="S7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6" s="23" t="str" cm="1">
        <f t="array" ref="T7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6" s="14" t="str" cm="1">
        <f t="array" ref="U7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6" t="str" cm="1">
        <f t="array" ref="V7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6" t="str" cm="1">
        <f t="array" ref="W7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7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776" t="str">
        <f>IF(COUNTIFS('Base Estudiantes'!$C:$C,tblMatriculas[[#This Row],[Cédula]],'Base Estudiantes'!$I:$I,tblMatriculas[[#This Row],[Código]])&gt;0,"Sí","No")</f>
        <v>No</v>
      </c>
      <c r="Z776" s="23" t="str" cm="1">
        <f t="array" ref="Z776">_xlfn.XLOOKUP(tblMatriculas[[#This Row],[Cédula]]&amp;"|"&amp;tblMatriculas[[#This Row],[Código]],tblBase[Documento]&amp;"|"&amp;tblBase[Código grupo],tblBase[Fecha matrícula],"")</f>
        <v/>
      </c>
    </row>
    <row r="777" spans="1:26" x14ac:dyDescent="0.2">
      <c r="A777" t="s">
        <v>1672</v>
      </c>
      <c r="B777" t="s">
        <v>1673</v>
      </c>
      <c r="C777" t="s">
        <v>13</v>
      </c>
      <c r="D777" t="s">
        <v>1652</v>
      </c>
      <c r="E777" t="s">
        <v>1653</v>
      </c>
      <c r="F777" t="s">
        <v>16</v>
      </c>
      <c r="G777" s="1">
        <v>0</v>
      </c>
      <c r="H777" t="s">
        <v>1649</v>
      </c>
      <c r="I777" t="s">
        <v>1580</v>
      </c>
      <c r="J777" t="s">
        <v>1654</v>
      </c>
      <c r="K777" t="s">
        <v>24</v>
      </c>
      <c r="L777" s="14" t="str">
        <f>IFERROR(VALUE(LEFT(tblMatriculas[[#This Row],[Clases]],FIND("/",tblMatriculas[[#This Row],[Clases]])-1)),"")</f>
        <v/>
      </c>
      <c r="M777" s="14" t="str">
        <f>IFERROR(VALUE(MID(tblMatriculas[[#This Row],[Clases]],FIND("/",tblMatriculas[[#This Row],[Clases]])+1,5)),"")</f>
        <v/>
      </c>
      <c r="N777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7" s="14" t="str">
        <f>IF(OR(tblMatriculas[[#This Row],[Estado]]&lt;&gt;"activa",tblMatriculas[[#This Row],[Clases dictadas]]=""),"",MAX(0,tblMatriculas[[#This Row],[Clases dictadas]]-tblMatriculas[[#This Row],[Asistidas]]))</f>
        <v/>
      </c>
      <c r="P777" s="1" t="str">
        <f>IF(OR(tblMatriculas[[#This Row],[Estado]]&lt;&gt;"activa",tblMatriculas[[#This Row],[Asistidas]]=""),"",tblMatriculas[[#This Row],[Asistencia]])</f>
        <v/>
      </c>
      <c r="Q777" t="b">
        <f>AND(tblMatriculas[[#This Row],[Estado]]="activa",ISNUMBER(tblMatriculas[[#This Row],[% asistencia]]),NOT(ISNUMBER(SEARCH(pPrueba,tblMatriculas[[#This Row],[Nombre]]))))</f>
        <v>0</v>
      </c>
      <c r="R7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7" s="23" t="str" cm="1">
        <f t="array" ref="S7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7" s="23" t="str" cm="1">
        <f t="array" ref="T7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7" s="14" t="str" cm="1">
        <f t="array" ref="U7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7" t="str" cm="1">
        <f t="array" ref="V7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7" t="str" cm="1">
        <f t="array" ref="W7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7" t="str">
        <f>IF(COUNTIFS('Base Estudiantes'!$C:$C,tblMatriculas[[#This Row],[Cédula]],'Base Estudiantes'!$I:$I,tblMatriculas[[#This Row],[Código]])&gt;0,"Sí","No")</f>
        <v>Sí</v>
      </c>
      <c r="Z777" s="23" cm="1">
        <f t="array" ref="Z777">_xlfn.XLOOKUP(tblMatriculas[[#This Row],[Cédula]]&amp;"|"&amp;tblMatriculas[[#This Row],[Código]],tblBase[Documento]&amp;"|"&amp;tblBase[Código grupo],tblBase[Fecha matrícula],"")</f>
        <v>46263</v>
      </c>
    </row>
    <row r="778" spans="1:26" x14ac:dyDescent="0.2">
      <c r="A778" t="s">
        <v>1674</v>
      </c>
      <c r="B778" t="s">
        <v>1675</v>
      </c>
      <c r="C778" t="s">
        <v>13</v>
      </c>
      <c r="D778" t="s">
        <v>1652</v>
      </c>
      <c r="E778" t="s">
        <v>1653</v>
      </c>
      <c r="F778" t="s">
        <v>16</v>
      </c>
      <c r="G778" s="1">
        <v>0</v>
      </c>
      <c r="H778" t="s">
        <v>1649</v>
      </c>
      <c r="I778" t="s">
        <v>1580</v>
      </c>
      <c r="J778" t="s">
        <v>1654</v>
      </c>
      <c r="K778" t="s">
        <v>24</v>
      </c>
      <c r="L778" s="14" t="str">
        <f>IFERROR(VALUE(LEFT(tblMatriculas[[#This Row],[Clases]],FIND("/",tblMatriculas[[#This Row],[Clases]])-1)),"")</f>
        <v/>
      </c>
      <c r="M778" s="14" t="str">
        <f>IFERROR(VALUE(MID(tblMatriculas[[#This Row],[Clases]],FIND("/",tblMatriculas[[#This Row],[Clases]])+1,5)),"")</f>
        <v/>
      </c>
      <c r="N778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8" s="14" t="str">
        <f>IF(OR(tblMatriculas[[#This Row],[Estado]]&lt;&gt;"activa",tblMatriculas[[#This Row],[Clases dictadas]]=""),"",MAX(0,tblMatriculas[[#This Row],[Clases dictadas]]-tblMatriculas[[#This Row],[Asistidas]]))</f>
        <v/>
      </c>
      <c r="P778" s="1" t="str">
        <f>IF(OR(tblMatriculas[[#This Row],[Estado]]&lt;&gt;"activa",tblMatriculas[[#This Row],[Asistidas]]=""),"",tblMatriculas[[#This Row],[Asistencia]])</f>
        <v/>
      </c>
      <c r="Q778" t="b">
        <f>AND(tblMatriculas[[#This Row],[Estado]]="activa",ISNUMBER(tblMatriculas[[#This Row],[% asistencia]]),NOT(ISNUMBER(SEARCH(pPrueba,tblMatriculas[[#This Row],[Nombre]]))))</f>
        <v>0</v>
      </c>
      <c r="R7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8" s="23" t="str" cm="1">
        <f t="array" ref="S7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8" s="23" t="str" cm="1">
        <f t="array" ref="T7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8" s="14" t="str" cm="1">
        <f t="array" ref="U7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8" t="str" cm="1">
        <f t="array" ref="V7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8" t="str" cm="1">
        <f t="array" ref="W7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8" t="str">
        <f>IF(COUNTIFS('Base Estudiantes'!$C:$C,tblMatriculas[[#This Row],[Cédula]],'Base Estudiantes'!$I:$I,tblMatriculas[[#This Row],[Código]])&gt;0,"Sí","No")</f>
        <v>Sí</v>
      </c>
      <c r="Z778" s="23" cm="1">
        <f t="array" ref="Z778">_xlfn.XLOOKUP(tblMatriculas[[#This Row],[Cédula]]&amp;"|"&amp;tblMatriculas[[#This Row],[Código]],tblBase[Documento]&amp;"|"&amp;tblBase[Código grupo],tblBase[Fecha matrícula],"")</f>
        <v>46263</v>
      </c>
    </row>
    <row r="779" spans="1:26" x14ac:dyDescent="0.2">
      <c r="A779" t="s">
        <v>1676</v>
      </c>
      <c r="B779" t="s">
        <v>1677</v>
      </c>
      <c r="C779" t="s">
        <v>13</v>
      </c>
      <c r="D779" t="s">
        <v>1652</v>
      </c>
      <c r="E779" t="s">
        <v>1653</v>
      </c>
      <c r="F779" t="s">
        <v>16</v>
      </c>
      <c r="G779" s="1">
        <v>0</v>
      </c>
      <c r="H779" t="s">
        <v>1649</v>
      </c>
      <c r="I779" t="s">
        <v>1580</v>
      </c>
      <c r="J779" t="s">
        <v>1654</v>
      </c>
      <c r="K779" t="s">
        <v>24</v>
      </c>
      <c r="L779" s="14" t="str">
        <f>IFERROR(VALUE(LEFT(tblMatriculas[[#This Row],[Clases]],FIND("/",tblMatriculas[[#This Row],[Clases]])-1)),"")</f>
        <v/>
      </c>
      <c r="M779" s="14" t="str">
        <f>IFERROR(VALUE(MID(tblMatriculas[[#This Row],[Clases]],FIND("/",tblMatriculas[[#This Row],[Clases]])+1,5)),"")</f>
        <v/>
      </c>
      <c r="N779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79" s="14" t="str">
        <f>IF(OR(tblMatriculas[[#This Row],[Estado]]&lt;&gt;"activa",tblMatriculas[[#This Row],[Clases dictadas]]=""),"",MAX(0,tblMatriculas[[#This Row],[Clases dictadas]]-tblMatriculas[[#This Row],[Asistidas]]))</f>
        <v/>
      </c>
      <c r="P779" s="1" t="str">
        <f>IF(OR(tblMatriculas[[#This Row],[Estado]]&lt;&gt;"activa",tblMatriculas[[#This Row],[Asistidas]]=""),"",tblMatriculas[[#This Row],[Asistencia]])</f>
        <v/>
      </c>
      <c r="Q779" t="b">
        <f>AND(tblMatriculas[[#This Row],[Estado]]="activa",ISNUMBER(tblMatriculas[[#This Row],[% asistencia]]),NOT(ISNUMBER(SEARCH(pPrueba,tblMatriculas[[#This Row],[Nombre]]))))</f>
        <v>0</v>
      </c>
      <c r="R7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79" s="23" t="str" cm="1">
        <f t="array" ref="S7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79" s="23" t="str" cm="1">
        <f t="array" ref="T7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79" s="14" t="str" cm="1">
        <f t="array" ref="U7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79" t="str" cm="1">
        <f t="array" ref="V7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79" t="str" cm="1">
        <f t="array" ref="W7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79" t="str">
        <f>IF(COUNTIFS('Base Estudiantes'!$C:$C,tblMatriculas[[#This Row],[Cédula]],'Base Estudiantes'!$I:$I,tblMatriculas[[#This Row],[Código]])&gt;0,"Sí","No")</f>
        <v>Sí</v>
      </c>
      <c r="Z779" s="23" cm="1">
        <f t="array" ref="Z779">_xlfn.XLOOKUP(tblMatriculas[[#This Row],[Cédula]]&amp;"|"&amp;tblMatriculas[[#This Row],[Código]],tblBase[Documento]&amp;"|"&amp;tblBase[Código grupo],tblBase[Fecha matrícula],"")</f>
        <v>46263</v>
      </c>
    </row>
    <row r="780" spans="1:26" x14ac:dyDescent="0.2">
      <c r="A780" t="s">
        <v>1678</v>
      </c>
      <c r="B780" t="s">
        <v>1679</v>
      </c>
      <c r="C780" t="s">
        <v>13</v>
      </c>
      <c r="D780" t="s">
        <v>1652</v>
      </c>
      <c r="E780" t="s">
        <v>1653</v>
      </c>
      <c r="F780" t="s">
        <v>16</v>
      </c>
      <c r="G780" s="1">
        <v>0</v>
      </c>
      <c r="H780" t="s">
        <v>1649</v>
      </c>
      <c r="I780" t="s">
        <v>1580</v>
      </c>
      <c r="J780" t="s">
        <v>1654</v>
      </c>
      <c r="K780" t="s">
        <v>24</v>
      </c>
      <c r="L780" s="14" t="str">
        <f>IFERROR(VALUE(LEFT(tblMatriculas[[#This Row],[Clases]],FIND("/",tblMatriculas[[#This Row],[Clases]])-1)),"")</f>
        <v/>
      </c>
      <c r="M780" s="14" t="str">
        <f>IFERROR(VALUE(MID(tblMatriculas[[#This Row],[Clases]],FIND("/",tblMatriculas[[#This Row],[Clases]])+1,5)),"")</f>
        <v/>
      </c>
      <c r="N780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0" s="14" t="str">
        <f>IF(OR(tblMatriculas[[#This Row],[Estado]]&lt;&gt;"activa",tblMatriculas[[#This Row],[Clases dictadas]]=""),"",MAX(0,tblMatriculas[[#This Row],[Clases dictadas]]-tblMatriculas[[#This Row],[Asistidas]]))</f>
        <v/>
      </c>
      <c r="P780" s="1" t="str">
        <f>IF(OR(tblMatriculas[[#This Row],[Estado]]&lt;&gt;"activa",tblMatriculas[[#This Row],[Asistidas]]=""),"",tblMatriculas[[#This Row],[Asistencia]])</f>
        <v/>
      </c>
      <c r="Q780" t="b">
        <f>AND(tblMatriculas[[#This Row],[Estado]]="activa",ISNUMBER(tblMatriculas[[#This Row],[% asistencia]]),NOT(ISNUMBER(SEARCH(pPrueba,tblMatriculas[[#This Row],[Nombre]]))))</f>
        <v>0</v>
      </c>
      <c r="R7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0" s="23" t="str" cm="1">
        <f t="array" ref="S7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0" s="23" t="str" cm="1">
        <f t="array" ref="T7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0" s="14" t="str" cm="1">
        <f t="array" ref="U7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0" t="str" cm="1">
        <f t="array" ref="V7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0" t="str" cm="1">
        <f t="array" ref="W7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0" t="str">
        <f>IF(COUNTIFS('Base Estudiantes'!$C:$C,tblMatriculas[[#This Row],[Cédula]],'Base Estudiantes'!$I:$I,tblMatriculas[[#This Row],[Código]])&gt;0,"Sí","No")</f>
        <v>Sí</v>
      </c>
      <c r="Z780" s="23" cm="1">
        <f t="array" ref="Z780">_xlfn.XLOOKUP(tblMatriculas[[#This Row],[Cédula]]&amp;"|"&amp;tblMatriculas[[#This Row],[Código]],tblBase[Documento]&amp;"|"&amp;tblBase[Código grupo],tblBase[Fecha matrícula],"")</f>
        <v>46263</v>
      </c>
    </row>
    <row r="781" spans="1:26" x14ac:dyDescent="0.2">
      <c r="A781" t="s">
        <v>1680</v>
      </c>
      <c r="B781" t="s">
        <v>1681</v>
      </c>
      <c r="C781" t="s">
        <v>13</v>
      </c>
      <c r="D781" t="s">
        <v>1652</v>
      </c>
      <c r="E781" t="s">
        <v>1653</v>
      </c>
      <c r="F781" t="s">
        <v>16</v>
      </c>
      <c r="G781" s="1">
        <v>0</v>
      </c>
      <c r="H781" t="s">
        <v>1649</v>
      </c>
      <c r="I781" t="s">
        <v>1580</v>
      </c>
      <c r="J781" t="s">
        <v>1654</v>
      </c>
      <c r="K781" t="s">
        <v>24</v>
      </c>
      <c r="L781" s="14" t="str">
        <f>IFERROR(VALUE(LEFT(tblMatriculas[[#This Row],[Clases]],FIND("/",tblMatriculas[[#This Row],[Clases]])-1)),"")</f>
        <v/>
      </c>
      <c r="M781" s="14" t="str">
        <f>IFERROR(VALUE(MID(tblMatriculas[[#This Row],[Clases]],FIND("/",tblMatriculas[[#This Row],[Clases]])+1,5)),"")</f>
        <v/>
      </c>
      <c r="N781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1" s="14" t="str">
        <f>IF(OR(tblMatriculas[[#This Row],[Estado]]&lt;&gt;"activa",tblMatriculas[[#This Row],[Clases dictadas]]=""),"",MAX(0,tblMatriculas[[#This Row],[Clases dictadas]]-tblMatriculas[[#This Row],[Asistidas]]))</f>
        <v/>
      </c>
      <c r="P781" s="1" t="str">
        <f>IF(OR(tblMatriculas[[#This Row],[Estado]]&lt;&gt;"activa",tblMatriculas[[#This Row],[Asistidas]]=""),"",tblMatriculas[[#This Row],[Asistencia]])</f>
        <v/>
      </c>
      <c r="Q781" t="b">
        <f>AND(tblMatriculas[[#This Row],[Estado]]="activa",ISNUMBER(tblMatriculas[[#This Row],[% asistencia]]),NOT(ISNUMBER(SEARCH(pPrueba,tblMatriculas[[#This Row],[Nombre]]))))</f>
        <v>0</v>
      </c>
      <c r="R7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1" s="23" t="str" cm="1">
        <f t="array" ref="S7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1" s="23" t="str" cm="1">
        <f t="array" ref="T7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1" s="14" t="str" cm="1">
        <f t="array" ref="U7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1" t="str" cm="1">
        <f t="array" ref="V7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1" t="str" cm="1">
        <f t="array" ref="W7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1" t="str">
        <f>IF(COUNTIFS('Base Estudiantes'!$C:$C,tblMatriculas[[#This Row],[Cédula]],'Base Estudiantes'!$I:$I,tblMatriculas[[#This Row],[Código]])&gt;0,"Sí","No")</f>
        <v>Sí</v>
      </c>
      <c r="Z781" s="23" cm="1">
        <f t="array" ref="Z781">_xlfn.XLOOKUP(tblMatriculas[[#This Row],[Cédula]]&amp;"|"&amp;tblMatriculas[[#This Row],[Código]],tblBase[Documento]&amp;"|"&amp;tblBase[Código grupo],tblBase[Fecha matrícula],"")</f>
        <v>46263</v>
      </c>
    </row>
    <row r="782" spans="1:26" x14ac:dyDescent="0.2">
      <c r="A782" t="s">
        <v>1682</v>
      </c>
      <c r="B782" t="s">
        <v>1683</v>
      </c>
      <c r="C782" t="s">
        <v>13</v>
      </c>
      <c r="D782" t="s">
        <v>1652</v>
      </c>
      <c r="E782" t="s">
        <v>1653</v>
      </c>
      <c r="F782" t="s">
        <v>16</v>
      </c>
      <c r="G782" s="1">
        <v>0</v>
      </c>
      <c r="H782" t="s">
        <v>1649</v>
      </c>
      <c r="I782" t="s">
        <v>1580</v>
      </c>
      <c r="J782" t="s">
        <v>1654</v>
      </c>
      <c r="K782" t="s">
        <v>24</v>
      </c>
      <c r="L782" s="14" t="str">
        <f>IFERROR(VALUE(LEFT(tblMatriculas[[#This Row],[Clases]],FIND("/",tblMatriculas[[#This Row],[Clases]])-1)),"")</f>
        <v/>
      </c>
      <c r="M782" s="14" t="str">
        <f>IFERROR(VALUE(MID(tblMatriculas[[#This Row],[Clases]],FIND("/",tblMatriculas[[#This Row],[Clases]])+1,5)),"")</f>
        <v/>
      </c>
      <c r="N782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2" s="14" t="str">
        <f>IF(OR(tblMatriculas[[#This Row],[Estado]]&lt;&gt;"activa",tblMatriculas[[#This Row],[Clases dictadas]]=""),"",MAX(0,tblMatriculas[[#This Row],[Clases dictadas]]-tblMatriculas[[#This Row],[Asistidas]]))</f>
        <v/>
      </c>
      <c r="P782" s="1" t="str">
        <f>IF(OR(tblMatriculas[[#This Row],[Estado]]&lt;&gt;"activa",tblMatriculas[[#This Row],[Asistidas]]=""),"",tblMatriculas[[#This Row],[Asistencia]])</f>
        <v/>
      </c>
      <c r="Q782" t="b">
        <f>AND(tblMatriculas[[#This Row],[Estado]]="activa",ISNUMBER(tblMatriculas[[#This Row],[% asistencia]]),NOT(ISNUMBER(SEARCH(pPrueba,tblMatriculas[[#This Row],[Nombre]]))))</f>
        <v>0</v>
      </c>
      <c r="R7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2" s="23" t="str" cm="1">
        <f t="array" ref="S7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2" s="23" t="str" cm="1">
        <f t="array" ref="T7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2" s="14" t="str" cm="1">
        <f t="array" ref="U7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2" t="str" cm="1">
        <f t="array" ref="V7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2" t="str" cm="1">
        <f t="array" ref="W7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2" t="str">
        <f>IF(COUNTIFS('Base Estudiantes'!$C:$C,tblMatriculas[[#This Row],[Cédula]],'Base Estudiantes'!$I:$I,tblMatriculas[[#This Row],[Código]])&gt;0,"Sí","No")</f>
        <v>Sí</v>
      </c>
      <c r="Z782" s="23" cm="1">
        <f t="array" ref="Z782">_xlfn.XLOOKUP(tblMatriculas[[#This Row],[Cédula]]&amp;"|"&amp;tblMatriculas[[#This Row],[Código]],tblBase[Documento]&amp;"|"&amp;tblBase[Código grupo],tblBase[Fecha matrícula],"")</f>
        <v>46263</v>
      </c>
    </row>
    <row r="783" spans="1:26" x14ac:dyDescent="0.2">
      <c r="A783" t="s">
        <v>1684</v>
      </c>
      <c r="B783" t="s">
        <v>1685</v>
      </c>
      <c r="C783" t="s">
        <v>13</v>
      </c>
      <c r="D783" t="s">
        <v>1652</v>
      </c>
      <c r="E783" t="s">
        <v>1653</v>
      </c>
      <c r="F783" t="s">
        <v>16</v>
      </c>
      <c r="G783" s="1">
        <v>0</v>
      </c>
      <c r="H783" t="s">
        <v>1649</v>
      </c>
      <c r="I783" t="s">
        <v>1580</v>
      </c>
      <c r="J783" t="s">
        <v>1654</v>
      </c>
      <c r="K783" t="s">
        <v>24</v>
      </c>
      <c r="L783" s="14" t="str">
        <f>IFERROR(VALUE(LEFT(tblMatriculas[[#This Row],[Clases]],FIND("/",tblMatriculas[[#This Row],[Clases]])-1)),"")</f>
        <v/>
      </c>
      <c r="M783" s="14" t="str">
        <f>IFERROR(VALUE(MID(tblMatriculas[[#This Row],[Clases]],FIND("/",tblMatriculas[[#This Row],[Clases]])+1,5)),"")</f>
        <v/>
      </c>
      <c r="N783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3" s="14" t="str">
        <f>IF(OR(tblMatriculas[[#This Row],[Estado]]&lt;&gt;"activa",tblMatriculas[[#This Row],[Clases dictadas]]=""),"",MAX(0,tblMatriculas[[#This Row],[Clases dictadas]]-tblMatriculas[[#This Row],[Asistidas]]))</f>
        <v/>
      </c>
      <c r="P783" s="1" t="str">
        <f>IF(OR(tblMatriculas[[#This Row],[Estado]]&lt;&gt;"activa",tblMatriculas[[#This Row],[Asistidas]]=""),"",tblMatriculas[[#This Row],[Asistencia]])</f>
        <v/>
      </c>
      <c r="Q783" t="b">
        <f>AND(tblMatriculas[[#This Row],[Estado]]="activa",ISNUMBER(tblMatriculas[[#This Row],[% asistencia]]),NOT(ISNUMBER(SEARCH(pPrueba,tblMatriculas[[#This Row],[Nombre]]))))</f>
        <v>0</v>
      </c>
      <c r="R7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3" s="23" t="str" cm="1">
        <f t="array" ref="S7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3" s="23" t="str" cm="1">
        <f t="array" ref="T7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3" s="14" t="str" cm="1">
        <f t="array" ref="U7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3" t="str" cm="1">
        <f t="array" ref="V7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3" t="str" cm="1">
        <f t="array" ref="W7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3" t="str">
        <f>IF(COUNTIFS('Base Estudiantes'!$C:$C,tblMatriculas[[#This Row],[Cédula]],'Base Estudiantes'!$I:$I,tblMatriculas[[#This Row],[Código]])&gt;0,"Sí","No")</f>
        <v>Sí</v>
      </c>
      <c r="Z783" s="23" cm="1">
        <f t="array" ref="Z783">_xlfn.XLOOKUP(tblMatriculas[[#This Row],[Cédula]]&amp;"|"&amp;tblMatriculas[[#This Row],[Código]],tblBase[Documento]&amp;"|"&amp;tblBase[Código grupo],tblBase[Fecha matrícula],"")</f>
        <v>46263</v>
      </c>
    </row>
    <row r="784" spans="1:26" x14ac:dyDescent="0.2">
      <c r="A784" t="s">
        <v>1686</v>
      </c>
      <c r="B784" t="s">
        <v>1687</v>
      </c>
      <c r="C784" t="s">
        <v>13</v>
      </c>
      <c r="D784" t="s">
        <v>1652</v>
      </c>
      <c r="E784" t="s">
        <v>1653</v>
      </c>
      <c r="F784" t="s">
        <v>16</v>
      </c>
      <c r="G784" s="1">
        <v>0</v>
      </c>
      <c r="H784" t="s">
        <v>1649</v>
      </c>
      <c r="I784" t="s">
        <v>1580</v>
      </c>
      <c r="J784" t="s">
        <v>1654</v>
      </c>
      <c r="K784" t="s">
        <v>24</v>
      </c>
      <c r="L784" s="14" t="str">
        <f>IFERROR(VALUE(LEFT(tblMatriculas[[#This Row],[Clases]],FIND("/",tblMatriculas[[#This Row],[Clases]])-1)),"")</f>
        <v/>
      </c>
      <c r="M784" s="14" t="str">
        <f>IFERROR(VALUE(MID(tblMatriculas[[#This Row],[Clases]],FIND("/",tblMatriculas[[#This Row],[Clases]])+1,5)),"")</f>
        <v/>
      </c>
      <c r="N78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4" s="14" t="str">
        <f>IF(OR(tblMatriculas[[#This Row],[Estado]]&lt;&gt;"activa",tblMatriculas[[#This Row],[Clases dictadas]]=""),"",MAX(0,tblMatriculas[[#This Row],[Clases dictadas]]-tblMatriculas[[#This Row],[Asistidas]]))</f>
        <v/>
      </c>
      <c r="P784" s="1" t="str">
        <f>IF(OR(tblMatriculas[[#This Row],[Estado]]&lt;&gt;"activa",tblMatriculas[[#This Row],[Asistidas]]=""),"",tblMatriculas[[#This Row],[Asistencia]])</f>
        <v/>
      </c>
      <c r="Q784" t="b">
        <f>AND(tblMatriculas[[#This Row],[Estado]]="activa",ISNUMBER(tblMatriculas[[#This Row],[% asistencia]]),NOT(ISNUMBER(SEARCH(pPrueba,tblMatriculas[[#This Row],[Nombre]]))))</f>
        <v>0</v>
      </c>
      <c r="R7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4" s="23" t="str" cm="1">
        <f t="array" ref="S7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4" s="23" t="str" cm="1">
        <f t="array" ref="T7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4" s="14" t="str" cm="1">
        <f t="array" ref="U7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4" t="str" cm="1">
        <f t="array" ref="V7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4" t="str" cm="1">
        <f t="array" ref="W7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4" t="str">
        <f>IF(COUNTIFS('Base Estudiantes'!$C:$C,tblMatriculas[[#This Row],[Cédula]],'Base Estudiantes'!$I:$I,tblMatriculas[[#This Row],[Código]])&gt;0,"Sí","No")</f>
        <v>Sí</v>
      </c>
      <c r="Z784" s="23" cm="1">
        <f t="array" ref="Z784">_xlfn.XLOOKUP(tblMatriculas[[#This Row],[Cédula]]&amp;"|"&amp;tblMatriculas[[#This Row],[Código]],tblBase[Documento]&amp;"|"&amp;tblBase[Código grupo],tblBase[Fecha matrícula],"")</f>
        <v>46263</v>
      </c>
    </row>
    <row r="785" spans="1:26" x14ac:dyDescent="0.2">
      <c r="A785" t="s">
        <v>1688</v>
      </c>
      <c r="B785" t="s">
        <v>1689</v>
      </c>
      <c r="C785" t="s">
        <v>13</v>
      </c>
      <c r="D785" t="s">
        <v>1652</v>
      </c>
      <c r="E785" t="s">
        <v>1653</v>
      </c>
      <c r="F785" t="s">
        <v>16</v>
      </c>
      <c r="G785" s="1">
        <v>0</v>
      </c>
      <c r="H785" t="s">
        <v>1649</v>
      </c>
      <c r="I785" t="s">
        <v>1580</v>
      </c>
      <c r="J785" t="s">
        <v>1654</v>
      </c>
      <c r="K785" t="s">
        <v>24</v>
      </c>
      <c r="L785" s="14" t="str">
        <f>IFERROR(VALUE(LEFT(tblMatriculas[[#This Row],[Clases]],FIND("/",tblMatriculas[[#This Row],[Clases]])-1)),"")</f>
        <v/>
      </c>
      <c r="M785" s="14" t="str">
        <f>IFERROR(VALUE(MID(tblMatriculas[[#This Row],[Clases]],FIND("/",tblMatriculas[[#This Row],[Clases]])+1,5)),"")</f>
        <v/>
      </c>
      <c r="N785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5" s="14" t="str">
        <f>IF(OR(tblMatriculas[[#This Row],[Estado]]&lt;&gt;"activa",tblMatriculas[[#This Row],[Clases dictadas]]=""),"",MAX(0,tblMatriculas[[#This Row],[Clases dictadas]]-tblMatriculas[[#This Row],[Asistidas]]))</f>
        <v/>
      </c>
      <c r="P785" s="1" t="str">
        <f>IF(OR(tblMatriculas[[#This Row],[Estado]]&lt;&gt;"activa",tblMatriculas[[#This Row],[Asistidas]]=""),"",tblMatriculas[[#This Row],[Asistencia]])</f>
        <v/>
      </c>
      <c r="Q785" t="b">
        <f>AND(tblMatriculas[[#This Row],[Estado]]="activa",ISNUMBER(tblMatriculas[[#This Row],[% asistencia]]),NOT(ISNUMBER(SEARCH(pPrueba,tblMatriculas[[#This Row],[Nombre]]))))</f>
        <v>0</v>
      </c>
      <c r="R7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5" s="23" t="str" cm="1">
        <f t="array" ref="S7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5" s="23" t="str" cm="1">
        <f t="array" ref="T7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5" s="14" t="str" cm="1">
        <f t="array" ref="U7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5" t="str" cm="1">
        <f t="array" ref="V7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5" t="str" cm="1">
        <f t="array" ref="W7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5" t="str">
        <f>IF(COUNTIFS('Base Estudiantes'!$C:$C,tblMatriculas[[#This Row],[Cédula]],'Base Estudiantes'!$I:$I,tblMatriculas[[#This Row],[Código]])&gt;0,"Sí","No")</f>
        <v>Sí</v>
      </c>
      <c r="Z785" s="23" cm="1">
        <f t="array" ref="Z785">_xlfn.XLOOKUP(tblMatriculas[[#This Row],[Cédula]]&amp;"|"&amp;tblMatriculas[[#This Row],[Código]],tblBase[Documento]&amp;"|"&amp;tblBase[Código grupo],tblBase[Fecha matrícula],"")</f>
        <v>46263</v>
      </c>
    </row>
    <row r="786" spans="1:26" x14ac:dyDescent="0.2">
      <c r="A786" t="s">
        <v>1690</v>
      </c>
      <c r="B786" t="s">
        <v>1691</v>
      </c>
      <c r="C786" t="s">
        <v>13</v>
      </c>
      <c r="D786" t="s">
        <v>1652</v>
      </c>
      <c r="E786" t="s">
        <v>1653</v>
      </c>
      <c r="F786" t="s">
        <v>16</v>
      </c>
      <c r="G786" s="1">
        <v>0</v>
      </c>
      <c r="H786" t="s">
        <v>1649</v>
      </c>
      <c r="I786" t="s">
        <v>1580</v>
      </c>
      <c r="J786" t="s">
        <v>1654</v>
      </c>
      <c r="K786" t="s">
        <v>24</v>
      </c>
      <c r="L786" s="14" t="str">
        <f>IFERROR(VALUE(LEFT(tblMatriculas[[#This Row],[Clases]],FIND("/",tblMatriculas[[#This Row],[Clases]])-1)),"")</f>
        <v/>
      </c>
      <c r="M786" s="14" t="str">
        <f>IFERROR(VALUE(MID(tblMatriculas[[#This Row],[Clases]],FIND("/",tblMatriculas[[#This Row],[Clases]])+1,5)),"")</f>
        <v/>
      </c>
      <c r="N786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6" s="14" t="str">
        <f>IF(OR(tblMatriculas[[#This Row],[Estado]]&lt;&gt;"activa",tblMatriculas[[#This Row],[Clases dictadas]]=""),"",MAX(0,tblMatriculas[[#This Row],[Clases dictadas]]-tblMatriculas[[#This Row],[Asistidas]]))</f>
        <v/>
      </c>
      <c r="P786" s="1" t="str">
        <f>IF(OR(tblMatriculas[[#This Row],[Estado]]&lt;&gt;"activa",tblMatriculas[[#This Row],[Asistidas]]=""),"",tblMatriculas[[#This Row],[Asistencia]])</f>
        <v/>
      </c>
      <c r="Q786" t="b">
        <f>AND(tblMatriculas[[#This Row],[Estado]]="activa",ISNUMBER(tblMatriculas[[#This Row],[% asistencia]]),NOT(ISNUMBER(SEARCH(pPrueba,tblMatriculas[[#This Row],[Nombre]]))))</f>
        <v>0</v>
      </c>
      <c r="R7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6" s="23" t="str" cm="1">
        <f t="array" ref="S7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6" s="23" t="str" cm="1">
        <f t="array" ref="T7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6" s="14" t="str" cm="1">
        <f t="array" ref="U7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6" t="str" cm="1">
        <f t="array" ref="V7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6" t="str" cm="1">
        <f t="array" ref="W7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6" t="str">
        <f>IF(COUNTIFS('Base Estudiantes'!$C:$C,tblMatriculas[[#This Row],[Cédula]],'Base Estudiantes'!$I:$I,tblMatriculas[[#This Row],[Código]])&gt;0,"Sí","No")</f>
        <v>Sí</v>
      </c>
      <c r="Z786" s="23" cm="1">
        <f t="array" ref="Z786">_xlfn.XLOOKUP(tblMatriculas[[#This Row],[Cédula]]&amp;"|"&amp;tblMatriculas[[#This Row],[Código]],tblBase[Documento]&amp;"|"&amp;tblBase[Código grupo],tblBase[Fecha matrícula],"")</f>
        <v>46263</v>
      </c>
    </row>
    <row r="787" spans="1:26" x14ac:dyDescent="0.2">
      <c r="A787" t="s">
        <v>1692</v>
      </c>
      <c r="B787" t="s">
        <v>1693</v>
      </c>
      <c r="C787" t="s">
        <v>13</v>
      </c>
      <c r="D787" t="s">
        <v>1652</v>
      </c>
      <c r="E787" t="s">
        <v>1653</v>
      </c>
      <c r="F787" t="s">
        <v>16</v>
      </c>
      <c r="G787" s="1">
        <v>0</v>
      </c>
      <c r="H787" t="s">
        <v>1649</v>
      </c>
      <c r="I787" t="s">
        <v>1580</v>
      </c>
      <c r="J787" t="s">
        <v>1654</v>
      </c>
      <c r="K787" t="s">
        <v>24</v>
      </c>
      <c r="L787" s="14" t="str">
        <f>IFERROR(VALUE(LEFT(tblMatriculas[[#This Row],[Clases]],FIND("/",tblMatriculas[[#This Row],[Clases]])-1)),"")</f>
        <v/>
      </c>
      <c r="M787" s="14" t="str">
        <f>IFERROR(VALUE(MID(tblMatriculas[[#This Row],[Clases]],FIND("/",tblMatriculas[[#This Row],[Clases]])+1,5)),"")</f>
        <v/>
      </c>
      <c r="N787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7" s="14" t="str">
        <f>IF(OR(tblMatriculas[[#This Row],[Estado]]&lt;&gt;"activa",tblMatriculas[[#This Row],[Clases dictadas]]=""),"",MAX(0,tblMatriculas[[#This Row],[Clases dictadas]]-tblMatriculas[[#This Row],[Asistidas]]))</f>
        <v/>
      </c>
      <c r="P787" s="1" t="str">
        <f>IF(OR(tblMatriculas[[#This Row],[Estado]]&lt;&gt;"activa",tblMatriculas[[#This Row],[Asistidas]]=""),"",tblMatriculas[[#This Row],[Asistencia]])</f>
        <v/>
      </c>
      <c r="Q787" t="b">
        <f>AND(tblMatriculas[[#This Row],[Estado]]="activa",ISNUMBER(tblMatriculas[[#This Row],[% asistencia]]),NOT(ISNUMBER(SEARCH(pPrueba,tblMatriculas[[#This Row],[Nombre]]))))</f>
        <v>0</v>
      </c>
      <c r="R7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7" s="23" t="str" cm="1">
        <f t="array" ref="S7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7" s="23" t="str" cm="1">
        <f t="array" ref="T7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7" s="14" t="str" cm="1">
        <f t="array" ref="U7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7" t="str" cm="1">
        <f t="array" ref="V7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7" t="str" cm="1">
        <f t="array" ref="W7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7" t="str">
        <f>IF(COUNTIFS('Base Estudiantes'!$C:$C,tblMatriculas[[#This Row],[Cédula]],'Base Estudiantes'!$I:$I,tblMatriculas[[#This Row],[Código]])&gt;0,"Sí","No")</f>
        <v>Sí</v>
      </c>
      <c r="Z787" s="23" cm="1">
        <f t="array" ref="Z787">_xlfn.XLOOKUP(tblMatriculas[[#This Row],[Cédula]]&amp;"|"&amp;tblMatriculas[[#This Row],[Código]],tblBase[Documento]&amp;"|"&amp;tblBase[Código grupo],tblBase[Fecha matrícula],"")</f>
        <v>46263</v>
      </c>
    </row>
    <row r="788" spans="1:26" x14ac:dyDescent="0.2">
      <c r="A788" t="s">
        <v>1694</v>
      </c>
      <c r="B788" t="s">
        <v>1695</v>
      </c>
      <c r="C788" t="s">
        <v>13</v>
      </c>
      <c r="D788" t="s">
        <v>1652</v>
      </c>
      <c r="E788" t="s">
        <v>1653</v>
      </c>
      <c r="F788" t="s">
        <v>16</v>
      </c>
      <c r="G788" s="1">
        <v>0</v>
      </c>
      <c r="H788" t="s">
        <v>1649</v>
      </c>
      <c r="I788" t="s">
        <v>1580</v>
      </c>
      <c r="J788" t="s">
        <v>1654</v>
      </c>
      <c r="K788" t="s">
        <v>24</v>
      </c>
      <c r="L788" s="14" t="str">
        <f>IFERROR(VALUE(LEFT(tblMatriculas[[#This Row],[Clases]],FIND("/",tblMatriculas[[#This Row],[Clases]])-1)),"")</f>
        <v/>
      </c>
      <c r="M788" s="14" t="str">
        <f>IFERROR(VALUE(MID(tblMatriculas[[#This Row],[Clases]],FIND("/",tblMatriculas[[#This Row],[Clases]])+1,5)),"")</f>
        <v/>
      </c>
      <c r="N788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8" s="14" t="str">
        <f>IF(OR(tblMatriculas[[#This Row],[Estado]]&lt;&gt;"activa",tblMatriculas[[#This Row],[Clases dictadas]]=""),"",MAX(0,tblMatriculas[[#This Row],[Clases dictadas]]-tblMatriculas[[#This Row],[Asistidas]]))</f>
        <v/>
      </c>
      <c r="P788" s="1" t="str">
        <f>IF(OR(tblMatriculas[[#This Row],[Estado]]&lt;&gt;"activa",tblMatriculas[[#This Row],[Asistidas]]=""),"",tblMatriculas[[#This Row],[Asistencia]])</f>
        <v/>
      </c>
      <c r="Q788" t="b">
        <f>AND(tblMatriculas[[#This Row],[Estado]]="activa",ISNUMBER(tblMatriculas[[#This Row],[% asistencia]]),NOT(ISNUMBER(SEARCH(pPrueba,tblMatriculas[[#This Row],[Nombre]]))))</f>
        <v>0</v>
      </c>
      <c r="R7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8" s="23" t="str" cm="1">
        <f t="array" ref="S7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8" s="23" t="str" cm="1">
        <f t="array" ref="T7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8" s="14" t="str" cm="1">
        <f t="array" ref="U7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8" t="str" cm="1">
        <f t="array" ref="V7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8" t="str" cm="1">
        <f t="array" ref="W7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8" t="str">
        <f>IF(COUNTIFS('Base Estudiantes'!$C:$C,tblMatriculas[[#This Row],[Cédula]],'Base Estudiantes'!$I:$I,tblMatriculas[[#This Row],[Código]])&gt;0,"Sí","No")</f>
        <v>Sí</v>
      </c>
      <c r="Z788" s="23" cm="1">
        <f t="array" ref="Z788">_xlfn.XLOOKUP(tblMatriculas[[#This Row],[Cédula]]&amp;"|"&amp;tblMatriculas[[#This Row],[Código]],tblBase[Documento]&amp;"|"&amp;tblBase[Código grupo],tblBase[Fecha matrícula],"")</f>
        <v>46263</v>
      </c>
    </row>
    <row r="789" spans="1:26" x14ac:dyDescent="0.2">
      <c r="A789" t="s">
        <v>1696</v>
      </c>
      <c r="B789" t="s">
        <v>1697</v>
      </c>
      <c r="C789" t="s">
        <v>13</v>
      </c>
      <c r="D789" t="s">
        <v>1652</v>
      </c>
      <c r="E789" t="s">
        <v>1653</v>
      </c>
      <c r="F789" t="s">
        <v>16</v>
      </c>
      <c r="G789" s="1">
        <v>0</v>
      </c>
      <c r="H789" t="s">
        <v>1649</v>
      </c>
      <c r="I789" t="s">
        <v>1580</v>
      </c>
      <c r="J789" t="s">
        <v>1654</v>
      </c>
      <c r="K789" t="s">
        <v>24</v>
      </c>
      <c r="L789" s="14" t="str">
        <f>IFERROR(VALUE(LEFT(tblMatriculas[[#This Row],[Clases]],FIND("/",tblMatriculas[[#This Row],[Clases]])-1)),"")</f>
        <v/>
      </c>
      <c r="M789" s="14" t="str">
        <f>IFERROR(VALUE(MID(tblMatriculas[[#This Row],[Clases]],FIND("/",tblMatriculas[[#This Row],[Clases]])+1,5)),"")</f>
        <v/>
      </c>
      <c r="N789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89" s="14" t="str">
        <f>IF(OR(tblMatriculas[[#This Row],[Estado]]&lt;&gt;"activa",tblMatriculas[[#This Row],[Clases dictadas]]=""),"",MAX(0,tblMatriculas[[#This Row],[Clases dictadas]]-tblMatriculas[[#This Row],[Asistidas]]))</f>
        <v/>
      </c>
      <c r="P789" s="1" t="str">
        <f>IF(OR(tblMatriculas[[#This Row],[Estado]]&lt;&gt;"activa",tblMatriculas[[#This Row],[Asistidas]]=""),"",tblMatriculas[[#This Row],[Asistencia]])</f>
        <v/>
      </c>
      <c r="Q789" t="b">
        <f>AND(tblMatriculas[[#This Row],[Estado]]="activa",ISNUMBER(tblMatriculas[[#This Row],[% asistencia]]),NOT(ISNUMBER(SEARCH(pPrueba,tblMatriculas[[#This Row],[Nombre]]))))</f>
        <v>0</v>
      </c>
      <c r="R7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89" s="23" t="str" cm="1">
        <f t="array" ref="S7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89" s="23" t="str" cm="1">
        <f t="array" ref="T7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89" s="14" t="str" cm="1">
        <f t="array" ref="U7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89" t="str" cm="1">
        <f t="array" ref="V7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89" t="str" cm="1">
        <f t="array" ref="W7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89" t="str">
        <f>IF(COUNTIFS('Base Estudiantes'!$C:$C,tblMatriculas[[#This Row],[Cédula]],'Base Estudiantes'!$I:$I,tblMatriculas[[#This Row],[Código]])&gt;0,"Sí","No")</f>
        <v>Sí</v>
      </c>
      <c r="Z789" s="23" cm="1">
        <f t="array" ref="Z789">_xlfn.XLOOKUP(tblMatriculas[[#This Row],[Cédula]]&amp;"|"&amp;tblMatriculas[[#This Row],[Código]],tblBase[Documento]&amp;"|"&amp;tblBase[Código grupo],tblBase[Fecha matrícula],"")</f>
        <v>46263</v>
      </c>
    </row>
    <row r="790" spans="1:26" x14ac:dyDescent="0.2">
      <c r="A790" t="s">
        <v>1698</v>
      </c>
      <c r="B790" t="s">
        <v>1699</v>
      </c>
      <c r="C790" t="s">
        <v>13</v>
      </c>
      <c r="D790" t="s">
        <v>1652</v>
      </c>
      <c r="E790" t="s">
        <v>1653</v>
      </c>
      <c r="F790" t="s">
        <v>16</v>
      </c>
      <c r="G790" s="1">
        <v>0</v>
      </c>
      <c r="H790" t="s">
        <v>1649</v>
      </c>
      <c r="I790" t="s">
        <v>1580</v>
      </c>
      <c r="J790" t="s">
        <v>1654</v>
      </c>
      <c r="K790" t="s">
        <v>24</v>
      </c>
      <c r="L790" s="14" t="str">
        <f>IFERROR(VALUE(LEFT(tblMatriculas[[#This Row],[Clases]],FIND("/",tblMatriculas[[#This Row],[Clases]])-1)),"")</f>
        <v/>
      </c>
      <c r="M790" s="14" t="str">
        <f>IFERROR(VALUE(MID(tblMatriculas[[#This Row],[Clases]],FIND("/",tblMatriculas[[#This Row],[Clases]])+1,5)),"")</f>
        <v/>
      </c>
      <c r="N790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0" s="14" t="str">
        <f>IF(OR(tblMatriculas[[#This Row],[Estado]]&lt;&gt;"activa",tblMatriculas[[#This Row],[Clases dictadas]]=""),"",MAX(0,tblMatriculas[[#This Row],[Clases dictadas]]-tblMatriculas[[#This Row],[Asistidas]]))</f>
        <v/>
      </c>
      <c r="P790" s="1" t="str">
        <f>IF(OR(tblMatriculas[[#This Row],[Estado]]&lt;&gt;"activa",tblMatriculas[[#This Row],[Asistidas]]=""),"",tblMatriculas[[#This Row],[Asistencia]])</f>
        <v/>
      </c>
      <c r="Q790" t="b">
        <f>AND(tblMatriculas[[#This Row],[Estado]]="activa",ISNUMBER(tblMatriculas[[#This Row],[% asistencia]]),NOT(ISNUMBER(SEARCH(pPrueba,tblMatriculas[[#This Row],[Nombre]]))))</f>
        <v>0</v>
      </c>
      <c r="R7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0" s="23" t="str" cm="1">
        <f t="array" ref="S7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0" s="23" t="str" cm="1">
        <f t="array" ref="T7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0" s="14" t="str" cm="1">
        <f t="array" ref="U7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0" t="str" cm="1">
        <f t="array" ref="V7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0" t="str" cm="1">
        <f t="array" ref="W7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0" t="str">
        <f>IF(COUNTIFS('Base Estudiantes'!$C:$C,tblMatriculas[[#This Row],[Cédula]],'Base Estudiantes'!$I:$I,tblMatriculas[[#This Row],[Código]])&gt;0,"Sí","No")</f>
        <v>Sí</v>
      </c>
      <c r="Z790" s="23" cm="1">
        <f t="array" ref="Z790">_xlfn.XLOOKUP(tblMatriculas[[#This Row],[Cédula]]&amp;"|"&amp;tblMatriculas[[#This Row],[Código]],tblBase[Documento]&amp;"|"&amp;tblBase[Código grupo],tblBase[Fecha matrícula],"")</f>
        <v>46263</v>
      </c>
    </row>
    <row r="791" spans="1:26" x14ac:dyDescent="0.2">
      <c r="A791" t="s">
        <v>1700</v>
      </c>
      <c r="B791" t="s">
        <v>1701</v>
      </c>
      <c r="C791" t="s">
        <v>13</v>
      </c>
      <c r="D791" t="s">
        <v>1652</v>
      </c>
      <c r="E791" t="s">
        <v>1653</v>
      </c>
      <c r="F791" t="s">
        <v>16</v>
      </c>
      <c r="G791" s="1">
        <v>0</v>
      </c>
      <c r="H791" t="s">
        <v>1649</v>
      </c>
      <c r="I791" t="s">
        <v>1580</v>
      </c>
      <c r="J791" t="s">
        <v>1654</v>
      </c>
      <c r="K791" t="s">
        <v>24</v>
      </c>
      <c r="L791" s="14" t="str">
        <f>IFERROR(VALUE(LEFT(tblMatriculas[[#This Row],[Clases]],FIND("/",tblMatriculas[[#This Row],[Clases]])-1)),"")</f>
        <v/>
      </c>
      <c r="M791" s="14" t="str">
        <f>IFERROR(VALUE(MID(tblMatriculas[[#This Row],[Clases]],FIND("/",tblMatriculas[[#This Row],[Clases]])+1,5)),"")</f>
        <v/>
      </c>
      <c r="N791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1" s="14" t="str">
        <f>IF(OR(tblMatriculas[[#This Row],[Estado]]&lt;&gt;"activa",tblMatriculas[[#This Row],[Clases dictadas]]=""),"",MAX(0,tblMatriculas[[#This Row],[Clases dictadas]]-tblMatriculas[[#This Row],[Asistidas]]))</f>
        <v/>
      </c>
      <c r="P791" s="1" t="str">
        <f>IF(OR(tblMatriculas[[#This Row],[Estado]]&lt;&gt;"activa",tblMatriculas[[#This Row],[Asistidas]]=""),"",tblMatriculas[[#This Row],[Asistencia]])</f>
        <v/>
      </c>
      <c r="Q791" t="b">
        <f>AND(tblMatriculas[[#This Row],[Estado]]="activa",ISNUMBER(tblMatriculas[[#This Row],[% asistencia]]),NOT(ISNUMBER(SEARCH(pPrueba,tblMatriculas[[#This Row],[Nombre]]))))</f>
        <v>0</v>
      </c>
      <c r="R7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1" s="23" t="str" cm="1">
        <f t="array" ref="S7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1" s="23" t="str" cm="1">
        <f t="array" ref="T7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1" s="14" t="str" cm="1">
        <f t="array" ref="U7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1" t="str" cm="1">
        <f t="array" ref="V7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1" t="str" cm="1">
        <f t="array" ref="W7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1" t="str">
        <f>IF(COUNTIFS('Base Estudiantes'!$C:$C,tblMatriculas[[#This Row],[Cédula]],'Base Estudiantes'!$I:$I,tblMatriculas[[#This Row],[Código]])&gt;0,"Sí","No")</f>
        <v>Sí</v>
      </c>
      <c r="Z791" s="23" cm="1">
        <f t="array" ref="Z791">_xlfn.XLOOKUP(tblMatriculas[[#This Row],[Cédula]]&amp;"|"&amp;tblMatriculas[[#This Row],[Código]],tblBase[Documento]&amp;"|"&amp;tblBase[Código grupo],tblBase[Fecha matrícula],"")</f>
        <v>46263</v>
      </c>
    </row>
    <row r="792" spans="1:26" x14ac:dyDescent="0.2">
      <c r="A792" t="s">
        <v>1702</v>
      </c>
      <c r="B792" t="s">
        <v>1703</v>
      </c>
      <c r="C792" t="s">
        <v>13</v>
      </c>
      <c r="D792" t="s">
        <v>1652</v>
      </c>
      <c r="E792" t="s">
        <v>1653</v>
      </c>
      <c r="F792" t="s">
        <v>16</v>
      </c>
      <c r="G792" s="1">
        <v>0</v>
      </c>
      <c r="H792" t="s">
        <v>1649</v>
      </c>
      <c r="I792" t="s">
        <v>1580</v>
      </c>
      <c r="J792" t="s">
        <v>1654</v>
      </c>
      <c r="K792" t="s">
        <v>24</v>
      </c>
      <c r="L792" s="14" t="str">
        <f>IFERROR(VALUE(LEFT(tblMatriculas[[#This Row],[Clases]],FIND("/",tblMatriculas[[#This Row],[Clases]])-1)),"")</f>
        <v/>
      </c>
      <c r="M792" s="14" t="str">
        <f>IFERROR(VALUE(MID(tblMatriculas[[#This Row],[Clases]],FIND("/",tblMatriculas[[#This Row],[Clases]])+1,5)),"")</f>
        <v/>
      </c>
      <c r="N792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2" s="14" t="str">
        <f>IF(OR(tblMatriculas[[#This Row],[Estado]]&lt;&gt;"activa",tblMatriculas[[#This Row],[Clases dictadas]]=""),"",MAX(0,tblMatriculas[[#This Row],[Clases dictadas]]-tblMatriculas[[#This Row],[Asistidas]]))</f>
        <v/>
      </c>
      <c r="P792" s="1" t="str">
        <f>IF(OR(tblMatriculas[[#This Row],[Estado]]&lt;&gt;"activa",tblMatriculas[[#This Row],[Asistidas]]=""),"",tblMatriculas[[#This Row],[Asistencia]])</f>
        <v/>
      </c>
      <c r="Q792" t="b">
        <f>AND(tblMatriculas[[#This Row],[Estado]]="activa",ISNUMBER(tblMatriculas[[#This Row],[% asistencia]]),NOT(ISNUMBER(SEARCH(pPrueba,tblMatriculas[[#This Row],[Nombre]]))))</f>
        <v>0</v>
      </c>
      <c r="R7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2" s="23" t="str" cm="1">
        <f t="array" ref="S7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2" s="23" t="str" cm="1">
        <f t="array" ref="T7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2" s="14" t="str" cm="1">
        <f t="array" ref="U7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2" t="str" cm="1">
        <f t="array" ref="V7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2" t="str" cm="1">
        <f t="array" ref="W7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2" t="str">
        <f>IF(COUNTIFS('Base Estudiantes'!$C:$C,tblMatriculas[[#This Row],[Cédula]],'Base Estudiantes'!$I:$I,tblMatriculas[[#This Row],[Código]])&gt;0,"Sí","No")</f>
        <v>Sí</v>
      </c>
      <c r="Z792" s="23" cm="1">
        <f t="array" ref="Z792">_xlfn.XLOOKUP(tblMatriculas[[#This Row],[Cédula]]&amp;"|"&amp;tblMatriculas[[#This Row],[Código]],tblBase[Documento]&amp;"|"&amp;tblBase[Código grupo],tblBase[Fecha matrícula],"")</f>
        <v>46263</v>
      </c>
    </row>
    <row r="793" spans="1:26" x14ac:dyDescent="0.2">
      <c r="A793" t="s">
        <v>1704</v>
      </c>
      <c r="B793" t="s">
        <v>1705</v>
      </c>
      <c r="C793" t="s">
        <v>13</v>
      </c>
      <c r="D793" t="s">
        <v>1652</v>
      </c>
      <c r="E793" t="s">
        <v>1653</v>
      </c>
      <c r="F793" t="s">
        <v>16</v>
      </c>
      <c r="G793" s="1">
        <v>0</v>
      </c>
      <c r="H793" t="s">
        <v>1649</v>
      </c>
      <c r="I793" t="s">
        <v>1580</v>
      </c>
      <c r="J793" t="s">
        <v>1654</v>
      </c>
      <c r="K793" t="s">
        <v>24</v>
      </c>
      <c r="L793" s="14" t="str">
        <f>IFERROR(VALUE(LEFT(tblMatriculas[[#This Row],[Clases]],FIND("/",tblMatriculas[[#This Row],[Clases]])-1)),"")</f>
        <v/>
      </c>
      <c r="M793" s="14" t="str">
        <f>IFERROR(VALUE(MID(tblMatriculas[[#This Row],[Clases]],FIND("/",tblMatriculas[[#This Row],[Clases]])+1,5)),"")</f>
        <v/>
      </c>
      <c r="N793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3" s="14" t="str">
        <f>IF(OR(tblMatriculas[[#This Row],[Estado]]&lt;&gt;"activa",tblMatriculas[[#This Row],[Clases dictadas]]=""),"",MAX(0,tblMatriculas[[#This Row],[Clases dictadas]]-tblMatriculas[[#This Row],[Asistidas]]))</f>
        <v/>
      </c>
      <c r="P793" s="1" t="str">
        <f>IF(OR(tblMatriculas[[#This Row],[Estado]]&lt;&gt;"activa",tblMatriculas[[#This Row],[Asistidas]]=""),"",tblMatriculas[[#This Row],[Asistencia]])</f>
        <v/>
      </c>
      <c r="Q793" t="b">
        <f>AND(tblMatriculas[[#This Row],[Estado]]="activa",ISNUMBER(tblMatriculas[[#This Row],[% asistencia]]),NOT(ISNUMBER(SEARCH(pPrueba,tblMatriculas[[#This Row],[Nombre]]))))</f>
        <v>0</v>
      </c>
      <c r="R7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3" s="23" t="str" cm="1">
        <f t="array" ref="S7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3" s="23" t="str" cm="1">
        <f t="array" ref="T7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3" s="14" t="str" cm="1">
        <f t="array" ref="U7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3" t="str" cm="1">
        <f t="array" ref="V7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3" t="str" cm="1">
        <f t="array" ref="W7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3" t="str">
        <f>IF(COUNTIFS('Base Estudiantes'!$C:$C,tblMatriculas[[#This Row],[Cédula]],'Base Estudiantes'!$I:$I,tblMatriculas[[#This Row],[Código]])&gt;0,"Sí","No")</f>
        <v>Sí</v>
      </c>
      <c r="Z793" s="23" cm="1">
        <f t="array" ref="Z793">_xlfn.XLOOKUP(tblMatriculas[[#This Row],[Cédula]]&amp;"|"&amp;tblMatriculas[[#This Row],[Código]],tblBase[Documento]&amp;"|"&amp;tblBase[Código grupo],tblBase[Fecha matrícula],"")</f>
        <v>46263</v>
      </c>
    </row>
    <row r="794" spans="1:26" x14ac:dyDescent="0.2">
      <c r="A794" t="s">
        <v>1706</v>
      </c>
      <c r="B794" t="s">
        <v>1707</v>
      </c>
      <c r="C794" t="s">
        <v>13</v>
      </c>
      <c r="D794" t="s">
        <v>1652</v>
      </c>
      <c r="E794" t="s">
        <v>1653</v>
      </c>
      <c r="F794" t="s">
        <v>16</v>
      </c>
      <c r="G794" s="1">
        <v>0</v>
      </c>
      <c r="H794" t="s">
        <v>1649</v>
      </c>
      <c r="I794" t="s">
        <v>1580</v>
      </c>
      <c r="J794" t="s">
        <v>1654</v>
      </c>
      <c r="K794" t="s">
        <v>24</v>
      </c>
      <c r="L794" s="14" t="str">
        <f>IFERROR(VALUE(LEFT(tblMatriculas[[#This Row],[Clases]],FIND("/",tblMatriculas[[#This Row],[Clases]])-1)),"")</f>
        <v/>
      </c>
      <c r="M794" s="14" t="str">
        <f>IFERROR(VALUE(MID(tblMatriculas[[#This Row],[Clases]],FIND("/",tblMatriculas[[#This Row],[Clases]])+1,5)),"")</f>
        <v/>
      </c>
      <c r="N79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4" s="14" t="str">
        <f>IF(OR(tblMatriculas[[#This Row],[Estado]]&lt;&gt;"activa",tblMatriculas[[#This Row],[Clases dictadas]]=""),"",MAX(0,tblMatriculas[[#This Row],[Clases dictadas]]-tblMatriculas[[#This Row],[Asistidas]]))</f>
        <v/>
      </c>
      <c r="P794" s="1" t="str">
        <f>IF(OR(tblMatriculas[[#This Row],[Estado]]&lt;&gt;"activa",tblMatriculas[[#This Row],[Asistidas]]=""),"",tblMatriculas[[#This Row],[Asistencia]])</f>
        <v/>
      </c>
      <c r="Q794" t="b">
        <f>AND(tblMatriculas[[#This Row],[Estado]]="activa",ISNUMBER(tblMatriculas[[#This Row],[% asistencia]]),NOT(ISNUMBER(SEARCH(pPrueba,tblMatriculas[[#This Row],[Nombre]]))))</f>
        <v>0</v>
      </c>
      <c r="R7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4" s="23" t="str" cm="1">
        <f t="array" ref="S7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4" s="23" t="str" cm="1">
        <f t="array" ref="T7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4" s="14" t="str" cm="1">
        <f t="array" ref="U7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4" t="str" cm="1">
        <f t="array" ref="V7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4" t="str" cm="1">
        <f t="array" ref="W7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4" t="str">
        <f>IF(COUNTIFS('Base Estudiantes'!$C:$C,tblMatriculas[[#This Row],[Cédula]],'Base Estudiantes'!$I:$I,tblMatriculas[[#This Row],[Código]])&gt;0,"Sí","No")</f>
        <v>Sí</v>
      </c>
      <c r="Z794" s="23" cm="1">
        <f t="array" ref="Z794">_xlfn.XLOOKUP(tblMatriculas[[#This Row],[Cédula]]&amp;"|"&amp;tblMatriculas[[#This Row],[Código]],tblBase[Documento]&amp;"|"&amp;tblBase[Código grupo],tblBase[Fecha matrícula],"")</f>
        <v>46263</v>
      </c>
    </row>
    <row r="795" spans="1:26" x14ac:dyDescent="0.2">
      <c r="A795" t="s">
        <v>1708</v>
      </c>
      <c r="B795" t="s">
        <v>1709</v>
      </c>
      <c r="C795" t="s">
        <v>13</v>
      </c>
      <c r="D795" t="s">
        <v>1652</v>
      </c>
      <c r="E795" t="s">
        <v>1653</v>
      </c>
      <c r="F795" t="s">
        <v>16</v>
      </c>
      <c r="G795" s="1">
        <v>0</v>
      </c>
      <c r="H795" t="s">
        <v>1649</v>
      </c>
      <c r="I795" t="s">
        <v>1580</v>
      </c>
      <c r="J795" t="s">
        <v>1654</v>
      </c>
      <c r="K795" t="s">
        <v>1710</v>
      </c>
      <c r="L795" s="14" t="str">
        <f>IFERROR(VALUE(LEFT(tblMatriculas[[#This Row],[Clases]],FIND("/",tblMatriculas[[#This Row],[Clases]])-1)),"")</f>
        <v/>
      </c>
      <c r="M795" s="14" t="str">
        <f>IFERROR(VALUE(MID(tblMatriculas[[#This Row],[Clases]],FIND("/",tblMatriculas[[#This Row],[Clases]])+1,5)),"")</f>
        <v/>
      </c>
      <c r="N795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795" s="14" t="str">
        <f>IF(OR(tblMatriculas[[#This Row],[Estado]]&lt;&gt;"activa",tblMatriculas[[#This Row],[Clases dictadas]]=""),"",MAX(0,tblMatriculas[[#This Row],[Clases dictadas]]-tblMatriculas[[#This Row],[Asistidas]]))</f>
        <v/>
      </c>
      <c r="P795" s="1" t="str">
        <f>IF(OR(tblMatriculas[[#This Row],[Estado]]&lt;&gt;"activa",tblMatriculas[[#This Row],[Asistidas]]=""),"",tblMatriculas[[#This Row],[Asistencia]])</f>
        <v/>
      </c>
      <c r="Q795" t="b">
        <f>AND(tblMatriculas[[#This Row],[Estado]]="activa",ISNUMBER(tblMatriculas[[#This Row],[% asistencia]]),NOT(ISNUMBER(SEARCH(pPrueba,tblMatriculas[[#This Row],[Nombre]]))))</f>
        <v>0</v>
      </c>
      <c r="R7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795" s="23" t="str" cm="1">
        <f t="array" ref="S7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5" s="23" t="str" cm="1">
        <f t="array" ref="T7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5" s="14" t="str" cm="1">
        <f t="array" ref="U7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5" t="str" cm="1">
        <f t="array" ref="V7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5" t="str" cm="1">
        <f t="array" ref="W7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7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795" t="str">
        <f>IF(COUNTIFS('Base Estudiantes'!$C:$C,tblMatriculas[[#This Row],[Cédula]],'Base Estudiantes'!$I:$I,tblMatriculas[[#This Row],[Código]])&gt;0,"Sí","No")</f>
        <v>Sí</v>
      </c>
      <c r="Z795" s="23" cm="1">
        <f t="array" ref="Z795">_xlfn.XLOOKUP(tblMatriculas[[#This Row],[Cédula]]&amp;"|"&amp;tblMatriculas[[#This Row],[Código]],tblBase[Documento]&amp;"|"&amp;tblBase[Código grupo],tblBase[Fecha matrícula],"")</f>
        <v>46263</v>
      </c>
    </row>
    <row r="796" spans="1:26" x14ac:dyDescent="0.2">
      <c r="A796" t="s">
        <v>1711</v>
      </c>
      <c r="B796" t="s">
        <v>1712</v>
      </c>
      <c r="C796" t="s">
        <v>13</v>
      </c>
      <c r="D796" t="s">
        <v>1713</v>
      </c>
      <c r="E796" t="s">
        <v>1714</v>
      </c>
      <c r="F796" t="s">
        <v>1453</v>
      </c>
      <c r="G796" s="1">
        <v>2.2000000000000002E-2</v>
      </c>
      <c r="H796" t="s">
        <v>23</v>
      </c>
      <c r="I796" t="s">
        <v>1580</v>
      </c>
      <c r="J796" t="s">
        <v>1581</v>
      </c>
      <c r="K796" t="s">
        <v>1715</v>
      </c>
      <c r="L796" s="14">
        <f>IFERROR(VALUE(LEFT(tblMatriculas[[#This Row],[Clases]],FIND("/",tblMatriculas[[#This Row],[Clases]])-1)),"")</f>
        <v>1</v>
      </c>
      <c r="M796" s="14">
        <f>IFERROR(VALUE(MID(tblMatriculas[[#This Row],[Clases]],FIND("/",tblMatriculas[[#This Row],[Clases]])+1,5)),"")</f>
        <v>45</v>
      </c>
      <c r="N7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796" s="14">
        <f>IF(OR(tblMatriculas[[#This Row],[Estado]]&lt;&gt;"activa",tblMatriculas[[#This Row],[Clases dictadas]]=""),"",MAX(0,tblMatriculas[[#This Row],[Clases dictadas]]-tblMatriculas[[#This Row],[Asistidas]]))</f>
        <v>2</v>
      </c>
      <c r="P796" s="1">
        <f>IF(OR(tblMatriculas[[#This Row],[Estado]]&lt;&gt;"activa",tblMatriculas[[#This Row],[Asistidas]]=""),"",tblMatriculas[[#This Row],[Asistencia]])</f>
        <v>2.2000000000000002E-2</v>
      </c>
      <c r="Q796" t="b">
        <f>AND(tblMatriculas[[#This Row],[Estado]]="activa",ISNUMBER(tblMatriculas[[#This Row],[% asistencia]]),NOT(ISNUMBER(SEARCH(pPrueba,tblMatriculas[[#This Row],[Nombre]]))))</f>
        <v>1</v>
      </c>
      <c r="R7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96" s="23" t="str" cm="1">
        <f t="array" ref="S7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6" s="23" t="str" cm="1">
        <f t="array" ref="T7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6" s="14" t="str" cm="1">
        <f t="array" ref="U7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6" t="str" cm="1">
        <f t="array" ref="V7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6" t="str" cm="1">
        <f t="array" ref="W7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96" t="str">
        <f>IF(COUNTIFS('Base Estudiantes'!$C:$C,tblMatriculas[[#This Row],[Cédula]],'Base Estudiantes'!$I:$I,tblMatriculas[[#This Row],[Código]])&gt;0,"Sí","No")</f>
        <v>Sí</v>
      </c>
      <c r="Z796" s="23" cm="1">
        <f t="array" ref="Z796">_xlfn.XLOOKUP(tblMatriculas[[#This Row],[Cédula]]&amp;"|"&amp;tblMatriculas[[#This Row],[Código]],tblBase[Documento]&amp;"|"&amp;tblBase[Código grupo],tblBase[Fecha matrícula],"")</f>
        <v>46263</v>
      </c>
    </row>
    <row r="797" spans="1:26" x14ac:dyDescent="0.2">
      <c r="A797" t="s">
        <v>1716</v>
      </c>
      <c r="B797" t="s">
        <v>1717</v>
      </c>
      <c r="C797" t="s">
        <v>13</v>
      </c>
      <c r="D797" t="s">
        <v>1713</v>
      </c>
      <c r="E797" t="s">
        <v>1714</v>
      </c>
      <c r="F797" t="s">
        <v>1453</v>
      </c>
      <c r="G797" s="1">
        <v>6.7000000000000004E-2</v>
      </c>
      <c r="H797" t="s">
        <v>50</v>
      </c>
      <c r="I797" t="s">
        <v>1580</v>
      </c>
      <c r="J797" t="s">
        <v>1581</v>
      </c>
      <c r="K797" t="s">
        <v>24</v>
      </c>
      <c r="L797" s="14">
        <f>IFERROR(VALUE(LEFT(tblMatriculas[[#This Row],[Clases]],FIND("/",tblMatriculas[[#This Row],[Clases]])-1)),"")</f>
        <v>3</v>
      </c>
      <c r="M797" s="14">
        <f>IFERROR(VALUE(MID(tblMatriculas[[#This Row],[Clases]],FIND("/",tblMatriculas[[#This Row],[Clases]])+1,5)),"")</f>
        <v>45</v>
      </c>
      <c r="N7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797" s="14">
        <f>IF(OR(tblMatriculas[[#This Row],[Estado]]&lt;&gt;"activa",tblMatriculas[[#This Row],[Clases dictadas]]=""),"",MAX(0,tblMatriculas[[#This Row],[Clases dictadas]]-tblMatriculas[[#This Row],[Asistidas]]))</f>
        <v>0</v>
      </c>
      <c r="P797" s="1">
        <f>IF(OR(tblMatriculas[[#This Row],[Estado]]&lt;&gt;"activa",tblMatriculas[[#This Row],[Asistidas]]=""),"",tblMatriculas[[#This Row],[Asistencia]])</f>
        <v>6.7000000000000004E-2</v>
      </c>
      <c r="Q797" t="b">
        <f>AND(tblMatriculas[[#This Row],[Estado]]="activa",ISNUMBER(tblMatriculas[[#This Row],[% asistencia]]),NOT(ISNUMBER(SEARCH(pPrueba,tblMatriculas[[#This Row],[Nombre]]))))</f>
        <v>1</v>
      </c>
      <c r="R7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97" s="23" t="str" cm="1">
        <f t="array" ref="S7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7" s="23" t="str" cm="1">
        <f t="array" ref="T7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7" s="14" t="str" cm="1">
        <f t="array" ref="U7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7" t="str" cm="1">
        <f t="array" ref="V7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7" t="str" cm="1">
        <f t="array" ref="W7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97" t="str">
        <f>IF(COUNTIFS('Base Estudiantes'!$C:$C,tblMatriculas[[#This Row],[Cédula]],'Base Estudiantes'!$I:$I,tblMatriculas[[#This Row],[Código]])&gt;0,"Sí","No")</f>
        <v>Sí</v>
      </c>
      <c r="Z797" s="23" cm="1">
        <f t="array" ref="Z797">_xlfn.XLOOKUP(tblMatriculas[[#This Row],[Cédula]]&amp;"|"&amp;tblMatriculas[[#This Row],[Código]],tblBase[Documento]&amp;"|"&amp;tblBase[Código grupo],tblBase[Fecha matrícula],"")</f>
        <v>46263</v>
      </c>
    </row>
    <row r="798" spans="1:26" x14ac:dyDescent="0.2">
      <c r="A798" t="s">
        <v>1718</v>
      </c>
      <c r="B798" t="s">
        <v>1719</v>
      </c>
      <c r="C798" t="s">
        <v>13</v>
      </c>
      <c r="D798" t="s">
        <v>1713</v>
      </c>
      <c r="E798" t="s">
        <v>1714</v>
      </c>
      <c r="F798" t="s">
        <v>1453</v>
      </c>
      <c r="G798" s="1">
        <v>6.7000000000000004E-2</v>
      </c>
      <c r="H798" t="s">
        <v>50</v>
      </c>
      <c r="I798" t="s">
        <v>1580</v>
      </c>
      <c r="J798" t="s">
        <v>1581</v>
      </c>
      <c r="K798" t="s">
        <v>24</v>
      </c>
      <c r="L798" s="14">
        <f>IFERROR(VALUE(LEFT(tblMatriculas[[#This Row],[Clases]],FIND("/",tblMatriculas[[#This Row],[Clases]])-1)),"")</f>
        <v>3</v>
      </c>
      <c r="M798" s="14">
        <f>IFERROR(VALUE(MID(tblMatriculas[[#This Row],[Clases]],FIND("/",tblMatriculas[[#This Row],[Clases]])+1,5)),"")</f>
        <v>45</v>
      </c>
      <c r="N7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798" s="14">
        <f>IF(OR(tblMatriculas[[#This Row],[Estado]]&lt;&gt;"activa",tblMatriculas[[#This Row],[Clases dictadas]]=""),"",MAX(0,tblMatriculas[[#This Row],[Clases dictadas]]-tblMatriculas[[#This Row],[Asistidas]]))</f>
        <v>0</v>
      </c>
      <c r="P798" s="1">
        <f>IF(OR(tblMatriculas[[#This Row],[Estado]]&lt;&gt;"activa",tblMatriculas[[#This Row],[Asistidas]]=""),"",tblMatriculas[[#This Row],[Asistencia]])</f>
        <v>6.7000000000000004E-2</v>
      </c>
      <c r="Q798" t="b">
        <f>AND(tblMatriculas[[#This Row],[Estado]]="activa",ISNUMBER(tblMatriculas[[#This Row],[% asistencia]]),NOT(ISNUMBER(SEARCH(pPrueba,tblMatriculas[[#This Row],[Nombre]]))))</f>
        <v>1</v>
      </c>
      <c r="R7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798" s="23" t="str" cm="1">
        <f t="array" ref="S7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8" s="23" t="str" cm="1">
        <f t="array" ref="T7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8" s="14" t="str" cm="1">
        <f t="array" ref="U7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8" t="str" cm="1">
        <f t="array" ref="V7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8" t="str" cm="1">
        <f t="array" ref="W7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7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798" t="str">
        <f>IF(COUNTIFS('Base Estudiantes'!$C:$C,tblMatriculas[[#This Row],[Cédula]],'Base Estudiantes'!$I:$I,tblMatriculas[[#This Row],[Código]])&gt;0,"Sí","No")</f>
        <v>Sí</v>
      </c>
      <c r="Z798" s="23" cm="1">
        <f t="array" ref="Z798">_xlfn.XLOOKUP(tblMatriculas[[#This Row],[Cédula]]&amp;"|"&amp;tblMatriculas[[#This Row],[Código]],tblBase[Documento]&amp;"|"&amp;tblBase[Código grupo],tblBase[Fecha matrícula],"")</f>
        <v>46263</v>
      </c>
    </row>
    <row r="799" spans="1:26" x14ac:dyDescent="0.2">
      <c r="A799" t="s">
        <v>1720</v>
      </c>
      <c r="B799" t="s">
        <v>1721</v>
      </c>
      <c r="C799" t="s">
        <v>13</v>
      </c>
      <c r="D799" t="s">
        <v>1713</v>
      </c>
      <c r="E799" t="s">
        <v>1714</v>
      </c>
      <c r="F799" t="s">
        <v>1453</v>
      </c>
      <c r="G799" s="1">
        <v>2.2000000000000002E-2</v>
      </c>
      <c r="H799" t="s">
        <v>23</v>
      </c>
      <c r="I799" t="s">
        <v>1580</v>
      </c>
      <c r="J799" t="s">
        <v>1581</v>
      </c>
      <c r="K799" t="s">
        <v>24</v>
      </c>
      <c r="L799" s="14">
        <f>IFERROR(VALUE(LEFT(tblMatriculas[[#This Row],[Clases]],FIND("/",tblMatriculas[[#This Row],[Clases]])-1)),"")</f>
        <v>1</v>
      </c>
      <c r="M799" s="14">
        <f>IFERROR(VALUE(MID(tblMatriculas[[#This Row],[Clases]],FIND("/",tblMatriculas[[#This Row],[Clases]])+1,5)),"")</f>
        <v>45</v>
      </c>
      <c r="N7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799" s="14">
        <f>IF(OR(tblMatriculas[[#This Row],[Estado]]&lt;&gt;"activa",tblMatriculas[[#This Row],[Clases dictadas]]=""),"",MAX(0,tblMatriculas[[#This Row],[Clases dictadas]]-tblMatriculas[[#This Row],[Asistidas]]))</f>
        <v>2</v>
      </c>
      <c r="P799" s="1">
        <f>IF(OR(tblMatriculas[[#This Row],[Estado]]&lt;&gt;"activa",tblMatriculas[[#This Row],[Asistidas]]=""),"",tblMatriculas[[#This Row],[Asistencia]])</f>
        <v>2.2000000000000002E-2</v>
      </c>
      <c r="Q799" t="b">
        <f>AND(tblMatriculas[[#This Row],[Estado]]="activa",ISNUMBER(tblMatriculas[[#This Row],[% asistencia]]),NOT(ISNUMBER(SEARCH(pPrueba,tblMatriculas[[#This Row],[Nombre]]))))</f>
        <v>1</v>
      </c>
      <c r="R7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799" s="23" t="str" cm="1">
        <f t="array" ref="S7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799" s="23" t="str" cm="1">
        <f t="array" ref="T7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799" s="14" t="str" cm="1">
        <f t="array" ref="U7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799" t="str" cm="1">
        <f t="array" ref="V7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799" t="str" cm="1">
        <f t="array" ref="W7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7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799" t="str">
        <f>IF(COUNTIFS('Base Estudiantes'!$C:$C,tblMatriculas[[#This Row],[Cédula]],'Base Estudiantes'!$I:$I,tblMatriculas[[#This Row],[Código]])&gt;0,"Sí","No")</f>
        <v>Sí</v>
      </c>
      <c r="Z799" s="23" cm="1">
        <f t="array" ref="Z799">_xlfn.XLOOKUP(tblMatriculas[[#This Row],[Cédula]]&amp;"|"&amp;tblMatriculas[[#This Row],[Código]],tblBase[Documento]&amp;"|"&amp;tblBase[Código grupo],tblBase[Fecha matrícula],"")</f>
        <v>46263</v>
      </c>
    </row>
    <row r="800" spans="1:26" x14ac:dyDescent="0.2">
      <c r="A800" t="s">
        <v>1722</v>
      </c>
      <c r="B800" t="s">
        <v>1723</v>
      </c>
      <c r="C800" t="s">
        <v>13</v>
      </c>
      <c r="D800" t="s">
        <v>1713</v>
      </c>
      <c r="E800" t="s">
        <v>1714</v>
      </c>
      <c r="F800" t="s">
        <v>1453</v>
      </c>
      <c r="G800" s="1">
        <v>2.2000000000000002E-2</v>
      </c>
      <c r="H800" t="s">
        <v>23</v>
      </c>
      <c r="I800" t="s">
        <v>1580</v>
      </c>
      <c r="J800" t="s">
        <v>1581</v>
      </c>
      <c r="K800" t="s">
        <v>24</v>
      </c>
      <c r="L800" s="14">
        <f>IFERROR(VALUE(LEFT(tblMatriculas[[#This Row],[Clases]],FIND("/",tblMatriculas[[#This Row],[Clases]])-1)),"")</f>
        <v>1</v>
      </c>
      <c r="M800" s="14">
        <f>IFERROR(VALUE(MID(tblMatriculas[[#This Row],[Clases]],FIND("/",tblMatriculas[[#This Row],[Clases]])+1,5)),"")</f>
        <v>45</v>
      </c>
      <c r="N8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0" s="14">
        <f>IF(OR(tblMatriculas[[#This Row],[Estado]]&lt;&gt;"activa",tblMatriculas[[#This Row],[Clases dictadas]]=""),"",MAX(0,tblMatriculas[[#This Row],[Clases dictadas]]-tblMatriculas[[#This Row],[Asistidas]]))</f>
        <v>2</v>
      </c>
      <c r="P800" s="1">
        <f>IF(OR(tblMatriculas[[#This Row],[Estado]]&lt;&gt;"activa",tblMatriculas[[#This Row],[Asistidas]]=""),"",tblMatriculas[[#This Row],[Asistencia]])</f>
        <v>2.2000000000000002E-2</v>
      </c>
      <c r="Q800" t="b">
        <f>AND(tblMatriculas[[#This Row],[Estado]]="activa",ISNUMBER(tblMatriculas[[#This Row],[% asistencia]]),NOT(ISNUMBER(SEARCH(pPrueba,tblMatriculas[[#This Row],[Nombre]]))))</f>
        <v>1</v>
      </c>
      <c r="R8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00" s="23" t="str" cm="1">
        <f t="array" ref="S8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0" s="23" t="str" cm="1">
        <f t="array" ref="T8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0" s="14" t="str" cm="1">
        <f t="array" ref="U8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0" t="str" cm="1">
        <f t="array" ref="V8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0" t="str" cm="1">
        <f t="array" ref="W8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00" t="str">
        <f>IF(COUNTIFS('Base Estudiantes'!$C:$C,tblMatriculas[[#This Row],[Cédula]],'Base Estudiantes'!$I:$I,tblMatriculas[[#This Row],[Código]])&gt;0,"Sí","No")</f>
        <v>Sí</v>
      </c>
      <c r="Z800" s="23" cm="1">
        <f t="array" ref="Z800">_xlfn.XLOOKUP(tblMatriculas[[#This Row],[Cédula]]&amp;"|"&amp;tblMatriculas[[#This Row],[Código]],tblBase[Documento]&amp;"|"&amp;tblBase[Código grupo],tblBase[Fecha matrícula],"")</f>
        <v>46263</v>
      </c>
    </row>
    <row r="801" spans="1:26" x14ac:dyDescent="0.2">
      <c r="A801" t="s">
        <v>1724</v>
      </c>
      <c r="B801" t="s">
        <v>1725</v>
      </c>
      <c r="C801" t="s">
        <v>13</v>
      </c>
      <c r="D801" t="s">
        <v>1713</v>
      </c>
      <c r="E801" t="s">
        <v>1714</v>
      </c>
      <c r="F801" t="s">
        <v>1453</v>
      </c>
      <c r="G801" s="1">
        <v>6.7000000000000004E-2</v>
      </c>
      <c r="H801" t="s">
        <v>50</v>
      </c>
      <c r="I801" t="s">
        <v>1580</v>
      </c>
      <c r="J801" t="s">
        <v>1581</v>
      </c>
      <c r="K801" t="s">
        <v>24</v>
      </c>
      <c r="L801" s="14">
        <f>IFERROR(VALUE(LEFT(tblMatriculas[[#This Row],[Clases]],FIND("/",tblMatriculas[[#This Row],[Clases]])-1)),"")</f>
        <v>3</v>
      </c>
      <c r="M801" s="14">
        <f>IFERROR(VALUE(MID(tblMatriculas[[#This Row],[Clases]],FIND("/",tblMatriculas[[#This Row],[Clases]])+1,5)),"")</f>
        <v>45</v>
      </c>
      <c r="N8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1" s="14">
        <f>IF(OR(tblMatriculas[[#This Row],[Estado]]&lt;&gt;"activa",tblMatriculas[[#This Row],[Clases dictadas]]=""),"",MAX(0,tblMatriculas[[#This Row],[Clases dictadas]]-tblMatriculas[[#This Row],[Asistidas]]))</f>
        <v>0</v>
      </c>
      <c r="P801" s="1">
        <f>IF(OR(tblMatriculas[[#This Row],[Estado]]&lt;&gt;"activa",tblMatriculas[[#This Row],[Asistidas]]=""),"",tblMatriculas[[#This Row],[Asistencia]])</f>
        <v>6.7000000000000004E-2</v>
      </c>
      <c r="Q801" t="b">
        <f>AND(tblMatriculas[[#This Row],[Estado]]="activa",ISNUMBER(tblMatriculas[[#This Row],[% asistencia]]),NOT(ISNUMBER(SEARCH(pPrueba,tblMatriculas[[#This Row],[Nombre]]))))</f>
        <v>1</v>
      </c>
      <c r="R8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1" s="23" t="str" cm="1">
        <f t="array" ref="S8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1" s="23" t="str" cm="1">
        <f t="array" ref="T8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1" s="14" t="str" cm="1">
        <f t="array" ref="U8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1" t="str" cm="1">
        <f t="array" ref="V8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1" t="str" cm="1">
        <f t="array" ref="W8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1" t="str">
        <f>IF(COUNTIFS('Base Estudiantes'!$C:$C,tblMatriculas[[#This Row],[Cédula]],'Base Estudiantes'!$I:$I,tblMatriculas[[#This Row],[Código]])&gt;0,"Sí","No")</f>
        <v>Sí</v>
      </c>
      <c r="Z801" s="23" cm="1">
        <f t="array" ref="Z801">_xlfn.XLOOKUP(tblMatriculas[[#This Row],[Cédula]]&amp;"|"&amp;tblMatriculas[[#This Row],[Código]],tblBase[Documento]&amp;"|"&amp;tblBase[Código grupo],tblBase[Fecha matrícula],"")</f>
        <v>46263</v>
      </c>
    </row>
    <row r="802" spans="1:26" x14ac:dyDescent="0.2">
      <c r="A802" t="s">
        <v>1726</v>
      </c>
      <c r="B802" t="s">
        <v>1727</v>
      </c>
      <c r="C802" t="s">
        <v>13</v>
      </c>
      <c r="D802" t="s">
        <v>1713</v>
      </c>
      <c r="E802" t="s">
        <v>1714</v>
      </c>
      <c r="F802" t="s">
        <v>1453</v>
      </c>
      <c r="G802" s="1">
        <v>2.2000000000000002E-2</v>
      </c>
      <c r="H802" t="s">
        <v>23</v>
      </c>
      <c r="I802" t="s">
        <v>1580</v>
      </c>
      <c r="J802" t="s">
        <v>1581</v>
      </c>
      <c r="K802" t="s">
        <v>24</v>
      </c>
      <c r="L802" s="14">
        <f>IFERROR(VALUE(LEFT(tblMatriculas[[#This Row],[Clases]],FIND("/",tblMatriculas[[#This Row],[Clases]])-1)),"")</f>
        <v>1</v>
      </c>
      <c r="M802" s="14">
        <f>IFERROR(VALUE(MID(tblMatriculas[[#This Row],[Clases]],FIND("/",tblMatriculas[[#This Row],[Clases]])+1,5)),"")</f>
        <v>45</v>
      </c>
      <c r="N8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2" s="14">
        <f>IF(OR(tblMatriculas[[#This Row],[Estado]]&lt;&gt;"activa",tblMatriculas[[#This Row],[Clases dictadas]]=""),"",MAX(0,tblMatriculas[[#This Row],[Clases dictadas]]-tblMatriculas[[#This Row],[Asistidas]]))</f>
        <v>2</v>
      </c>
      <c r="P802" s="1">
        <f>IF(OR(tblMatriculas[[#This Row],[Estado]]&lt;&gt;"activa",tblMatriculas[[#This Row],[Asistidas]]=""),"",tblMatriculas[[#This Row],[Asistencia]])</f>
        <v>2.2000000000000002E-2</v>
      </c>
      <c r="Q802" t="b">
        <f>AND(tblMatriculas[[#This Row],[Estado]]="activa",ISNUMBER(tblMatriculas[[#This Row],[% asistencia]]),NOT(ISNUMBER(SEARCH(pPrueba,tblMatriculas[[#This Row],[Nombre]]))))</f>
        <v>1</v>
      </c>
      <c r="R8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02" s="23" t="str" cm="1">
        <f t="array" ref="S8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2" s="23" t="str" cm="1">
        <f t="array" ref="T8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2" s="14" t="str" cm="1">
        <f t="array" ref="U8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2" t="str" cm="1">
        <f t="array" ref="V8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2" t="str" cm="1">
        <f t="array" ref="W8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02" t="str">
        <f>IF(COUNTIFS('Base Estudiantes'!$C:$C,tblMatriculas[[#This Row],[Cédula]],'Base Estudiantes'!$I:$I,tblMatriculas[[#This Row],[Código]])&gt;0,"Sí","No")</f>
        <v>Sí</v>
      </c>
      <c r="Z802" s="23" cm="1">
        <f t="array" ref="Z802">_xlfn.XLOOKUP(tblMatriculas[[#This Row],[Cédula]]&amp;"|"&amp;tblMatriculas[[#This Row],[Código]],tblBase[Documento]&amp;"|"&amp;tblBase[Código grupo],tblBase[Fecha matrícula],"")</f>
        <v>46263</v>
      </c>
    </row>
    <row r="803" spans="1:26" x14ac:dyDescent="0.2">
      <c r="A803" t="s">
        <v>1728</v>
      </c>
      <c r="B803" t="s">
        <v>1729</v>
      </c>
      <c r="C803" t="s">
        <v>13</v>
      </c>
      <c r="D803" t="s">
        <v>1713</v>
      </c>
      <c r="E803" t="s">
        <v>1714</v>
      </c>
      <c r="F803" t="s">
        <v>1453</v>
      </c>
      <c r="G803" s="1">
        <v>6.7000000000000004E-2</v>
      </c>
      <c r="H803" t="s">
        <v>50</v>
      </c>
      <c r="I803" t="s">
        <v>1580</v>
      </c>
      <c r="J803" t="s">
        <v>1581</v>
      </c>
      <c r="K803" t="s">
        <v>24</v>
      </c>
      <c r="L803" s="14">
        <f>IFERROR(VALUE(LEFT(tblMatriculas[[#This Row],[Clases]],FIND("/",tblMatriculas[[#This Row],[Clases]])-1)),"")</f>
        <v>3</v>
      </c>
      <c r="M803" s="14">
        <f>IFERROR(VALUE(MID(tblMatriculas[[#This Row],[Clases]],FIND("/",tblMatriculas[[#This Row],[Clases]])+1,5)),"")</f>
        <v>45</v>
      </c>
      <c r="N8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3" s="14">
        <f>IF(OR(tblMatriculas[[#This Row],[Estado]]&lt;&gt;"activa",tblMatriculas[[#This Row],[Clases dictadas]]=""),"",MAX(0,tblMatriculas[[#This Row],[Clases dictadas]]-tblMatriculas[[#This Row],[Asistidas]]))</f>
        <v>0</v>
      </c>
      <c r="P803" s="1">
        <f>IF(OR(tblMatriculas[[#This Row],[Estado]]&lt;&gt;"activa",tblMatriculas[[#This Row],[Asistidas]]=""),"",tblMatriculas[[#This Row],[Asistencia]])</f>
        <v>6.7000000000000004E-2</v>
      </c>
      <c r="Q803" t="b">
        <f>AND(tblMatriculas[[#This Row],[Estado]]="activa",ISNUMBER(tblMatriculas[[#This Row],[% asistencia]]),NOT(ISNUMBER(SEARCH(pPrueba,tblMatriculas[[#This Row],[Nombre]]))))</f>
        <v>1</v>
      </c>
      <c r="R8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3" s="23" t="str" cm="1">
        <f t="array" ref="S8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3" s="23" t="str" cm="1">
        <f t="array" ref="T8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3" s="14" t="str" cm="1">
        <f t="array" ref="U8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3" t="str" cm="1">
        <f t="array" ref="V8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3" t="str" cm="1">
        <f t="array" ref="W8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3" t="str">
        <f>IF(COUNTIFS('Base Estudiantes'!$C:$C,tblMatriculas[[#This Row],[Cédula]],'Base Estudiantes'!$I:$I,tblMatriculas[[#This Row],[Código]])&gt;0,"Sí","No")</f>
        <v>Sí</v>
      </c>
      <c r="Z803" s="23" cm="1">
        <f t="array" ref="Z803">_xlfn.XLOOKUP(tblMatriculas[[#This Row],[Cédula]]&amp;"|"&amp;tblMatriculas[[#This Row],[Código]],tblBase[Documento]&amp;"|"&amp;tblBase[Código grupo],tblBase[Fecha matrícula],"")</f>
        <v>46263</v>
      </c>
    </row>
    <row r="804" spans="1:26" x14ac:dyDescent="0.2">
      <c r="A804" t="s">
        <v>1730</v>
      </c>
      <c r="B804" t="s">
        <v>1731</v>
      </c>
      <c r="C804" t="s">
        <v>13</v>
      </c>
      <c r="D804" t="s">
        <v>1713</v>
      </c>
      <c r="E804" t="s">
        <v>1714</v>
      </c>
      <c r="F804" t="s">
        <v>1453</v>
      </c>
      <c r="G804" s="1">
        <v>4.4000000000000004E-2</v>
      </c>
      <c r="H804" t="s">
        <v>76</v>
      </c>
      <c r="I804" t="s">
        <v>1580</v>
      </c>
      <c r="J804" t="s">
        <v>1581</v>
      </c>
      <c r="K804" t="s">
        <v>24</v>
      </c>
      <c r="L804" s="14">
        <f>IFERROR(VALUE(LEFT(tblMatriculas[[#This Row],[Clases]],FIND("/",tblMatriculas[[#This Row],[Clases]])-1)),"")</f>
        <v>2</v>
      </c>
      <c r="M804" s="14">
        <f>IFERROR(VALUE(MID(tblMatriculas[[#This Row],[Clases]],FIND("/",tblMatriculas[[#This Row],[Clases]])+1,5)),"")</f>
        <v>45</v>
      </c>
      <c r="N8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4" s="14">
        <f>IF(OR(tblMatriculas[[#This Row],[Estado]]&lt;&gt;"activa",tblMatriculas[[#This Row],[Clases dictadas]]=""),"",MAX(0,tblMatriculas[[#This Row],[Clases dictadas]]-tblMatriculas[[#This Row],[Asistidas]]))</f>
        <v>1</v>
      </c>
      <c r="P804" s="1">
        <f>IF(OR(tblMatriculas[[#This Row],[Estado]]&lt;&gt;"activa",tblMatriculas[[#This Row],[Asistidas]]=""),"",tblMatriculas[[#This Row],[Asistencia]])</f>
        <v>4.4000000000000004E-2</v>
      </c>
      <c r="Q804" t="b">
        <f>AND(tblMatriculas[[#This Row],[Estado]]="activa",ISNUMBER(tblMatriculas[[#This Row],[% asistencia]]),NOT(ISNUMBER(SEARCH(pPrueba,tblMatriculas[[#This Row],[Nombre]]))))</f>
        <v>1</v>
      </c>
      <c r="R8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4" s="23" t="str" cm="1">
        <f t="array" ref="S8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4" s="23" t="str" cm="1">
        <f t="array" ref="T8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4" s="14" t="str" cm="1">
        <f t="array" ref="U8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4" t="str" cm="1">
        <f t="array" ref="V8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4" t="str" cm="1">
        <f t="array" ref="W8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4" t="str">
        <f>IF(COUNTIFS('Base Estudiantes'!$C:$C,tblMatriculas[[#This Row],[Cédula]],'Base Estudiantes'!$I:$I,tblMatriculas[[#This Row],[Código]])&gt;0,"Sí","No")</f>
        <v>Sí</v>
      </c>
      <c r="Z804" s="23" cm="1">
        <f t="array" ref="Z804">_xlfn.XLOOKUP(tblMatriculas[[#This Row],[Cédula]]&amp;"|"&amp;tblMatriculas[[#This Row],[Código]],tblBase[Documento]&amp;"|"&amp;tblBase[Código grupo],tblBase[Fecha matrícula],"")</f>
        <v>46263</v>
      </c>
    </row>
    <row r="805" spans="1:26" x14ac:dyDescent="0.2">
      <c r="A805" t="s">
        <v>1732</v>
      </c>
      <c r="B805" t="s">
        <v>1733</v>
      </c>
      <c r="C805" t="s">
        <v>13</v>
      </c>
      <c r="D805" t="s">
        <v>1713</v>
      </c>
      <c r="E805" t="s">
        <v>1714</v>
      </c>
      <c r="F805" t="s">
        <v>1453</v>
      </c>
      <c r="G805" s="1">
        <v>4.4000000000000004E-2</v>
      </c>
      <c r="H805" t="s">
        <v>76</v>
      </c>
      <c r="I805" t="s">
        <v>1580</v>
      </c>
      <c r="J805" t="s">
        <v>1581</v>
      </c>
      <c r="K805" t="s">
        <v>24</v>
      </c>
      <c r="L805" s="14">
        <f>IFERROR(VALUE(LEFT(tblMatriculas[[#This Row],[Clases]],FIND("/",tblMatriculas[[#This Row],[Clases]])-1)),"")</f>
        <v>2</v>
      </c>
      <c r="M805" s="14">
        <f>IFERROR(VALUE(MID(tblMatriculas[[#This Row],[Clases]],FIND("/",tblMatriculas[[#This Row],[Clases]])+1,5)),"")</f>
        <v>45</v>
      </c>
      <c r="N8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5" s="14">
        <f>IF(OR(tblMatriculas[[#This Row],[Estado]]&lt;&gt;"activa",tblMatriculas[[#This Row],[Clases dictadas]]=""),"",MAX(0,tblMatriculas[[#This Row],[Clases dictadas]]-tblMatriculas[[#This Row],[Asistidas]]))</f>
        <v>1</v>
      </c>
      <c r="P805" s="1">
        <f>IF(OR(tblMatriculas[[#This Row],[Estado]]&lt;&gt;"activa",tblMatriculas[[#This Row],[Asistidas]]=""),"",tblMatriculas[[#This Row],[Asistencia]])</f>
        <v>4.4000000000000004E-2</v>
      </c>
      <c r="Q805" t="b">
        <f>AND(tblMatriculas[[#This Row],[Estado]]="activa",ISNUMBER(tblMatriculas[[#This Row],[% asistencia]]),NOT(ISNUMBER(SEARCH(pPrueba,tblMatriculas[[#This Row],[Nombre]]))))</f>
        <v>1</v>
      </c>
      <c r="R8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5" s="23" t="str" cm="1">
        <f t="array" ref="S8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5" s="23" t="str" cm="1">
        <f t="array" ref="T8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5" s="14" t="str" cm="1">
        <f t="array" ref="U8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5" t="str" cm="1">
        <f t="array" ref="V8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5" t="str" cm="1">
        <f t="array" ref="W8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5" t="str">
        <f>IF(COUNTIFS('Base Estudiantes'!$C:$C,tblMatriculas[[#This Row],[Cédula]],'Base Estudiantes'!$I:$I,tblMatriculas[[#This Row],[Código]])&gt;0,"Sí","No")</f>
        <v>Sí</v>
      </c>
      <c r="Z805" s="23" cm="1">
        <f t="array" ref="Z805">_xlfn.XLOOKUP(tblMatriculas[[#This Row],[Cédula]]&amp;"|"&amp;tblMatriculas[[#This Row],[Código]],tblBase[Documento]&amp;"|"&amp;tblBase[Código grupo],tblBase[Fecha matrícula],"")</f>
        <v>46263</v>
      </c>
    </row>
    <row r="806" spans="1:26" x14ac:dyDescent="0.2">
      <c r="A806" t="s">
        <v>1734</v>
      </c>
      <c r="B806" t="s">
        <v>1735</v>
      </c>
      <c r="C806" t="s">
        <v>13</v>
      </c>
      <c r="D806" t="s">
        <v>1713</v>
      </c>
      <c r="E806" t="s">
        <v>1714</v>
      </c>
      <c r="F806" t="s">
        <v>1453</v>
      </c>
      <c r="G806" s="1">
        <v>6.7000000000000004E-2</v>
      </c>
      <c r="H806" t="s">
        <v>50</v>
      </c>
      <c r="I806" t="s">
        <v>1580</v>
      </c>
      <c r="J806" t="s">
        <v>1581</v>
      </c>
      <c r="K806" t="s">
        <v>24</v>
      </c>
      <c r="L806" s="14">
        <f>IFERROR(VALUE(LEFT(tblMatriculas[[#This Row],[Clases]],FIND("/",tblMatriculas[[#This Row],[Clases]])-1)),"")</f>
        <v>3</v>
      </c>
      <c r="M806" s="14">
        <f>IFERROR(VALUE(MID(tblMatriculas[[#This Row],[Clases]],FIND("/",tblMatriculas[[#This Row],[Clases]])+1,5)),"")</f>
        <v>45</v>
      </c>
      <c r="N8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6" s="14">
        <f>IF(OR(tblMatriculas[[#This Row],[Estado]]&lt;&gt;"activa",tblMatriculas[[#This Row],[Clases dictadas]]=""),"",MAX(0,tblMatriculas[[#This Row],[Clases dictadas]]-tblMatriculas[[#This Row],[Asistidas]]))</f>
        <v>0</v>
      </c>
      <c r="P806" s="1">
        <f>IF(OR(tblMatriculas[[#This Row],[Estado]]&lt;&gt;"activa",tblMatriculas[[#This Row],[Asistidas]]=""),"",tblMatriculas[[#This Row],[Asistencia]])</f>
        <v>6.7000000000000004E-2</v>
      </c>
      <c r="Q806" t="b">
        <f>AND(tblMatriculas[[#This Row],[Estado]]="activa",ISNUMBER(tblMatriculas[[#This Row],[% asistencia]]),NOT(ISNUMBER(SEARCH(pPrueba,tblMatriculas[[#This Row],[Nombre]]))))</f>
        <v>1</v>
      </c>
      <c r="R8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6" s="23" t="str" cm="1">
        <f t="array" ref="S8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6" s="23" t="str" cm="1">
        <f t="array" ref="T8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6" s="14" t="str" cm="1">
        <f t="array" ref="U8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6" t="str" cm="1">
        <f t="array" ref="V8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6" t="str" cm="1">
        <f t="array" ref="W8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6" t="str">
        <f>IF(COUNTIFS('Base Estudiantes'!$C:$C,tblMatriculas[[#This Row],[Cédula]],'Base Estudiantes'!$I:$I,tblMatriculas[[#This Row],[Código]])&gt;0,"Sí","No")</f>
        <v>Sí</v>
      </c>
      <c r="Z806" s="23" cm="1">
        <f t="array" ref="Z806">_xlfn.XLOOKUP(tblMatriculas[[#This Row],[Cédula]]&amp;"|"&amp;tblMatriculas[[#This Row],[Código]],tblBase[Documento]&amp;"|"&amp;tblBase[Código grupo],tblBase[Fecha matrícula],"")</f>
        <v>46263</v>
      </c>
    </row>
    <row r="807" spans="1:26" x14ac:dyDescent="0.2">
      <c r="A807" t="s">
        <v>1736</v>
      </c>
      <c r="B807" t="s">
        <v>1737</v>
      </c>
      <c r="C807" t="s">
        <v>13</v>
      </c>
      <c r="D807" t="s">
        <v>1713</v>
      </c>
      <c r="E807" t="s">
        <v>1714</v>
      </c>
      <c r="F807" t="s">
        <v>1453</v>
      </c>
      <c r="G807" s="1">
        <v>6.7000000000000004E-2</v>
      </c>
      <c r="H807" t="s">
        <v>50</v>
      </c>
      <c r="I807" t="s">
        <v>1580</v>
      </c>
      <c r="J807" t="s">
        <v>1581</v>
      </c>
      <c r="K807" t="s">
        <v>24</v>
      </c>
      <c r="L807" s="14">
        <f>IFERROR(VALUE(LEFT(tblMatriculas[[#This Row],[Clases]],FIND("/",tblMatriculas[[#This Row],[Clases]])-1)),"")</f>
        <v>3</v>
      </c>
      <c r="M807" s="14">
        <f>IFERROR(VALUE(MID(tblMatriculas[[#This Row],[Clases]],FIND("/",tblMatriculas[[#This Row],[Clases]])+1,5)),"")</f>
        <v>45</v>
      </c>
      <c r="N8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7" s="14">
        <f>IF(OR(tblMatriculas[[#This Row],[Estado]]&lt;&gt;"activa",tblMatriculas[[#This Row],[Clases dictadas]]=""),"",MAX(0,tblMatriculas[[#This Row],[Clases dictadas]]-tblMatriculas[[#This Row],[Asistidas]]))</f>
        <v>0</v>
      </c>
      <c r="P807" s="1">
        <f>IF(OR(tblMatriculas[[#This Row],[Estado]]&lt;&gt;"activa",tblMatriculas[[#This Row],[Asistidas]]=""),"",tblMatriculas[[#This Row],[Asistencia]])</f>
        <v>6.7000000000000004E-2</v>
      </c>
      <c r="Q807" t="b">
        <f>AND(tblMatriculas[[#This Row],[Estado]]="activa",ISNUMBER(tblMatriculas[[#This Row],[% asistencia]]),NOT(ISNUMBER(SEARCH(pPrueba,tblMatriculas[[#This Row],[Nombre]]))))</f>
        <v>1</v>
      </c>
      <c r="R8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7" s="23" t="str" cm="1">
        <f t="array" ref="S8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7" s="23" t="str" cm="1">
        <f t="array" ref="T8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7" s="14" t="str" cm="1">
        <f t="array" ref="U8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7" t="str" cm="1">
        <f t="array" ref="V8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7" t="str" cm="1">
        <f t="array" ref="W8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7" t="str">
        <f>IF(COUNTIFS('Base Estudiantes'!$C:$C,tblMatriculas[[#This Row],[Cédula]],'Base Estudiantes'!$I:$I,tblMatriculas[[#This Row],[Código]])&gt;0,"Sí","No")</f>
        <v>Sí</v>
      </c>
      <c r="Z807" s="23" cm="1">
        <f t="array" ref="Z807">_xlfn.XLOOKUP(tblMatriculas[[#This Row],[Cédula]]&amp;"|"&amp;tblMatriculas[[#This Row],[Código]],tblBase[Documento]&amp;"|"&amp;tblBase[Código grupo],tblBase[Fecha matrícula],"")</f>
        <v>46263</v>
      </c>
    </row>
    <row r="808" spans="1:26" x14ac:dyDescent="0.2">
      <c r="A808" t="s">
        <v>1738</v>
      </c>
      <c r="B808" t="s">
        <v>1739</v>
      </c>
      <c r="C808" t="s">
        <v>13</v>
      </c>
      <c r="D808" t="s">
        <v>1713</v>
      </c>
      <c r="E808" t="s">
        <v>1714</v>
      </c>
      <c r="F808" t="s">
        <v>1453</v>
      </c>
      <c r="G808" s="1">
        <v>6.7000000000000004E-2</v>
      </c>
      <c r="H808" t="s">
        <v>50</v>
      </c>
      <c r="I808" t="s">
        <v>1580</v>
      </c>
      <c r="J808" t="s">
        <v>1581</v>
      </c>
      <c r="K808" t="s">
        <v>24</v>
      </c>
      <c r="L808" s="14">
        <f>IFERROR(VALUE(LEFT(tblMatriculas[[#This Row],[Clases]],FIND("/",tblMatriculas[[#This Row],[Clases]])-1)),"")</f>
        <v>3</v>
      </c>
      <c r="M808" s="14">
        <f>IFERROR(VALUE(MID(tblMatriculas[[#This Row],[Clases]],FIND("/",tblMatriculas[[#This Row],[Clases]])+1,5)),"")</f>
        <v>45</v>
      </c>
      <c r="N8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8" s="14">
        <f>IF(OR(tblMatriculas[[#This Row],[Estado]]&lt;&gt;"activa",tblMatriculas[[#This Row],[Clases dictadas]]=""),"",MAX(0,tblMatriculas[[#This Row],[Clases dictadas]]-tblMatriculas[[#This Row],[Asistidas]]))</f>
        <v>0</v>
      </c>
      <c r="P808" s="1">
        <f>IF(OR(tblMatriculas[[#This Row],[Estado]]&lt;&gt;"activa",tblMatriculas[[#This Row],[Asistidas]]=""),"",tblMatriculas[[#This Row],[Asistencia]])</f>
        <v>6.7000000000000004E-2</v>
      </c>
      <c r="Q808" t="b">
        <f>AND(tblMatriculas[[#This Row],[Estado]]="activa",ISNUMBER(tblMatriculas[[#This Row],[% asistencia]]),NOT(ISNUMBER(SEARCH(pPrueba,tblMatriculas[[#This Row],[Nombre]]))))</f>
        <v>1</v>
      </c>
      <c r="R8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8" s="23" t="str" cm="1">
        <f t="array" ref="S8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8" s="23" t="str" cm="1">
        <f t="array" ref="T8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8" s="14" t="str" cm="1">
        <f t="array" ref="U8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8" t="str" cm="1">
        <f t="array" ref="V8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8" t="str" cm="1">
        <f t="array" ref="W8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8" t="str">
        <f>IF(COUNTIFS('Base Estudiantes'!$C:$C,tblMatriculas[[#This Row],[Cédula]],'Base Estudiantes'!$I:$I,tblMatriculas[[#This Row],[Código]])&gt;0,"Sí","No")</f>
        <v>Sí</v>
      </c>
      <c r="Z808" s="23" cm="1">
        <f t="array" ref="Z808">_xlfn.XLOOKUP(tblMatriculas[[#This Row],[Cédula]]&amp;"|"&amp;tblMatriculas[[#This Row],[Código]],tblBase[Documento]&amp;"|"&amp;tblBase[Código grupo],tblBase[Fecha matrícula],"")</f>
        <v>46263</v>
      </c>
    </row>
    <row r="809" spans="1:26" x14ac:dyDescent="0.2">
      <c r="A809" t="s">
        <v>1740</v>
      </c>
      <c r="B809" t="s">
        <v>1741</v>
      </c>
      <c r="C809" t="s">
        <v>13</v>
      </c>
      <c r="D809" t="s">
        <v>1713</v>
      </c>
      <c r="E809" t="s">
        <v>1714</v>
      </c>
      <c r="F809" t="s">
        <v>1453</v>
      </c>
      <c r="G809" s="1">
        <v>6.7000000000000004E-2</v>
      </c>
      <c r="H809" t="s">
        <v>50</v>
      </c>
      <c r="I809" t="s">
        <v>1580</v>
      </c>
      <c r="J809" t="s">
        <v>1581</v>
      </c>
      <c r="K809" t="s">
        <v>24</v>
      </c>
      <c r="L809" s="14">
        <f>IFERROR(VALUE(LEFT(tblMatriculas[[#This Row],[Clases]],FIND("/",tblMatriculas[[#This Row],[Clases]])-1)),"")</f>
        <v>3</v>
      </c>
      <c r="M809" s="14">
        <f>IFERROR(VALUE(MID(tblMatriculas[[#This Row],[Clases]],FIND("/",tblMatriculas[[#This Row],[Clases]])+1,5)),"")</f>
        <v>45</v>
      </c>
      <c r="N8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09" s="14">
        <f>IF(OR(tblMatriculas[[#This Row],[Estado]]&lt;&gt;"activa",tblMatriculas[[#This Row],[Clases dictadas]]=""),"",MAX(0,tblMatriculas[[#This Row],[Clases dictadas]]-tblMatriculas[[#This Row],[Asistidas]]))</f>
        <v>0</v>
      </c>
      <c r="P809" s="1">
        <f>IF(OR(tblMatriculas[[#This Row],[Estado]]&lt;&gt;"activa",tblMatriculas[[#This Row],[Asistidas]]=""),"",tblMatriculas[[#This Row],[Asistencia]])</f>
        <v>6.7000000000000004E-2</v>
      </c>
      <c r="Q809" t="b">
        <f>AND(tblMatriculas[[#This Row],[Estado]]="activa",ISNUMBER(tblMatriculas[[#This Row],[% asistencia]]),NOT(ISNUMBER(SEARCH(pPrueba,tblMatriculas[[#This Row],[Nombre]]))))</f>
        <v>1</v>
      </c>
      <c r="R8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09" s="23" t="str" cm="1">
        <f t="array" ref="S8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09" s="23" t="str" cm="1">
        <f t="array" ref="T8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09" s="14" t="str" cm="1">
        <f t="array" ref="U8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09" t="str" cm="1">
        <f t="array" ref="V8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09" t="str" cm="1">
        <f t="array" ref="W8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09" t="str">
        <f>IF(COUNTIFS('Base Estudiantes'!$C:$C,tblMatriculas[[#This Row],[Cédula]],'Base Estudiantes'!$I:$I,tblMatriculas[[#This Row],[Código]])&gt;0,"Sí","No")</f>
        <v>Sí</v>
      </c>
      <c r="Z809" s="23" cm="1">
        <f t="array" ref="Z809">_xlfn.XLOOKUP(tblMatriculas[[#This Row],[Cédula]]&amp;"|"&amp;tblMatriculas[[#This Row],[Código]],tblBase[Documento]&amp;"|"&amp;tblBase[Código grupo],tblBase[Fecha matrícula],"")</f>
        <v>46263</v>
      </c>
    </row>
    <row r="810" spans="1:26" x14ac:dyDescent="0.2">
      <c r="A810" t="s">
        <v>1742</v>
      </c>
      <c r="B810" t="s">
        <v>1743</v>
      </c>
      <c r="C810" t="s">
        <v>13</v>
      </c>
      <c r="D810" t="s">
        <v>1713</v>
      </c>
      <c r="E810" t="s">
        <v>1714</v>
      </c>
      <c r="F810" t="s">
        <v>1453</v>
      </c>
      <c r="G810" s="1">
        <v>2.2000000000000002E-2</v>
      </c>
      <c r="H810" t="s">
        <v>23</v>
      </c>
      <c r="I810" t="s">
        <v>1580</v>
      </c>
      <c r="J810" t="s">
        <v>1581</v>
      </c>
      <c r="K810" t="s">
        <v>24</v>
      </c>
      <c r="L810" s="14">
        <f>IFERROR(VALUE(LEFT(tblMatriculas[[#This Row],[Clases]],FIND("/",tblMatriculas[[#This Row],[Clases]])-1)),"")</f>
        <v>1</v>
      </c>
      <c r="M810" s="14">
        <f>IFERROR(VALUE(MID(tblMatriculas[[#This Row],[Clases]],FIND("/",tblMatriculas[[#This Row],[Clases]])+1,5)),"")</f>
        <v>45</v>
      </c>
      <c r="N8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0" s="14">
        <f>IF(OR(tblMatriculas[[#This Row],[Estado]]&lt;&gt;"activa",tblMatriculas[[#This Row],[Clases dictadas]]=""),"",MAX(0,tblMatriculas[[#This Row],[Clases dictadas]]-tblMatriculas[[#This Row],[Asistidas]]))</f>
        <v>2</v>
      </c>
      <c r="P810" s="1">
        <f>IF(OR(tblMatriculas[[#This Row],[Estado]]&lt;&gt;"activa",tblMatriculas[[#This Row],[Asistidas]]=""),"",tblMatriculas[[#This Row],[Asistencia]])</f>
        <v>2.2000000000000002E-2</v>
      </c>
      <c r="Q810" t="b">
        <f>AND(tblMatriculas[[#This Row],[Estado]]="activa",ISNUMBER(tblMatriculas[[#This Row],[% asistencia]]),NOT(ISNUMBER(SEARCH(pPrueba,tblMatriculas[[#This Row],[Nombre]]))))</f>
        <v>1</v>
      </c>
      <c r="R8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10" s="23" t="str" cm="1">
        <f t="array" ref="S8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0" s="23" t="str" cm="1">
        <f t="array" ref="T8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0" s="14" t="str" cm="1">
        <f t="array" ref="U8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0" t="str" cm="1">
        <f t="array" ref="V8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0" t="str" cm="1">
        <f t="array" ref="W8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10" t="str">
        <f>IF(COUNTIFS('Base Estudiantes'!$C:$C,tblMatriculas[[#This Row],[Cédula]],'Base Estudiantes'!$I:$I,tblMatriculas[[#This Row],[Código]])&gt;0,"Sí","No")</f>
        <v>Sí</v>
      </c>
      <c r="Z810" s="23" cm="1">
        <f t="array" ref="Z810">_xlfn.XLOOKUP(tblMatriculas[[#This Row],[Cédula]]&amp;"|"&amp;tblMatriculas[[#This Row],[Código]],tblBase[Documento]&amp;"|"&amp;tblBase[Código grupo],tblBase[Fecha matrícula],"")</f>
        <v>46263</v>
      </c>
    </row>
    <row r="811" spans="1:26" x14ac:dyDescent="0.2">
      <c r="A811" t="s">
        <v>1744</v>
      </c>
      <c r="B811" t="s">
        <v>1745</v>
      </c>
      <c r="C811" t="s">
        <v>13</v>
      </c>
      <c r="D811" t="s">
        <v>1713</v>
      </c>
      <c r="E811" t="s">
        <v>1714</v>
      </c>
      <c r="F811" t="s">
        <v>1453</v>
      </c>
      <c r="G811" s="1">
        <v>4.4000000000000004E-2</v>
      </c>
      <c r="H811" t="s">
        <v>76</v>
      </c>
      <c r="I811" t="s">
        <v>1580</v>
      </c>
      <c r="J811" t="s">
        <v>1581</v>
      </c>
      <c r="K811" t="s">
        <v>24</v>
      </c>
      <c r="L811" s="14">
        <f>IFERROR(VALUE(LEFT(tblMatriculas[[#This Row],[Clases]],FIND("/",tblMatriculas[[#This Row],[Clases]])-1)),"")</f>
        <v>2</v>
      </c>
      <c r="M811" s="14">
        <f>IFERROR(VALUE(MID(tblMatriculas[[#This Row],[Clases]],FIND("/",tblMatriculas[[#This Row],[Clases]])+1,5)),"")</f>
        <v>45</v>
      </c>
      <c r="N8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1" s="14">
        <f>IF(OR(tblMatriculas[[#This Row],[Estado]]&lt;&gt;"activa",tblMatriculas[[#This Row],[Clases dictadas]]=""),"",MAX(0,tblMatriculas[[#This Row],[Clases dictadas]]-tblMatriculas[[#This Row],[Asistidas]]))</f>
        <v>1</v>
      </c>
      <c r="P811" s="1">
        <f>IF(OR(tblMatriculas[[#This Row],[Estado]]&lt;&gt;"activa",tblMatriculas[[#This Row],[Asistidas]]=""),"",tblMatriculas[[#This Row],[Asistencia]])</f>
        <v>4.4000000000000004E-2</v>
      </c>
      <c r="Q811" t="b">
        <f>AND(tblMatriculas[[#This Row],[Estado]]="activa",ISNUMBER(tblMatriculas[[#This Row],[% asistencia]]),NOT(ISNUMBER(SEARCH(pPrueba,tblMatriculas[[#This Row],[Nombre]]))))</f>
        <v>1</v>
      </c>
      <c r="R8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1" s="23" t="str" cm="1">
        <f t="array" ref="S8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1" s="23" t="str" cm="1">
        <f t="array" ref="T8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1" s="14" t="str" cm="1">
        <f t="array" ref="U8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1" t="str" cm="1">
        <f t="array" ref="V8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1" t="str" cm="1">
        <f t="array" ref="W8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1" t="str">
        <f>IF(COUNTIFS('Base Estudiantes'!$C:$C,tblMatriculas[[#This Row],[Cédula]],'Base Estudiantes'!$I:$I,tblMatriculas[[#This Row],[Código]])&gt;0,"Sí","No")</f>
        <v>Sí</v>
      </c>
      <c r="Z811" s="23" cm="1">
        <f t="array" ref="Z811">_xlfn.XLOOKUP(tblMatriculas[[#This Row],[Cédula]]&amp;"|"&amp;tblMatriculas[[#This Row],[Código]],tblBase[Documento]&amp;"|"&amp;tblBase[Código grupo],tblBase[Fecha matrícula],"")</f>
        <v>46263</v>
      </c>
    </row>
    <row r="812" spans="1:26" x14ac:dyDescent="0.2">
      <c r="A812" t="s">
        <v>1003</v>
      </c>
      <c r="B812" t="s">
        <v>1004</v>
      </c>
      <c r="C812" t="s">
        <v>49</v>
      </c>
      <c r="D812" t="s">
        <v>1713</v>
      </c>
      <c r="E812" t="s">
        <v>1714</v>
      </c>
      <c r="F812" t="s">
        <v>1453</v>
      </c>
      <c r="G812" s="1">
        <v>2.2000000000000002E-2</v>
      </c>
      <c r="H812" t="s">
        <v>23</v>
      </c>
      <c r="I812" t="s">
        <v>1580</v>
      </c>
      <c r="J812" t="s">
        <v>1581</v>
      </c>
      <c r="K812" t="s">
        <v>24</v>
      </c>
      <c r="L812" s="14">
        <f>IFERROR(VALUE(LEFT(tblMatriculas[[#This Row],[Clases]],FIND("/",tblMatriculas[[#This Row],[Clases]])-1)),"")</f>
        <v>1</v>
      </c>
      <c r="M812" s="14">
        <f>IFERROR(VALUE(MID(tblMatriculas[[#This Row],[Clases]],FIND("/",tblMatriculas[[#This Row],[Clases]])+1,5)),"")</f>
        <v>45</v>
      </c>
      <c r="N8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2" s="14" t="str">
        <f>IF(OR(tblMatriculas[[#This Row],[Estado]]&lt;&gt;"activa",tblMatriculas[[#This Row],[Clases dictadas]]=""),"",MAX(0,tblMatriculas[[#This Row],[Clases dictadas]]-tblMatriculas[[#This Row],[Asistidas]]))</f>
        <v/>
      </c>
      <c r="P812" s="1" t="str">
        <f>IF(OR(tblMatriculas[[#This Row],[Estado]]&lt;&gt;"activa",tblMatriculas[[#This Row],[Asistidas]]=""),"",tblMatriculas[[#This Row],[Asistencia]])</f>
        <v/>
      </c>
      <c r="Q812" t="b">
        <f>AND(tblMatriculas[[#This Row],[Estado]]="activa",ISNUMBER(tblMatriculas[[#This Row],[% asistencia]]),NOT(ISNUMBER(SEARCH(pPrueba,tblMatriculas[[#This Row],[Nombre]]))))</f>
        <v>0</v>
      </c>
      <c r="R8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12" s="23" t="str" cm="1">
        <f t="array" ref="S8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2" s="23" t="str" cm="1">
        <f t="array" ref="T8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2" s="14" t="str" cm="1">
        <f t="array" ref="U8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2" t="str" cm="1">
        <f t="array" ref="V8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2" t="str" cm="1">
        <f t="array" ref="W8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12" t="str">
        <f>IF(COUNTIFS('Base Estudiantes'!$C:$C,tblMatriculas[[#This Row],[Cédula]],'Base Estudiantes'!$I:$I,tblMatriculas[[#This Row],[Código]])&gt;0,"Sí","No")</f>
        <v>No</v>
      </c>
      <c r="Z812" s="23" t="str" cm="1">
        <f t="array" ref="Z812">_xlfn.XLOOKUP(tblMatriculas[[#This Row],[Cédula]]&amp;"|"&amp;tblMatriculas[[#This Row],[Código]],tblBase[Documento]&amp;"|"&amp;tblBase[Código grupo],tblBase[Fecha matrícula],"")</f>
        <v/>
      </c>
    </row>
    <row r="813" spans="1:26" x14ac:dyDescent="0.2">
      <c r="A813" t="s">
        <v>1746</v>
      </c>
      <c r="B813" t="s">
        <v>1747</v>
      </c>
      <c r="C813" t="s">
        <v>13</v>
      </c>
      <c r="D813" t="s">
        <v>1713</v>
      </c>
      <c r="E813" t="s">
        <v>1714</v>
      </c>
      <c r="F813" t="s">
        <v>1453</v>
      </c>
      <c r="G813" s="1">
        <v>6.7000000000000004E-2</v>
      </c>
      <c r="H813" t="s">
        <v>50</v>
      </c>
      <c r="I813" t="s">
        <v>1580</v>
      </c>
      <c r="J813" t="s">
        <v>1581</v>
      </c>
      <c r="K813" t="s">
        <v>24</v>
      </c>
      <c r="L813" s="14">
        <f>IFERROR(VALUE(LEFT(tblMatriculas[[#This Row],[Clases]],FIND("/",tblMatriculas[[#This Row],[Clases]])-1)),"")</f>
        <v>3</v>
      </c>
      <c r="M813" s="14">
        <f>IFERROR(VALUE(MID(tblMatriculas[[#This Row],[Clases]],FIND("/",tblMatriculas[[#This Row],[Clases]])+1,5)),"")</f>
        <v>45</v>
      </c>
      <c r="N8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3" s="14">
        <f>IF(OR(tblMatriculas[[#This Row],[Estado]]&lt;&gt;"activa",tblMatriculas[[#This Row],[Clases dictadas]]=""),"",MAX(0,tblMatriculas[[#This Row],[Clases dictadas]]-tblMatriculas[[#This Row],[Asistidas]]))</f>
        <v>0</v>
      </c>
      <c r="P813" s="1">
        <f>IF(OR(tblMatriculas[[#This Row],[Estado]]&lt;&gt;"activa",tblMatriculas[[#This Row],[Asistidas]]=""),"",tblMatriculas[[#This Row],[Asistencia]])</f>
        <v>6.7000000000000004E-2</v>
      </c>
      <c r="Q813" t="b">
        <f>AND(tblMatriculas[[#This Row],[Estado]]="activa",ISNUMBER(tblMatriculas[[#This Row],[% asistencia]]),NOT(ISNUMBER(SEARCH(pPrueba,tblMatriculas[[#This Row],[Nombre]]))))</f>
        <v>1</v>
      </c>
      <c r="R8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3" s="23" t="str" cm="1">
        <f t="array" ref="S8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3" s="23" t="str" cm="1">
        <f t="array" ref="T8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3" s="14" t="str" cm="1">
        <f t="array" ref="U8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3" t="str" cm="1">
        <f t="array" ref="V8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3" t="str" cm="1">
        <f t="array" ref="W8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3" t="str">
        <f>IF(COUNTIFS('Base Estudiantes'!$C:$C,tblMatriculas[[#This Row],[Cédula]],'Base Estudiantes'!$I:$I,tblMatriculas[[#This Row],[Código]])&gt;0,"Sí","No")</f>
        <v>Sí</v>
      </c>
      <c r="Z813" s="23" cm="1">
        <f t="array" ref="Z813">_xlfn.XLOOKUP(tblMatriculas[[#This Row],[Cédula]]&amp;"|"&amp;tblMatriculas[[#This Row],[Código]],tblBase[Documento]&amp;"|"&amp;tblBase[Código grupo],tblBase[Fecha matrícula],"")</f>
        <v>46263</v>
      </c>
    </row>
    <row r="814" spans="1:26" x14ac:dyDescent="0.2">
      <c r="A814" t="s">
        <v>1748</v>
      </c>
      <c r="B814" t="s">
        <v>1749</v>
      </c>
      <c r="C814" t="s">
        <v>49</v>
      </c>
      <c r="D814" t="s">
        <v>1713</v>
      </c>
      <c r="E814" t="s">
        <v>1714</v>
      </c>
      <c r="F814" t="s">
        <v>1453</v>
      </c>
      <c r="G814" s="1">
        <v>9.3000000000000013E-2</v>
      </c>
      <c r="H814" t="s">
        <v>1750</v>
      </c>
      <c r="I814" t="s">
        <v>1580</v>
      </c>
      <c r="J814" t="s">
        <v>1581</v>
      </c>
      <c r="K814" t="s">
        <v>24</v>
      </c>
      <c r="L814" s="14">
        <f>IFERROR(VALUE(LEFT(tblMatriculas[[#This Row],[Clases]],FIND("/",tblMatriculas[[#This Row],[Clases]])-1)),"")</f>
        <v>7</v>
      </c>
      <c r="M814" s="14">
        <f>IFERROR(VALUE(MID(tblMatriculas[[#This Row],[Clases]],FIND("/",tblMatriculas[[#This Row],[Clases]])+1,5)),"")</f>
        <v>75</v>
      </c>
      <c r="N8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14" s="14" t="str">
        <f>IF(OR(tblMatriculas[[#This Row],[Estado]]&lt;&gt;"activa",tblMatriculas[[#This Row],[Clases dictadas]]=""),"",MAX(0,tblMatriculas[[#This Row],[Clases dictadas]]-tblMatriculas[[#This Row],[Asistidas]]))</f>
        <v/>
      </c>
      <c r="P814" s="1" t="str">
        <f>IF(OR(tblMatriculas[[#This Row],[Estado]]&lt;&gt;"activa",tblMatriculas[[#This Row],[Asistidas]]=""),"",tblMatriculas[[#This Row],[Asistencia]])</f>
        <v/>
      </c>
      <c r="Q814" t="b">
        <f>AND(tblMatriculas[[#This Row],[Estado]]="activa",ISNUMBER(tblMatriculas[[#This Row],[% asistencia]]),NOT(ISNUMBER(SEARCH(pPrueba,tblMatriculas[[#This Row],[Nombre]]))))</f>
        <v>0</v>
      </c>
      <c r="R8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14" s="23" t="str" cm="1">
        <f t="array" ref="S8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4" s="23" t="str" cm="1">
        <f t="array" ref="T8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4" s="14" t="str" cm="1">
        <f t="array" ref="U8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4" t="str" cm="1">
        <f t="array" ref="V8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4" t="str" cm="1">
        <f t="array" ref="W8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14" t="str">
        <f>IF(COUNTIFS('Base Estudiantes'!$C:$C,tblMatriculas[[#This Row],[Cédula]],'Base Estudiantes'!$I:$I,tblMatriculas[[#This Row],[Código]])&gt;0,"Sí","No")</f>
        <v>No</v>
      </c>
      <c r="Z814" s="23" t="str" cm="1">
        <f t="array" ref="Z814">_xlfn.XLOOKUP(tblMatriculas[[#This Row],[Cédula]]&amp;"|"&amp;tblMatriculas[[#This Row],[Código]],tblBase[Documento]&amp;"|"&amp;tblBase[Código grupo],tblBase[Fecha matrícula],"")</f>
        <v/>
      </c>
    </row>
    <row r="815" spans="1:26" x14ac:dyDescent="0.2">
      <c r="A815" t="s">
        <v>1751</v>
      </c>
      <c r="B815" t="s">
        <v>1752</v>
      </c>
      <c r="C815" t="s">
        <v>13</v>
      </c>
      <c r="D815" t="s">
        <v>1713</v>
      </c>
      <c r="E815" t="s">
        <v>1714</v>
      </c>
      <c r="F815" t="s">
        <v>1453</v>
      </c>
      <c r="G815" s="1">
        <v>4.4000000000000004E-2</v>
      </c>
      <c r="H815" t="s">
        <v>76</v>
      </c>
      <c r="I815" t="s">
        <v>1580</v>
      </c>
      <c r="J815" t="s">
        <v>1581</v>
      </c>
      <c r="K815" t="s">
        <v>1715</v>
      </c>
      <c r="L815" s="14">
        <f>IFERROR(VALUE(LEFT(tblMatriculas[[#This Row],[Clases]],FIND("/",tblMatriculas[[#This Row],[Clases]])-1)),"")</f>
        <v>2</v>
      </c>
      <c r="M815" s="14">
        <f>IFERROR(VALUE(MID(tblMatriculas[[#This Row],[Clases]],FIND("/",tblMatriculas[[#This Row],[Clases]])+1,5)),"")</f>
        <v>45</v>
      </c>
      <c r="N8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5" s="14">
        <f>IF(OR(tblMatriculas[[#This Row],[Estado]]&lt;&gt;"activa",tblMatriculas[[#This Row],[Clases dictadas]]=""),"",MAX(0,tblMatriculas[[#This Row],[Clases dictadas]]-tblMatriculas[[#This Row],[Asistidas]]))</f>
        <v>1</v>
      </c>
      <c r="P815" s="1">
        <f>IF(OR(tblMatriculas[[#This Row],[Estado]]&lt;&gt;"activa",tblMatriculas[[#This Row],[Asistidas]]=""),"",tblMatriculas[[#This Row],[Asistencia]])</f>
        <v>4.4000000000000004E-2</v>
      </c>
      <c r="Q815" t="b">
        <f>AND(tblMatriculas[[#This Row],[Estado]]="activa",ISNUMBER(tblMatriculas[[#This Row],[% asistencia]]),NOT(ISNUMBER(SEARCH(pPrueba,tblMatriculas[[#This Row],[Nombre]]))))</f>
        <v>1</v>
      </c>
      <c r="R8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5" s="23" t="str" cm="1">
        <f t="array" ref="S8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5" s="23" t="str" cm="1">
        <f t="array" ref="T8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5" s="14" t="str" cm="1">
        <f t="array" ref="U8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5" t="str" cm="1">
        <f t="array" ref="V8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5" t="str" cm="1">
        <f t="array" ref="W8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5" t="str">
        <f>IF(COUNTIFS('Base Estudiantes'!$C:$C,tblMatriculas[[#This Row],[Cédula]],'Base Estudiantes'!$I:$I,tblMatriculas[[#This Row],[Código]])&gt;0,"Sí","No")</f>
        <v>Sí</v>
      </c>
      <c r="Z815" s="23" cm="1">
        <f t="array" ref="Z815">_xlfn.XLOOKUP(tblMatriculas[[#This Row],[Cédula]]&amp;"|"&amp;tblMatriculas[[#This Row],[Código]],tblBase[Documento]&amp;"|"&amp;tblBase[Código grupo],tblBase[Fecha matrícula],"")</f>
        <v>46263</v>
      </c>
    </row>
    <row r="816" spans="1:26" x14ac:dyDescent="0.2">
      <c r="A816" t="s">
        <v>1753</v>
      </c>
      <c r="B816" t="s">
        <v>1754</v>
      </c>
      <c r="C816" t="s">
        <v>13</v>
      </c>
      <c r="D816" t="s">
        <v>1713</v>
      </c>
      <c r="E816" t="s">
        <v>1714</v>
      </c>
      <c r="F816" t="s">
        <v>1453</v>
      </c>
      <c r="G816" s="1">
        <v>6.7000000000000004E-2</v>
      </c>
      <c r="H816" t="s">
        <v>50</v>
      </c>
      <c r="I816" t="s">
        <v>1580</v>
      </c>
      <c r="J816" t="s">
        <v>1581</v>
      </c>
      <c r="K816" t="s">
        <v>24</v>
      </c>
      <c r="L816" s="14">
        <f>IFERROR(VALUE(LEFT(tblMatriculas[[#This Row],[Clases]],FIND("/",tblMatriculas[[#This Row],[Clases]])-1)),"")</f>
        <v>3</v>
      </c>
      <c r="M816" s="14">
        <f>IFERROR(VALUE(MID(tblMatriculas[[#This Row],[Clases]],FIND("/",tblMatriculas[[#This Row],[Clases]])+1,5)),"")</f>
        <v>45</v>
      </c>
      <c r="N8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6" s="14">
        <f>IF(OR(tblMatriculas[[#This Row],[Estado]]&lt;&gt;"activa",tblMatriculas[[#This Row],[Clases dictadas]]=""),"",MAX(0,tblMatriculas[[#This Row],[Clases dictadas]]-tblMatriculas[[#This Row],[Asistidas]]))</f>
        <v>0</v>
      </c>
      <c r="P816" s="1">
        <f>IF(OR(tblMatriculas[[#This Row],[Estado]]&lt;&gt;"activa",tblMatriculas[[#This Row],[Asistidas]]=""),"",tblMatriculas[[#This Row],[Asistencia]])</f>
        <v>6.7000000000000004E-2</v>
      </c>
      <c r="Q816" t="b">
        <f>AND(tblMatriculas[[#This Row],[Estado]]="activa",ISNUMBER(tblMatriculas[[#This Row],[% asistencia]]),NOT(ISNUMBER(SEARCH(pPrueba,tblMatriculas[[#This Row],[Nombre]]))))</f>
        <v>1</v>
      </c>
      <c r="R8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6" s="23" t="str" cm="1">
        <f t="array" ref="S8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6" s="23" t="str" cm="1">
        <f t="array" ref="T8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6" s="14" t="str" cm="1">
        <f t="array" ref="U8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6" t="str" cm="1">
        <f t="array" ref="V8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6" t="str" cm="1">
        <f t="array" ref="W8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6" t="str">
        <f>IF(COUNTIFS('Base Estudiantes'!$C:$C,tblMatriculas[[#This Row],[Cédula]],'Base Estudiantes'!$I:$I,tblMatriculas[[#This Row],[Código]])&gt;0,"Sí","No")</f>
        <v>Sí</v>
      </c>
      <c r="Z816" s="23" cm="1">
        <f t="array" ref="Z816">_xlfn.XLOOKUP(tblMatriculas[[#This Row],[Cédula]]&amp;"|"&amp;tblMatriculas[[#This Row],[Código]],tblBase[Documento]&amp;"|"&amp;tblBase[Código grupo],tblBase[Fecha matrícula],"")</f>
        <v>46263</v>
      </c>
    </row>
    <row r="817" spans="1:26" x14ac:dyDescent="0.2">
      <c r="A817" t="s">
        <v>1755</v>
      </c>
      <c r="B817" t="s">
        <v>1756</v>
      </c>
      <c r="C817" t="s">
        <v>13</v>
      </c>
      <c r="D817" t="s">
        <v>1713</v>
      </c>
      <c r="E817" t="s">
        <v>1714</v>
      </c>
      <c r="F817" t="s">
        <v>1453</v>
      </c>
      <c r="G817" s="1">
        <v>6.7000000000000004E-2</v>
      </c>
      <c r="H817" t="s">
        <v>50</v>
      </c>
      <c r="I817" t="s">
        <v>1580</v>
      </c>
      <c r="J817" t="s">
        <v>1581</v>
      </c>
      <c r="K817" t="s">
        <v>24</v>
      </c>
      <c r="L817" s="14">
        <f>IFERROR(VALUE(LEFT(tblMatriculas[[#This Row],[Clases]],FIND("/",tblMatriculas[[#This Row],[Clases]])-1)),"")</f>
        <v>3</v>
      </c>
      <c r="M817" s="14">
        <f>IFERROR(VALUE(MID(tblMatriculas[[#This Row],[Clases]],FIND("/",tblMatriculas[[#This Row],[Clases]])+1,5)),"")</f>
        <v>45</v>
      </c>
      <c r="N8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7" s="14">
        <f>IF(OR(tblMatriculas[[#This Row],[Estado]]&lt;&gt;"activa",tblMatriculas[[#This Row],[Clases dictadas]]=""),"",MAX(0,tblMatriculas[[#This Row],[Clases dictadas]]-tblMatriculas[[#This Row],[Asistidas]]))</f>
        <v>0</v>
      </c>
      <c r="P817" s="1">
        <f>IF(OR(tblMatriculas[[#This Row],[Estado]]&lt;&gt;"activa",tblMatriculas[[#This Row],[Asistidas]]=""),"",tblMatriculas[[#This Row],[Asistencia]])</f>
        <v>6.7000000000000004E-2</v>
      </c>
      <c r="Q817" t="b">
        <f>AND(tblMatriculas[[#This Row],[Estado]]="activa",ISNUMBER(tblMatriculas[[#This Row],[% asistencia]]),NOT(ISNUMBER(SEARCH(pPrueba,tblMatriculas[[#This Row],[Nombre]]))))</f>
        <v>1</v>
      </c>
      <c r="R8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7" s="23" t="str" cm="1">
        <f t="array" ref="S8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7" s="23" t="str" cm="1">
        <f t="array" ref="T8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7" s="14" t="str" cm="1">
        <f t="array" ref="U8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7" t="str" cm="1">
        <f t="array" ref="V8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7" t="str" cm="1">
        <f t="array" ref="W8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7" t="str">
        <f>IF(COUNTIFS('Base Estudiantes'!$C:$C,tblMatriculas[[#This Row],[Cédula]],'Base Estudiantes'!$I:$I,tblMatriculas[[#This Row],[Código]])&gt;0,"Sí","No")</f>
        <v>Sí</v>
      </c>
      <c r="Z817" s="23" cm="1">
        <f t="array" ref="Z817">_xlfn.XLOOKUP(tblMatriculas[[#This Row],[Cédula]]&amp;"|"&amp;tblMatriculas[[#This Row],[Código]],tblBase[Documento]&amp;"|"&amp;tblBase[Código grupo],tblBase[Fecha matrícula],"")</f>
        <v>46263</v>
      </c>
    </row>
    <row r="818" spans="1:26" x14ac:dyDescent="0.2">
      <c r="A818" t="s">
        <v>1757</v>
      </c>
      <c r="B818" t="s">
        <v>1758</v>
      </c>
      <c r="C818" t="s">
        <v>13</v>
      </c>
      <c r="D818" t="s">
        <v>1713</v>
      </c>
      <c r="E818" t="s">
        <v>1714</v>
      </c>
      <c r="F818" t="s">
        <v>1453</v>
      </c>
      <c r="G818" s="1">
        <v>2.2000000000000002E-2</v>
      </c>
      <c r="H818" t="s">
        <v>23</v>
      </c>
      <c r="I818" t="s">
        <v>1580</v>
      </c>
      <c r="J818" t="s">
        <v>1581</v>
      </c>
      <c r="K818" t="s">
        <v>24</v>
      </c>
      <c r="L818" s="14">
        <f>IFERROR(VALUE(LEFT(tblMatriculas[[#This Row],[Clases]],FIND("/",tblMatriculas[[#This Row],[Clases]])-1)),"")</f>
        <v>1</v>
      </c>
      <c r="M818" s="14">
        <f>IFERROR(VALUE(MID(tblMatriculas[[#This Row],[Clases]],FIND("/",tblMatriculas[[#This Row],[Clases]])+1,5)),"")</f>
        <v>45</v>
      </c>
      <c r="N8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8" s="14">
        <f>IF(OR(tblMatriculas[[#This Row],[Estado]]&lt;&gt;"activa",tblMatriculas[[#This Row],[Clases dictadas]]=""),"",MAX(0,tblMatriculas[[#This Row],[Clases dictadas]]-tblMatriculas[[#This Row],[Asistidas]]))</f>
        <v>2</v>
      </c>
      <c r="P818" s="1">
        <f>IF(OR(tblMatriculas[[#This Row],[Estado]]&lt;&gt;"activa",tblMatriculas[[#This Row],[Asistidas]]=""),"",tblMatriculas[[#This Row],[Asistencia]])</f>
        <v>2.2000000000000002E-2</v>
      </c>
      <c r="Q818" t="b">
        <f>AND(tblMatriculas[[#This Row],[Estado]]="activa",ISNUMBER(tblMatriculas[[#This Row],[% asistencia]]),NOT(ISNUMBER(SEARCH(pPrueba,tblMatriculas[[#This Row],[Nombre]]))))</f>
        <v>1</v>
      </c>
      <c r="R8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18" s="23" t="str" cm="1">
        <f t="array" ref="S8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8" s="23" t="str" cm="1">
        <f t="array" ref="T8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8" s="14" t="str" cm="1">
        <f t="array" ref="U8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8" t="str" cm="1">
        <f t="array" ref="V8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8" t="str" cm="1">
        <f t="array" ref="W8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18" t="str">
        <f>IF(COUNTIFS('Base Estudiantes'!$C:$C,tblMatriculas[[#This Row],[Cédula]],'Base Estudiantes'!$I:$I,tblMatriculas[[#This Row],[Código]])&gt;0,"Sí","No")</f>
        <v>Sí</v>
      </c>
      <c r="Z818" s="23" cm="1">
        <f t="array" ref="Z818">_xlfn.XLOOKUP(tblMatriculas[[#This Row],[Cédula]]&amp;"|"&amp;tblMatriculas[[#This Row],[Código]],tblBase[Documento]&amp;"|"&amp;tblBase[Código grupo],tblBase[Fecha matrícula],"")</f>
        <v>46263</v>
      </c>
    </row>
    <row r="819" spans="1:26" x14ac:dyDescent="0.2">
      <c r="A819" t="s">
        <v>1759</v>
      </c>
      <c r="B819" t="s">
        <v>1760</v>
      </c>
      <c r="C819" t="s">
        <v>13</v>
      </c>
      <c r="D819" t="s">
        <v>1713</v>
      </c>
      <c r="E819" t="s">
        <v>1714</v>
      </c>
      <c r="F819" t="s">
        <v>1453</v>
      </c>
      <c r="G819" s="1">
        <v>6.7000000000000004E-2</v>
      </c>
      <c r="H819" t="s">
        <v>50</v>
      </c>
      <c r="I819" t="s">
        <v>1580</v>
      </c>
      <c r="J819" t="s">
        <v>1581</v>
      </c>
      <c r="K819" t="s">
        <v>24</v>
      </c>
      <c r="L819" s="14">
        <f>IFERROR(VALUE(LEFT(tblMatriculas[[#This Row],[Clases]],FIND("/",tblMatriculas[[#This Row],[Clases]])-1)),"")</f>
        <v>3</v>
      </c>
      <c r="M819" s="14">
        <f>IFERROR(VALUE(MID(tblMatriculas[[#This Row],[Clases]],FIND("/",tblMatriculas[[#This Row],[Clases]])+1,5)),"")</f>
        <v>45</v>
      </c>
      <c r="N8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19" s="14">
        <f>IF(OR(tblMatriculas[[#This Row],[Estado]]&lt;&gt;"activa",tblMatriculas[[#This Row],[Clases dictadas]]=""),"",MAX(0,tblMatriculas[[#This Row],[Clases dictadas]]-tblMatriculas[[#This Row],[Asistidas]]))</f>
        <v>0</v>
      </c>
      <c r="P819" s="1">
        <f>IF(OR(tblMatriculas[[#This Row],[Estado]]&lt;&gt;"activa",tblMatriculas[[#This Row],[Asistidas]]=""),"",tblMatriculas[[#This Row],[Asistencia]])</f>
        <v>6.7000000000000004E-2</v>
      </c>
      <c r="Q819" t="b">
        <f>AND(tblMatriculas[[#This Row],[Estado]]="activa",ISNUMBER(tblMatriculas[[#This Row],[% asistencia]]),NOT(ISNUMBER(SEARCH(pPrueba,tblMatriculas[[#This Row],[Nombre]]))))</f>
        <v>1</v>
      </c>
      <c r="R8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19" s="23" t="str" cm="1">
        <f t="array" ref="S8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19" s="23" t="str" cm="1">
        <f t="array" ref="T8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19" s="14" t="str" cm="1">
        <f t="array" ref="U8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19" t="str" cm="1">
        <f t="array" ref="V8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19" t="str" cm="1">
        <f t="array" ref="W8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19" t="str">
        <f>IF(COUNTIFS('Base Estudiantes'!$C:$C,tblMatriculas[[#This Row],[Cédula]],'Base Estudiantes'!$I:$I,tblMatriculas[[#This Row],[Código]])&gt;0,"Sí","No")</f>
        <v>Sí</v>
      </c>
      <c r="Z819" s="23" cm="1">
        <f t="array" ref="Z819">_xlfn.XLOOKUP(tblMatriculas[[#This Row],[Cédula]]&amp;"|"&amp;tblMatriculas[[#This Row],[Código]],tblBase[Documento]&amp;"|"&amp;tblBase[Código grupo],tblBase[Fecha matrícula],"")</f>
        <v>46263</v>
      </c>
    </row>
    <row r="820" spans="1:26" x14ac:dyDescent="0.2">
      <c r="A820" t="s">
        <v>1761</v>
      </c>
      <c r="B820" t="s">
        <v>1762</v>
      </c>
      <c r="C820" t="s">
        <v>13</v>
      </c>
      <c r="D820" t="s">
        <v>1713</v>
      </c>
      <c r="E820" t="s">
        <v>1714</v>
      </c>
      <c r="F820" t="s">
        <v>1453</v>
      </c>
      <c r="G820" s="1">
        <v>6.7000000000000004E-2</v>
      </c>
      <c r="H820" t="s">
        <v>50</v>
      </c>
      <c r="I820" t="s">
        <v>1580</v>
      </c>
      <c r="J820" t="s">
        <v>1581</v>
      </c>
      <c r="K820" t="s">
        <v>24</v>
      </c>
      <c r="L820" s="14">
        <f>IFERROR(VALUE(LEFT(tblMatriculas[[#This Row],[Clases]],FIND("/",tblMatriculas[[#This Row],[Clases]])-1)),"")</f>
        <v>3</v>
      </c>
      <c r="M820" s="14">
        <f>IFERROR(VALUE(MID(tblMatriculas[[#This Row],[Clases]],FIND("/",tblMatriculas[[#This Row],[Clases]])+1,5)),"")</f>
        <v>45</v>
      </c>
      <c r="N8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0" s="14">
        <f>IF(OR(tblMatriculas[[#This Row],[Estado]]&lt;&gt;"activa",tblMatriculas[[#This Row],[Clases dictadas]]=""),"",MAX(0,tblMatriculas[[#This Row],[Clases dictadas]]-tblMatriculas[[#This Row],[Asistidas]]))</f>
        <v>0</v>
      </c>
      <c r="P820" s="1">
        <f>IF(OR(tblMatriculas[[#This Row],[Estado]]&lt;&gt;"activa",tblMatriculas[[#This Row],[Asistidas]]=""),"",tblMatriculas[[#This Row],[Asistencia]])</f>
        <v>6.7000000000000004E-2</v>
      </c>
      <c r="Q820" t="b">
        <f>AND(tblMatriculas[[#This Row],[Estado]]="activa",ISNUMBER(tblMatriculas[[#This Row],[% asistencia]]),NOT(ISNUMBER(SEARCH(pPrueba,tblMatriculas[[#This Row],[Nombre]]))))</f>
        <v>1</v>
      </c>
      <c r="R8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20" s="23" t="str" cm="1">
        <f t="array" ref="S8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0" s="23" t="str" cm="1">
        <f t="array" ref="T8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0" s="14" t="str" cm="1">
        <f t="array" ref="U8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0" t="str" cm="1">
        <f t="array" ref="V8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0" t="str" cm="1">
        <f t="array" ref="W8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20" t="str">
        <f>IF(COUNTIFS('Base Estudiantes'!$C:$C,tblMatriculas[[#This Row],[Cédula]],'Base Estudiantes'!$I:$I,tblMatriculas[[#This Row],[Código]])&gt;0,"Sí","No")</f>
        <v>Sí</v>
      </c>
      <c r="Z820" s="23" cm="1">
        <f t="array" ref="Z820">_xlfn.XLOOKUP(tblMatriculas[[#This Row],[Cédula]]&amp;"|"&amp;tblMatriculas[[#This Row],[Código]],tblBase[Documento]&amp;"|"&amp;tblBase[Código grupo],tblBase[Fecha matrícula],"")</f>
        <v>46263</v>
      </c>
    </row>
    <row r="821" spans="1:26" x14ac:dyDescent="0.2">
      <c r="A821" t="s">
        <v>1763</v>
      </c>
      <c r="B821" t="s">
        <v>1764</v>
      </c>
      <c r="C821" t="s">
        <v>13</v>
      </c>
      <c r="D821" t="s">
        <v>1713</v>
      </c>
      <c r="E821" t="s">
        <v>1714</v>
      </c>
      <c r="F821" t="s">
        <v>1453</v>
      </c>
      <c r="G821" s="1">
        <v>6.7000000000000004E-2</v>
      </c>
      <c r="H821" t="s">
        <v>50</v>
      </c>
      <c r="I821" t="s">
        <v>1580</v>
      </c>
      <c r="J821" t="s">
        <v>1581</v>
      </c>
      <c r="K821" t="s">
        <v>24</v>
      </c>
      <c r="L821" s="14">
        <f>IFERROR(VALUE(LEFT(tblMatriculas[[#This Row],[Clases]],FIND("/",tblMatriculas[[#This Row],[Clases]])-1)),"")</f>
        <v>3</v>
      </c>
      <c r="M821" s="14">
        <f>IFERROR(VALUE(MID(tblMatriculas[[#This Row],[Clases]],FIND("/",tblMatriculas[[#This Row],[Clases]])+1,5)),"")</f>
        <v>45</v>
      </c>
      <c r="N8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1" s="14">
        <f>IF(OR(tblMatriculas[[#This Row],[Estado]]&lt;&gt;"activa",tblMatriculas[[#This Row],[Clases dictadas]]=""),"",MAX(0,tblMatriculas[[#This Row],[Clases dictadas]]-tblMatriculas[[#This Row],[Asistidas]]))</f>
        <v>0</v>
      </c>
      <c r="P821" s="1">
        <f>IF(OR(tblMatriculas[[#This Row],[Estado]]&lt;&gt;"activa",tblMatriculas[[#This Row],[Asistidas]]=""),"",tblMatriculas[[#This Row],[Asistencia]])</f>
        <v>6.7000000000000004E-2</v>
      </c>
      <c r="Q821" t="b">
        <f>AND(tblMatriculas[[#This Row],[Estado]]="activa",ISNUMBER(tblMatriculas[[#This Row],[% asistencia]]),NOT(ISNUMBER(SEARCH(pPrueba,tblMatriculas[[#This Row],[Nombre]]))))</f>
        <v>1</v>
      </c>
      <c r="R8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21" s="23" t="str" cm="1">
        <f t="array" ref="S8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1" s="23" t="str" cm="1">
        <f t="array" ref="T8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1" s="14" t="str" cm="1">
        <f t="array" ref="U8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1" t="str" cm="1">
        <f t="array" ref="V8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1" t="str" cm="1">
        <f t="array" ref="W8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21" t="str">
        <f>IF(COUNTIFS('Base Estudiantes'!$C:$C,tblMatriculas[[#This Row],[Cédula]],'Base Estudiantes'!$I:$I,tblMatriculas[[#This Row],[Código]])&gt;0,"Sí","No")</f>
        <v>Sí</v>
      </c>
      <c r="Z821" s="23" cm="1">
        <f t="array" ref="Z821">_xlfn.XLOOKUP(tblMatriculas[[#This Row],[Cédula]]&amp;"|"&amp;tblMatriculas[[#This Row],[Código]],tblBase[Documento]&amp;"|"&amp;tblBase[Código grupo],tblBase[Fecha matrícula],"")</f>
        <v>46263</v>
      </c>
    </row>
    <row r="822" spans="1:26" x14ac:dyDescent="0.2">
      <c r="A822" t="s">
        <v>1765</v>
      </c>
      <c r="B822" t="s">
        <v>1766</v>
      </c>
      <c r="C822" t="s">
        <v>13</v>
      </c>
      <c r="D822" t="s">
        <v>1713</v>
      </c>
      <c r="E822" t="s">
        <v>1714</v>
      </c>
      <c r="F822" t="s">
        <v>1453</v>
      </c>
      <c r="G822" s="1">
        <v>4.4000000000000004E-2</v>
      </c>
      <c r="H822" t="s">
        <v>76</v>
      </c>
      <c r="I822" t="s">
        <v>1580</v>
      </c>
      <c r="J822" t="s">
        <v>1581</v>
      </c>
      <c r="K822" t="s">
        <v>24</v>
      </c>
      <c r="L822" s="14">
        <f>IFERROR(VALUE(LEFT(tblMatriculas[[#This Row],[Clases]],FIND("/",tblMatriculas[[#This Row],[Clases]])-1)),"")</f>
        <v>2</v>
      </c>
      <c r="M822" s="14">
        <f>IFERROR(VALUE(MID(tblMatriculas[[#This Row],[Clases]],FIND("/",tblMatriculas[[#This Row],[Clases]])+1,5)),"")</f>
        <v>45</v>
      </c>
      <c r="N8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2" s="14">
        <f>IF(OR(tblMatriculas[[#This Row],[Estado]]&lt;&gt;"activa",tblMatriculas[[#This Row],[Clases dictadas]]=""),"",MAX(0,tblMatriculas[[#This Row],[Clases dictadas]]-tblMatriculas[[#This Row],[Asistidas]]))</f>
        <v>1</v>
      </c>
      <c r="P822" s="1">
        <f>IF(OR(tblMatriculas[[#This Row],[Estado]]&lt;&gt;"activa",tblMatriculas[[#This Row],[Asistidas]]=""),"",tblMatriculas[[#This Row],[Asistencia]])</f>
        <v>4.4000000000000004E-2</v>
      </c>
      <c r="Q822" t="b">
        <f>AND(tblMatriculas[[#This Row],[Estado]]="activa",ISNUMBER(tblMatriculas[[#This Row],[% asistencia]]),NOT(ISNUMBER(SEARCH(pPrueba,tblMatriculas[[#This Row],[Nombre]]))))</f>
        <v>1</v>
      </c>
      <c r="R8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22" s="23" t="str" cm="1">
        <f t="array" ref="S8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2" s="23" t="str" cm="1">
        <f t="array" ref="T8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2" s="14" t="str" cm="1">
        <f t="array" ref="U8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2" t="str" cm="1">
        <f t="array" ref="V8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2" t="str" cm="1">
        <f t="array" ref="W8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22" t="str">
        <f>IF(COUNTIFS('Base Estudiantes'!$C:$C,tblMatriculas[[#This Row],[Cédula]],'Base Estudiantes'!$I:$I,tblMatriculas[[#This Row],[Código]])&gt;0,"Sí","No")</f>
        <v>Sí</v>
      </c>
      <c r="Z822" s="23" cm="1">
        <f t="array" ref="Z822">_xlfn.XLOOKUP(tblMatriculas[[#This Row],[Cédula]]&amp;"|"&amp;tblMatriculas[[#This Row],[Código]],tblBase[Documento]&amp;"|"&amp;tblBase[Código grupo],tblBase[Fecha matrícula],"")</f>
        <v>46263</v>
      </c>
    </row>
    <row r="823" spans="1:26" x14ac:dyDescent="0.2">
      <c r="A823" t="s">
        <v>1767</v>
      </c>
      <c r="B823" t="s">
        <v>1768</v>
      </c>
      <c r="C823" t="s">
        <v>49</v>
      </c>
      <c r="D823" t="s">
        <v>1713</v>
      </c>
      <c r="E823" t="s">
        <v>1714</v>
      </c>
      <c r="F823" t="s">
        <v>1453</v>
      </c>
      <c r="G823" s="1">
        <v>4.4000000000000004E-2</v>
      </c>
      <c r="H823" t="s">
        <v>76</v>
      </c>
      <c r="I823" t="s">
        <v>1580</v>
      </c>
      <c r="J823" t="s">
        <v>1581</v>
      </c>
      <c r="K823" t="s">
        <v>24</v>
      </c>
      <c r="L823" s="14">
        <f>IFERROR(VALUE(LEFT(tblMatriculas[[#This Row],[Clases]],FIND("/",tblMatriculas[[#This Row],[Clases]])-1)),"")</f>
        <v>2</v>
      </c>
      <c r="M823" s="14">
        <f>IFERROR(VALUE(MID(tblMatriculas[[#This Row],[Clases]],FIND("/",tblMatriculas[[#This Row],[Clases]])+1,5)),"")</f>
        <v>45</v>
      </c>
      <c r="N8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3" s="14" t="str">
        <f>IF(OR(tblMatriculas[[#This Row],[Estado]]&lt;&gt;"activa",tblMatriculas[[#This Row],[Clases dictadas]]=""),"",MAX(0,tblMatriculas[[#This Row],[Clases dictadas]]-tblMatriculas[[#This Row],[Asistidas]]))</f>
        <v/>
      </c>
      <c r="P823" s="1" t="str">
        <f>IF(OR(tblMatriculas[[#This Row],[Estado]]&lt;&gt;"activa",tblMatriculas[[#This Row],[Asistidas]]=""),"",tblMatriculas[[#This Row],[Asistencia]])</f>
        <v/>
      </c>
      <c r="Q823" t="b">
        <f>AND(tblMatriculas[[#This Row],[Estado]]="activa",ISNUMBER(tblMatriculas[[#This Row],[% asistencia]]),NOT(ISNUMBER(SEARCH(pPrueba,tblMatriculas[[#This Row],[Nombre]]))))</f>
        <v>0</v>
      </c>
      <c r="R8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23" s="23" t="str" cm="1">
        <f t="array" ref="S8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3" s="23" t="str" cm="1">
        <f t="array" ref="T8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3" s="14" t="str" cm="1">
        <f t="array" ref="U8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3" t="str" cm="1">
        <f t="array" ref="V8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3" t="str" cm="1">
        <f t="array" ref="W8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3" t="str">
        <f>IF(COUNTIFS('Base Estudiantes'!$C:$C,tblMatriculas[[#This Row],[Cédula]],'Base Estudiantes'!$I:$I,tblMatriculas[[#This Row],[Código]])&gt;0,"Sí","No")</f>
        <v>Sí</v>
      </c>
      <c r="Z823" s="23" cm="1">
        <f t="array" ref="Z823">_xlfn.XLOOKUP(tblMatriculas[[#This Row],[Cédula]]&amp;"|"&amp;tblMatriculas[[#This Row],[Código]],tblBase[Documento]&amp;"|"&amp;tblBase[Código grupo],tblBase[Fecha matrícula],"")</f>
        <v>46263</v>
      </c>
    </row>
    <row r="824" spans="1:26" x14ac:dyDescent="0.2">
      <c r="A824" t="s">
        <v>1769</v>
      </c>
      <c r="B824" t="s">
        <v>1770</v>
      </c>
      <c r="C824" t="s">
        <v>13</v>
      </c>
      <c r="D824" t="s">
        <v>1713</v>
      </c>
      <c r="E824" t="s">
        <v>1714</v>
      </c>
      <c r="F824" t="s">
        <v>1453</v>
      </c>
      <c r="G824" s="1">
        <v>2.2000000000000002E-2</v>
      </c>
      <c r="H824" t="s">
        <v>23</v>
      </c>
      <c r="I824" t="s">
        <v>1580</v>
      </c>
      <c r="J824" t="s">
        <v>1581</v>
      </c>
      <c r="K824" t="s">
        <v>1710</v>
      </c>
      <c r="L824" s="14">
        <f>IFERROR(VALUE(LEFT(tblMatriculas[[#This Row],[Clases]],FIND("/",tblMatriculas[[#This Row],[Clases]])-1)),"")</f>
        <v>1</v>
      </c>
      <c r="M824" s="14">
        <f>IFERROR(VALUE(MID(tblMatriculas[[#This Row],[Clases]],FIND("/",tblMatriculas[[#This Row],[Clases]])+1,5)),"")</f>
        <v>45</v>
      </c>
      <c r="N8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4" s="14">
        <f>IF(OR(tblMatriculas[[#This Row],[Estado]]&lt;&gt;"activa",tblMatriculas[[#This Row],[Clases dictadas]]=""),"",MAX(0,tblMatriculas[[#This Row],[Clases dictadas]]-tblMatriculas[[#This Row],[Asistidas]]))</f>
        <v>2</v>
      </c>
      <c r="P824" s="1">
        <f>IF(OR(tblMatriculas[[#This Row],[Estado]]&lt;&gt;"activa",tblMatriculas[[#This Row],[Asistidas]]=""),"",tblMatriculas[[#This Row],[Asistencia]])</f>
        <v>2.2000000000000002E-2</v>
      </c>
      <c r="Q824" t="b">
        <f>AND(tblMatriculas[[#This Row],[Estado]]="activa",ISNUMBER(tblMatriculas[[#This Row],[% asistencia]]),NOT(ISNUMBER(SEARCH(pPrueba,tblMatriculas[[#This Row],[Nombre]]))))</f>
        <v>1</v>
      </c>
      <c r="R8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24" s="23" t="str" cm="1">
        <f t="array" ref="S8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4" s="23" t="str" cm="1">
        <f t="array" ref="T8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4" s="14" t="str" cm="1">
        <f t="array" ref="U8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4" t="str" cm="1">
        <f t="array" ref="V8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4" t="str" cm="1">
        <f t="array" ref="W8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2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24" t="str">
        <f>IF(COUNTIFS('Base Estudiantes'!$C:$C,tblMatriculas[[#This Row],[Cédula]],'Base Estudiantes'!$I:$I,tblMatriculas[[#This Row],[Código]])&gt;0,"Sí","No")</f>
        <v>Sí</v>
      </c>
      <c r="Z824" s="23" cm="1">
        <f t="array" ref="Z824">_xlfn.XLOOKUP(tblMatriculas[[#This Row],[Cédula]]&amp;"|"&amp;tblMatriculas[[#This Row],[Código]],tblBase[Documento]&amp;"|"&amp;tblBase[Código grupo],tblBase[Fecha matrícula],"")</f>
        <v>46263</v>
      </c>
    </row>
    <row r="825" spans="1:26" x14ac:dyDescent="0.2">
      <c r="A825" t="s">
        <v>1771</v>
      </c>
      <c r="B825" t="s">
        <v>1772</v>
      </c>
      <c r="C825" t="s">
        <v>13</v>
      </c>
      <c r="D825" t="s">
        <v>1713</v>
      </c>
      <c r="E825" t="s">
        <v>1714</v>
      </c>
      <c r="F825" t="s">
        <v>1453</v>
      </c>
      <c r="G825" s="1">
        <v>0</v>
      </c>
      <c r="H825" t="s">
        <v>1149</v>
      </c>
      <c r="I825" t="s">
        <v>1580</v>
      </c>
      <c r="J825" t="s">
        <v>1581</v>
      </c>
      <c r="K825" t="s">
        <v>24</v>
      </c>
      <c r="L825" s="14">
        <f>IFERROR(VALUE(LEFT(tblMatriculas[[#This Row],[Clases]],FIND("/",tblMatriculas[[#This Row],[Clases]])-1)),"")</f>
        <v>0</v>
      </c>
      <c r="M825" s="14">
        <f>IFERROR(VALUE(MID(tblMatriculas[[#This Row],[Clases]],FIND("/",tblMatriculas[[#This Row],[Clases]])+1,5)),"")</f>
        <v>45</v>
      </c>
      <c r="N8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25" s="14">
        <f>IF(OR(tblMatriculas[[#This Row],[Estado]]&lt;&gt;"activa",tblMatriculas[[#This Row],[Clases dictadas]]=""),"",MAX(0,tblMatriculas[[#This Row],[Clases dictadas]]-tblMatriculas[[#This Row],[Asistidas]]))</f>
        <v>3</v>
      </c>
      <c r="P825" s="1">
        <f>IF(OR(tblMatriculas[[#This Row],[Estado]]&lt;&gt;"activa",tblMatriculas[[#This Row],[Asistidas]]=""),"",tblMatriculas[[#This Row],[Asistencia]])</f>
        <v>0</v>
      </c>
      <c r="Q825" t="b">
        <f>AND(tblMatriculas[[#This Row],[Estado]]="activa",ISNUMBER(tblMatriculas[[#This Row],[% asistencia]]),NOT(ISNUMBER(SEARCH(pPrueba,tblMatriculas[[#This Row],[Nombre]]))))</f>
        <v>1</v>
      </c>
      <c r="R8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825" s="23" t="str" cm="1">
        <f t="array" ref="S8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5" s="23" t="str" cm="1">
        <f t="array" ref="T8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5" s="14" t="str" cm="1">
        <f t="array" ref="U8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5" t="str" cm="1">
        <f t="array" ref="V8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5" t="str" cm="1">
        <f t="array" ref="W8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8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825" t="str">
        <f>IF(COUNTIFS('Base Estudiantes'!$C:$C,tblMatriculas[[#This Row],[Cédula]],'Base Estudiantes'!$I:$I,tblMatriculas[[#This Row],[Código]])&gt;0,"Sí","No")</f>
        <v>Sí</v>
      </c>
      <c r="Z825" s="23" cm="1">
        <f t="array" ref="Z825">_xlfn.XLOOKUP(tblMatriculas[[#This Row],[Cédula]]&amp;"|"&amp;tblMatriculas[[#This Row],[Código]],tblBase[Documento]&amp;"|"&amp;tblBase[Código grupo],tblBase[Fecha matrícula],"")</f>
        <v>46281</v>
      </c>
    </row>
    <row r="826" spans="1:26" x14ac:dyDescent="0.2">
      <c r="A826" t="s">
        <v>1773</v>
      </c>
      <c r="B826" t="s">
        <v>1774</v>
      </c>
      <c r="C826" t="s">
        <v>13</v>
      </c>
      <c r="D826" t="s">
        <v>1775</v>
      </c>
      <c r="E826" t="s">
        <v>1776</v>
      </c>
      <c r="F826" t="s">
        <v>1453</v>
      </c>
      <c r="G826" s="1">
        <v>0.13300000000000001</v>
      </c>
      <c r="H826" t="s">
        <v>112</v>
      </c>
      <c r="I826" t="s">
        <v>1580</v>
      </c>
      <c r="J826" t="s">
        <v>1777</v>
      </c>
      <c r="K826" t="s">
        <v>1778</v>
      </c>
      <c r="L826" s="14">
        <f>IFERROR(VALUE(LEFT(tblMatriculas[[#This Row],[Clases]],FIND("/",tblMatriculas[[#This Row],[Clases]])-1)),"")</f>
        <v>4</v>
      </c>
      <c r="M826" s="14">
        <f>IFERROR(VALUE(MID(tblMatriculas[[#This Row],[Clases]],FIND("/",tblMatriculas[[#This Row],[Clases]])+1,5)),"")</f>
        <v>30</v>
      </c>
      <c r="N8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26" s="14">
        <f>IF(OR(tblMatriculas[[#This Row],[Estado]]&lt;&gt;"activa",tblMatriculas[[#This Row],[Clases dictadas]]=""),"",MAX(0,tblMatriculas[[#This Row],[Clases dictadas]]-tblMatriculas[[#This Row],[Asistidas]]))</f>
        <v>2</v>
      </c>
      <c r="P826" s="1">
        <f>IF(OR(tblMatriculas[[#This Row],[Estado]]&lt;&gt;"activa",tblMatriculas[[#This Row],[Asistidas]]=""),"",tblMatriculas[[#This Row],[Asistencia]])</f>
        <v>0.13300000000000001</v>
      </c>
      <c r="Q826" t="b">
        <f>AND(tblMatriculas[[#This Row],[Estado]]="activa",ISNUMBER(tblMatriculas[[#This Row],[% asistencia]]),NOT(ISNUMBER(SEARCH(pPrueba,tblMatriculas[[#This Row],[Nombre]]))))</f>
        <v>1</v>
      </c>
      <c r="R8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26" s="23" t="str" cm="1">
        <f t="array" ref="S8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6" s="23" t="str" cm="1">
        <f t="array" ref="T8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6" s="14" t="str" cm="1">
        <f t="array" ref="U8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6" t="str" cm="1">
        <f t="array" ref="V8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6" t="str" cm="1">
        <f t="array" ref="W8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6" t="str">
        <f>IF(COUNTIFS('Base Estudiantes'!$C:$C,tblMatriculas[[#This Row],[Cédula]],'Base Estudiantes'!$I:$I,tblMatriculas[[#This Row],[Código]])&gt;0,"Sí","No")</f>
        <v>Sí</v>
      </c>
      <c r="Z826" s="23" cm="1">
        <f t="array" ref="Z826">_xlfn.XLOOKUP(tblMatriculas[[#This Row],[Cédula]]&amp;"|"&amp;tblMatriculas[[#This Row],[Código]],tblBase[Documento]&amp;"|"&amp;tblBase[Código grupo],tblBase[Fecha matrícula],"")</f>
        <v>46263</v>
      </c>
    </row>
    <row r="827" spans="1:26" x14ac:dyDescent="0.2">
      <c r="A827" t="s">
        <v>1779</v>
      </c>
      <c r="B827" t="s">
        <v>1780</v>
      </c>
      <c r="C827" t="s">
        <v>13</v>
      </c>
      <c r="D827" t="s">
        <v>1775</v>
      </c>
      <c r="E827" t="s">
        <v>1776</v>
      </c>
      <c r="F827" t="s">
        <v>1453</v>
      </c>
      <c r="G827" s="1">
        <v>0.1</v>
      </c>
      <c r="H827" t="s">
        <v>117</v>
      </c>
      <c r="I827" t="s">
        <v>1580</v>
      </c>
      <c r="J827" t="s">
        <v>1777</v>
      </c>
      <c r="K827" t="s">
        <v>1781</v>
      </c>
      <c r="L827" s="14">
        <f>IFERROR(VALUE(LEFT(tblMatriculas[[#This Row],[Clases]],FIND("/",tblMatriculas[[#This Row],[Clases]])-1)),"")</f>
        <v>3</v>
      </c>
      <c r="M827" s="14">
        <f>IFERROR(VALUE(MID(tblMatriculas[[#This Row],[Clases]],FIND("/",tblMatriculas[[#This Row],[Clases]])+1,5)),"")</f>
        <v>30</v>
      </c>
      <c r="N8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27" s="14">
        <f>IF(OR(tblMatriculas[[#This Row],[Estado]]&lt;&gt;"activa",tblMatriculas[[#This Row],[Clases dictadas]]=""),"",MAX(0,tblMatriculas[[#This Row],[Clases dictadas]]-tblMatriculas[[#This Row],[Asistidas]]))</f>
        <v>3</v>
      </c>
      <c r="P827" s="1">
        <f>IF(OR(tblMatriculas[[#This Row],[Estado]]&lt;&gt;"activa",tblMatriculas[[#This Row],[Asistidas]]=""),"",tblMatriculas[[#This Row],[Asistencia]])</f>
        <v>0.1</v>
      </c>
      <c r="Q827" t="b">
        <f>AND(tblMatriculas[[#This Row],[Estado]]="activa",ISNUMBER(tblMatriculas[[#This Row],[% asistencia]]),NOT(ISNUMBER(SEARCH(pPrueba,tblMatriculas[[#This Row],[Nombre]]))))</f>
        <v>1</v>
      </c>
      <c r="R8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27" s="23" t="str" cm="1">
        <f t="array" ref="S8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7" s="23" t="str" cm="1">
        <f t="array" ref="T8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7" s="14" t="str" cm="1">
        <f t="array" ref="U8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7" t="str" cm="1">
        <f t="array" ref="V8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7" t="str" cm="1">
        <f t="array" ref="W8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7" t="str">
        <f>IF(COUNTIFS('Base Estudiantes'!$C:$C,tblMatriculas[[#This Row],[Cédula]],'Base Estudiantes'!$I:$I,tblMatriculas[[#This Row],[Código]])&gt;0,"Sí","No")</f>
        <v>Sí</v>
      </c>
      <c r="Z827" s="23" cm="1">
        <f t="array" ref="Z827">_xlfn.XLOOKUP(tblMatriculas[[#This Row],[Cédula]]&amp;"|"&amp;tblMatriculas[[#This Row],[Código]],tblBase[Documento]&amp;"|"&amp;tblBase[Código grupo],tblBase[Fecha matrícula],"")</f>
        <v>46263</v>
      </c>
    </row>
    <row r="828" spans="1:26" x14ac:dyDescent="0.2">
      <c r="A828" t="s">
        <v>1782</v>
      </c>
      <c r="B828" t="s">
        <v>1783</v>
      </c>
      <c r="C828" t="s">
        <v>13</v>
      </c>
      <c r="D828" t="s">
        <v>1775</v>
      </c>
      <c r="E828" t="s">
        <v>1776</v>
      </c>
      <c r="F828" t="s">
        <v>1453</v>
      </c>
      <c r="G828" s="1">
        <v>0.16699999999999998</v>
      </c>
      <c r="H828" t="s">
        <v>229</v>
      </c>
      <c r="I828" t="s">
        <v>1580</v>
      </c>
      <c r="J828" t="s">
        <v>1777</v>
      </c>
      <c r="K828" t="s">
        <v>1715</v>
      </c>
      <c r="L828" s="14">
        <f>IFERROR(VALUE(LEFT(tblMatriculas[[#This Row],[Clases]],FIND("/",tblMatriculas[[#This Row],[Clases]])-1)),"")</f>
        <v>5</v>
      </c>
      <c r="M828" s="14">
        <f>IFERROR(VALUE(MID(tblMatriculas[[#This Row],[Clases]],FIND("/",tblMatriculas[[#This Row],[Clases]])+1,5)),"")</f>
        <v>30</v>
      </c>
      <c r="N8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28" s="14">
        <f>IF(OR(tblMatriculas[[#This Row],[Estado]]&lt;&gt;"activa",tblMatriculas[[#This Row],[Clases dictadas]]=""),"",MAX(0,tblMatriculas[[#This Row],[Clases dictadas]]-tblMatriculas[[#This Row],[Asistidas]]))</f>
        <v>1</v>
      </c>
      <c r="P828" s="1">
        <f>IF(OR(tblMatriculas[[#This Row],[Estado]]&lt;&gt;"activa",tblMatriculas[[#This Row],[Asistidas]]=""),"",tblMatriculas[[#This Row],[Asistencia]])</f>
        <v>0.16699999999999998</v>
      </c>
      <c r="Q828" t="b">
        <f>AND(tblMatriculas[[#This Row],[Estado]]="activa",ISNUMBER(tblMatriculas[[#This Row],[% asistencia]]),NOT(ISNUMBER(SEARCH(pPrueba,tblMatriculas[[#This Row],[Nombre]]))))</f>
        <v>1</v>
      </c>
      <c r="R8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28" s="23" t="str" cm="1">
        <f t="array" ref="S8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8" s="23" t="str" cm="1">
        <f t="array" ref="T8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8" s="14" t="str" cm="1">
        <f t="array" ref="U8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8" t="str" cm="1">
        <f t="array" ref="V8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8" t="str" cm="1">
        <f t="array" ref="W8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8" t="str">
        <f>IF(COUNTIFS('Base Estudiantes'!$C:$C,tblMatriculas[[#This Row],[Cédula]],'Base Estudiantes'!$I:$I,tblMatriculas[[#This Row],[Código]])&gt;0,"Sí","No")</f>
        <v>Sí</v>
      </c>
      <c r="Z828" s="23" cm="1">
        <f t="array" ref="Z828">_xlfn.XLOOKUP(tblMatriculas[[#This Row],[Cédula]]&amp;"|"&amp;tblMatriculas[[#This Row],[Código]],tblBase[Documento]&amp;"|"&amp;tblBase[Código grupo],tblBase[Fecha matrícula],"")</f>
        <v>46263</v>
      </c>
    </row>
    <row r="829" spans="1:26" x14ac:dyDescent="0.2">
      <c r="A829" t="s">
        <v>1784</v>
      </c>
      <c r="B829" t="s">
        <v>1785</v>
      </c>
      <c r="C829" t="s">
        <v>13</v>
      </c>
      <c r="D829" t="s">
        <v>1775</v>
      </c>
      <c r="E829" t="s">
        <v>1776</v>
      </c>
      <c r="F829" t="s">
        <v>1453</v>
      </c>
      <c r="G829" s="1">
        <v>0.2</v>
      </c>
      <c r="H829" t="s">
        <v>232</v>
      </c>
      <c r="I829" t="s">
        <v>1580</v>
      </c>
      <c r="J829" t="s">
        <v>1777</v>
      </c>
      <c r="K829" t="s">
        <v>1715</v>
      </c>
      <c r="L829" s="14">
        <f>IFERROR(VALUE(LEFT(tblMatriculas[[#This Row],[Clases]],FIND("/",tblMatriculas[[#This Row],[Clases]])-1)),"")</f>
        <v>6</v>
      </c>
      <c r="M829" s="14">
        <f>IFERROR(VALUE(MID(tblMatriculas[[#This Row],[Clases]],FIND("/",tblMatriculas[[#This Row],[Clases]])+1,5)),"")</f>
        <v>30</v>
      </c>
      <c r="N8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29" s="14">
        <f>IF(OR(tblMatriculas[[#This Row],[Estado]]&lt;&gt;"activa",tblMatriculas[[#This Row],[Clases dictadas]]=""),"",MAX(0,tblMatriculas[[#This Row],[Clases dictadas]]-tblMatriculas[[#This Row],[Asistidas]]))</f>
        <v>0</v>
      </c>
      <c r="P829" s="1">
        <f>IF(OR(tblMatriculas[[#This Row],[Estado]]&lt;&gt;"activa",tblMatriculas[[#This Row],[Asistidas]]=""),"",tblMatriculas[[#This Row],[Asistencia]])</f>
        <v>0.2</v>
      </c>
      <c r="Q829" t="b">
        <f>AND(tblMatriculas[[#This Row],[Estado]]="activa",ISNUMBER(tblMatriculas[[#This Row],[% asistencia]]),NOT(ISNUMBER(SEARCH(pPrueba,tblMatriculas[[#This Row],[Nombre]]))))</f>
        <v>1</v>
      </c>
      <c r="R8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29" s="23" t="str" cm="1">
        <f t="array" ref="S8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29" s="23" t="str" cm="1">
        <f t="array" ref="T8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29" s="14" t="str" cm="1">
        <f t="array" ref="U8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29" t="str" cm="1">
        <f t="array" ref="V8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29" t="str" cm="1">
        <f t="array" ref="W8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29" t="str">
        <f>IF(COUNTIFS('Base Estudiantes'!$C:$C,tblMatriculas[[#This Row],[Cédula]],'Base Estudiantes'!$I:$I,tblMatriculas[[#This Row],[Código]])&gt;0,"Sí","No")</f>
        <v>Sí</v>
      </c>
      <c r="Z829" s="23" cm="1">
        <f t="array" ref="Z829">_xlfn.XLOOKUP(tblMatriculas[[#This Row],[Cédula]]&amp;"|"&amp;tblMatriculas[[#This Row],[Código]],tblBase[Documento]&amp;"|"&amp;tblBase[Código grupo],tblBase[Fecha matrícula],"")</f>
        <v>46263</v>
      </c>
    </row>
    <row r="830" spans="1:26" x14ac:dyDescent="0.2">
      <c r="A830" t="s">
        <v>1786</v>
      </c>
      <c r="B830" t="s">
        <v>1787</v>
      </c>
      <c r="C830" t="s">
        <v>49</v>
      </c>
      <c r="D830" t="s">
        <v>1775</v>
      </c>
      <c r="E830" t="s">
        <v>1776</v>
      </c>
      <c r="F830" t="s">
        <v>1453</v>
      </c>
      <c r="G830" s="1">
        <v>0.05</v>
      </c>
      <c r="H830" t="s">
        <v>336</v>
      </c>
      <c r="I830" t="s">
        <v>1580</v>
      </c>
      <c r="J830" t="s">
        <v>1777</v>
      </c>
      <c r="K830" t="s">
        <v>1788</v>
      </c>
      <c r="L830" s="14">
        <f>IFERROR(VALUE(LEFT(tblMatriculas[[#This Row],[Clases]],FIND("/",tblMatriculas[[#This Row],[Clases]])-1)),"")</f>
        <v>3</v>
      </c>
      <c r="M830" s="14">
        <f>IFERROR(VALUE(MID(tblMatriculas[[#This Row],[Clases]],FIND("/",tblMatriculas[[#This Row],[Clases]])+1,5)),"")</f>
        <v>60</v>
      </c>
      <c r="N8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830" s="14" t="str">
        <f>IF(OR(tblMatriculas[[#This Row],[Estado]]&lt;&gt;"activa",tblMatriculas[[#This Row],[Clases dictadas]]=""),"",MAX(0,tblMatriculas[[#This Row],[Clases dictadas]]-tblMatriculas[[#This Row],[Asistidas]]))</f>
        <v/>
      </c>
      <c r="P830" s="1" t="str">
        <f>IF(OR(tblMatriculas[[#This Row],[Estado]]&lt;&gt;"activa",tblMatriculas[[#This Row],[Asistidas]]=""),"",tblMatriculas[[#This Row],[Asistencia]])</f>
        <v/>
      </c>
      <c r="Q830" t="b">
        <f>AND(tblMatriculas[[#This Row],[Estado]]="activa",ISNUMBER(tblMatriculas[[#This Row],[% asistencia]]),NOT(ISNUMBER(SEARCH(pPrueba,tblMatriculas[[#This Row],[Nombre]]))))</f>
        <v>0</v>
      </c>
      <c r="R8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30" s="23" t="str" cm="1">
        <f t="array" ref="S8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0" s="23" t="str" cm="1">
        <f t="array" ref="T8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0" s="14" t="str" cm="1">
        <f t="array" ref="U8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0" t="str" cm="1">
        <f t="array" ref="V8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0" t="str" cm="1">
        <f t="array" ref="W8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0" t="str">
        <f>IF(COUNTIFS('Base Estudiantes'!$C:$C,tblMatriculas[[#This Row],[Cédula]],'Base Estudiantes'!$I:$I,tblMatriculas[[#This Row],[Código]])&gt;0,"Sí","No")</f>
        <v>No</v>
      </c>
      <c r="Z830" s="23" t="str" cm="1">
        <f t="array" ref="Z830">_xlfn.XLOOKUP(tblMatriculas[[#This Row],[Cédula]]&amp;"|"&amp;tblMatriculas[[#This Row],[Código]],tblBase[Documento]&amp;"|"&amp;tblBase[Código grupo],tblBase[Fecha matrícula],"")</f>
        <v/>
      </c>
    </row>
    <row r="831" spans="1:26" x14ac:dyDescent="0.2">
      <c r="A831" t="s">
        <v>1789</v>
      </c>
      <c r="B831" t="s">
        <v>1790</v>
      </c>
      <c r="C831" t="s">
        <v>13</v>
      </c>
      <c r="D831" t="s">
        <v>1775</v>
      </c>
      <c r="E831" t="s">
        <v>1776</v>
      </c>
      <c r="F831" t="s">
        <v>1453</v>
      </c>
      <c r="G831" s="1">
        <v>0.13300000000000001</v>
      </c>
      <c r="H831" t="s">
        <v>112</v>
      </c>
      <c r="I831" t="s">
        <v>1580</v>
      </c>
      <c r="J831" t="s">
        <v>1777</v>
      </c>
      <c r="K831" t="s">
        <v>24</v>
      </c>
      <c r="L831" s="14">
        <f>IFERROR(VALUE(LEFT(tblMatriculas[[#This Row],[Clases]],FIND("/",tblMatriculas[[#This Row],[Clases]])-1)),"")</f>
        <v>4</v>
      </c>
      <c r="M831" s="14">
        <f>IFERROR(VALUE(MID(tblMatriculas[[#This Row],[Clases]],FIND("/",tblMatriculas[[#This Row],[Clases]])+1,5)),"")</f>
        <v>30</v>
      </c>
      <c r="N8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1" s="14">
        <f>IF(OR(tblMatriculas[[#This Row],[Estado]]&lt;&gt;"activa",tblMatriculas[[#This Row],[Clases dictadas]]=""),"",MAX(0,tblMatriculas[[#This Row],[Clases dictadas]]-tblMatriculas[[#This Row],[Asistidas]]))</f>
        <v>2</v>
      </c>
      <c r="P831" s="1">
        <f>IF(OR(tblMatriculas[[#This Row],[Estado]]&lt;&gt;"activa",tblMatriculas[[#This Row],[Asistidas]]=""),"",tblMatriculas[[#This Row],[Asistencia]])</f>
        <v>0.13300000000000001</v>
      </c>
      <c r="Q831" t="b">
        <f>AND(tblMatriculas[[#This Row],[Estado]]="activa",ISNUMBER(tblMatriculas[[#This Row],[% asistencia]]),NOT(ISNUMBER(SEARCH(pPrueba,tblMatriculas[[#This Row],[Nombre]]))))</f>
        <v>1</v>
      </c>
      <c r="R8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1" s="23" t="str" cm="1">
        <f t="array" ref="S8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1" s="23" t="str" cm="1">
        <f t="array" ref="T8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1" s="14" t="str" cm="1">
        <f t="array" ref="U8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1" t="str" cm="1">
        <f t="array" ref="V8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1" t="str" cm="1">
        <f t="array" ref="W8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1" t="str">
        <f>IF(COUNTIFS('Base Estudiantes'!$C:$C,tblMatriculas[[#This Row],[Cédula]],'Base Estudiantes'!$I:$I,tblMatriculas[[#This Row],[Código]])&gt;0,"Sí","No")</f>
        <v>Sí</v>
      </c>
      <c r="Z831" s="23" cm="1">
        <f t="array" ref="Z831">_xlfn.XLOOKUP(tblMatriculas[[#This Row],[Cédula]]&amp;"|"&amp;tblMatriculas[[#This Row],[Código]],tblBase[Documento]&amp;"|"&amp;tblBase[Código grupo],tblBase[Fecha matrícula],"")</f>
        <v>46263</v>
      </c>
    </row>
    <row r="832" spans="1:26" x14ac:dyDescent="0.2">
      <c r="A832" t="s">
        <v>1791</v>
      </c>
      <c r="B832" t="s">
        <v>1792</v>
      </c>
      <c r="C832" t="s">
        <v>13</v>
      </c>
      <c r="D832" t="s">
        <v>1775</v>
      </c>
      <c r="E832" t="s">
        <v>1776</v>
      </c>
      <c r="F832" t="s">
        <v>1453</v>
      </c>
      <c r="G832" s="1">
        <v>3.3000000000000002E-2</v>
      </c>
      <c r="H832" t="s">
        <v>225</v>
      </c>
      <c r="I832" t="s">
        <v>1580</v>
      </c>
      <c r="J832" t="s">
        <v>1777</v>
      </c>
      <c r="K832" t="s">
        <v>24</v>
      </c>
      <c r="L832" s="14">
        <f>IFERROR(VALUE(LEFT(tblMatriculas[[#This Row],[Clases]],FIND("/",tblMatriculas[[#This Row],[Clases]])-1)),"")</f>
        <v>1</v>
      </c>
      <c r="M832" s="14">
        <f>IFERROR(VALUE(MID(tblMatriculas[[#This Row],[Clases]],FIND("/",tblMatriculas[[#This Row],[Clases]])+1,5)),"")</f>
        <v>30</v>
      </c>
      <c r="N8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2" s="14">
        <f>IF(OR(tblMatriculas[[#This Row],[Estado]]&lt;&gt;"activa",tblMatriculas[[#This Row],[Clases dictadas]]=""),"",MAX(0,tblMatriculas[[#This Row],[Clases dictadas]]-tblMatriculas[[#This Row],[Asistidas]]))</f>
        <v>5</v>
      </c>
      <c r="P832" s="1">
        <f>IF(OR(tblMatriculas[[#This Row],[Estado]]&lt;&gt;"activa",tblMatriculas[[#This Row],[Asistidas]]=""),"",tblMatriculas[[#This Row],[Asistencia]])</f>
        <v>3.3000000000000002E-2</v>
      </c>
      <c r="Q832" t="b">
        <f>AND(tblMatriculas[[#This Row],[Estado]]="activa",ISNUMBER(tblMatriculas[[#This Row],[% asistencia]]),NOT(ISNUMBER(SEARCH(pPrueba,tblMatriculas[[#This Row],[Nombre]]))))</f>
        <v>1</v>
      </c>
      <c r="R8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32" s="23" t="str" cm="1">
        <f t="array" ref="S8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2" s="23" t="str" cm="1">
        <f t="array" ref="T8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2" s="14" t="str" cm="1">
        <f t="array" ref="U8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2" t="str" cm="1">
        <f t="array" ref="V8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2" t="str" cm="1">
        <f t="array" ref="W8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32" t="str">
        <f>IF(COUNTIFS('Base Estudiantes'!$C:$C,tblMatriculas[[#This Row],[Cédula]],'Base Estudiantes'!$I:$I,tblMatriculas[[#This Row],[Código]])&gt;0,"Sí","No")</f>
        <v>Sí</v>
      </c>
      <c r="Z832" s="23" cm="1">
        <f t="array" ref="Z832">_xlfn.XLOOKUP(tblMatriculas[[#This Row],[Cédula]]&amp;"|"&amp;tblMatriculas[[#This Row],[Código]],tblBase[Documento]&amp;"|"&amp;tblBase[Código grupo],tblBase[Fecha matrícula],"")</f>
        <v>46263</v>
      </c>
    </row>
    <row r="833" spans="1:26" x14ac:dyDescent="0.2">
      <c r="A833" t="s">
        <v>1793</v>
      </c>
      <c r="B833" t="s">
        <v>1794</v>
      </c>
      <c r="C833" t="s">
        <v>13</v>
      </c>
      <c r="D833" t="s">
        <v>1775</v>
      </c>
      <c r="E833" t="s">
        <v>1776</v>
      </c>
      <c r="F833" t="s">
        <v>1453</v>
      </c>
      <c r="G833" s="1">
        <v>0</v>
      </c>
      <c r="H833" t="s">
        <v>254</v>
      </c>
      <c r="I833" t="s">
        <v>1580</v>
      </c>
      <c r="J833" t="s">
        <v>1777</v>
      </c>
      <c r="K833" t="s">
        <v>24</v>
      </c>
      <c r="L833" s="14">
        <f>IFERROR(VALUE(LEFT(tblMatriculas[[#This Row],[Clases]],FIND("/",tblMatriculas[[#This Row],[Clases]])-1)),"")</f>
        <v>0</v>
      </c>
      <c r="M833" s="14">
        <f>IFERROR(VALUE(MID(tblMatriculas[[#This Row],[Clases]],FIND("/",tblMatriculas[[#This Row],[Clases]])+1,5)),"")</f>
        <v>30</v>
      </c>
      <c r="N8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3" s="14">
        <f>IF(OR(tblMatriculas[[#This Row],[Estado]]&lt;&gt;"activa",tblMatriculas[[#This Row],[Clases dictadas]]=""),"",MAX(0,tblMatriculas[[#This Row],[Clases dictadas]]-tblMatriculas[[#This Row],[Asistidas]]))</f>
        <v>6</v>
      </c>
      <c r="P833" s="1">
        <f>IF(OR(tblMatriculas[[#This Row],[Estado]]&lt;&gt;"activa",tblMatriculas[[#This Row],[Asistidas]]=""),"",tblMatriculas[[#This Row],[Asistencia]])</f>
        <v>0</v>
      </c>
      <c r="Q833" t="b">
        <f>AND(tblMatriculas[[#This Row],[Estado]]="activa",ISNUMBER(tblMatriculas[[#This Row],[% asistencia]]),NOT(ISNUMBER(SEARCH(pPrueba,tblMatriculas[[#This Row],[Nombre]]))))</f>
        <v>1</v>
      </c>
      <c r="R8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833" s="23" t="str" cm="1">
        <f t="array" ref="S8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3" s="23" t="str" cm="1">
        <f t="array" ref="T8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3" s="14" t="str" cm="1">
        <f t="array" ref="U8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3" t="str" cm="1">
        <f t="array" ref="V8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3" t="str" cm="1">
        <f t="array" ref="W8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83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833" t="str">
        <f>IF(COUNTIFS('Base Estudiantes'!$C:$C,tblMatriculas[[#This Row],[Cédula]],'Base Estudiantes'!$I:$I,tblMatriculas[[#This Row],[Código]])&gt;0,"Sí","No")</f>
        <v>Sí</v>
      </c>
      <c r="Z833" s="23" cm="1">
        <f t="array" ref="Z833">_xlfn.XLOOKUP(tblMatriculas[[#This Row],[Cédula]]&amp;"|"&amp;tblMatriculas[[#This Row],[Código]],tblBase[Documento]&amp;"|"&amp;tblBase[Código grupo],tblBase[Fecha matrícula],"")</f>
        <v>46263</v>
      </c>
    </row>
    <row r="834" spans="1:26" x14ac:dyDescent="0.2">
      <c r="A834" t="s">
        <v>1795</v>
      </c>
      <c r="B834" t="s">
        <v>1796</v>
      </c>
      <c r="C834" t="s">
        <v>13</v>
      </c>
      <c r="D834" t="s">
        <v>1775</v>
      </c>
      <c r="E834" t="s">
        <v>1776</v>
      </c>
      <c r="F834" t="s">
        <v>1453</v>
      </c>
      <c r="G834" s="1">
        <v>0.16699999999999998</v>
      </c>
      <c r="H834" t="s">
        <v>229</v>
      </c>
      <c r="I834" t="s">
        <v>1580</v>
      </c>
      <c r="J834" t="s">
        <v>1777</v>
      </c>
      <c r="K834" t="s">
        <v>24</v>
      </c>
      <c r="L834" s="14">
        <f>IFERROR(VALUE(LEFT(tblMatriculas[[#This Row],[Clases]],FIND("/",tblMatriculas[[#This Row],[Clases]])-1)),"")</f>
        <v>5</v>
      </c>
      <c r="M834" s="14">
        <f>IFERROR(VALUE(MID(tblMatriculas[[#This Row],[Clases]],FIND("/",tblMatriculas[[#This Row],[Clases]])+1,5)),"")</f>
        <v>30</v>
      </c>
      <c r="N8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4" s="14">
        <f>IF(OR(tblMatriculas[[#This Row],[Estado]]&lt;&gt;"activa",tblMatriculas[[#This Row],[Clases dictadas]]=""),"",MAX(0,tblMatriculas[[#This Row],[Clases dictadas]]-tblMatriculas[[#This Row],[Asistidas]]))</f>
        <v>1</v>
      </c>
      <c r="P834" s="1">
        <f>IF(OR(tblMatriculas[[#This Row],[Estado]]&lt;&gt;"activa",tblMatriculas[[#This Row],[Asistidas]]=""),"",tblMatriculas[[#This Row],[Asistencia]])</f>
        <v>0.16699999999999998</v>
      </c>
      <c r="Q834" t="b">
        <f>AND(tblMatriculas[[#This Row],[Estado]]="activa",ISNUMBER(tblMatriculas[[#This Row],[% asistencia]]),NOT(ISNUMBER(SEARCH(pPrueba,tblMatriculas[[#This Row],[Nombre]]))))</f>
        <v>1</v>
      </c>
      <c r="R8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4" s="23" t="str" cm="1">
        <f t="array" ref="S8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4" s="23" t="str" cm="1">
        <f t="array" ref="T8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4" s="14" t="str" cm="1">
        <f t="array" ref="U8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4" t="str" cm="1">
        <f t="array" ref="V8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4" t="str" cm="1">
        <f t="array" ref="W8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4" t="str">
        <f>IF(COUNTIFS('Base Estudiantes'!$C:$C,tblMatriculas[[#This Row],[Cédula]],'Base Estudiantes'!$I:$I,tblMatriculas[[#This Row],[Código]])&gt;0,"Sí","No")</f>
        <v>Sí</v>
      </c>
      <c r="Z834" s="23" cm="1">
        <f t="array" ref="Z834">_xlfn.XLOOKUP(tblMatriculas[[#This Row],[Cédula]]&amp;"|"&amp;tblMatriculas[[#This Row],[Código]],tblBase[Documento]&amp;"|"&amp;tblBase[Código grupo],tblBase[Fecha matrícula],"")</f>
        <v>46263</v>
      </c>
    </row>
    <row r="835" spans="1:26" x14ac:dyDescent="0.2">
      <c r="A835" t="s">
        <v>1797</v>
      </c>
      <c r="B835" t="s">
        <v>1798</v>
      </c>
      <c r="C835" t="s">
        <v>13</v>
      </c>
      <c r="D835" t="s">
        <v>1775</v>
      </c>
      <c r="E835" t="s">
        <v>1776</v>
      </c>
      <c r="F835" t="s">
        <v>1453</v>
      </c>
      <c r="G835" s="1">
        <v>0.2</v>
      </c>
      <c r="H835" t="s">
        <v>232</v>
      </c>
      <c r="I835" t="s">
        <v>1580</v>
      </c>
      <c r="J835" t="s">
        <v>1777</v>
      </c>
      <c r="K835" t="s">
        <v>24</v>
      </c>
      <c r="L835" s="14">
        <f>IFERROR(VALUE(LEFT(tblMatriculas[[#This Row],[Clases]],FIND("/",tblMatriculas[[#This Row],[Clases]])-1)),"")</f>
        <v>6</v>
      </c>
      <c r="M835" s="14">
        <f>IFERROR(VALUE(MID(tblMatriculas[[#This Row],[Clases]],FIND("/",tblMatriculas[[#This Row],[Clases]])+1,5)),"")</f>
        <v>30</v>
      </c>
      <c r="N8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5" s="14">
        <f>IF(OR(tblMatriculas[[#This Row],[Estado]]&lt;&gt;"activa",tblMatriculas[[#This Row],[Clases dictadas]]=""),"",MAX(0,tblMatriculas[[#This Row],[Clases dictadas]]-tblMatriculas[[#This Row],[Asistidas]]))</f>
        <v>0</v>
      </c>
      <c r="P835" s="1">
        <f>IF(OR(tblMatriculas[[#This Row],[Estado]]&lt;&gt;"activa",tblMatriculas[[#This Row],[Asistidas]]=""),"",tblMatriculas[[#This Row],[Asistencia]])</f>
        <v>0.2</v>
      </c>
      <c r="Q835" t="b">
        <f>AND(tblMatriculas[[#This Row],[Estado]]="activa",ISNUMBER(tblMatriculas[[#This Row],[% asistencia]]),NOT(ISNUMBER(SEARCH(pPrueba,tblMatriculas[[#This Row],[Nombre]]))))</f>
        <v>1</v>
      </c>
      <c r="R8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5" s="23" t="str" cm="1">
        <f t="array" ref="S8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5" s="23" t="str" cm="1">
        <f t="array" ref="T8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5" s="14" t="str" cm="1">
        <f t="array" ref="U8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5" t="str" cm="1">
        <f t="array" ref="V8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5" t="str" cm="1">
        <f t="array" ref="W8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5" t="str">
        <f>IF(COUNTIFS('Base Estudiantes'!$C:$C,tblMatriculas[[#This Row],[Cédula]],'Base Estudiantes'!$I:$I,tblMatriculas[[#This Row],[Código]])&gt;0,"Sí","No")</f>
        <v>Sí</v>
      </c>
      <c r="Z835" s="23" cm="1">
        <f t="array" ref="Z835">_xlfn.XLOOKUP(tblMatriculas[[#This Row],[Cédula]]&amp;"|"&amp;tblMatriculas[[#This Row],[Código]],tblBase[Documento]&amp;"|"&amp;tblBase[Código grupo],tblBase[Fecha matrícula],"")</f>
        <v>46263</v>
      </c>
    </row>
    <row r="836" spans="1:26" x14ac:dyDescent="0.2">
      <c r="A836" t="s">
        <v>1799</v>
      </c>
      <c r="B836" t="s">
        <v>1800</v>
      </c>
      <c r="C836" t="s">
        <v>49</v>
      </c>
      <c r="D836" t="s">
        <v>1775</v>
      </c>
      <c r="E836" t="s">
        <v>1776</v>
      </c>
      <c r="F836" t="s">
        <v>1453</v>
      </c>
      <c r="G836" s="1">
        <v>0</v>
      </c>
      <c r="H836" t="s">
        <v>254</v>
      </c>
      <c r="I836" t="s">
        <v>1580</v>
      </c>
      <c r="J836" t="s">
        <v>1777</v>
      </c>
      <c r="K836" t="s">
        <v>24</v>
      </c>
      <c r="L836" s="14">
        <f>IFERROR(VALUE(LEFT(tblMatriculas[[#This Row],[Clases]],FIND("/",tblMatriculas[[#This Row],[Clases]])-1)),"")</f>
        <v>0</v>
      </c>
      <c r="M836" s="14">
        <f>IFERROR(VALUE(MID(tblMatriculas[[#This Row],[Clases]],FIND("/",tblMatriculas[[#This Row],[Clases]])+1,5)),"")</f>
        <v>30</v>
      </c>
      <c r="N8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6" s="14" t="str">
        <f>IF(OR(tblMatriculas[[#This Row],[Estado]]&lt;&gt;"activa",tblMatriculas[[#This Row],[Clases dictadas]]=""),"",MAX(0,tblMatriculas[[#This Row],[Clases dictadas]]-tblMatriculas[[#This Row],[Asistidas]]))</f>
        <v/>
      </c>
      <c r="P836" s="1" t="str">
        <f>IF(OR(tblMatriculas[[#This Row],[Estado]]&lt;&gt;"activa",tblMatriculas[[#This Row],[Asistidas]]=""),"",tblMatriculas[[#This Row],[Asistencia]])</f>
        <v/>
      </c>
      <c r="Q836" t="b">
        <f>AND(tblMatriculas[[#This Row],[Estado]]="activa",ISNUMBER(tblMatriculas[[#This Row],[% asistencia]]),NOT(ISNUMBER(SEARCH(pPrueba,tblMatriculas[[#This Row],[Nombre]]))))</f>
        <v>0</v>
      </c>
      <c r="R8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36" s="23" t="str" cm="1">
        <f t="array" ref="S8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6" s="23" t="str" cm="1">
        <f t="array" ref="T8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6" s="14" t="str" cm="1">
        <f t="array" ref="U8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6" t="str" cm="1">
        <f t="array" ref="V8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6" t="str" cm="1">
        <f t="array" ref="W8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6" t="str">
        <f>IF(COUNTIFS('Base Estudiantes'!$C:$C,tblMatriculas[[#This Row],[Cédula]],'Base Estudiantes'!$I:$I,tblMatriculas[[#This Row],[Código]])&gt;0,"Sí","No")</f>
        <v>No</v>
      </c>
      <c r="Z836" s="23" t="str" cm="1">
        <f t="array" ref="Z836">_xlfn.XLOOKUP(tblMatriculas[[#This Row],[Cédula]]&amp;"|"&amp;tblMatriculas[[#This Row],[Código]],tblBase[Documento]&amp;"|"&amp;tblBase[Código grupo],tblBase[Fecha matrícula],"")</f>
        <v/>
      </c>
    </row>
    <row r="837" spans="1:26" x14ac:dyDescent="0.2">
      <c r="A837" t="s">
        <v>1801</v>
      </c>
      <c r="B837" t="s">
        <v>1802</v>
      </c>
      <c r="C837" t="s">
        <v>13</v>
      </c>
      <c r="D837" t="s">
        <v>1775</v>
      </c>
      <c r="E837" t="s">
        <v>1776</v>
      </c>
      <c r="F837" t="s">
        <v>1453</v>
      </c>
      <c r="G837" s="1">
        <v>0.16699999999999998</v>
      </c>
      <c r="H837" t="s">
        <v>229</v>
      </c>
      <c r="I837" t="s">
        <v>1580</v>
      </c>
      <c r="J837" t="s">
        <v>1777</v>
      </c>
      <c r="K837" t="s">
        <v>24</v>
      </c>
      <c r="L837" s="14">
        <f>IFERROR(VALUE(LEFT(tblMatriculas[[#This Row],[Clases]],FIND("/",tblMatriculas[[#This Row],[Clases]])-1)),"")</f>
        <v>5</v>
      </c>
      <c r="M837" s="14">
        <f>IFERROR(VALUE(MID(tblMatriculas[[#This Row],[Clases]],FIND("/",tblMatriculas[[#This Row],[Clases]])+1,5)),"")</f>
        <v>30</v>
      </c>
      <c r="N8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7" s="14">
        <f>IF(OR(tblMatriculas[[#This Row],[Estado]]&lt;&gt;"activa",tblMatriculas[[#This Row],[Clases dictadas]]=""),"",MAX(0,tblMatriculas[[#This Row],[Clases dictadas]]-tblMatriculas[[#This Row],[Asistidas]]))</f>
        <v>1</v>
      </c>
      <c r="P837" s="1">
        <f>IF(OR(tblMatriculas[[#This Row],[Estado]]&lt;&gt;"activa",tblMatriculas[[#This Row],[Asistidas]]=""),"",tblMatriculas[[#This Row],[Asistencia]])</f>
        <v>0.16699999999999998</v>
      </c>
      <c r="Q837" t="b">
        <f>AND(tblMatriculas[[#This Row],[Estado]]="activa",ISNUMBER(tblMatriculas[[#This Row],[% asistencia]]),NOT(ISNUMBER(SEARCH(pPrueba,tblMatriculas[[#This Row],[Nombre]]))))</f>
        <v>1</v>
      </c>
      <c r="R8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7" s="23" t="str" cm="1">
        <f t="array" ref="S8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7" s="23" t="str" cm="1">
        <f t="array" ref="T8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7" s="14" t="str" cm="1">
        <f t="array" ref="U8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7" t="str" cm="1">
        <f t="array" ref="V8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7" t="str" cm="1">
        <f t="array" ref="W8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7" t="str">
        <f>IF(COUNTIFS('Base Estudiantes'!$C:$C,tblMatriculas[[#This Row],[Cédula]],'Base Estudiantes'!$I:$I,tblMatriculas[[#This Row],[Código]])&gt;0,"Sí","No")</f>
        <v>Sí</v>
      </c>
      <c r="Z837" s="23" cm="1">
        <f t="array" ref="Z837">_xlfn.XLOOKUP(tblMatriculas[[#This Row],[Cédula]]&amp;"|"&amp;tblMatriculas[[#This Row],[Código]],tblBase[Documento]&amp;"|"&amp;tblBase[Código grupo],tblBase[Fecha matrícula],"")</f>
        <v>46263</v>
      </c>
    </row>
    <row r="838" spans="1:26" x14ac:dyDescent="0.2">
      <c r="A838" t="s">
        <v>1803</v>
      </c>
      <c r="B838" t="s">
        <v>1804</v>
      </c>
      <c r="C838" t="s">
        <v>13</v>
      </c>
      <c r="D838" t="s">
        <v>1775</v>
      </c>
      <c r="E838" t="s">
        <v>1776</v>
      </c>
      <c r="F838" t="s">
        <v>1453</v>
      </c>
      <c r="G838" s="1">
        <v>0.16699999999999998</v>
      </c>
      <c r="H838" t="s">
        <v>229</v>
      </c>
      <c r="I838" t="s">
        <v>1580</v>
      </c>
      <c r="J838" t="s">
        <v>1777</v>
      </c>
      <c r="K838" t="s">
        <v>24</v>
      </c>
      <c r="L838" s="14">
        <f>IFERROR(VALUE(LEFT(tblMatriculas[[#This Row],[Clases]],FIND("/",tblMatriculas[[#This Row],[Clases]])-1)),"")</f>
        <v>5</v>
      </c>
      <c r="M838" s="14">
        <f>IFERROR(VALUE(MID(tblMatriculas[[#This Row],[Clases]],FIND("/",tblMatriculas[[#This Row],[Clases]])+1,5)),"")</f>
        <v>30</v>
      </c>
      <c r="N8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8" s="14">
        <f>IF(OR(tblMatriculas[[#This Row],[Estado]]&lt;&gt;"activa",tblMatriculas[[#This Row],[Clases dictadas]]=""),"",MAX(0,tblMatriculas[[#This Row],[Clases dictadas]]-tblMatriculas[[#This Row],[Asistidas]]))</f>
        <v>1</v>
      </c>
      <c r="P838" s="1">
        <f>IF(OR(tblMatriculas[[#This Row],[Estado]]&lt;&gt;"activa",tblMatriculas[[#This Row],[Asistidas]]=""),"",tblMatriculas[[#This Row],[Asistencia]])</f>
        <v>0.16699999999999998</v>
      </c>
      <c r="Q838" t="b">
        <f>AND(tblMatriculas[[#This Row],[Estado]]="activa",ISNUMBER(tblMatriculas[[#This Row],[% asistencia]]),NOT(ISNUMBER(SEARCH(pPrueba,tblMatriculas[[#This Row],[Nombre]]))))</f>
        <v>1</v>
      </c>
      <c r="R8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8" s="23" t="str" cm="1">
        <f t="array" ref="S8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8" s="23" t="str" cm="1">
        <f t="array" ref="T8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8" s="14" t="str" cm="1">
        <f t="array" ref="U8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8" t="str" cm="1">
        <f t="array" ref="V8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8" t="str" cm="1">
        <f t="array" ref="W8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8" t="str">
        <f>IF(COUNTIFS('Base Estudiantes'!$C:$C,tblMatriculas[[#This Row],[Cédula]],'Base Estudiantes'!$I:$I,tblMatriculas[[#This Row],[Código]])&gt;0,"Sí","No")</f>
        <v>Sí</v>
      </c>
      <c r="Z838" s="23" cm="1">
        <f t="array" ref="Z838">_xlfn.XLOOKUP(tblMatriculas[[#This Row],[Cédula]]&amp;"|"&amp;tblMatriculas[[#This Row],[Código]],tblBase[Documento]&amp;"|"&amp;tblBase[Código grupo],tblBase[Fecha matrícula],"")</f>
        <v>46263</v>
      </c>
    </row>
    <row r="839" spans="1:26" x14ac:dyDescent="0.2">
      <c r="A839" t="s">
        <v>1805</v>
      </c>
      <c r="B839" t="s">
        <v>1806</v>
      </c>
      <c r="C839" t="s">
        <v>13</v>
      </c>
      <c r="D839" t="s">
        <v>1775</v>
      </c>
      <c r="E839" t="s">
        <v>1776</v>
      </c>
      <c r="F839" t="s">
        <v>1453</v>
      </c>
      <c r="G839" s="1">
        <v>0.2</v>
      </c>
      <c r="H839" t="s">
        <v>232</v>
      </c>
      <c r="I839" t="s">
        <v>1580</v>
      </c>
      <c r="J839" t="s">
        <v>1777</v>
      </c>
      <c r="K839" t="s">
        <v>24</v>
      </c>
      <c r="L839" s="14">
        <f>IFERROR(VALUE(LEFT(tblMatriculas[[#This Row],[Clases]],FIND("/",tblMatriculas[[#This Row],[Clases]])-1)),"")</f>
        <v>6</v>
      </c>
      <c r="M839" s="14">
        <f>IFERROR(VALUE(MID(tblMatriculas[[#This Row],[Clases]],FIND("/",tblMatriculas[[#This Row],[Clases]])+1,5)),"")</f>
        <v>30</v>
      </c>
      <c r="N8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39" s="14">
        <f>IF(OR(tblMatriculas[[#This Row],[Estado]]&lt;&gt;"activa",tblMatriculas[[#This Row],[Clases dictadas]]=""),"",MAX(0,tblMatriculas[[#This Row],[Clases dictadas]]-tblMatriculas[[#This Row],[Asistidas]]))</f>
        <v>0</v>
      </c>
      <c r="P839" s="1">
        <f>IF(OR(tblMatriculas[[#This Row],[Estado]]&lt;&gt;"activa",tblMatriculas[[#This Row],[Asistidas]]=""),"",tblMatriculas[[#This Row],[Asistencia]])</f>
        <v>0.2</v>
      </c>
      <c r="Q839" t="b">
        <f>AND(tblMatriculas[[#This Row],[Estado]]="activa",ISNUMBER(tblMatriculas[[#This Row],[% asistencia]]),NOT(ISNUMBER(SEARCH(pPrueba,tblMatriculas[[#This Row],[Nombre]]))))</f>
        <v>1</v>
      </c>
      <c r="R8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39" s="23" t="str" cm="1">
        <f t="array" ref="S8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39" s="23" t="str" cm="1">
        <f t="array" ref="T8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39" s="14" t="str" cm="1">
        <f t="array" ref="U8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39" t="str" cm="1">
        <f t="array" ref="V8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39" t="str" cm="1">
        <f t="array" ref="W8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39" t="str">
        <f>IF(COUNTIFS('Base Estudiantes'!$C:$C,tblMatriculas[[#This Row],[Cédula]],'Base Estudiantes'!$I:$I,tblMatriculas[[#This Row],[Código]])&gt;0,"Sí","No")</f>
        <v>Sí</v>
      </c>
      <c r="Z839" s="23" cm="1">
        <f t="array" ref="Z839">_xlfn.XLOOKUP(tblMatriculas[[#This Row],[Cédula]]&amp;"|"&amp;tblMatriculas[[#This Row],[Código]],tblBase[Documento]&amp;"|"&amp;tblBase[Código grupo],tblBase[Fecha matrícula],"")</f>
        <v>46263</v>
      </c>
    </row>
    <row r="840" spans="1:26" x14ac:dyDescent="0.2">
      <c r="A840" t="s">
        <v>1807</v>
      </c>
      <c r="B840" t="s">
        <v>1808</v>
      </c>
      <c r="C840" t="s">
        <v>13</v>
      </c>
      <c r="D840" t="s">
        <v>1775</v>
      </c>
      <c r="E840" t="s">
        <v>1776</v>
      </c>
      <c r="F840" t="s">
        <v>1453</v>
      </c>
      <c r="G840" s="1">
        <v>0.1</v>
      </c>
      <c r="H840" t="s">
        <v>117</v>
      </c>
      <c r="I840" t="s">
        <v>1580</v>
      </c>
      <c r="J840" t="s">
        <v>1777</v>
      </c>
      <c r="K840" t="s">
        <v>24</v>
      </c>
      <c r="L840" s="14">
        <f>IFERROR(VALUE(LEFT(tblMatriculas[[#This Row],[Clases]],FIND("/",tblMatriculas[[#This Row],[Clases]])-1)),"")</f>
        <v>3</v>
      </c>
      <c r="M840" s="14">
        <f>IFERROR(VALUE(MID(tblMatriculas[[#This Row],[Clases]],FIND("/",tblMatriculas[[#This Row],[Clases]])+1,5)),"")</f>
        <v>30</v>
      </c>
      <c r="N8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0" s="14">
        <f>IF(OR(tblMatriculas[[#This Row],[Estado]]&lt;&gt;"activa",tblMatriculas[[#This Row],[Clases dictadas]]=""),"",MAX(0,tblMatriculas[[#This Row],[Clases dictadas]]-tblMatriculas[[#This Row],[Asistidas]]))</f>
        <v>3</v>
      </c>
      <c r="P840" s="1">
        <f>IF(OR(tblMatriculas[[#This Row],[Estado]]&lt;&gt;"activa",tblMatriculas[[#This Row],[Asistidas]]=""),"",tblMatriculas[[#This Row],[Asistencia]])</f>
        <v>0.1</v>
      </c>
      <c r="Q840" t="b">
        <f>AND(tblMatriculas[[#This Row],[Estado]]="activa",ISNUMBER(tblMatriculas[[#This Row],[% asistencia]]),NOT(ISNUMBER(SEARCH(pPrueba,tblMatriculas[[#This Row],[Nombre]]))))</f>
        <v>1</v>
      </c>
      <c r="R8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0" s="23" t="str" cm="1">
        <f t="array" ref="S8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0" s="23" t="str" cm="1">
        <f t="array" ref="T8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0" s="14" t="str" cm="1">
        <f t="array" ref="U8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0" t="str" cm="1">
        <f t="array" ref="V8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0" t="str" cm="1">
        <f t="array" ref="W8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0" t="str">
        <f>IF(COUNTIFS('Base Estudiantes'!$C:$C,tblMatriculas[[#This Row],[Cédula]],'Base Estudiantes'!$I:$I,tblMatriculas[[#This Row],[Código]])&gt;0,"Sí","No")</f>
        <v>Sí</v>
      </c>
      <c r="Z840" s="23" cm="1">
        <f t="array" ref="Z840">_xlfn.XLOOKUP(tblMatriculas[[#This Row],[Cédula]]&amp;"|"&amp;tblMatriculas[[#This Row],[Código]],tblBase[Documento]&amp;"|"&amp;tblBase[Código grupo],tblBase[Fecha matrícula],"")</f>
        <v>46263</v>
      </c>
    </row>
    <row r="841" spans="1:26" x14ac:dyDescent="0.2">
      <c r="A841" t="s">
        <v>1809</v>
      </c>
      <c r="B841" t="s">
        <v>1810</v>
      </c>
      <c r="C841" t="s">
        <v>13</v>
      </c>
      <c r="D841" t="s">
        <v>1775</v>
      </c>
      <c r="E841" t="s">
        <v>1776</v>
      </c>
      <c r="F841" t="s">
        <v>1453</v>
      </c>
      <c r="G841" s="1">
        <v>0.2</v>
      </c>
      <c r="H841" t="s">
        <v>232</v>
      </c>
      <c r="I841" t="s">
        <v>1580</v>
      </c>
      <c r="J841" t="s">
        <v>1777</v>
      </c>
      <c r="K841" t="s">
        <v>24</v>
      </c>
      <c r="L841" s="14">
        <f>IFERROR(VALUE(LEFT(tblMatriculas[[#This Row],[Clases]],FIND("/",tblMatriculas[[#This Row],[Clases]])-1)),"")</f>
        <v>6</v>
      </c>
      <c r="M841" s="14">
        <f>IFERROR(VALUE(MID(tblMatriculas[[#This Row],[Clases]],FIND("/",tblMatriculas[[#This Row],[Clases]])+1,5)),"")</f>
        <v>30</v>
      </c>
      <c r="N8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1" s="14">
        <f>IF(OR(tblMatriculas[[#This Row],[Estado]]&lt;&gt;"activa",tblMatriculas[[#This Row],[Clases dictadas]]=""),"",MAX(0,tblMatriculas[[#This Row],[Clases dictadas]]-tblMatriculas[[#This Row],[Asistidas]]))</f>
        <v>0</v>
      </c>
      <c r="P841" s="1">
        <f>IF(OR(tblMatriculas[[#This Row],[Estado]]&lt;&gt;"activa",tblMatriculas[[#This Row],[Asistidas]]=""),"",tblMatriculas[[#This Row],[Asistencia]])</f>
        <v>0.2</v>
      </c>
      <c r="Q841" t="b">
        <f>AND(tblMatriculas[[#This Row],[Estado]]="activa",ISNUMBER(tblMatriculas[[#This Row],[% asistencia]]),NOT(ISNUMBER(SEARCH(pPrueba,tblMatriculas[[#This Row],[Nombre]]))))</f>
        <v>1</v>
      </c>
      <c r="R8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1" s="23" t="str" cm="1">
        <f t="array" ref="S8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1" s="23" t="str" cm="1">
        <f t="array" ref="T8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1" s="14" t="str" cm="1">
        <f t="array" ref="U8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1" t="str" cm="1">
        <f t="array" ref="V8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1" t="str" cm="1">
        <f t="array" ref="W8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1" t="str">
        <f>IF(COUNTIFS('Base Estudiantes'!$C:$C,tblMatriculas[[#This Row],[Cédula]],'Base Estudiantes'!$I:$I,tblMatriculas[[#This Row],[Código]])&gt;0,"Sí","No")</f>
        <v>Sí</v>
      </c>
      <c r="Z841" s="23" cm="1">
        <f t="array" ref="Z841">_xlfn.XLOOKUP(tblMatriculas[[#This Row],[Cédula]]&amp;"|"&amp;tblMatriculas[[#This Row],[Código]],tblBase[Documento]&amp;"|"&amp;tblBase[Código grupo],tblBase[Fecha matrícula],"")</f>
        <v>46263</v>
      </c>
    </row>
    <row r="842" spans="1:26" x14ac:dyDescent="0.2">
      <c r="A842" t="s">
        <v>1811</v>
      </c>
      <c r="B842" t="s">
        <v>1812</v>
      </c>
      <c r="C842" t="s">
        <v>13</v>
      </c>
      <c r="D842" t="s">
        <v>1775</v>
      </c>
      <c r="E842" t="s">
        <v>1776</v>
      </c>
      <c r="F842" t="s">
        <v>1453</v>
      </c>
      <c r="G842" s="1">
        <v>0.16699999999999998</v>
      </c>
      <c r="H842" t="s">
        <v>229</v>
      </c>
      <c r="I842" t="s">
        <v>1580</v>
      </c>
      <c r="J842" t="s">
        <v>1777</v>
      </c>
      <c r="K842" t="s">
        <v>24</v>
      </c>
      <c r="L842" s="14">
        <f>IFERROR(VALUE(LEFT(tblMatriculas[[#This Row],[Clases]],FIND("/",tblMatriculas[[#This Row],[Clases]])-1)),"")</f>
        <v>5</v>
      </c>
      <c r="M842" s="14">
        <f>IFERROR(VALUE(MID(tblMatriculas[[#This Row],[Clases]],FIND("/",tblMatriculas[[#This Row],[Clases]])+1,5)),"")</f>
        <v>30</v>
      </c>
      <c r="N8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2" s="14">
        <f>IF(OR(tblMatriculas[[#This Row],[Estado]]&lt;&gt;"activa",tblMatriculas[[#This Row],[Clases dictadas]]=""),"",MAX(0,tblMatriculas[[#This Row],[Clases dictadas]]-tblMatriculas[[#This Row],[Asistidas]]))</f>
        <v>1</v>
      </c>
      <c r="P842" s="1">
        <f>IF(OR(tblMatriculas[[#This Row],[Estado]]&lt;&gt;"activa",tblMatriculas[[#This Row],[Asistidas]]=""),"",tblMatriculas[[#This Row],[Asistencia]])</f>
        <v>0.16699999999999998</v>
      </c>
      <c r="Q842" t="b">
        <f>AND(tblMatriculas[[#This Row],[Estado]]="activa",ISNUMBER(tblMatriculas[[#This Row],[% asistencia]]),NOT(ISNUMBER(SEARCH(pPrueba,tblMatriculas[[#This Row],[Nombre]]))))</f>
        <v>1</v>
      </c>
      <c r="R8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2" s="23" t="str" cm="1">
        <f t="array" ref="S8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2" s="23" t="str" cm="1">
        <f t="array" ref="T8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2" s="14" t="str" cm="1">
        <f t="array" ref="U8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2" t="str" cm="1">
        <f t="array" ref="V8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2" t="str" cm="1">
        <f t="array" ref="W8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2" t="str">
        <f>IF(COUNTIFS('Base Estudiantes'!$C:$C,tblMatriculas[[#This Row],[Cédula]],'Base Estudiantes'!$I:$I,tblMatriculas[[#This Row],[Código]])&gt;0,"Sí","No")</f>
        <v>Sí</v>
      </c>
      <c r="Z842" s="23" cm="1">
        <f t="array" ref="Z842">_xlfn.XLOOKUP(tblMatriculas[[#This Row],[Cédula]]&amp;"|"&amp;tblMatriculas[[#This Row],[Código]],tblBase[Documento]&amp;"|"&amp;tblBase[Código grupo],tblBase[Fecha matrícula],"")</f>
        <v>46263</v>
      </c>
    </row>
    <row r="843" spans="1:26" x14ac:dyDescent="0.2">
      <c r="A843" t="s">
        <v>1813</v>
      </c>
      <c r="B843" t="s">
        <v>1814</v>
      </c>
      <c r="C843" t="s">
        <v>13</v>
      </c>
      <c r="D843" t="s">
        <v>1775</v>
      </c>
      <c r="E843" t="s">
        <v>1776</v>
      </c>
      <c r="F843" t="s">
        <v>1453</v>
      </c>
      <c r="G843" s="1">
        <v>0.13300000000000001</v>
      </c>
      <c r="H843" t="s">
        <v>112</v>
      </c>
      <c r="I843" t="s">
        <v>1580</v>
      </c>
      <c r="J843" t="s">
        <v>1777</v>
      </c>
      <c r="K843" t="s">
        <v>24</v>
      </c>
      <c r="L843" s="14">
        <f>IFERROR(VALUE(LEFT(tblMatriculas[[#This Row],[Clases]],FIND("/",tblMatriculas[[#This Row],[Clases]])-1)),"")</f>
        <v>4</v>
      </c>
      <c r="M843" s="14">
        <f>IFERROR(VALUE(MID(tblMatriculas[[#This Row],[Clases]],FIND("/",tblMatriculas[[#This Row],[Clases]])+1,5)),"")</f>
        <v>30</v>
      </c>
      <c r="N8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3" s="14">
        <f>IF(OR(tblMatriculas[[#This Row],[Estado]]&lt;&gt;"activa",tblMatriculas[[#This Row],[Clases dictadas]]=""),"",MAX(0,tblMatriculas[[#This Row],[Clases dictadas]]-tblMatriculas[[#This Row],[Asistidas]]))</f>
        <v>2</v>
      </c>
      <c r="P843" s="1">
        <f>IF(OR(tblMatriculas[[#This Row],[Estado]]&lt;&gt;"activa",tblMatriculas[[#This Row],[Asistidas]]=""),"",tblMatriculas[[#This Row],[Asistencia]])</f>
        <v>0.13300000000000001</v>
      </c>
      <c r="Q843" t="b">
        <f>AND(tblMatriculas[[#This Row],[Estado]]="activa",ISNUMBER(tblMatriculas[[#This Row],[% asistencia]]),NOT(ISNUMBER(SEARCH(pPrueba,tblMatriculas[[#This Row],[Nombre]]))))</f>
        <v>1</v>
      </c>
      <c r="R8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3" s="23" t="str" cm="1">
        <f t="array" ref="S8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3" s="23" t="str" cm="1">
        <f t="array" ref="T8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3" s="14" t="str" cm="1">
        <f t="array" ref="U8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3" t="str" cm="1">
        <f t="array" ref="V8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3" t="str" cm="1">
        <f t="array" ref="W8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3" t="str">
        <f>IF(COUNTIFS('Base Estudiantes'!$C:$C,tblMatriculas[[#This Row],[Cédula]],'Base Estudiantes'!$I:$I,tblMatriculas[[#This Row],[Código]])&gt;0,"Sí","No")</f>
        <v>Sí</v>
      </c>
      <c r="Z843" s="23" cm="1">
        <f t="array" ref="Z843">_xlfn.XLOOKUP(tblMatriculas[[#This Row],[Cédula]]&amp;"|"&amp;tblMatriculas[[#This Row],[Código]],tblBase[Documento]&amp;"|"&amp;tblBase[Código grupo],tblBase[Fecha matrícula],"")</f>
        <v>46263</v>
      </c>
    </row>
    <row r="844" spans="1:26" x14ac:dyDescent="0.2">
      <c r="A844" t="s">
        <v>1815</v>
      </c>
      <c r="B844" t="s">
        <v>1816</v>
      </c>
      <c r="C844" t="s">
        <v>13</v>
      </c>
      <c r="D844" t="s">
        <v>1775</v>
      </c>
      <c r="E844" t="s">
        <v>1776</v>
      </c>
      <c r="F844" t="s">
        <v>1453</v>
      </c>
      <c r="G844" s="1">
        <v>0.1</v>
      </c>
      <c r="H844" t="s">
        <v>117</v>
      </c>
      <c r="I844" t="s">
        <v>1580</v>
      </c>
      <c r="J844" t="s">
        <v>1777</v>
      </c>
      <c r="K844" t="s">
        <v>24</v>
      </c>
      <c r="L844" s="14">
        <f>IFERROR(VALUE(LEFT(tblMatriculas[[#This Row],[Clases]],FIND("/",tblMatriculas[[#This Row],[Clases]])-1)),"")</f>
        <v>3</v>
      </c>
      <c r="M844" s="14">
        <f>IFERROR(VALUE(MID(tblMatriculas[[#This Row],[Clases]],FIND("/",tblMatriculas[[#This Row],[Clases]])+1,5)),"")</f>
        <v>30</v>
      </c>
      <c r="N8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4" s="14">
        <f>IF(OR(tblMatriculas[[#This Row],[Estado]]&lt;&gt;"activa",tblMatriculas[[#This Row],[Clases dictadas]]=""),"",MAX(0,tblMatriculas[[#This Row],[Clases dictadas]]-tblMatriculas[[#This Row],[Asistidas]]))</f>
        <v>3</v>
      </c>
      <c r="P844" s="1">
        <f>IF(OR(tblMatriculas[[#This Row],[Estado]]&lt;&gt;"activa",tblMatriculas[[#This Row],[Asistidas]]=""),"",tblMatriculas[[#This Row],[Asistencia]])</f>
        <v>0.1</v>
      </c>
      <c r="Q844" t="b">
        <f>AND(tblMatriculas[[#This Row],[Estado]]="activa",ISNUMBER(tblMatriculas[[#This Row],[% asistencia]]),NOT(ISNUMBER(SEARCH(pPrueba,tblMatriculas[[#This Row],[Nombre]]))))</f>
        <v>1</v>
      </c>
      <c r="R8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4" s="23" t="str" cm="1">
        <f t="array" ref="S8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4" s="23" t="str" cm="1">
        <f t="array" ref="T8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4" s="14" t="str" cm="1">
        <f t="array" ref="U8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4" t="str" cm="1">
        <f t="array" ref="V8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4" t="str" cm="1">
        <f t="array" ref="W8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4" t="str">
        <f>IF(COUNTIFS('Base Estudiantes'!$C:$C,tblMatriculas[[#This Row],[Cédula]],'Base Estudiantes'!$I:$I,tblMatriculas[[#This Row],[Código]])&gt;0,"Sí","No")</f>
        <v>Sí</v>
      </c>
      <c r="Z844" s="23" cm="1">
        <f t="array" ref="Z844">_xlfn.XLOOKUP(tblMatriculas[[#This Row],[Cédula]]&amp;"|"&amp;tblMatriculas[[#This Row],[Código]],tblBase[Documento]&amp;"|"&amp;tblBase[Código grupo],tblBase[Fecha matrícula],"")</f>
        <v>46263</v>
      </c>
    </row>
    <row r="845" spans="1:26" x14ac:dyDescent="0.2">
      <c r="A845" t="s">
        <v>1817</v>
      </c>
      <c r="B845" t="s">
        <v>1818</v>
      </c>
      <c r="C845" t="s">
        <v>13</v>
      </c>
      <c r="D845" t="s">
        <v>1775</v>
      </c>
      <c r="E845" t="s">
        <v>1776</v>
      </c>
      <c r="F845" t="s">
        <v>1453</v>
      </c>
      <c r="G845" s="1">
        <v>0.2</v>
      </c>
      <c r="H845" t="s">
        <v>232</v>
      </c>
      <c r="I845" t="s">
        <v>1580</v>
      </c>
      <c r="J845" t="s">
        <v>1777</v>
      </c>
      <c r="K845" t="s">
        <v>24</v>
      </c>
      <c r="L845" s="14">
        <f>IFERROR(VALUE(LEFT(tblMatriculas[[#This Row],[Clases]],FIND("/",tblMatriculas[[#This Row],[Clases]])-1)),"")</f>
        <v>6</v>
      </c>
      <c r="M845" s="14">
        <f>IFERROR(VALUE(MID(tblMatriculas[[#This Row],[Clases]],FIND("/",tblMatriculas[[#This Row],[Clases]])+1,5)),"")</f>
        <v>30</v>
      </c>
      <c r="N8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5" s="14">
        <f>IF(OR(tblMatriculas[[#This Row],[Estado]]&lt;&gt;"activa",tblMatriculas[[#This Row],[Clases dictadas]]=""),"",MAX(0,tblMatriculas[[#This Row],[Clases dictadas]]-tblMatriculas[[#This Row],[Asistidas]]))</f>
        <v>0</v>
      </c>
      <c r="P845" s="1">
        <f>IF(OR(tblMatriculas[[#This Row],[Estado]]&lt;&gt;"activa",tblMatriculas[[#This Row],[Asistidas]]=""),"",tblMatriculas[[#This Row],[Asistencia]])</f>
        <v>0.2</v>
      </c>
      <c r="Q845" t="b">
        <f>AND(tblMatriculas[[#This Row],[Estado]]="activa",ISNUMBER(tblMatriculas[[#This Row],[% asistencia]]),NOT(ISNUMBER(SEARCH(pPrueba,tblMatriculas[[#This Row],[Nombre]]))))</f>
        <v>1</v>
      </c>
      <c r="R8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5" s="23" t="str" cm="1">
        <f t="array" ref="S8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5" s="23" t="str" cm="1">
        <f t="array" ref="T8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5" s="14" t="str" cm="1">
        <f t="array" ref="U8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5" t="str" cm="1">
        <f t="array" ref="V8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5" t="str" cm="1">
        <f t="array" ref="W8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5" t="str">
        <f>IF(COUNTIFS('Base Estudiantes'!$C:$C,tblMatriculas[[#This Row],[Cédula]],'Base Estudiantes'!$I:$I,tblMatriculas[[#This Row],[Código]])&gt;0,"Sí","No")</f>
        <v>Sí</v>
      </c>
      <c r="Z845" s="23" cm="1">
        <f t="array" ref="Z845">_xlfn.XLOOKUP(tblMatriculas[[#This Row],[Cédula]]&amp;"|"&amp;tblMatriculas[[#This Row],[Código]],tblBase[Documento]&amp;"|"&amp;tblBase[Código grupo],tblBase[Fecha matrícula],"")</f>
        <v>46263</v>
      </c>
    </row>
    <row r="846" spans="1:26" x14ac:dyDescent="0.2">
      <c r="A846" t="s">
        <v>1819</v>
      </c>
      <c r="B846" t="s">
        <v>1820</v>
      </c>
      <c r="C846" t="s">
        <v>13</v>
      </c>
      <c r="D846" t="s">
        <v>1775</v>
      </c>
      <c r="E846" t="s">
        <v>1776</v>
      </c>
      <c r="F846" t="s">
        <v>1453</v>
      </c>
      <c r="G846" s="1">
        <v>0.2</v>
      </c>
      <c r="H846" t="s">
        <v>232</v>
      </c>
      <c r="I846" t="s">
        <v>1580</v>
      </c>
      <c r="J846" t="s">
        <v>1777</v>
      </c>
      <c r="K846" t="s">
        <v>24</v>
      </c>
      <c r="L846" s="14">
        <f>IFERROR(VALUE(LEFT(tblMatriculas[[#This Row],[Clases]],FIND("/",tblMatriculas[[#This Row],[Clases]])-1)),"")</f>
        <v>6</v>
      </c>
      <c r="M846" s="14">
        <f>IFERROR(VALUE(MID(tblMatriculas[[#This Row],[Clases]],FIND("/",tblMatriculas[[#This Row],[Clases]])+1,5)),"")</f>
        <v>30</v>
      </c>
      <c r="N8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6" s="14">
        <f>IF(OR(tblMatriculas[[#This Row],[Estado]]&lt;&gt;"activa",tblMatriculas[[#This Row],[Clases dictadas]]=""),"",MAX(0,tblMatriculas[[#This Row],[Clases dictadas]]-tblMatriculas[[#This Row],[Asistidas]]))</f>
        <v>0</v>
      </c>
      <c r="P846" s="1">
        <f>IF(OR(tblMatriculas[[#This Row],[Estado]]&lt;&gt;"activa",tblMatriculas[[#This Row],[Asistidas]]=""),"",tblMatriculas[[#This Row],[Asistencia]])</f>
        <v>0.2</v>
      </c>
      <c r="Q846" t="b">
        <f>AND(tblMatriculas[[#This Row],[Estado]]="activa",ISNUMBER(tblMatriculas[[#This Row],[% asistencia]]),NOT(ISNUMBER(SEARCH(pPrueba,tblMatriculas[[#This Row],[Nombre]]))))</f>
        <v>1</v>
      </c>
      <c r="R8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6" s="23" t="str" cm="1">
        <f t="array" ref="S8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6" s="23" t="str" cm="1">
        <f t="array" ref="T8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6" s="14" t="str" cm="1">
        <f t="array" ref="U8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6" t="str" cm="1">
        <f t="array" ref="V8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6" t="str" cm="1">
        <f t="array" ref="W8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6" t="str">
        <f>IF(COUNTIFS('Base Estudiantes'!$C:$C,tblMatriculas[[#This Row],[Cédula]],'Base Estudiantes'!$I:$I,tblMatriculas[[#This Row],[Código]])&gt;0,"Sí","No")</f>
        <v>Sí</v>
      </c>
      <c r="Z846" s="23" cm="1">
        <f t="array" ref="Z846">_xlfn.XLOOKUP(tblMatriculas[[#This Row],[Cédula]]&amp;"|"&amp;tblMatriculas[[#This Row],[Código]],tblBase[Documento]&amp;"|"&amp;tblBase[Código grupo],tblBase[Fecha matrícula],"")</f>
        <v>46263</v>
      </c>
    </row>
    <row r="847" spans="1:26" x14ac:dyDescent="0.2">
      <c r="A847" t="s">
        <v>1821</v>
      </c>
      <c r="B847" t="s">
        <v>1822</v>
      </c>
      <c r="C847" t="s">
        <v>13</v>
      </c>
      <c r="D847" t="s">
        <v>1775</v>
      </c>
      <c r="E847" t="s">
        <v>1776</v>
      </c>
      <c r="F847" t="s">
        <v>1453</v>
      </c>
      <c r="G847" s="1">
        <v>0.2</v>
      </c>
      <c r="H847" t="s">
        <v>232</v>
      </c>
      <c r="I847" t="s">
        <v>1580</v>
      </c>
      <c r="J847" t="s">
        <v>1777</v>
      </c>
      <c r="K847" t="s">
        <v>24</v>
      </c>
      <c r="L847" s="14">
        <f>IFERROR(VALUE(LEFT(tblMatriculas[[#This Row],[Clases]],FIND("/",tblMatriculas[[#This Row],[Clases]])-1)),"")</f>
        <v>6</v>
      </c>
      <c r="M847" s="14">
        <f>IFERROR(VALUE(MID(tblMatriculas[[#This Row],[Clases]],FIND("/",tblMatriculas[[#This Row],[Clases]])+1,5)),"")</f>
        <v>30</v>
      </c>
      <c r="N8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7" s="14">
        <f>IF(OR(tblMatriculas[[#This Row],[Estado]]&lt;&gt;"activa",tblMatriculas[[#This Row],[Clases dictadas]]=""),"",MAX(0,tblMatriculas[[#This Row],[Clases dictadas]]-tblMatriculas[[#This Row],[Asistidas]]))</f>
        <v>0</v>
      </c>
      <c r="P847" s="1">
        <f>IF(OR(tblMatriculas[[#This Row],[Estado]]&lt;&gt;"activa",tblMatriculas[[#This Row],[Asistidas]]=""),"",tblMatriculas[[#This Row],[Asistencia]])</f>
        <v>0.2</v>
      </c>
      <c r="Q847" t="b">
        <f>AND(tblMatriculas[[#This Row],[Estado]]="activa",ISNUMBER(tblMatriculas[[#This Row],[% asistencia]]),NOT(ISNUMBER(SEARCH(pPrueba,tblMatriculas[[#This Row],[Nombre]]))))</f>
        <v>1</v>
      </c>
      <c r="R8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7" s="23" t="str" cm="1">
        <f t="array" ref="S8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7" s="23" t="str" cm="1">
        <f t="array" ref="T8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7" s="14" t="str" cm="1">
        <f t="array" ref="U8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7" t="str" cm="1">
        <f t="array" ref="V8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7" t="str" cm="1">
        <f t="array" ref="W8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7" t="str">
        <f>IF(COUNTIFS('Base Estudiantes'!$C:$C,tblMatriculas[[#This Row],[Cédula]],'Base Estudiantes'!$I:$I,tblMatriculas[[#This Row],[Código]])&gt;0,"Sí","No")</f>
        <v>Sí</v>
      </c>
      <c r="Z847" s="23" cm="1">
        <f t="array" ref="Z847">_xlfn.XLOOKUP(tblMatriculas[[#This Row],[Cédula]]&amp;"|"&amp;tblMatriculas[[#This Row],[Código]],tblBase[Documento]&amp;"|"&amp;tblBase[Código grupo],tblBase[Fecha matrícula],"")</f>
        <v>46263</v>
      </c>
    </row>
    <row r="848" spans="1:26" x14ac:dyDescent="0.2">
      <c r="A848" t="s">
        <v>1823</v>
      </c>
      <c r="B848" t="s">
        <v>1824</v>
      </c>
      <c r="C848" t="s">
        <v>13</v>
      </c>
      <c r="D848" t="s">
        <v>1775</v>
      </c>
      <c r="E848" t="s">
        <v>1776</v>
      </c>
      <c r="F848" t="s">
        <v>1453</v>
      </c>
      <c r="G848" s="1">
        <v>0.2</v>
      </c>
      <c r="H848" t="s">
        <v>232</v>
      </c>
      <c r="I848" t="s">
        <v>1580</v>
      </c>
      <c r="J848" t="s">
        <v>1777</v>
      </c>
      <c r="K848" t="s">
        <v>24</v>
      </c>
      <c r="L848" s="14">
        <f>IFERROR(VALUE(LEFT(tblMatriculas[[#This Row],[Clases]],FIND("/",tblMatriculas[[#This Row],[Clases]])-1)),"")</f>
        <v>6</v>
      </c>
      <c r="M848" s="14">
        <f>IFERROR(VALUE(MID(tblMatriculas[[#This Row],[Clases]],FIND("/",tblMatriculas[[#This Row],[Clases]])+1,5)),"")</f>
        <v>30</v>
      </c>
      <c r="N8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8" s="14">
        <f>IF(OR(tblMatriculas[[#This Row],[Estado]]&lt;&gt;"activa",tblMatriculas[[#This Row],[Clases dictadas]]=""),"",MAX(0,tblMatriculas[[#This Row],[Clases dictadas]]-tblMatriculas[[#This Row],[Asistidas]]))</f>
        <v>0</v>
      </c>
      <c r="P848" s="1">
        <f>IF(OR(tblMatriculas[[#This Row],[Estado]]&lt;&gt;"activa",tblMatriculas[[#This Row],[Asistidas]]=""),"",tblMatriculas[[#This Row],[Asistencia]])</f>
        <v>0.2</v>
      </c>
      <c r="Q848" t="b">
        <f>AND(tblMatriculas[[#This Row],[Estado]]="activa",ISNUMBER(tblMatriculas[[#This Row],[% asistencia]]),NOT(ISNUMBER(SEARCH(pPrueba,tblMatriculas[[#This Row],[Nombre]]))))</f>
        <v>1</v>
      </c>
      <c r="R8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8" s="23" t="str" cm="1">
        <f t="array" ref="S8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8" s="23" t="str" cm="1">
        <f t="array" ref="T8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8" s="14" t="str" cm="1">
        <f t="array" ref="U8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8" t="str" cm="1">
        <f t="array" ref="V8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8" t="str" cm="1">
        <f t="array" ref="W8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8" t="str">
        <f>IF(COUNTIFS('Base Estudiantes'!$C:$C,tblMatriculas[[#This Row],[Cédula]],'Base Estudiantes'!$I:$I,tblMatriculas[[#This Row],[Código]])&gt;0,"Sí","No")</f>
        <v>Sí</v>
      </c>
      <c r="Z848" s="23" cm="1">
        <f t="array" ref="Z848">_xlfn.XLOOKUP(tblMatriculas[[#This Row],[Cédula]]&amp;"|"&amp;tblMatriculas[[#This Row],[Código]],tblBase[Documento]&amp;"|"&amp;tblBase[Código grupo],tblBase[Fecha matrícula],"")</f>
        <v>46263</v>
      </c>
    </row>
    <row r="849" spans="1:26" x14ac:dyDescent="0.2">
      <c r="A849" t="s">
        <v>1825</v>
      </c>
      <c r="B849" t="s">
        <v>1826</v>
      </c>
      <c r="C849" t="s">
        <v>13</v>
      </c>
      <c r="D849" t="s">
        <v>1775</v>
      </c>
      <c r="E849" t="s">
        <v>1776</v>
      </c>
      <c r="F849" t="s">
        <v>1453</v>
      </c>
      <c r="G849" s="1">
        <v>0.2</v>
      </c>
      <c r="H849" t="s">
        <v>232</v>
      </c>
      <c r="I849" t="s">
        <v>1580</v>
      </c>
      <c r="J849" t="s">
        <v>1777</v>
      </c>
      <c r="K849" t="s">
        <v>24</v>
      </c>
      <c r="L849" s="14">
        <f>IFERROR(VALUE(LEFT(tblMatriculas[[#This Row],[Clases]],FIND("/",tblMatriculas[[#This Row],[Clases]])-1)),"")</f>
        <v>6</v>
      </c>
      <c r="M849" s="14">
        <f>IFERROR(VALUE(MID(tblMatriculas[[#This Row],[Clases]],FIND("/",tblMatriculas[[#This Row],[Clases]])+1,5)),"")</f>
        <v>30</v>
      </c>
      <c r="N8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49" s="14">
        <f>IF(OR(tblMatriculas[[#This Row],[Estado]]&lt;&gt;"activa",tblMatriculas[[#This Row],[Clases dictadas]]=""),"",MAX(0,tblMatriculas[[#This Row],[Clases dictadas]]-tblMatriculas[[#This Row],[Asistidas]]))</f>
        <v>0</v>
      </c>
      <c r="P849" s="1">
        <f>IF(OR(tblMatriculas[[#This Row],[Estado]]&lt;&gt;"activa",tblMatriculas[[#This Row],[Asistidas]]=""),"",tblMatriculas[[#This Row],[Asistencia]])</f>
        <v>0.2</v>
      </c>
      <c r="Q849" t="b">
        <f>AND(tblMatriculas[[#This Row],[Estado]]="activa",ISNUMBER(tblMatriculas[[#This Row],[% asistencia]]),NOT(ISNUMBER(SEARCH(pPrueba,tblMatriculas[[#This Row],[Nombre]]))))</f>
        <v>1</v>
      </c>
      <c r="R8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49" s="23" t="str" cm="1">
        <f t="array" ref="S8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49" s="23" t="str" cm="1">
        <f t="array" ref="T8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49" s="14" t="str" cm="1">
        <f t="array" ref="U8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49" t="str" cm="1">
        <f t="array" ref="V8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49" t="str" cm="1">
        <f t="array" ref="W8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49" t="str">
        <f>IF(COUNTIFS('Base Estudiantes'!$C:$C,tblMatriculas[[#This Row],[Cédula]],'Base Estudiantes'!$I:$I,tblMatriculas[[#This Row],[Código]])&gt;0,"Sí","No")</f>
        <v>Sí</v>
      </c>
      <c r="Z849" s="23" cm="1">
        <f t="array" ref="Z849">_xlfn.XLOOKUP(tblMatriculas[[#This Row],[Cédula]]&amp;"|"&amp;tblMatriculas[[#This Row],[Código]],tblBase[Documento]&amp;"|"&amp;tblBase[Código grupo],tblBase[Fecha matrícula],"")</f>
        <v>46263</v>
      </c>
    </row>
    <row r="850" spans="1:26" x14ac:dyDescent="0.2">
      <c r="A850" t="s">
        <v>1827</v>
      </c>
      <c r="B850" t="s">
        <v>1828</v>
      </c>
      <c r="C850" t="s">
        <v>13</v>
      </c>
      <c r="D850" t="s">
        <v>1775</v>
      </c>
      <c r="E850" t="s">
        <v>1776</v>
      </c>
      <c r="F850" t="s">
        <v>1453</v>
      </c>
      <c r="G850" s="1">
        <v>0.2</v>
      </c>
      <c r="H850" t="s">
        <v>232</v>
      </c>
      <c r="I850" t="s">
        <v>1580</v>
      </c>
      <c r="J850" t="s">
        <v>1777</v>
      </c>
      <c r="K850" t="s">
        <v>24</v>
      </c>
      <c r="L850" s="14">
        <f>IFERROR(VALUE(LEFT(tblMatriculas[[#This Row],[Clases]],FIND("/",tblMatriculas[[#This Row],[Clases]])-1)),"")</f>
        <v>6</v>
      </c>
      <c r="M850" s="14">
        <f>IFERROR(VALUE(MID(tblMatriculas[[#This Row],[Clases]],FIND("/",tblMatriculas[[#This Row],[Clases]])+1,5)),"")</f>
        <v>30</v>
      </c>
      <c r="N8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0" s="14">
        <f>IF(OR(tblMatriculas[[#This Row],[Estado]]&lt;&gt;"activa",tblMatriculas[[#This Row],[Clases dictadas]]=""),"",MAX(0,tblMatriculas[[#This Row],[Clases dictadas]]-tblMatriculas[[#This Row],[Asistidas]]))</f>
        <v>0</v>
      </c>
      <c r="P850" s="1">
        <f>IF(OR(tblMatriculas[[#This Row],[Estado]]&lt;&gt;"activa",tblMatriculas[[#This Row],[Asistidas]]=""),"",tblMatriculas[[#This Row],[Asistencia]])</f>
        <v>0.2</v>
      </c>
      <c r="Q850" t="b">
        <f>AND(tblMatriculas[[#This Row],[Estado]]="activa",ISNUMBER(tblMatriculas[[#This Row],[% asistencia]]),NOT(ISNUMBER(SEARCH(pPrueba,tblMatriculas[[#This Row],[Nombre]]))))</f>
        <v>1</v>
      </c>
      <c r="R8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0" s="23" t="str" cm="1">
        <f t="array" ref="S8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0" s="23" t="str" cm="1">
        <f t="array" ref="T8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0" s="14" t="str" cm="1">
        <f t="array" ref="U8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0" t="str" cm="1">
        <f t="array" ref="V8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0" t="str" cm="1">
        <f t="array" ref="W8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0" t="str">
        <f>IF(COUNTIFS('Base Estudiantes'!$C:$C,tblMatriculas[[#This Row],[Cédula]],'Base Estudiantes'!$I:$I,tblMatriculas[[#This Row],[Código]])&gt;0,"Sí","No")</f>
        <v>Sí</v>
      </c>
      <c r="Z850" s="23" cm="1">
        <f t="array" ref="Z850">_xlfn.XLOOKUP(tblMatriculas[[#This Row],[Cédula]]&amp;"|"&amp;tblMatriculas[[#This Row],[Código]],tblBase[Documento]&amp;"|"&amp;tblBase[Código grupo],tblBase[Fecha matrícula],"")</f>
        <v>46263</v>
      </c>
    </row>
    <row r="851" spans="1:26" x14ac:dyDescent="0.2">
      <c r="A851" t="s">
        <v>1829</v>
      </c>
      <c r="B851" t="s">
        <v>1830</v>
      </c>
      <c r="C851" t="s">
        <v>13</v>
      </c>
      <c r="D851" t="s">
        <v>1775</v>
      </c>
      <c r="E851" t="s">
        <v>1776</v>
      </c>
      <c r="F851" t="s">
        <v>1453</v>
      </c>
      <c r="G851" s="1">
        <v>0.2</v>
      </c>
      <c r="H851" t="s">
        <v>232</v>
      </c>
      <c r="I851" t="s">
        <v>1580</v>
      </c>
      <c r="J851" t="s">
        <v>1777</v>
      </c>
      <c r="K851" t="s">
        <v>24</v>
      </c>
      <c r="L851" s="14">
        <f>IFERROR(VALUE(LEFT(tblMatriculas[[#This Row],[Clases]],FIND("/",tblMatriculas[[#This Row],[Clases]])-1)),"")</f>
        <v>6</v>
      </c>
      <c r="M851" s="14">
        <f>IFERROR(VALUE(MID(tblMatriculas[[#This Row],[Clases]],FIND("/",tblMatriculas[[#This Row],[Clases]])+1,5)),"")</f>
        <v>30</v>
      </c>
      <c r="N8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1" s="14">
        <f>IF(OR(tblMatriculas[[#This Row],[Estado]]&lt;&gt;"activa",tblMatriculas[[#This Row],[Clases dictadas]]=""),"",MAX(0,tblMatriculas[[#This Row],[Clases dictadas]]-tblMatriculas[[#This Row],[Asistidas]]))</f>
        <v>0</v>
      </c>
      <c r="P851" s="1">
        <f>IF(OR(tblMatriculas[[#This Row],[Estado]]&lt;&gt;"activa",tblMatriculas[[#This Row],[Asistidas]]=""),"",tblMatriculas[[#This Row],[Asistencia]])</f>
        <v>0.2</v>
      </c>
      <c r="Q851" t="b">
        <f>AND(tblMatriculas[[#This Row],[Estado]]="activa",ISNUMBER(tblMatriculas[[#This Row],[% asistencia]]),NOT(ISNUMBER(SEARCH(pPrueba,tblMatriculas[[#This Row],[Nombre]]))))</f>
        <v>1</v>
      </c>
      <c r="R8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1" s="23" t="str" cm="1">
        <f t="array" ref="S8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1" s="23" t="str" cm="1">
        <f t="array" ref="T8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1" s="14" t="str" cm="1">
        <f t="array" ref="U8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1" t="str" cm="1">
        <f t="array" ref="V8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1" t="str" cm="1">
        <f t="array" ref="W8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1" t="str">
        <f>IF(COUNTIFS('Base Estudiantes'!$C:$C,tblMatriculas[[#This Row],[Cédula]],'Base Estudiantes'!$I:$I,tblMatriculas[[#This Row],[Código]])&gt;0,"Sí","No")</f>
        <v>Sí</v>
      </c>
      <c r="Z851" s="23" cm="1">
        <f t="array" ref="Z851">_xlfn.XLOOKUP(tblMatriculas[[#This Row],[Cédula]]&amp;"|"&amp;tblMatriculas[[#This Row],[Código]],tblBase[Documento]&amp;"|"&amp;tblBase[Código grupo],tblBase[Fecha matrícula],"")</f>
        <v>46263</v>
      </c>
    </row>
    <row r="852" spans="1:26" x14ac:dyDescent="0.2">
      <c r="A852" t="s">
        <v>1831</v>
      </c>
      <c r="B852" t="s">
        <v>1832</v>
      </c>
      <c r="C852" t="s">
        <v>13</v>
      </c>
      <c r="D852" t="s">
        <v>1775</v>
      </c>
      <c r="E852" t="s">
        <v>1776</v>
      </c>
      <c r="F852" t="s">
        <v>1453</v>
      </c>
      <c r="G852" s="1">
        <v>0.16699999999999998</v>
      </c>
      <c r="H852" t="s">
        <v>229</v>
      </c>
      <c r="I852" t="s">
        <v>1580</v>
      </c>
      <c r="J852" t="s">
        <v>1777</v>
      </c>
      <c r="K852" t="s">
        <v>24</v>
      </c>
      <c r="L852" s="14">
        <f>IFERROR(VALUE(LEFT(tblMatriculas[[#This Row],[Clases]],FIND("/",tblMatriculas[[#This Row],[Clases]])-1)),"")</f>
        <v>5</v>
      </c>
      <c r="M852" s="14">
        <f>IFERROR(VALUE(MID(tblMatriculas[[#This Row],[Clases]],FIND("/",tblMatriculas[[#This Row],[Clases]])+1,5)),"")</f>
        <v>30</v>
      </c>
      <c r="N8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2" s="14">
        <f>IF(OR(tblMatriculas[[#This Row],[Estado]]&lt;&gt;"activa",tblMatriculas[[#This Row],[Clases dictadas]]=""),"",MAX(0,tblMatriculas[[#This Row],[Clases dictadas]]-tblMatriculas[[#This Row],[Asistidas]]))</f>
        <v>1</v>
      </c>
      <c r="P852" s="1">
        <f>IF(OR(tblMatriculas[[#This Row],[Estado]]&lt;&gt;"activa",tblMatriculas[[#This Row],[Asistidas]]=""),"",tblMatriculas[[#This Row],[Asistencia]])</f>
        <v>0.16699999999999998</v>
      </c>
      <c r="Q852" t="b">
        <f>AND(tblMatriculas[[#This Row],[Estado]]="activa",ISNUMBER(tblMatriculas[[#This Row],[% asistencia]]),NOT(ISNUMBER(SEARCH(pPrueba,tblMatriculas[[#This Row],[Nombre]]))))</f>
        <v>1</v>
      </c>
      <c r="R8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2" s="23" t="str" cm="1">
        <f t="array" ref="S8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2" s="23" t="str" cm="1">
        <f t="array" ref="T8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2" s="14" t="str" cm="1">
        <f t="array" ref="U8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2" t="str" cm="1">
        <f t="array" ref="V8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2" t="str" cm="1">
        <f t="array" ref="W8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2" t="str">
        <f>IF(COUNTIFS('Base Estudiantes'!$C:$C,tblMatriculas[[#This Row],[Cédula]],'Base Estudiantes'!$I:$I,tblMatriculas[[#This Row],[Código]])&gt;0,"Sí","No")</f>
        <v>Sí</v>
      </c>
      <c r="Z852" s="23" cm="1">
        <f t="array" ref="Z852">_xlfn.XLOOKUP(tblMatriculas[[#This Row],[Cédula]]&amp;"|"&amp;tblMatriculas[[#This Row],[Código]],tblBase[Documento]&amp;"|"&amp;tblBase[Código grupo],tblBase[Fecha matrícula],"")</f>
        <v>46263</v>
      </c>
    </row>
    <row r="853" spans="1:26" x14ac:dyDescent="0.2">
      <c r="A853" t="s">
        <v>1833</v>
      </c>
      <c r="B853" t="s">
        <v>1834</v>
      </c>
      <c r="C853" t="s">
        <v>13</v>
      </c>
      <c r="D853" t="s">
        <v>1775</v>
      </c>
      <c r="E853" t="s">
        <v>1776</v>
      </c>
      <c r="F853" t="s">
        <v>1453</v>
      </c>
      <c r="G853" s="1">
        <v>3.3000000000000002E-2</v>
      </c>
      <c r="H853" t="s">
        <v>225</v>
      </c>
      <c r="I853" t="s">
        <v>1580</v>
      </c>
      <c r="J853" t="s">
        <v>1777</v>
      </c>
      <c r="K853" t="s">
        <v>24</v>
      </c>
      <c r="L853" s="14">
        <f>IFERROR(VALUE(LEFT(tblMatriculas[[#This Row],[Clases]],FIND("/",tblMatriculas[[#This Row],[Clases]])-1)),"")</f>
        <v>1</v>
      </c>
      <c r="M853" s="14">
        <f>IFERROR(VALUE(MID(tblMatriculas[[#This Row],[Clases]],FIND("/",tblMatriculas[[#This Row],[Clases]])+1,5)),"")</f>
        <v>30</v>
      </c>
      <c r="N8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3" s="14">
        <f>IF(OR(tblMatriculas[[#This Row],[Estado]]&lt;&gt;"activa",tblMatriculas[[#This Row],[Clases dictadas]]=""),"",MAX(0,tblMatriculas[[#This Row],[Clases dictadas]]-tblMatriculas[[#This Row],[Asistidas]]))</f>
        <v>5</v>
      </c>
      <c r="P853" s="1">
        <f>IF(OR(tblMatriculas[[#This Row],[Estado]]&lt;&gt;"activa",tblMatriculas[[#This Row],[Asistidas]]=""),"",tblMatriculas[[#This Row],[Asistencia]])</f>
        <v>3.3000000000000002E-2</v>
      </c>
      <c r="Q853" t="b">
        <f>AND(tblMatriculas[[#This Row],[Estado]]="activa",ISNUMBER(tblMatriculas[[#This Row],[% asistencia]]),NOT(ISNUMBER(SEARCH(pPrueba,tblMatriculas[[#This Row],[Nombre]]))))</f>
        <v>1</v>
      </c>
      <c r="R8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53" s="23" t="str" cm="1">
        <f t="array" ref="S8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3" s="23" t="str" cm="1">
        <f t="array" ref="T8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3" s="14" t="str" cm="1">
        <f t="array" ref="U8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3" t="str" cm="1">
        <f t="array" ref="V8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3" t="str" cm="1">
        <f t="array" ref="W8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53" t="str">
        <f>IF(COUNTIFS('Base Estudiantes'!$C:$C,tblMatriculas[[#This Row],[Cédula]],'Base Estudiantes'!$I:$I,tblMatriculas[[#This Row],[Código]])&gt;0,"Sí","No")</f>
        <v>Sí</v>
      </c>
      <c r="Z853" s="23" cm="1">
        <f t="array" ref="Z853">_xlfn.XLOOKUP(tblMatriculas[[#This Row],[Cédula]]&amp;"|"&amp;tblMatriculas[[#This Row],[Código]],tblBase[Documento]&amp;"|"&amp;tblBase[Código grupo],tblBase[Fecha matrícula],"")</f>
        <v>46263</v>
      </c>
    </row>
    <row r="854" spans="1:26" x14ac:dyDescent="0.2">
      <c r="A854" t="s">
        <v>1835</v>
      </c>
      <c r="B854" t="s">
        <v>1836</v>
      </c>
      <c r="C854" t="s">
        <v>13</v>
      </c>
      <c r="D854" t="s">
        <v>1775</v>
      </c>
      <c r="E854" t="s">
        <v>1776</v>
      </c>
      <c r="F854" t="s">
        <v>1453</v>
      </c>
      <c r="G854" s="1">
        <v>6.7000000000000004E-2</v>
      </c>
      <c r="H854" t="s">
        <v>166</v>
      </c>
      <c r="I854" t="s">
        <v>1580</v>
      </c>
      <c r="J854" t="s">
        <v>1777</v>
      </c>
      <c r="K854" t="s">
        <v>24</v>
      </c>
      <c r="L854" s="14">
        <f>IFERROR(VALUE(LEFT(tblMatriculas[[#This Row],[Clases]],FIND("/",tblMatriculas[[#This Row],[Clases]])-1)),"")</f>
        <v>2</v>
      </c>
      <c r="M854" s="14">
        <f>IFERROR(VALUE(MID(tblMatriculas[[#This Row],[Clases]],FIND("/",tblMatriculas[[#This Row],[Clases]])+1,5)),"")</f>
        <v>30</v>
      </c>
      <c r="N8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4" s="14">
        <f>IF(OR(tblMatriculas[[#This Row],[Estado]]&lt;&gt;"activa",tblMatriculas[[#This Row],[Clases dictadas]]=""),"",MAX(0,tblMatriculas[[#This Row],[Clases dictadas]]-tblMatriculas[[#This Row],[Asistidas]]))</f>
        <v>4</v>
      </c>
      <c r="P854" s="1">
        <f>IF(OR(tblMatriculas[[#This Row],[Estado]]&lt;&gt;"activa",tblMatriculas[[#This Row],[Asistidas]]=""),"",tblMatriculas[[#This Row],[Asistencia]])</f>
        <v>6.7000000000000004E-2</v>
      </c>
      <c r="Q854" t="b">
        <f>AND(tblMatriculas[[#This Row],[Estado]]="activa",ISNUMBER(tblMatriculas[[#This Row],[% asistencia]]),NOT(ISNUMBER(SEARCH(pPrueba,tblMatriculas[[#This Row],[Nombre]]))))</f>
        <v>1</v>
      </c>
      <c r="R8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54" s="23" t="str" cm="1">
        <f t="array" ref="S8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4" s="23" t="str" cm="1">
        <f t="array" ref="T8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4" s="14" t="str" cm="1">
        <f t="array" ref="U8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4" t="str" cm="1">
        <f t="array" ref="V8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4" t="str" cm="1">
        <f t="array" ref="W8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54" t="str">
        <f>IF(COUNTIFS('Base Estudiantes'!$C:$C,tblMatriculas[[#This Row],[Cédula]],'Base Estudiantes'!$I:$I,tblMatriculas[[#This Row],[Código]])&gt;0,"Sí","No")</f>
        <v>Sí</v>
      </c>
      <c r="Z854" s="23" cm="1">
        <f t="array" ref="Z854">_xlfn.XLOOKUP(tblMatriculas[[#This Row],[Cédula]]&amp;"|"&amp;tblMatriculas[[#This Row],[Código]],tblBase[Documento]&amp;"|"&amp;tblBase[Código grupo],tblBase[Fecha matrícula],"")</f>
        <v>46263</v>
      </c>
    </row>
    <row r="855" spans="1:26" x14ac:dyDescent="0.2">
      <c r="A855" t="s">
        <v>1837</v>
      </c>
      <c r="B855" t="s">
        <v>1838</v>
      </c>
      <c r="C855" t="s">
        <v>13</v>
      </c>
      <c r="D855" t="s">
        <v>1775</v>
      </c>
      <c r="E855" t="s">
        <v>1776</v>
      </c>
      <c r="F855" t="s">
        <v>1453</v>
      </c>
      <c r="G855" s="1">
        <v>6.7000000000000004E-2</v>
      </c>
      <c r="H855" t="s">
        <v>166</v>
      </c>
      <c r="I855" t="s">
        <v>1580</v>
      </c>
      <c r="J855" t="s">
        <v>1777</v>
      </c>
      <c r="K855" t="s">
        <v>24</v>
      </c>
      <c r="L855" s="14">
        <f>IFERROR(VALUE(LEFT(tblMatriculas[[#This Row],[Clases]],FIND("/",tblMatriculas[[#This Row],[Clases]])-1)),"")</f>
        <v>2</v>
      </c>
      <c r="M855" s="14">
        <f>IFERROR(VALUE(MID(tblMatriculas[[#This Row],[Clases]],FIND("/",tblMatriculas[[#This Row],[Clases]])+1,5)),"")</f>
        <v>30</v>
      </c>
      <c r="N8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5" s="14">
        <f>IF(OR(tblMatriculas[[#This Row],[Estado]]&lt;&gt;"activa",tblMatriculas[[#This Row],[Clases dictadas]]=""),"",MAX(0,tblMatriculas[[#This Row],[Clases dictadas]]-tblMatriculas[[#This Row],[Asistidas]]))</f>
        <v>4</v>
      </c>
      <c r="P855" s="1">
        <f>IF(OR(tblMatriculas[[#This Row],[Estado]]&lt;&gt;"activa",tblMatriculas[[#This Row],[Asistidas]]=""),"",tblMatriculas[[#This Row],[Asistencia]])</f>
        <v>6.7000000000000004E-2</v>
      </c>
      <c r="Q855" t="b">
        <f>AND(tblMatriculas[[#This Row],[Estado]]="activa",ISNUMBER(tblMatriculas[[#This Row],[% asistencia]]),NOT(ISNUMBER(SEARCH(pPrueba,tblMatriculas[[#This Row],[Nombre]]))))</f>
        <v>1</v>
      </c>
      <c r="R8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55" s="23" t="str" cm="1">
        <f t="array" ref="S8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5" s="23" t="str" cm="1">
        <f t="array" ref="T8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5" s="14" t="str" cm="1">
        <f t="array" ref="U8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5" t="str" cm="1">
        <f t="array" ref="V8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5" t="str" cm="1">
        <f t="array" ref="W8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55" t="str">
        <f>IF(COUNTIFS('Base Estudiantes'!$C:$C,tblMatriculas[[#This Row],[Cédula]],'Base Estudiantes'!$I:$I,tblMatriculas[[#This Row],[Código]])&gt;0,"Sí","No")</f>
        <v>Sí</v>
      </c>
      <c r="Z855" s="23" cm="1">
        <f t="array" ref="Z855">_xlfn.XLOOKUP(tblMatriculas[[#This Row],[Cédula]]&amp;"|"&amp;tblMatriculas[[#This Row],[Código]],tblBase[Documento]&amp;"|"&amp;tblBase[Código grupo],tblBase[Fecha matrícula],"")</f>
        <v>46263</v>
      </c>
    </row>
    <row r="856" spans="1:26" x14ac:dyDescent="0.2">
      <c r="A856" t="s">
        <v>1839</v>
      </c>
      <c r="B856" t="s">
        <v>1840</v>
      </c>
      <c r="C856" t="s">
        <v>13</v>
      </c>
      <c r="D856" t="s">
        <v>1775</v>
      </c>
      <c r="E856" t="s">
        <v>1776</v>
      </c>
      <c r="F856" t="s">
        <v>1453</v>
      </c>
      <c r="G856" s="1">
        <v>0.16699999999999998</v>
      </c>
      <c r="H856" t="s">
        <v>229</v>
      </c>
      <c r="I856" t="s">
        <v>1580</v>
      </c>
      <c r="J856" t="s">
        <v>1777</v>
      </c>
      <c r="K856" t="s">
        <v>24</v>
      </c>
      <c r="L856" s="14">
        <f>IFERROR(VALUE(LEFT(tblMatriculas[[#This Row],[Clases]],FIND("/",tblMatriculas[[#This Row],[Clases]])-1)),"")</f>
        <v>5</v>
      </c>
      <c r="M856" s="14">
        <f>IFERROR(VALUE(MID(tblMatriculas[[#This Row],[Clases]],FIND("/",tblMatriculas[[#This Row],[Clases]])+1,5)),"")</f>
        <v>30</v>
      </c>
      <c r="N8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6" s="14">
        <f>IF(OR(tblMatriculas[[#This Row],[Estado]]&lt;&gt;"activa",tblMatriculas[[#This Row],[Clases dictadas]]=""),"",MAX(0,tblMatriculas[[#This Row],[Clases dictadas]]-tblMatriculas[[#This Row],[Asistidas]]))</f>
        <v>1</v>
      </c>
      <c r="P856" s="1">
        <f>IF(OR(tblMatriculas[[#This Row],[Estado]]&lt;&gt;"activa",tblMatriculas[[#This Row],[Asistidas]]=""),"",tblMatriculas[[#This Row],[Asistencia]])</f>
        <v>0.16699999999999998</v>
      </c>
      <c r="Q856" t="b">
        <f>AND(tblMatriculas[[#This Row],[Estado]]="activa",ISNUMBER(tblMatriculas[[#This Row],[% asistencia]]),NOT(ISNUMBER(SEARCH(pPrueba,tblMatriculas[[#This Row],[Nombre]]))))</f>
        <v>1</v>
      </c>
      <c r="R8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6" s="23" t="str" cm="1">
        <f t="array" ref="S8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6" s="23" t="str" cm="1">
        <f t="array" ref="T8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6" s="14" t="str" cm="1">
        <f t="array" ref="U8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6" t="str" cm="1">
        <f t="array" ref="V8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6" t="str" cm="1">
        <f t="array" ref="W8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6" t="str">
        <f>IF(COUNTIFS('Base Estudiantes'!$C:$C,tblMatriculas[[#This Row],[Cédula]],'Base Estudiantes'!$I:$I,tblMatriculas[[#This Row],[Código]])&gt;0,"Sí","No")</f>
        <v>Sí</v>
      </c>
      <c r="Z856" s="23" cm="1">
        <f t="array" ref="Z856">_xlfn.XLOOKUP(tblMatriculas[[#This Row],[Cédula]]&amp;"|"&amp;tblMatriculas[[#This Row],[Código]],tblBase[Documento]&amp;"|"&amp;tblBase[Código grupo],tblBase[Fecha matrícula],"")</f>
        <v>46263</v>
      </c>
    </row>
    <row r="857" spans="1:26" x14ac:dyDescent="0.2">
      <c r="A857" t="s">
        <v>1841</v>
      </c>
      <c r="B857" t="s">
        <v>1842</v>
      </c>
      <c r="C857" t="s">
        <v>13</v>
      </c>
      <c r="D857" t="s">
        <v>1775</v>
      </c>
      <c r="E857" t="s">
        <v>1776</v>
      </c>
      <c r="F857" t="s">
        <v>1453</v>
      </c>
      <c r="G857" s="1">
        <v>3.3000000000000002E-2</v>
      </c>
      <c r="H857" t="s">
        <v>225</v>
      </c>
      <c r="I857" t="s">
        <v>1580</v>
      </c>
      <c r="J857" t="s">
        <v>1777</v>
      </c>
      <c r="K857" t="s">
        <v>24</v>
      </c>
      <c r="L857" s="14">
        <f>IFERROR(VALUE(LEFT(tblMatriculas[[#This Row],[Clases]],FIND("/",tblMatriculas[[#This Row],[Clases]])-1)),"")</f>
        <v>1</v>
      </c>
      <c r="M857" s="14">
        <f>IFERROR(VALUE(MID(tblMatriculas[[#This Row],[Clases]],FIND("/",tblMatriculas[[#This Row],[Clases]])+1,5)),"")</f>
        <v>30</v>
      </c>
      <c r="N8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7" s="14">
        <f>IF(OR(tblMatriculas[[#This Row],[Estado]]&lt;&gt;"activa",tblMatriculas[[#This Row],[Clases dictadas]]=""),"",MAX(0,tblMatriculas[[#This Row],[Clases dictadas]]-tblMatriculas[[#This Row],[Asistidas]]))</f>
        <v>5</v>
      </c>
      <c r="P857" s="1">
        <f>IF(OR(tblMatriculas[[#This Row],[Estado]]&lt;&gt;"activa",tblMatriculas[[#This Row],[Asistidas]]=""),"",tblMatriculas[[#This Row],[Asistencia]])</f>
        <v>3.3000000000000002E-2</v>
      </c>
      <c r="Q857" t="b">
        <f>AND(tblMatriculas[[#This Row],[Estado]]="activa",ISNUMBER(tblMatriculas[[#This Row],[% asistencia]]),NOT(ISNUMBER(SEARCH(pPrueba,tblMatriculas[[#This Row],[Nombre]]))))</f>
        <v>1</v>
      </c>
      <c r="R8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57" s="23" t="str" cm="1">
        <f t="array" ref="S8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7" s="23" t="str" cm="1">
        <f t="array" ref="T8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7" s="14" t="str" cm="1">
        <f t="array" ref="U8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7" t="str" cm="1">
        <f t="array" ref="V8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7" t="str" cm="1">
        <f t="array" ref="W8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57" t="str">
        <f>IF(COUNTIFS('Base Estudiantes'!$C:$C,tblMatriculas[[#This Row],[Cédula]],'Base Estudiantes'!$I:$I,tblMatriculas[[#This Row],[Código]])&gt;0,"Sí","No")</f>
        <v>Sí</v>
      </c>
      <c r="Z857" s="23" cm="1">
        <f t="array" ref="Z857">_xlfn.XLOOKUP(tblMatriculas[[#This Row],[Cédula]]&amp;"|"&amp;tblMatriculas[[#This Row],[Código]],tblBase[Documento]&amp;"|"&amp;tblBase[Código grupo],tblBase[Fecha matrícula],"")</f>
        <v>46263</v>
      </c>
    </row>
    <row r="858" spans="1:26" x14ac:dyDescent="0.2">
      <c r="A858" t="s">
        <v>1843</v>
      </c>
      <c r="B858" t="s">
        <v>1844</v>
      </c>
      <c r="C858" t="s">
        <v>13</v>
      </c>
      <c r="D858" t="s">
        <v>1775</v>
      </c>
      <c r="E858" t="s">
        <v>1776</v>
      </c>
      <c r="F858" t="s">
        <v>1453</v>
      </c>
      <c r="G858" s="1">
        <v>0.13300000000000001</v>
      </c>
      <c r="H858" t="s">
        <v>112</v>
      </c>
      <c r="I858" t="s">
        <v>1580</v>
      </c>
      <c r="J858" t="s">
        <v>1777</v>
      </c>
      <c r="K858" t="s">
        <v>24</v>
      </c>
      <c r="L858" s="14">
        <f>IFERROR(VALUE(LEFT(tblMatriculas[[#This Row],[Clases]],FIND("/",tblMatriculas[[#This Row],[Clases]])-1)),"")</f>
        <v>4</v>
      </c>
      <c r="M858" s="14">
        <f>IFERROR(VALUE(MID(tblMatriculas[[#This Row],[Clases]],FIND("/",tblMatriculas[[#This Row],[Clases]])+1,5)),"")</f>
        <v>30</v>
      </c>
      <c r="N8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8" s="14">
        <f>IF(OR(tblMatriculas[[#This Row],[Estado]]&lt;&gt;"activa",tblMatriculas[[#This Row],[Clases dictadas]]=""),"",MAX(0,tblMatriculas[[#This Row],[Clases dictadas]]-tblMatriculas[[#This Row],[Asistidas]]))</f>
        <v>2</v>
      </c>
      <c r="P858" s="1">
        <f>IF(OR(tblMatriculas[[#This Row],[Estado]]&lt;&gt;"activa",tblMatriculas[[#This Row],[Asistidas]]=""),"",tblMatriculas[[#This Row],[Asistencia]])</f>
        <v>0.13300000000000001</v>
      </c>
      <c r="Q858" t="b">
        <f>AND(tblMatriculas[[#This Row],[Estado]]="activa",ISNUMBER(tblMatriculas[[#This Row],[% asistencia]]),NOT(ISNUMBER(SEARCH(pPrueba,tblMatriculas[[#This Row],[Nombre]]))))</f>
        <v>1</v>
      </c>
      <c r="R8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58" s="23" t="str" cm="1">
        <f t="array" ref="S8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8" s="23" t="str" cm="1">
        <f t="array" ref="T8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8" s="14" t="str" cm="1">
        <f t="array" ref="U8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8" t="str" cm="1">
        <f t="array" ref="V8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8" t="str" cm="1">
        <f t="array" ref="W8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58" t="str">
        <f>IF(COUNTIFS('Base Estudiantes'!$C:$C,tblMatriculas[[#This Row],[Cédula]],'Base Estudiantes'!$I:$I,tblMatriculas[[#This Row],[Código]])&gt;0,"Sí","No")</f>
        <v>Sí</v>
      </c>
      <c r="Z858" s="23" cm="1">
        <f t="array" ref="Z858">_xlfn.XLOOKUP(tblMatriculas[[#This Row],[Cédula]]&amp;"|"&amp;tblMatriculas[[#This Row],[Código]],tblBase[Documento]&amp;"|"&amp;tblBase[Código grupo],tblBase[Fecha matrícula],"")</f>
        <v>46263</v>
      </c>
    </row>
    <row r="859" spans="1:26" x14ac:dyDescent="0.2">
      <c r="A859" t="s">
        <v>1845</v>
      </c>
      <c r="B859" t="s">
        <v>1846</v>
      </c>
      <c r="C859" t="s">
        <v>13</v>
      </c>
      <c r="D859" t="s">
        <v>1775</v>
      </c>
      <c r="E859" t="s">
        <v>1776</v>
      </c>
      <c r="F859" t="s">
        <v>1453</v>
      </c>
      <c r="G859" s="1">
        <v>6.7000000000000004E-2</v>
      </c>
      <c r="H859" t="s">
        <v>166</v>
      </c>
      <c r="I859" t="s">
        <v>1580</v>
      </c>
      <c r="J859" t="s">
        <v>1777</v>
      </c>
      <c r="K859" t="s">
        <v>24</v>
      </c>
      <c r="L859" s="14">
        <f>IFERROR(VALUE(LEFT(tblMatriculas[[#This Row],[Clases]],FIND("/",tblMatriculas[[#This Row],[Clases]])-1)),"")</f>
        <v>2</v>
      </c>
      <c r="M859" s="14">
        <f>IFERROR(VALUE(MID(tblMatriculas[[#This Row],[Clases]],FIND("/",tblMatriculas[[#This Row],[Clases]])+1,5)),"")</f>
        <v>30</v>
      </c>
      <c r="N8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59" s="14">
        <f>IF(OR(tblMatriculas[[#This Row],[Estado]]&lt;&gt;"activa",tblMatriculas[[#This Row],[Clases dictadas]]=""),"",MAX(0,tblMatriculas[[#This Row],[Clases dictadas]]-tblMatriculas[[#This Row],[Asistidas]]))</f>
        <v>4</v>
      </c>
      <c r="P859" s="1">
        <f>IF(OR(tblMatriculas[[#This Row],[Estado]]&lt;&gt;"activa",tblMatriculas[[#This Row],[Asistidas]]=""),"",tblMatriculas[[#This Row],[Asistencia]])</f>
        <v>6.7000000000000004E-2</v>
      </c>
      <c r="Q859" t="b">
        <f>AND(tblMatriculas[[#This Row],[Estado]]="activa",ISNUMBER(tblMatriculas[[#This Row],[% asistencia]]),NOT(ISNUMBER(SEARCH(pPrueba,tblMatriculas[[#This Row],[Nombre]]))))</f>
        <v>1</v>
      </c>
      <c r="R8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59" s="23" t="str" cm="1">
        <f t="array" ref="S8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59" s="23" t="str" cm="1">
        <f t="array" ref="T8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59" s="14" t="str" cm="1">
        <f t="array" ref="U8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59" t="str" cm="1">
        <f t="array" ref="V8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59" t="str" cm="1">
        <f t="array" ref="W8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59" t="str">
        <f>IF(COUNTIFS('Base Estudiantes'!$C:$C,tblMatriculas[[#This Row],[Cédula]],'Base Estudiantes'!$I:$I,tblMatriculas[[#This Row],[Código]])&gt;0,"Sí","No")</f>
        <v>Sí</v>
      </c>
      <c r="Z859" s="23" cm="1">
        <f t="array" ref="Z859">_xlfn.XLOOKUP(tblMatriculas[[#This Row],[Cédula]]&amp;"|"&amp;tblMatriculas[[#This Row],[Código]],tblBase[Documento]&amp;"|"&amp;tblBase[Código grupo],tblBase[Fecha matrícula],"")</f>
        <v>46263</v>
      </c>
    </row>
    <row r="860" spans="1:26" x14ac:dyDescent="0.2">
      <c r="A860" t="s">
        <v>1847</v>
      </c>
      <c r="B860" t="s">
        <v>1848</v>
      </c>
      <c r="C860" t="s">
        <v>13</v>
      </c>
      <c r="D860" t="s">
        <v>1775</v>
      </c>
      <c r="E860" t="s">
        <v>1776</v>
      </c>
      <c r="F860" t="s">
        <v>1453</v>
      </c>
      <c r="G860" s="1">
        <v>3.3000000000000002E-2</v>
      </c>
      <c r="H860" t="s">
        <v>225</v>
      </c>
      <c r="I860" t="s">
        <v>1580</v>
      </c>
      <c r="J860" t="s">
        <v>1777</v>
      </c>
      <c r="K860" t="s">
        <v>1655</v>
      </c>
      <c r="L860" s="14">
        <f>IFERROR(VALUE(LEFT(tblMatriculas[[#This Row],[Clases]],FIND("/",tblMatriculas[[#This Row],[Clases]])-1)),"")</f>
        <v>1</v>
      </c>
      <c r="M860" s="14">
        <f>IFERROR(VALUE(MID(tblMatriculas[[#This Row],[Clases]],FIND("/",tblMatriculas[[#This Row],[Clases]])+1,5)),"")</f>
        <v>30</v>
      </c>
      <c r="N8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0" s="14">
        <f>IF(OR(tblMatriculas[[#This Row],[Estado]]&lt;&gt;"activa",tblMatriculas[[#This Row],[Clases dictadas]]=""),"",MAX(0,tblMatriculas[[#This Row],[Clases dictadas]]-tblMatriculas[[#This Row],[Asistidas]]))</f>
        <v>5</v>
      </c>
      <c r="P860" s="1">
        <f>IF(OR(tblMatriculas[[#This Row],[Estado]]&lt;&gt;"activa",tblMatriculas[[#This Row],[Asistidas]]=""),"",tblMatriculas[[#This Row],[Asistencia]])</f>
        <v>3.3000000000000002E-2</v>
      </c>
      <c r="Q860" t="b">
        <f>AND(tblMatriculas[[#This Row],[Estado]]="activa",ISNUMBER(tblMatriculas[[#This Row],[% asistencia]]),NOT(ISNUMBER(SEARCH(pPrueba,tblMatriculas[[#This Row],[Nombre]]))))</f>
        <v>1</v>
      </c>
      <c r="R8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60" s="23" t="str" cm="1">
        <f t="array" ref="S8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0" s="23" t="str" cm="1">
        <f t="array" ref="T8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0" s="14" t="str" cm="1">
        <f t="array" ref="U8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0" t="str" cm="1">
        <f t="array" ref="V8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0" t="str" cm="1">
        <f t="array" ref="W8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60" t="str">
        <f>IF(COUNTIFS('Base Estudiantes'!$C:$C,tblMatriculas[[#This Row],[Cédula]],'Base Estudiantes'!$I:$I,tblMatriculas[[#This Row],[Código]])&gt;0,"Sí","No")</f>
        <v>Sí</v>
      </c>
      <c r="Z860" s="23" cm="1">
        <f t="array" ref="Z860">_xlfn.XLOOKUP(tblMatriculas[[#This Row],[Cédula]]&amp;"|"&amp;tblMatriculas[[#This Row],[Código]],tblBase[Documento]&amp;"|"&amp;tblBase[Código grupo],tblBase[Fecha matrícula],"")</f>
        <v>46263</v>
      </c>
    </row>
    <row r="861" spans="1:26" x14ac:dyDescent="0.2">
      <c r="A861" t="s">
        <v>1849</v>
      </c>
      <c r="B861" t="s">
        <v>1850</v>
      </c>
      <c r="C861" t="s">
        <v>49</v>
      </c>
      <c r="D861" t="s">
        <v>1775</v>
      </c>
      <c r="E861" t="s">
        <v>1776</v>
      </c>
      <c r="F861" t="s">
        <v>1453</v>
      </c>
      <c r="G861" s="1">
        <v>3.3000000000000002E-2</v>
      </c>
      <c r="H861" t="s">
        <v>225</v>
      </c>
      <c r="I861" t="s">
        <v>1580</v>
      </c>
      <c r="J861" t="s">
        <v>1777</v>
      </c>
      <c r="K861" t="s">
        <v>1655</v>
      </c>
      <c r="L861" s="14">
        <f>IFERROR(VALUE(LEFT(tblMatriculas[[#This Row],[Clases]],FIND("/",tblMatriculas[[#This Row],[Clases]])-1)),"")</f>
        <v>1</v>
      </c>
      <c r="M861" s="14">
        <f>IFERROR(VALUE(MID(tblMatriculas[[#This Row],[Clases]],FIND("/",tblMatriculas[[#This Row],[Clases]])+1,5)),"")</f>
        <v>30</v>
      </c>
      <c r="N8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1" s="14" t="str">
        <f>IF(OR(tblMatriculas[[#This Row],[Estado]]&lt;&gt;"activa",tblMatriculas[[#This Row],[Clases dictadas]]=""),"",MAX(0,tblMatriculas[[#This Row],[Clases dictadas]]-tblMatriculas[[#This Row],[Asistidas]]))</f>
        <v/>
      </c>
      <c r="P861" s="1" t="str">
        <f>IF(OR(tblMatriculas[[#This Row],[Estado]]&lt;&gt;"activa",tblMatriculas[[#This Row],[Asistidas]]=""),"",tblMatriculas[[#This Row],[Asistencia]])</f>
        <v/>
      </c>
      <c r="Q861" t="b">
        <f>AND(tblMatriculas[[#This Row],[Estado]]="activa",ISNUMBER(tblMatriculas[[#This Row],[% asistencia]]),NOT(ISNUMBER(SEARCH(pPrueba,tblMatriculas[[#This Row],[Nombre]]))))</f>
        <v>0</v>
      </c>
      <c r="R8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861" s="23" t="str" cm="1">
        <f t="array" ref="S8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1" s="23" t="str" cm="1">
        <f t="array" ref="T8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1" s="14" t="str" cm="1">
        <f t="array" ref="U8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1" t="str" cm="1">
        <f t="array" ref="V8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1" t="str" cm="1">
        <f t="array" ref="W8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1" t="str">
        <f>IF(COUNTIFS('Base Estudiantes'!$C:$C,tblMatriculas[[#This Row],[Cédula]],'Base Estudiantes'!$I:$I,tblMatriculas[[#This Row],[Código]])&gt;0,"Sí","No")</f>
        <v>No</v>
      </c>
      <c r="Z861" s="23" t="str" cm="1">
        <f t="array" ref="Z861">_xlfn.XLOOKUP(tblMatriculas[[#This Row],[Cédula]]&amp;"|"&amp;tblMatriculas[[#This Row],[Código]],tblBase[Documento]&amp;"|"&amp;tblBase[Código grupo],tblBase[Fecha matrícula],"")</f>
        <v/>
      </c>
    </row>
    <row r="862" spans="1:26" x14ac:dyDescent="0.2">
      <c r="A862" t="s">
        <v>1851</v>
      </c>
      <c r="B862" t="s">
        <v>1852</v>
      </c>
      <c r="C862" t="s">
        <v>13</v>
      </c>
      <c r="D862" t="s">
        <v>1775</v>
      </c>
      <c r="E862" t="s">
        <v>1776</v>
      </c>
      <c r="F862" t="s">
        <v>1453</v>
      </c>
      <c r="G862" s="1">
        <v>0.16699999999999998</v>
      </c>
      <c r="H862" t="s">
        <v>229</v>
      </c>
      <c r="I862" t="s">
        <v>1580</v>
      </c>
      <c r="J862" t="s">
        <v>1777</v>
      </c>
      <c r="K862" t="s">
        <v>1655</v>
      </c>
      <c r="L862" s="14">
        <f>IFERROR(VALUE(LEFT(tblMatriculas[[#This Row],[Clases]],FIND("/",tblMatriculas[[#This Row],[Clases]])-1)),"")</f>
        <v>5</v>
      </c>
      <c r="M862" s="14">
        <f>IFERROR(VALUE(MID(tblMatriculas[[#This Row],[Clases]],FIND("/",tblMatriculas[[#This Row],[Clases]])+1,5)),"")</f>
        <v>30</v>
      </c>
      <c r="N8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2" s="14">
        <f>IF(OR(tblMatriculas[[#This Row],[Estado]]&lt;&gt;"activa",tblMatriculas[[#This Row],[Clases dictadas]]=""),"",MAX(0,tblMatriculas[[#This Row],[Clases dictadas]]-tblMatriculas[[#This Row],[Asistidas]]))</f>
        <v>1</v>
      </c>
      <c r="P862" s="1">
        <f>IF(OR(tblMatriculas[[#This Row],[Estado]]&lt;&gt;"activa",tblMatriculas[[#This Row],[Asistidas]]=""),"",tblMatriculas[[#This Row],[Asistencia]])</f>
        <v>0.16699999999999998</v>
      </c>
      <c r="Q862" t="b">
        <f>AND(tblMatriculas[[#This Row],[Estado]]="activa",ISNUMBER(tblMatriculas[[#This Row],[% asistencia]]),NOT(ISNUMBER(SEARCH(pPrueba,tblMatriculas[[#This Row],[Nombre]]))))</f>
        <v>1</v>
      </c>
      <c r="R8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2" s="23" t="str" cm="1">
        <f t="array" ref="S8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2" s="23" t="str" cm="1">
        <f t="array" ref="T8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2" s="14" t="str" cm="1">
        <f t="array" ref="U8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2" t="str" cm="1">
        <f t="array" ref="V8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2" t="str" cm="1">
        <f t="array" ref="W8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2" t="str">
        <f>IF(COUNTIFS('Base Estudiantes'!$C:$C,tblMatriculas[[#This Row],[Cédula]],'Base Estudiantes'!$I:$I,tblMatriculas[[#This Row],[Código]])&gt;0,"Sí","No")</f>
        <v>Sí</v>
      </c>
      <c r="Z862" s="23" cm="1">
        <f t="array" ref="Z862">_xlfn.XLOOKUP(tblMatriculas[[#This Row],[Cédula]]&amp;"|"&amp;tblMatriculas[[#This Row],[Código]],tblBase[Documento]&amp;"|"&amp;tblBase[Código grupo],tblBase[Fecha matrícula],"")</f>
        <v>46263</v>
      </c>
    </row>
    <row r="863" spans="1:26" x14ac:dyDescent="0.2">
      <c r="A863" t="s">
        <v>1853</v>
      </c>
      <c r="B863" t="s">
        <v>1854</v>
      </c>
      <c r="C863" t="s">
        <v>13</v>
      </c>
      <c r="D863" t="s">
        <v>1775</v>
      </c>
      <c r="E863" t="s">
        <v>1776</v>
      </c>
      <c r="F863" t="s">
        <v>1453</v>
      </c>
      <c r="G863" s="1">
        <v>0.16699999999999998</v>
      </c>
      <c r="H863" t="s">
        <v>229</v>
      </c>
      <c r="I863" t="s">
        <v>1580</v>
      </c>
      <c r="J863" t="s">
        <v>1777</v>
      </c>
      <c r="K863" t="s">
        <v>1655</v>
      </c>
      <c r="L863" s="14">
        <f>IFERROR(VALUE(LEFT(tblMatriculas[[#This Row],[Clases]],FIND("/",tblMatriculas[[#This Row],[Clases]])-1)),"")</f>
        <v>5</v>
      </c>
      <c r="M863" s="14">
        <f>IFERROR(VALUE(MID(tblMatriculas[[#This Row],[Clases]],FIND("/",tblMatriculas[[#This Row],[Clases]])+1,5)),"")</f>
        <v>30</v>
      </c>
      <c r="N8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3" s="14">
        <f>IF(OR(tblMatriculas[[#This Row],[Estado]]&lt;&gt;"activa",tblMatriculas[[#This Row],[Clases dictadas]]=""),"",MAX(0,tblMatriculas[[#This Row],[Clases dictadas]]-tblMatriculas[[#This Row],[Asistidas]]))</f>
        <v>1</v>
      </c>
      <c r="P863" s="1">
        <f>IF(OR(tblMatriculas[[#This Row],[Estado]]&lt;&gt;"activa",tblMatriculas[[#This Row],[Asistidas]]=""),"",tblMatriculas[[#This Row],[Asistencia]])</f>
        <v>0.16699999999999998</v>
      </c>
      <c r="Q863" t="b">
        <f>AND(tblMatriculas[[#This Row],[Estado]]="activa",ISNUMBER(tblMatriculas[[#This Row],[% asistencia]]),NOT(ISNUMBER(SEARCH(pPrueba,tblMatriculas[[#This Row],[Nombre]]))))</f>
        <v>1</v>
      </c>
      <c r="R8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3" s="23" t="str" cm="1">
        <f t="array" ref="S8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3" s="23" t="str" cm="1">
        <f t="array" ref="T8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3" s="14" t="str" cm="1">
        <f t="array" ref="U8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3" t="str" cm="1">
        <f t="array" ref="V8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3" t="str" cm="1">
        <f t="array" ref="W8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3" t="str">
        <f>IF(COUNTIFS('Base Estudiantes'!$C:$C,tblMatriculas[[#This Row],[Cédula]],'Base Estudiantes'!$I:$I,tblMatriculas[[#This Row],[Código]])&gt;0,"Sí","No")</f>
        <v>Sí</v>
      </c>
      <c r="Z863" s="23" cm="1">
        <f t="array" ref="Z863">_xlfn.XLOOKUP(tblMatriculas[[#This Row],[Cédula]]&amp;"|"&amp;tblMatriculas[[#This Row],[Código]],tblBase[Documento]&amp;"|"&amp;tblBase[Código grupo],tblBase[Fecha matrícula],"")</f>
        <v>46263</v>
      </c>
    </row>
    <row r="864" spans="1:26" x14ac:dyDescent="0.2">
      <c r="A864" t="s">
        <v>1855</v>
      </c>
      <c r="B864" t="s">
        <v>1856</v>
      </c>
      <c r="C864" t="s">
        <v>13</v>
      </c>
      <c r="D864" t="s">
        <v>1775</v>
      </c>
      <c r="E864" t="s">
        <v>1776</v>
      </c>
      <c r="F864" t="s">
        <v>1453</v>
      </c>
      <c r="G864" s="1">
        <v>0.16699999999999998</v>
      </c>
      <c r="H864" t="s">
        <v>229</v>
      </c>
      <c r="I864" t="s">
        <v>1580</v>
      </c>
      <c r="J864" t="s">
        <v>1777</v>
      </c>
      <c r="K864" t="s">
        <v>1655</v>
      </c>
      <c r="L864" s="14">
        <f>IFERROR(VALUE(LEFT(tblMatriculas[[#This Row],[Clases]],FIND("/",tblMatriculas[[#This Row],[Clases]])-1)),"")</f>
        <v>5</v>
      </c>
      <c r="M864" s="14">
        <f>IFERROR(VALUE(MID(tblMatriculas[[#This Row],[Clases]],FIND("/",tblMatriculas[[#This Row],[Clases]])+1,5)),"")</f>
        <v>30</v>
      </c>
      <c r="N8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4" s="14">
        <f>IF(OR(tblMatriculas[[#This Row],[Estado]]&lt;&gt;"activa",tblMatriculas[[#This Row],[Clases dictadas]]=""),"",MAX(0,tblMatriculas[[#This Row],[Clases dictadas]]-tblMatriculas[[#This Row],[Asistidas]]))</f>
        <v>1</v>
      </c>
      <c r="P864" s="1">
        <f>IF(OR(tblMatriculas[[#This Row],[Estado]]&lt;&gt;"activa",tblMatriculas[[#This Row],[Asistidas]]=""),"",tblMatriculas[[#This Row],[Asistencia]])</f>
        <v>0.16699999999999998</v>
      </c>
      <c r="Q864" t="b">
        <f>AND(tblMatriculas[[#This Row],[Estado]]="activa",ISNUMBER(tblMatriculas[[#This Row],[% asistencia]]),NOT(ISNUMBER(SEARCH(pPrueba,tblMatriculas[[#This Row],[Nombre]]))))</f>
        <v>1</v>
      </c>
      <c r="R8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4" s="23" t="str" cm="1">
        <f t="array" ref="S8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4" s="23" t="str" cm="1">
        <f t="array" ref="T8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4" s="14" t="str" cm="1">
        <f t="array" ref="U8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4" t="str" cm="1">
        <f t="array" ref="V8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4" t="str" cm="1">
        <f t="array" ref="W8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4" t="str">
        <f>IF(COUNTIFS('Base Estudiantes'!$C:$C,tblMatriculas[[#This Row],[Cédula]],'Base Estudiantes'!$I:$I,tblMatriculas[[#This Row],[Código]])&gt;0,"Sí","No")</f>
        <v>Sí</v>
      </c>
      <c r="Z864" s="23" cm="1">
        <f t="array" ref="Z864">_xlfn.XLOOKUP(tblMatriculas[[#This Row],[Cédula]]&amp;"|"&amp;tblMatriculas[[#This Row],[Código]],tblBase[Documento]&amp;"|"&amp;tblBase[Código grupo],tblBase[Fecha matrícula],"")</f>
        <v>46263</v>
      </c>
    </row>
    <row r="865" spans="1:26" x14ac:dyDescent="0.2">
      <c r="A865" t="s">
        <v>1857</v>
      </c>
      <c r="B865" t="s">
        <v>1858</v>
      </c>
      <c r="C865" t="s">
        <v>13</v>
      </c>
      <c r="D865" t="s">
        <v>1775</v>
      </c>
      <c r="E865" t="s">
        <v>1776</v>
      </c>
      <c r="F865" t="s">
        <v>1453</v>
      </c>
      <c r="G865" s="1">
        <v>0.13300000000000001</v>
      </c>
      <c r="H865" t="s">
        <v>112</v>
      </c>
      <c r="I865" t="s">
        <v>1580</v>
      </c>
      <c r="J865" t="s">
        <v>1777</v>
      </c>
      <c r="K865" t="s">
        <v>1655</v>
      </c>
      <c r="L865" s="14">
        <f>IFERROR(VALUE(LEFT(tblMatriculas[[#This Row],[Clases]],FIND("/",tblMatriculas[[#This Row],[Clases]])-1)),"")</f>
        <v>4</v>
      </c>
      <c r="M865" s="14">
        <f>IFERROR(VALUE(MID(tblMatriculas[[#This Row],[Clases]],FIND("/",tblMatriculas[[#This Row],[Clases]])+1,5)),"")</f>
        <v>30</v>
      </c>
      <c r="N8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865" s="14">
        <f>IF(OR(tblMatriculas[[#This Row],[Estado]]&lt;&gt;"activa",tblMatriculas[[#This Row],[Clases dictadas]]=""),"",MAX(0,tblMatriculas[[#This Row],[Clases dictadas]]-tblMatriculas[[#This Row],[Asistidas]]))</f>
        <v>2</v>
      </c>
      <c r="P865" s="1">
        <f>IF(OR(tblMatriculas[[#This Row],[Estado]]&lt;&gt;"activa",tblMatriculas[[#This Row],[Asistidas]]=""),"",tblMatriculas[[#This Row],[Asistencia]])</f>
        <v>0.13300000000000001</v>
      </c>
      <c r="Q865" t="b">
        <f>AND(tblMatriculas[[#This Row],[Estado]]="activa",ISNUMBER(tblMatriculas[[#This Row],[% asistencia]]),NOT(ISNUMBER(SEARCH(pPrueba,tblMatriculas[[#This Row],[Nombre]]))))</f>
        <v>1</v>
      </c>
      <c r="R8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5" s="23" t="str" cm="1">
        <f t="array" ref="S8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5" s="23" t="str" cm="1">
        <f t="array" ref="T8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5" s="14" t="str" cm="1">
        <f t="array" ref="U8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5" t="str" cm="1">
        <f t="array" ref="V8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5" t="str" cm="1">
        <f t="array" ref="W8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5" t="str">
        <f>IF(COUNTIFS('Base Estudiantes'!$C:$C,tblMatriculas[[#This Row],[Cédula]],'Base Estudiantes'!$I:$I,tblMatriculas[[#This Row],[Código]])&gt;0,"Sí","No")</f>
        <v>Sí</v>
      </c>
      <c r="Z865" s="23" cm="1">
        <f t="array" ref="Z865">_xlfn.XLOOKUP(tblMatriculas[[#This Row],[Cédula]]&amp;"|"&amp;tblMatriculas[[#This Row],[Código]],tblBase[Documento]&amp;"|"&amp;tblBase[Código grupo],tblBase[Fecha matrícula],"")</f>
        <v>46263</v>
      </c>
    </row>
    <row r="866" spans="1:26" x14ac:dyDescent="0.2">
      <c r="A866" t="s">
        <v>1748</v>
      </c>
      <c r="B866" t="s">
        <v>1749</v>
      </c>
      <c r="C866" t="s">
        <v>13</v>
      </c>
      <c r="D866" t="s">
        <v>1775</v>
      </c>
      <c r="E866" t="s">
        <v>1776</v>
      </c>
      <c r="F866" t="s">
        <v>1453</v>
      </c>
      <c r="G866" s="1">
        <v>9.3000000000000013E-2</v>
      </c>
      <c r="H866" t="s">
        <v>1750</v>
      </c>
      <c r="I866" t="s">
        <v>1580</v>
      </c>
      <c r="J866" t="s">
        <v>1777</v>
      </c>
      <c r="K866" t="s">
        <v>24</v>
      </c>
      <c r="L866" s="14">
        <f>IFERROR(VALUE(LEFT(tblMatriculas[[#This Row],[Clases]],FIND("/",tblMatriculas[[#This Row],[Clases]])-1)),"")</f>
        <v>7</v>
      </c>
      <c r="M866" s="14">
        <f>IFERROR(VALUE(MID(tblMatriculas[[#This Row],[Clases]],FIND("/",tblMatriculas[[#This Row],[Clases]])+1,5)),"")</f>
        <v>75</v>
      </c>
      <c r="N8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15</v>
      </c>
      <c r="O866" s="14">
        <f>IF(OR(tblMatriculas[[#This Row],[Estado]]&lt;&gt;"activa",tblMatriculas[[#This Row],[Clases dictadas]]=""),"",MAX(0,tblMatriculas[[#This Row],[Clases dictadas]]-tblMatriculas[[#This Row],[Asistidas]]))</f>
        <v>8</v>
      </c>
      <c r="P866" s="1">
        <f>IF(OR(tblMatriculas[[#This Row],[Estado]]&lt;&gt;"activa",tblMatriculas[[#This Row],[Asistidas]]=""),"",tblMatriculas[[#This Row],[Asistencia]])</f>
        <v>9.3000000000000013E-2</v>
      </c>
      <c r="Q866" t="b">
        <f>AND(tblMatriculas[[#This Row],[Estado]]="activa",ISNUMBER(tblMatriculas[[#This Row],[% asistencia]]),NOT(ISNUMBER(SEARCH(pPrueba,tblMatriculas[[#This Row],[Nombre]]))))</f>
        <v>1</v>
      </c>
      <c r="R8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6" s="23" t="str" cm="1">
        <f t="array" ref="S8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6" s="23" t="str" cm="1">
        <f t="array" ref="T8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6" s="14" t="str" cm="1">
        <f t="array" ref="U8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6" t="str" cm="1">
        <f t="array" ref="V8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6" t="str" cm="1">
        <f t="array" ref="W8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6" t="str">
        <f>IF(COUNTIFS('Base Estudiantes'!$C:$C,tblMatriculas[[#This Row],[Cédula]],'Base Estudiantes'!$I:$I,tblMatriculas[[#This Row],[Código]])&gt;0,"Sí","No")</f>
        <v>Sí</v>
      </c>
      <c r="Z866" s="23" cm="1">
        <f t="array" ref="Z866">_xlfn.XLOOKUP(tblMatriculas[[#This Row],[Cédula]]&amp;"|"&amp;tblMatriculas[[#This Row],[Código]],tblBase[Documento]&amp;"|"&amp;tblBase[Código grupo],tblBase[Fecha matrícula],"")</f>
        <v>46275</v>
      </c>
    </row>
    <row r="867" spans="1:26" x14ac:dyDescent="0.2">
      <c r="A867" t="s">
        <v>1859</v>
      </c>
      <c r="B867" t="s">
        <v>1860</v>
      </c>
      <c r="C867" t="s">
        <v>13</v>
      </c>
      <c r="D867" t="s">
        <v>1861</v>
      </c>
      <c r="E867" t="s">
        <v>1862</v>
      </c>
      <c r="F867" t="s">
        <v>1863</v>
      </c>
      <c r="G867" s="1">
        <v>0.16699999999999998</v>
      </c>
      <c r="H867" t="s">
        <v>229</v>
      </c>
      <c r="I867" t="s">
        <v>1580</v>
      </c>
      <c r="J867" t="s">
        <v>1581</v>
      </c>
      <c r="K867" t="s">
        <v>1864</v>
      </c>
      <c r="L867" s="14">
        <f>IFERROR(VALUE(LEFT(tblMatriculas[[#This Row],[Clases]],FIND("/",tblMatriculas[[#This Row],[Clases]])-1)),"")</f>
        <v>5</v>
      </c>
      <c r="M867" s="14">
        <f>IFERROR(VALUE(MID(tblMatriculas[[#This Row],[Clases]],FIND("/",tblMatriculas[[#This Row],[Clases]])+1,5)),"")</f>
        <v>30</v>
      </c>
      <c r="N8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67" s="14">
        <f>IF(OR(tblMatriculas[[#This Row],[Estado]]&lt;&gt;"activa",tblMatriculas[[#This Row],[Clases dictadas]]=""),"",MAX(0,tblMatriculas[[#This Row],[Clases dictadas]]-tblMatriculas[[#This Row],[Asistidas]]))</f>
        <v>0</v>
      </c>
      <c r="P867" s="1">
        <f>IF(OR(tblMatriculas[[#This Row],[Estado]]&lt;&gt;"activa",tblMatriculas[[#This Row],[Asistidas]]=""),"",tblMatriculas[[#This Row],[Asistencia]])</f>
        <v>0.16699999999999998</v>
      </c>
      <c r="Q867" t="b">
        <f>AND(tblMatriculas[[#This Row],[Estado]]="activa",ISNUMBER(tblMatriculas[[#This Row],[% asistencia]]),NOT(ISNUMBER(SEARCH(pPrueba,tblMatriculas[[#This Row],[Nombre]]))))</f>
        <v>1</v>
      </c>
      <c r="R8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7" s="23" t="str" cm="1">
        <f t="array" ref="S8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7" s="23" t="str" cm="1">
        <f t="array" ref="T8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7" s="14" t="str" cm="1">
        <f t="array" ref="U8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7" t="str" cm="1">
        <f t="array" ref="V8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7" t="str" cm="1">
        <f t="array" ref="W8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7" t="str">
        <f>IF(COUNTIFS('Base Estudiantes'!$C:$C,tblMatriculas[[#This Row],[Cédula]],'Base Estudiantes'!$I:$I,tblMatriculas[[#This Row],[Código]])&gt;0,"Sí","No")</f>
        <v>Sí</v>
      </c>
      <c r="Z867" s="23" cm="1">
        <f t="array" ref="Z867">_xlfn.XLOOKUP(tblMatriculas[[#This Row],[Cédula]]&amp;"|"&amp;tblMatriculas[[#This Row],[Código]],tblBase[Documento]&amp;"|"&amp;tblBase[Código grupo],tblBase[Fecha matrícula],"")</f>
        <v>46263</v>
      </c>
    </row>
    <row r="868" spans="1:26" x14ac:dyDescent="0.2">
      <c r="A868" t="s">
        <v>1865</v>
      </c>
      <c r="B868" t="s">
        <v>1866</v>
      </c>
      <c r="C868" t="s">
        <v>13</v>
      </c>
      <c r="D868" t="s">
        <v>1861</v>
      </c>
      <c r="E868" t="s">
        <v>1862</v>
      </c>
      <c r="F868" t="s">
        <v>1863</v>
      </c>
      <c r="G868" s="1">
        <v>8.3000000000000004E-2</v>
      </c>
      <c r="H868" t="s">
        <v>1867</v>
      </c>
      <c r="I868" t="s">
        <v>1580</v>
      </c>
      <c r="J868" t="s">
        <v>1581</v>
      </c>
      <c r="K868" t="s">
        <v>1868</v>
      </c>
      <c r="L868" s="14">
        <f>IFERROR(VALUE(LEFT(tblMatriculas[[#This Row],[Clases]],FIND("/",tblMatriculas[[#This Row],[Clases]])-1)),"")</f>
        <v>5</v>
      </c>
      <c r="M868" s="14">
        <f>IFERROR(VALUE(MID(tblMatriculas[[#This Row],[Clases]],FIND("/",tblMatriculas[[#This Row],[Clases]])+1,5)),"")</f>
        <v>60</v>
      </c>
      <c r="N8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868" s="14">
        <f>IF(OR(tblMatriculas[[#This Row],[Estado]]&lt;&gt;"activa",tblMatriculas[[#This Row],[Clases dictadas]]=""),"",MAX(0,tblMatriculas[[#This Row],[Clases dictadas]]-tblMatriculas[[#This Row],[Asistidas]]))</f>
        <v>6</v>
      </c>
      <c r="P868" s="1">
        <f>IF(OR(tblMatriculas[[#This Row],[Estado]]&lt;&gt;"activa",tblMatriculas[[#This Row],[Asistidas]]=""),"",tblMatriculas[[#This Row],[Asistencia]])</f>
        <v>8.3000000000000004E-2</v>
      </c>
      <c r="Q868" t="b">
        <f>AND(tblMatriculas[[#This Row],[Estado]]="activa",ISNUMBER(tblMatriculas[[#This Row],[% asistencia]]),NOT(ISNUMBER(SEARCH(pPrueba,tblMatriculas[[#This Row],[Nombre]]))))</f>
        <v>1</v>
      </c>
      <c r="R8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68" s="23" t="str" cm="1">
        <f t="array" ref="S8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8" s="23" t="str" cm="1">
        <f t="array" ref="T8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8" s="14" t="str" cm="1">
        <f t="array" ref="U8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8" t="str" cm="1">
        <f t="array" ref="V8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8" t="str" cm="1">
        <f t="array" ref="W8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68" t="str">
        <f>IF(COUNTIFS('Base Estudiantes'!$C:$C,tblMatriculas[[#This Row],[Cédula]],'Base Estudiantes'!$I:$I,tblMatriculas[[#This Row],[Código]])&gt;0,"Sí","No")</f>
        <v>Sí</v>
      </c>
      <c r="Z868" s="23" cm="1">
        <f t="array" ref="Z868">_xlfn.XLOOKUP(tblMatriculas[[#This Row],[Cédula]]&amp;"|"&amp;tblMatriculas[[#This Row],[Código]],tblBase[Documento]&amp;"|"&amp;tblBase[Código grupo],tblBase[Fecha matrícula],"")</f>
        <v>46263</v>
      </c>
    </row>
    <row r="869" spans="1:26" x14ac:dyDescent="0.2">
      <c r="A869" t="s">
        <v>1869</v>
      </c>
      <c r="B869" t="s">
        <v>1870</v>
      </c>
      <c r="C869" t="s">
        <v>13</v>
      </c>
      <c r="D869" t="s">
        <v>1861</v>
      </c>
      <c r="E869" t="s">
        <v>1862</v>
      </c>
      <c r="F869" t="s">
        <v>1863</v>
      </c>
      <c r="G869" s="1">
        <v>3.3000000000000002E-2</v>
      </c>
      <c r="H869" t="s">
        <v>225</v>
      </c>
      <c r="I869" t="s">
        <v>1580</v>
      </c>
      <c r="J869" t="s">
        <v>1581</v>
      </c>
      <c r="K869" t="s">
        <v>24</v>
      </c>
      <c r="L869" s="14">
        <f>IFERROR(VALUE(LEFT(tblMatriculas[[#This Row],[Clases]],FIND("/",tblMatriculas[[#This Row],[Clases]])-1)),"")</f>
        <v>1</v>
      </c>
      <c r="M869" s="14">
        <f>IFERROR(VALUE(MID(tblMatriculas[[#This Row],[Clases]],FIND("/",tblMatriculas[[#This Row],[Clases]])+1,5)),"")</f>
        <v>30</v>
      </c>
      <c r="N8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69" s="14">
        <f>IF(OR(tblMatriculas[[#This Row],[Estado]]&lt;&gt;"activa",tblMatriculas[[#This Row],[Clases dictadas]]=""),"",MAX(0,tblMatriculas[[#This Row],[Clases dictadas]]-tblMatriculas[[#This Row],[Asistidas]]))</f>
        <v>4</v>
      </c>
      <c r="P869" s="1">
        <f>IF(OR(tblMatriculas[[#This Row],[Estado]]&lt;&gt;"activa",tblMatriculas[[#This Row],[Asistidas]]=""),"",tblMatriculas[[#This Row],[Asistencia]])</f>
        <v>3.3000000000000002E-2</v>
      </c>
      <c r="Q869" t="b">
        <f>AND(tblMatriculas[[#This Row],[Estado]]="activa",ISNUMBER(tblMatriculas[[#This Row],[% asistencia]]),NOT(ISNUMBER(SEARCH(pPrueba,tblMatriculas[[#This Row],[Nombre]]))))</f>
        <v>1</v>
      </c>
      <c r="R8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69" s="23" t="str" cm="1">
        <f t="array" ref="S8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69" s="23" t="str" cm="1">
        <f t="array" ref="T8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69" s="14" t="str" cm="1">
        <f t="array" ref="U8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69" t="str" cm="1">
        <f t="array" ref="V8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69" t="str" cm="1">
        <f t="array" ref="W8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69" t="str">
        <f>IF(COUNTIFS('Base Estudiantes'!$C:$C,tblMatriculas[[#This Row],[Cédula]],'Base Estudiantes'!$I:$I,tblMatriculas[[#This Row],[Código]])&gt;0,"Sí","No")</f>
        <v>Sí</v>
      </c>
      <c r="Z869" s="23" cm="1">
        <f t="array" ref="Z869">_xlfn.XLOOKUP(tblMatriculas[[#This Row],[Cédula]]&amp;"|"&amp;tblMatriculas[[#This Row],[Código]],tblBase[Documento]&amp;"|"&amp;tblBase[Código grupo],tblBase[Fecha matrícula],"")</f>
        <v>46263</v>
      </c>
    </row>
    <row r="870" spans="1:26" x14ac:dyDescent="0.2">
      <c r="A870" t="s">
        <v>1871</v>
      </c>
      <c r="B870" t="s">
        <v>1872</v>
      </c>
      <c r="C870" t="s">
        <v>13</v>
      </c>
      <c r="D870" t="s">
        <v>1861</v>
      </c>
      <c r="E870" t="s">
        <v>1862</v>
      </c>
      <c r="F870" t="s">
        <v>1863</v>
      </c>
      <c r="G870" s="1">
        <v>3.3000000000000002E-2</v>
      </c>
      <c r="H870" t="s">
        <v>225</v>
      </c>
      <c r="I870" t="s">
        <v>1580</v>
      </c>
      <c r="J870" t="s">
        <v>1581</v>
      </c>
      <c r="K870" t="s">
        <v>24</v>
      </c>
      <c r="L870" s="14">
        <f>IFERROR(VALUE(LEFT(tblMatriculas[[#This Row],[Clases]],FIND("/",tblMatriculas[[#This Row],[Clases]])-1)),"")</f>
        <v>1</v>
      </c>
      <c r="M870" s="14">
        <f>IFERROR(VALUE(MID(tblMatriculas[[#This Row],[Clases]],FIND("/",tblMatriculas[[#This Row],[Clases]])+1,5)),"")</f>
        <v>30</v>
      </c>
      <c r="N8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0" s="14">
        <f>IF(OR(tblMatriculas[[#This Row],[Estado]]&lt;&gt;"activa",tblMatriculas[[#This Row],[Clases dictadas]]=""),"",MAX(0,tblMatriculas[[#This Row],[Clases dictadas]]-tblMatriculas[[#This Row],[Asistidas]]))</f>
        <v>4</v>
      </c>
      <c r="P870" s="1">
        <f>IF(OR(tblMatriculas[[#This Row],[Estado]]&lt;&gt;"activa",tblMatriculas[[#This Row],[Asistidas]]=""),"",tblMatriculas[[#This Row],[Asistencia]])</f>
        <v>3.3000000000000002E-2</v>
      </c>
      <c r="Q870" t="b">
        <f>AND(tblMatriculas[[#This Row],[Estado]]="activa",ISNUMBER(tblMatriculas[[#This Row],[% asistencia]]),NOT(ISNUMBER(SEARCH(pPrueba,tblMatriculas[[#This Row],[Nombre]]))))</f>
        <v>1</v>
      </c>
      <c r="R8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70" s="23" t="str" cm="1">
        <f t="array" ref="S8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0" s="23" t="str" cm="1">
        <f t="array" ref="T8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0" s="14" t="str" cm="1">
        <f t="array" ref="U8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0" t="str" cm="1">
        <f t="array" ref="V8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0" t="str" cm="1">
        <f t="array" ref="W8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70" t="str">
        <f>IF(COUNTIFS('Base Estudiantes'!$C:$C,tblMatriculas[[#This Row],[Cédula]],'Base Estudiantes'!$I:$I,tblMatriculas[[#This Row],[Código]])&gt;0,"Sí","No")</f>
        <v>Sí</v>
      </c>
      <c r="Z870" s="23" cm="1">
        <f t="array" ref="Z870">_xlfn.XLOOKUP(tblMatriculas[[#This Row],[Cédula]]&amp;"|"&amp;tblMatriculas[[#This Row],[Código]],tblBase[Documento]&amp;"|"&amp;tblBase[Código grupo],tblBase[Fecha matrícula],"")</f>
        <v>46263</v>
      </c>
    </row>
    <row r="871" spans="1:26" x14ac:dyDescent="0.2">
      <c r="A871" t="s">
        <v>1873</v>
      </c>
      <c r="B871" t="s">
        <v>1874</v>
      </c>
      <c r="C871" t="s">
        <v>13</v>
      </c>
      <c r="D871" t="s">
        <v>1861</v>
      </c>
      <c r="E871" t="s">
        <v>1862</v>
      </c>
      <c r="F871" t="s">
        <v>1863</v>
      </c>
      <c r="G871" s="1">
        <v>0.16699999999999998</v>
      </c>
      <c r="H871" t="s">
        <v>229</v>
      </c>
      <c r="I871" t="s">
        <v>1580</v>
      </c>
      <c r="J871" t="s">
        <v>1581</v>
      </c>
      <c r="K871" t="s">
        <v>24</v>
      </c>
      <c r="L871" s="14">
        <f>IFERROR(VALUE(LEFT(tblMatriculas[[#This Row],[Clases]],FIND("/",tblMatriculas[[#This Row],[Clases]])-1)),"")</f>
        <v>5</v>
      </c>
      <c r="M871" s="14">
        <f>IFERROR(VALUE(MID(tblMatriculas[[#This Row],[Clases]],FIND("/",tblMatriculas[[#This Row],[Clases]])+1,5)),"")</f>
        <v>30</v>
      </c>
      <c r="N8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1" s="14">
        <f>IF(OR(tblMatriculas[[#This Row],[Estado]]&lt;&gt;"activa",tblMatriculas[[#This Row],[Clases dictadas]]=""),"",MAX(0,tblMatriculas[[#This Row],[Clases dictadas]]-tblMatriculas[[#This Row],[Asistidas]]))</f>
        <v>0</v>
      </c>
      <c r="P871" s="1">
        <f>IF(OR(tblMatriculas[[#This Row],[Estado]]&lt;&gt;"activa",tblMatriculas[[#This Row],[Asistidas]]=""),"",tblMatriculas[[#This Row],[Asistencia]])</f>
        <v>0.16699999999999998</v>
      </c>
      <c r="Q871" t="b">
        <f>AND(tblMatriculas[[#This Row],[Estado]]="activa",ISNUMBER(tblMatriculas[[#This Row],[% asistencia]]),NOT(ISNUMBER(SEARCH(pPrueba,tblMatriculas[[#This Row],[Nombre]]))))</f>
        <v>1</v>
      </c>
      <c r="R8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1" s="23" t="str" cm="1">
        <f t="array" ref="S8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1" s="23" t="str" cm="1">
        <f t="array" ref="T8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1" s="14" t="str" cm="1">
        <f t="array" ref="U8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1" t="str" cm="1">
        <f t="array" ref="V8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1" t="str" cm="1">
        <f t="array" ref="W8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1" t="str">
        <f>IF(COUNTIFS('Base Estudiantes'!$C:$C,tblMatriculas[[#This Row],[Cédula]],'Base Estudiantes'!$I:$I,tblMatriculas[[#This Row],[Código]])&gt;0,"Sí","No")</f>
        <v>Sí</v>
      </c>
      <c r="Z871" s="23" cm="1">
        <f t="array" ref="Z871">_xlfn.XLOOKUP(tblMatriculas[[#This Row],[Cédula]]&amp;"|"&amp;tblMatriculas[[#This Row],[Código]],tblBase[Documento]&amp;"|"&amp;tblBase[Código grupo],tblBase[Fecha matrícula],"")</f>
        <v>46263</v>
      </c>
    </row>
    <row r="872" spans="1:26" x14ac:dyDescent="0.2">
      <c r="A872" t="s">
        <v>1875</v>
      </c>
      <c r="B872" t="s">
        <v>1876</v>
      </c>
      <c r="C872" t="s">
        <v>13</v>
      </c>
      <c r="D872" t="s">
        <v>1861</v>
      </c>
      <c r="E872" t="s">
        <v>1862</v>
      </c>
      <c r="F872" t="s">
        <v>1863</v>
      </c>
      <c r="G872" s="1">
        <v>3.3000000000000002E-2</v>
      </c>
      <c r="H872" t="s">
        <v>225</v>
      </c>
      <c r="I872" t="s">
        <v>1580</v>
      </c>
      <c r="J872" t="s">
        <v>1581</v>
      </c>
      <c r="K872" t="s">
        <v>24</v>
      </c>
      <c r="L872" s="14">
        <f>IFERROR(VALUE(LEFT(tblMatriculas[[#This Row],[Clases]],FIND("/",tblMatriculas[[#This Row],[Clases]])-1)),"")</f>
        <v>1</v>
      </c>
      <c r="M872" s="14">
        <f>IFERROR(VALUE(MID(tblMatriculas[[#This Row],[Clases]],FIND("/",tblMatriculas[[#This Row],[Clases]])+1,5)),"")</f>
        <v>30</v>
      </c>
      <c r="N8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2" s="14">
        <f>IF(OR(tblMatriculas[[#This Row],[Estado]]&lt;&gt;"activa",tblMatriculas[[#This Row],[Clases dictadas]]=""),"",MAX(0,tblMatriculas[[#This Row],[Clases dictadas]]-tblMatriculas[[#This Row],[Asistidas]]))</f>
        <v>4</v>
      </c>
      <c r="P872" s="1">
        <f>IF(OR(tblMatriculas[[#This Row],[Estado]]&lt;&gt;"activa",tblMatriculas[[#This Row],[Asistidas]]=""),"",tblMatriculas[[#This Row],[Asistencia]])</f>
        <v>3.3000000000000002E-2</v>
      </c>
      <c r="Q872" t="b">
        <f>AND(tblMatriculas[[#This Row],[Estado]]="activa",ISNUMBER(tblMatriculas[[#This Row],[% asistencia]]),NOT(ISNUMBER(SEARCH(pPrueba,tblMatriculas[[#This Row],[Nombre]]))))</f>
        <v>1</v>
      </c>
      <c r="R8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72" s="23" t="str" cm="1">
        <f t="array" ref="S8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2" s="23" t="str" cm="1">
        <f t="array" ref="T8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2" s="14" t="str" cm="1">
        <f t="array" ref="U8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2" t="str" cm="1">
        <f t="array" ref="V8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2" t="str" cm="1">
        <f t="array" ref="W8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72" t="str">
        <f>IF(COUNTIFS('Base Estudiantes'!$C:$C,tblMatriculas[[#This Row],[Cédula]],'Base Estudiantes'!$I:$I,tblMatriculas[[#This Row],[Código]])&gt;0,"Sí","No")</f>
        <v>Sí</v>
      </c>
      <c r="Z872" s="23" cm="1">
        <f t="array" ref="Z872">_xlfn.XLOOKUP(tblMatriculas[[#This Row],[Cédula]]&amp;"|"&amp;tblMatriculas[[#This Row],[Código]],tblBase[Documento]&amp;"|"&amp;tblBase[Código grupo],tblBase[Fecha matrícula],"")</f>
        <v>46263</v>
      </c>
    </row>
    <row r="873" spans="1:26" x14ac:dyDescent="0.2">
      <c r="A873" t="s">
        <v>1877</v>
      </c>
      <c r="B873" t="s">
        <v>1878</v>
      </c>
      <c r="C873" t="s">
        <v>13</v>
      </c>
      <c r="D873" t="s">
        <v>1861</v>
      </c>
      <c r="E873" t="s">
        <v>1862</v>
      </c>
      <c r="F873" t="s">
        <v>1863</v>
      </c>
      <c r="G873" s="1">
        <v>0.13300000000000001</v>
      </c>
      <c r="H873" t="s">
        <v>112</v>
      </c>
      <c r="I873" t="s">
        <v>1580</v>
      </c>
      <c r="J873" t="s">
        <v>1581</v>
      </c>
      <c r="K873" t="s">
        <v>24</v>
      </c>
      <c r="L873" s="14">
        <f>IFERROR(VALUE(LEFT(tblMatriculas[[#This Row],[Clases]],FIND("/",tblMatriculas[[#This Row],[Clases]])-1)),"")</f>
        <v>4</v>
      </c>
      <c r="M873" s="14">
        <f>IFERROR(VALUE(MID(tblMatriculas[[#This Row],[Clases]],FIND("/",tblMatriculas[[#This Row],[Clases]])+1,5)),"")</f>
        <v>30</v>
      </c>
      <c r="N8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3" s="14">
        <f>IF(OR(tblMatriculas[[#This Row],[Estado]]&lt;&gt;"activa",tblMatriculas[[#This Row],[Clases dictadas]]=""),"",MAX(0,tblMatriculas[[#This Row],[Clases dictadas]]-tblMatriculas[[#This Row],[Asistidas]]))</f>
        <v>1</v>
      </c>
      <c r="P873" s="1">
        <f>IF(OR(tblMatriculas[[#This Row],[Estado]]&lt;&gt;"activa",tblMatriculas[[#This Row],[Asistidas]]=""),"",tblMatriculas[[#This Row],[Asistencia]])</f>
        <v>0.13300000000000001</v>
      </c>
      <c r="Q873" t="b">
        <f>AND(tblMatriculas[[#This Row],[Estado]]="activa",ISNUMBER(tblMatriculas[[#This Row],[% asistencia]]),NOT(ISNUMBER(SEARCH(pPrueba,tblMatriculas[[#This Row],[Nombre]]))))</f>
        <v>1</v>
      </c>
      <c r="R8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3" s="23" t="str" cm="1">
        <f t="array" ref="S8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3" s="23" t="str" cm="1">
        <f t="array" ref="T8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3" s="14" t="str" cm="1">
        <f t="array" ref="U8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3" t="str" cm="1">
        <f t="array" ref="V8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3" t="str" cm="1">
        <f t="array" ref="W8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3" t="str">
        <f>IF(COUNTIFS('Base Estudiantes'!$C:$C,tblMatriculas[[#This Row],[Cédula]],'Base Estudiantes'!$I:$I,tblMatriculas[[#This Row],[Código]])&gt;0,"Sí","No")</f>
        <v>Sí</v>
      </c>
      <c r="Z873" s="23" cm="1">
        <f t="array" ref="Z873">_xlfn.XLOOKUP(tblMatriculas[[#This Row],[Cédula]]&amp;"|"&amp;tblMatriculas[[#This Row],[Código]],tblBase[Documento]&amp;"|"&amp;tblBase[Código grupo],tblBase[Fecha matrícula],"")</f>
        <v>46263</v>
      </c>
    </row>
    <row r="874" spans="1:26" x14ac:dyDescent="0.2">
      <c r="A874" t="s">
        <v>1879</v>
      </c>
      <c r="B874" t="s">
        <v>1880</v>
      </c>
      <c r="C874" t="s">
        <v>13</v>
      </c>
      <c r="D874" t="s">
        <v>1861</v>
      </c>
      <c r="E874" t="s">
        <v>1862</v>
      </c>
      <c r="F874" t="s">
        <v>1863</v>
      </c>
      <c r="G874" s="1">
        <v>0.16699999999999998</v>
      </c>
      <c r="H874" t="s">
        <v>229</v>
      </c>
      <c r="I874" t="s">
        <v>1580</v>
      </c>
      <c r="J874" t="s">
        <v>1581</v>
      </c>
      <c r="K874" t="s">
        <v>24</v>
      </c>
      <c r="L874" s="14">
        <f>IFERROR(VALUE(LEFT(tblMatriculas[[#This Row],[Clases]],FIND("/",tblMatriculas[[#This Row],[Clases]])-1)),"")</f>
        <v>5</v>
      </c>
      <c r="M874" s="14">
        <f>IFERROR(VALUE(MID(tblMatriculas[[#This Row],[Clases]],FIND("/",tblMatriculas[[#This Row],[Clases]])+1,5)),"")</f>
        <v>30</v>
      </c>
      <c r="N8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4" s="14">
        <f>IF(OR(tblMatriculas[[#This Row],[Estado]]&lt;&gt;"activa",tblMatriculas[[#This Row],[Clases dictadas]]=""),"",MAX(0,tblMatriculas[[#This Row],[Clases dictadas]]-tblMatriculas[[#This Row],[Asistidas]]))</f>
        <v>0</v>
      </c>
      <c r="P874" s="1">
        <f>IF(OR(tblMatriculas[[#This Row],[Estado]]&lt;&gt;"activa",tblMatriculas[[#This Row],[Asistidas]]=""),"",tblMatriculas[[#This Row],[Asistencia]])</f>
        <v>0.16699999999999998</v>
      </c>
      <c r="Q874" t="b">
        <f>AND(tblMatriculas[[#This Row],[Estado]]="activa",ISNUMBER(tblMatriculas[[#This Row],[% asistencia]]),NOT(ISNUMBER(SEARCH(pPrueba,tblMatriculas[[#This Row],[Nombre]]))))</f>
        <v>1</v>
      </c>
      <c r="R8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4" s="23" t="str" cm="1">
        <f t="array" ref="S8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4" s="23" t="str" cm="1">
        <f t="array" ref="T8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4" s="14" t="str" cm="1">
        <f t="array" ref="U8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4" t="str" cm="1">
        <f t="array" ref="V8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4" t="str" cm="1">
        <f t="array" ref="W8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4" t="str">
        <f>IF(COUNTIFS('Base Estudiantes'!$C:$C,tblMatriculas[[#This Row],[Cédula]],'Base Estudiantes'!$I:$I,tblMatriculas[[#This Row],[Código]])&gt;0,"Sí","No")</f>
        <v>Sí</v>
      </c>
      <c r="Z874" s="23" cm="1">
        <f t="array" ref="Z874">_xlfn.XLOOKUP(tblMatriculas[[#This Row],[Cédula]]&amp;"|"&amp;tblMatriculas[[#This Row],[Código]],tblBase[Documento]&amp;"|"&amp;tblBase[Código grupo],tblBase[Fecha matrícula],"")</f>
        <v>46263</v>
      </c>
    </row>
    <row r="875" spans="1:26" x14ac:dyDescent="0.2">
      <c r="A875" t="s">
        <v>1881</v>
      </c>
      <c r="B875" t="s">
        <v>1882</v>
      </c>
      <c r="C875" t="s">
        <v>13</v>
      </c>
      <c r="D875" t="s">
        <v>1861</v>
      </c>
      <c r="E875" t="s">
        <v>1862</v>
      </c>
      <c r="F875" t="s">
        <v>1863</v>
      </c>
      <c r="G875" s="1">
        <v>0.13300000000000001</v>
      </c>
      <c r="H875" t="s">
        <v>112</v>
      </c>
      <c r="I875" t="s">
        <v>1580</v>
      </c>
      <c r="J875" t="s">
        <v>1581</v>
      </c>
      <c r="K875" t="s">
        <v>24</v>
      </c>
      <c r="L875" s="14">
        <f>IFERROR(VALUE(LEFT(tblMatriculas[[#This Row],[Clases]],FIND("/",tblMatriculas[[#This Row],[Clases]])-1)),"")</f>
        <v>4</v>
      </c>
      <c r="M875" s="14">
        <f>IFERROR(VALUE(MID(tblMatriculas[[#This Row],[Clases]],FIND("/",tblMatriculas[[#This Row],[Clases]])+1,5)),"")</f>
        <v>30</v>
      </c>
      <c r="N8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5" s="14">
        <f>IF(OR(tblMatriculas[[#This Row],[Estado]]&lt;&gt;"activa",tblMatriculas[[#This Row],[Clases dictadas]]=""),"",MAX(0,tblMatriculas[[#This Row],[Clases dictadas]]-tblMatriculas[[#This Row],[Asistidas]]))</f>
        <v>1</v>
      </c>
      <c r="P875" s="1">
        <f>IF(OR(tblMatriculas[[#This Row],[Estado]]&lt;&gt;"activa",tblMatriculas[[#This Row],[Asistidas]]=""),"",tblMatriculas[[#This Row],[Asistencia]])</f>
        <v>0.13300000000000001</v>
      </c>
      <c r="Q875" t="b">
        <f>AND(tblMatriculas[[#This Row],[Estado]]="activa",ISNUMBER(tblMatriculas[[#This Row],[% asistencia]]),NOT(ISNUMBER(SEARCH(pPrueba,tblMatriculas[[#This Row],[Nombre]]))))</f>
        <v>1</v>
      </c>
      <c r="R8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5" s="23" t="str" cm="1">
        <f t="array" ref="S8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5" s="23" t="str" cm="1">
        <f t="array" ref="T8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5" s="14" t="str" cm="1">
        <f t="array" ref="U8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5" t="str" cm="1">
        <f t="array" ref="V8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5" t="str" cm="1">
        <f t="array" ref="W8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5" t="str">
        <f>IF(COUNTIFS('Base Estudiantes'!$C:$C,tblMatriculas[[#This Row],[Cédula]],'Base Estudiantes'!$I:$I,tblMatriculas[[#This Row],[Código]])&gt;0,"Sí","No")</f>
        <v>Sí</v>
      </c>
      <c r="Z875" s="23" cm="1">
        <f t="array" ref="Z875">_xlfn.XLOOKUP(tblMatriculas[[#This Row],[Cédula]]&amp;"|"&amp;tblMatriculas[[#This Row],[Código]],tblBase[Documento]&amp;"|"&amp;tblBase[Código grupo],tblBase[Fecha matrícula],"")</f>
        <v>46263</v>
      </c>
    </row>
    <row r="876" spans="1:26" x14ac:dyDescent="0.2">
      <c r="A876" t="s">
        <v>1883</v>
      </c>
      <c r="B876" t="s">
        <v>1884</v>
      </c>
      <c r="C876" t="s">
        <v>13</v>
      </c>
      <c r="D876" t="s">
        <v>1861</v>
      </c>
      <c r="E876" t="s">
        <v>1862</v>
      </c>
      <c r="F876" t="s">
        <v>1863</v>
      </c>
      <c r="G876" s="1">
        <v>3.3000000000000002E-2</v>
      </c>
      <c r="H876" t="s">
        <v>225</v>
      </c>
      <c r="I876" t="s">
        <v>1580</v>
      </c>
      <c r="J876" t="s">
        <v>1581</v>
      </c>
      <c r="K876" t="s">
        <v>24</v>
      </c>
      <c r="L876" s="14">
        <f>IFERROR(VALUE(LEFT(tblMatriculas[[#This Row],[Clases]],FIND("/",tblMatriculas[[#This Row],[Clases]])-1)),"")</f>
        <v>1</v>
      </c>
      <c r="M876" s="14">
        <f>IFERROR(VALUE(MID(tblMatriculas[[#This Row],[Clases]],FIND("/",tblMatriculas[[#This Row],[Clases]])+1,5)),"")</f>
        <v>30</v>
      </c>
      <c r="N8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6" s="14">
        <f>IF(OR(tblMatriculas[[#This Row],[Estado]]&lt;&gt;"activa",tblMatriculas[[#This Row],[Clases dictadas]]=""),"",MAX(0,tblMatriculas[[#This Row],[Clases dictadas]]-tblMatriculas[[#This Row],[Asistidas]]))</f>
        <v>4</v>
      </c>
      <c r="P876" s="1">
        <f>IF(OR(tblMatriculas[[#This Row],[Estado]]&lt;&gt;"activa",tblMatriculas[[#This Row],[Asistidas]]=""),"",tblMatriculas[[#This Row],[Asistencia]])</f>
        <v>3.3000000000000002E-2</v>
      </c>
      <c r="Q876" t="b">
        <f>AND(tblMatriculas[[#This Row],[Estado]]="activa",ISNUMBER(tblMatriculas[[#This Row],[% asistencia]]),NOT(ISNUMBER(SEARCH(pPrueba,tblMatriculas[[#This Row],[Nombre]]))))</f>
        <v>1</v>
      </c>
      <c r="R8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76" s="23" t="str" cm="1">
        <f t="array" ref="S8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6" s="23" t="str" cm="1">
        <f t="array" ref="T8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6" s="14" t="str" cm="1">
        <f t="array" ref="U8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6" t="str" cm="1">
        <f t="array" ref="V8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6" t="str" cm="1">
        <f t="array" ref="W8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76" t="str">
        <f>IF(COUNTIFS('Base Estudiantes'!$C:$C,tblMatriculas[[#This Row],[Cédula]],'Base Estudiantes'!$I:$I,tblMatriculas[[#This Row],[Código]])&gt;0,"Sí","No")</f>
        <v>Sí</v>
      </c>
      <c r="Z876" s="23" cm="1">
        <f t="array" ref="Z876">_xlfn.XLOOKUP(tblMatriculas[[#This Row],[Cédula]]&amp;"|"&amp;tblMatriculas[[#This Row],[Código]],tblBase[Documento]&amp;"|"&amp;tblBase[Código grupo],tblBase[Fecha matrícula],"")</f>
        <v>46263</v>
      </c>
    </row>
    <row r="877" spans="1:26" x14ac:dyDescent="0.2">
      <c r="A877" t="s">
        <v>1885</v>
      </c>
      <c r="B877" t="s">
        <v>1886</v>
      </c>
      <c r="C877" t="s">
        <v>13</v>
      </c>
      <c r="D877" t="s">
        <v>1861</v>
      </c>
      <c r="E877" t="s">
        <v>1862</v>
      </c>
      <c r="F877" t="s">
        <v>1863</v>
      </c>
      <c r="G877" s="1">
        <v>0.13300000000000001</v>
      </c>
      <c r="H877" t="s">
        <v>112</v>
      </c>
      <c r="I877" t="s">
        <v>1580</v>
      </c>
      <c r="J877" t="s">
        <v>1581</v>
      </c>
      <c r="K877" t="s">
        <v>24</v>
      </c>
      <c r="L877" s="14">
        <f>IFERROR(VALUE(LEFT(tblMatriculas[[#This Row],[Clases]],FIND("/",tblMatriculas[[#This Row],[Clases]])-1)),"")</f>
        <v>4</v>
      </c>
      <c r="M877" s="14">
        <f>IFERROR(VALUE(MID(tblMatriculas[[#This Row],[Clases]],FIND("/",tblMatriculas[[#This Row],[Clases]])+1,5)),"")</f>
        <v>30</v>
      </c>
      <c r="N8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7" s="14">
        <f>IF(OR(tblMatriculas[[#This Row],[Estado]]&lt;&gt;"activa",tblMatriculas[[#This Row],[Clases dictadas]]=""),"",MAX(0,tblMatriculas[[#This Row],[Clases dictadas]]-tblMatriculas[[#This Row],[Asistidas]]))</f>
        <v>1</v>
      </c>
      <c r="P877" s="1">
        <f>IF(OR(tblMatriculas[[#This Row],[Estado]]&lt;&gt;"activa",tblMatriculas[[#This Row],[Asistidas]]=""),"",tblMatriculas[[#This Row],[Asistencia]])</f>
        <v>0.13300000000000001</v>
      </c>
      <c r="Q877" t="b">
        <f>AND(tblMatriculas[[#This Row],[Estado]]="activa",ISNUMBER(tblMatriculas[[#This Row],[% asistencia]]),NOT(ISNUMBER(SEARCH(pPrueba,tblMatriculas[[#This Row],[Nombre]]))))</f>
        <v>1</v>
      </c>
      <c r="R8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7" s="23" t="str" cm="1">
        <f t="array" ref="S8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7" s="23" t="str" cm="1">
        <f t="array" ref="T8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7" s="14" t="str" cm="1">
        <f t="array" ref="U8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7" t="str" cm="1">
        <f t="array" ref="V8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7" t="str" cm="1">
        <f t="array" ref="W8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7" t="str">
        <f>IF(COUNTIFS('Base Estudiantes'!$C:$C,tblMatriculas[[#This Row],[Cédula]],'Base Estudiantes'!$I:$I,tblMatriculas[[#This Row],[Código]])&gt;0,"Sí","No")</f>
        <v>Sí</v>
      </c>
      <c r="Z877" s="23" cm="1">
        <f t="array" ref="Z877">_xlfn.XLOOKUP(tblMatriculas[[#This Row],[Cédula]]&amp;"|"&amp;tblMatriculas[[#This Row],[Código]],tblBase[Documento]&amp;"|"&amp;tblBase[Código grupo],tblBase[Fecha matrícula],"")</f>
        <v>46263</v>
      </c>
    </row>
    <row r="878" spans="1:26" x14ac:dyDescent="0.2">
      <c r="A878" t="s">
        <v>1887</v>
      </c>
      <c r="B878" t="s">
        <v>1888</v>
      </c>
      <c r="C878" t="s">
        <v>13</v>
      </c>
      <c r="D878" t="s">
        <v>1861</v>
      </c>
      <c r="E878" t="s">
        <v>1862</v>
      </c>
      <c r="F878" t="s">
        <v>1863</v>
      </c>
      <c r="G878" s="1">
        <v>0.16699999999999998</v>
      </c>
      <c r="H878" t="s">
        <v>229</v>
      </c>
      <c r="I878" t="s">
        <v>1580</v>
      </c>
      <c r="J878" t="s">
        <v>1581</v>
      </c>
      <c r="K878" t="s">
        <v>24</v>
      </c>
      <c r="L878" s="14">
        <f>IFERROR(VALUE(LEFT(tblMatriculas[[#This Row],[Clases]],FIND("/",tblMatriculas[[#This Row],[Clases]])-1)),"")</f>
        <v>5</v>
      </c>
      <c r="M878" s="14">
        <f>IFERROR(VALUE(MID(tblMatriculas[[#This Row],[Clases]],FIND("/",tblMatriculas[[#This Row],[Clases]])+1,5)),"")</f>
        <v>30</v>
      </c>
      <c r="N8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8" s="14">
        <f>IF(OR(tblMatriculas[[#This Row],[Estado]]&lt;&gt;"activa",tblMatriculas[[#This Row],[Clases dictadas]]=""),"",MAX(0,tblMatriculas[[#This Row],[Clases dictadas]]-tblMatriculas[[#This Row],[Asistidas]]))</f>
        <v>0</v>
      </c>
      <c r="P878" s="1">
        <f>IF(OR(tblMatriculas[[#This Row],[Estado]]&lt;&gt;"activa",tblMatriculas[[#This Row],[Asistidas]]=""),"",tblMatriculas[[#This Row],[Asistencia]])</f>
        <v>0.16699999999999998</v>
      </c>
      <c r="Q878" t="b">
        <f>AND(tblMatriculas[[#This Row],[Estado]]="activa",ISNUMBER(tblMatriculas[[#This Row],[% asistencia]]),NOT(ISNUMBER(SEARCH(pPrueba,tblMatriculas[[#This Row],[Nombre]]))))</f>
        <v>1</v>
      </c>
      <c r="R8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8" s="23" t="str" cm="1">
        <f t="array" ref="S8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8" s="23" t="str" cm="1">
        <f t="array" ref="T8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8" s="14" t="str" cm="1">
        <f t="array" ref="U8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8" t="str" cm="1">
        <f t="array" ref="V8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8" t="str" cm="1">
        <f t="array" ref="W8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8" t="str">
        <f>IF(COUNTIFS('Base Estudiantes'!$C:$C,tblMatriculas[[#This Row],[Cédula]],'Base Estudiantes'!$I:$I,tblMatriculas[[#This Row],[Código]])&gt;0,"Sí","No")</f>
        <v>Sí</v>
      </c>
      <c r="Z878" s="23" cm="1">
        <f t="array" ref="Z878">_xlfn.XLOOKUP(tblMatriculas[[#This Row],[Cédula]]&amp;"|"&amp;tblMatriculas[[#This Row],[Código]],tblBase[Documento]&amp;"|"&amp;tblBase[Código grupo],tblBase[Fecha matrícula],"")</f>
        <v>46263</v>
      </c>
    </row>
    <row r="879" spans="1:26" x14ac:dyDescent="0.2">
      <c r="A879" t="s">
        <v>1889</v>
      </c>
      <c r="B879" t="s">
        <v>1890</v>
      </c>
      <c r="C879" t="s">
        <v>13</v>
      </c>
      <c r="D879" t="s">
        <v>1861</v>
      </c>
      <c r="E879" t="s">
        <v>1862</v>
      </c>
      <c r="F879" t="s">
        <v>1863</v>
      </c>
      <c r="G879" s="1">
        <v>0.16699999999999998</v>
      </c>
      <c r="H879" t="s">
        <v>229</v>
      </c>
      <c r="I879" t="s">
        <v>1580</v>
      </c>
      <c r="J879" t="s">
        <v>1581</v>
      </c>
      <c r="K879" t="s">
        <v>24</v>
      </c>
      <c r="L879" s="14">
        <f>IFERROR(VALUE(LEFT(tblMatriculas[[#This Row],[Clases]],FIND("/",tblMatriculas[[#This Row],[Clases]])-1)),"")</f>
        <v>5</v>
      </c>
      <c r="M879" s="14">
        <f>IFERROR(VALUE(MID(tblMatriculas[[#This Row],[Clases]],FIND("/",tblMatriculas[[#This Row],[Clases]])+1,5)),"")</f>
        <v>30</v>
      </c>
      <c r="N8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79" s="14">
        <f>IF(OR(tblMatriculas[[#This Row],[Estado]]&lt;&gt;"activa",tblMatriculas[[#This Row],[Clases dictadas]]=""),"",MAX(0,tblMatriculas[[#This Row],[Clases dictadas]]-tblMatriculas[[#This Row],[Asistidas]]))</f>
        <v>0</v>
      </c>
      <c r="P879" s="1">
        <f>IF(OR(tblMatriculas[[#This Row],[Estado]]&lt;&gt;"activa",tblMatriculas[[#This Row],[Asistidas]]=""),"",tblMatriculas[[#This Row],[Asistencia]])</f>
        <v>0.16699999999999998</v>
      </c>
      <c r="Q879" t="b">
        <f>AND(tblMatriculas[[#This Row],[Estado]]="activa",ISNUMBER(tblMatriculas[[#This Row],[% asistencia]]),NOT(ISNUMBER(SEARCH(pPrueba,tblMatriculas[[#This Row],[Nombre]]))))</f>
        <v>1</v>
      </c>
      <c r="R8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79" s="23" t="str" cm="1">
        <f t="array" ref="S8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79" s="23" t="str" cm="1">
        <f t="array" ref="T8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79" s="14" t="str" cm="1">
        <f t="array" ref="U8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79" t="str" cm="1">
        <f t="array" ref="V8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79" t="str" cm="1">
        <f t="array" ref="W8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79" t="str">
        <f>IF(COUNTIFS('Base Estudiantes'!$C:$C,tblMatriculas[[#This Row],[Cédula]],'Base Estudiantes'!$I:$I,tblMatriculas[[#This Row],[Código]])&gt;0,"Sí","No")</f>
        <v>Sí</v>
      </c>
      <c r="Z879" s="23" cm="1">
        <f t="array" ref="Z879">_xlfn.XLOOKUP(tblMatriculas[[#This Row],[Cédula]]&amp;"|"&amp;tblMatriculas[[#This Row],[Código]],tblBase[Documento]&amp;"|"&amp;tblBase[Código grupo],tblBase[Fecha matrícula],"")</f>
        <v>46263</v>
      </c>
    </row>
    <row r="880" spans="1:26" x14ac:dyDescent="0.2">
      <c r="A880" t="s">
        <v>1891</v>
      </c>
      <c r="B880" t="s">
        <v>1892</v>
      </c>
      <c r="C880" t="s">
        <v>13</v>
      </c>
      <c r="D880" t="s">
        <v>1861</v>
      </c>
      <c r="E880" t="s">
        <v>1862</v>
      </c>
      <c r="F880" t="s">
        <v>1863</v>
      </c>
      <c r="G880" s="1">
        <v>0.16699999999999998</v>
      </c>
      <c r="H880" t="s">
        <v>229</v>
      </c>
      <c r="I880" t="s">
        <v>1580</v>
      </c>
      <c r="J880" t="s">
        <v>1581</v>
      </c>
      <c r="K880" t="s">
        <v>24</v>
      </c>
      <c r="L880" s="14">
        <f>IFERROR(VALUE(LEFT(tblMatriculas[[#This Row],[Clases]],FIND("/",tblMatriculas[[#This Row],[Clases]])-1)),"")</f>
        <v>5</v>
      </c>
      <c r="M880" s="14">
        <f>IFERROR(VALUE(MID(tblMatriculas[[#This Row],[Clases]],FIND("/",tblMatriculas[[#This Row],[Clases]])+1,5)),"")</f>
        <v>30</v>
      </c>
      <c r="N8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0" s="14">
        <f>IF(OR(tblMatriculas[[#This Row],[Estado]]&lt;&gt;"activa",tblMatriculas[[#This Row],[Clases dictadas]]=""),"",MAX(0,tblMatriculas[[#This Row],[Clases dictadas]]-tblMatriculas[[#This Row],[Asistidas]]))</f>
        <v>0</v>
      </c>
      <c r="P880" s="1">
        <f>IF(OR(tblMatriculas[[#This Row],[Estado]]&lt;&gt;"activa",tblMatriculas[[#This Row],[Asistidas]]=""),"",tblMatriculas[[#This Row],[Asistencia]])</f>
        <v>0.16699999999999998</v>
      </c>
      <c r="Q880" t="b">
        <f>AND(tblMatriculas[[#This Row],[Estado]]="activa",ISNUMBER(tblMatriculas[[#This Row],[% asistencia]]),NOT(ISNUMBER(SEARCH(pPrueba,tblMatriculas[[#This Row],[Nombre]]))))</f>
        <v>1</v>
      </c>
      <c r="R8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0" s="23" t="str" cm="1">
        <f t="array" ref="S8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0" s="23" t="str" cm="1">
        <f t="array" ref="T8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0" s="14" t="str" cm="1">
        <f t="array" ref="U8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0" t="str" cm="1">
        <f t="array" ref="V8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0" t="str" cm="1">
        <f t="array" ref="W8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0" t="str">
        <f>IF(COUNTIFS('Base Estudiantes'!$C:$C,tblMatriculas[[#This Row],[Cédula]],'Base Estudiantes'!$I:$I,tblMatriculas[[#This Row],[Código]])&gt;0,"Sí","No")</f>
        <v>Sí</v>
      </c>
      <c r="Z880" s="23" cm="1">
        <f t="array" ref="Z880">_xlfn.XLOOKUP(tblMatriculas[[#This Row],[Cédula]]&amp;"|"&amp;tblMatriculas[[#This Row],[Código]],tblBase[Documento]&amp;"|"&amp;tblBase[Código grupo],tblBase[Fecha matrícula],"")</f>
        <v>46263</v>
      </c>
    </row>
    <row r="881" spans="1:26" x14ac:dyDescent="0.2">
      <c r="A881" t="s">
        <v>1893</v>
      </c>
      <c r="B881" t="s">
        <v>1894</v>
      </c>
      <c r="C881" t="s">
        <v>13</v>
      </c>
      <c r="D881" t="s">
        <v>1861</v>
      </c>
      <c r="E881" t="s">
        <v>1862</v>
      </c>
      <c r="F881" t="s">
        <v>1863</v>
      </c>
      <c r="G881" s="1">
        <v>0.16699999999999998</v>
      </c>
      <c r="H881" t="s">
        <v>229</v>
      </c>
      <c r="I881" t="s">
        <v>1580</v>
      </c>
      <c r="J881" t="s">
        <v>1581</v>
      </c>
      <c r="K881" t="s">
        <v>24</v>
      </c>
      <c r="L881" s="14">
        <f>IFERROR(VALUE(LEFT(tblMatriculas[[#This Row],[Clases]],FIND("/",tblMatriculas[[#This Row],[Clases]])-1)),"")</f>
        <v>5</v>
      </c>
      <c r="M881" s="14">
        <f>IFERROR(VALUE(MID(tblMatriculas[[#This Row],[Clases]],FIND("/",tblMatriculas[[#This Row],[Clases]])+1,5)),"")</f>
        <v>30</v>
      </c>
      <c r="N8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1" s="14">
        <f>IF(OR(tblMatriculas[[#This Row],[Estado]]&lt;&gt;"activa",tblMatriculas[[#This Row],[Clases dictadas]]=""),"",MAX(0,tblMatriculas[[#This Row],[Clases dictadas]]-tblMatriculas[[#This Row],[Asistidas]]))</f>
        <v>0</v>
      </c>
      <c r="P881" s="1">
        <f>IF(OR(tblMatriculas[[#This Row],[Estado]]&lt;&gt;"activa",tblMatriculas[[#This Row],[Asistidas]]=""),"",tblMatriculas[[#This Row],[Asistencia]])</f>
        <v>0.16699999999999998</v>
      </c>
      <c r="Q881" t="b">
        <f>AND(tblMatriculas[[#This Row],[Estado]]="activa",ISNUMBER(tblMatriculas[[#This Row],[% asistencia]]),NOT(ISNUMBER(SEARCH(pPrueba,tblMatriculas[[#This Row],[Nombre]]))))</f>
        <v>1</v>
      </c>
      <c r="R8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1" s="23" t="str" cm="1">
        <f t="array" ref="S8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1" s="23" t="str" cm="1">
        <f t="array" ref="T8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1" s="14" t="str" cm="1">
        <f t="array" ref="U8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1" t="str" cm="1">
        <f t="array" ref="V8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1" t="str" cm="1">
        <f t="array" ref="W8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1" t="str">
        <f>IF(COUNTIFS('Base Estudiantes'!$C:$C,tblMatriculas[[#This Row],[Cédula]],'Base Estudiantes'!$I:$I,tblMatriculas[[#This Row],[Código]])&gt;0,"Sí","No")</f>
        <v>Sí</v>
      </c>
      <c r="Z881" s="23" cm="1">
        <f t="array" ref="Z881">_xlfn.XLOOKUP(tblMatriculas[[#This Row],[Cédula]]&amp;"|"&amp;tblMatriculas[[#This Row],[Código]],tblBase[Documento]&amp;"|"&amp;tblBase[Código grupo],tblBase[Fecha matrícula],"")</f>
        <v>46263</v>
      </c>
    </row>
    <row r="882" spans="1:26" x14ac:dyDescent="0.2">
      <c r="A882" t="s">
        <v>1895</v>
      </c>
      <c r="B882" t="s">
        <v>1896</v>
      </c>
      <c r="C882" t="s">
        <v>13</v>
      </c>
      <c r="D882" t="s">
        <v>1861</v>
      </c>
      <c r="E882" t="s">
        <v>1862</v>
      </c>
      <c r="F882" t="s">
        <v>1863</v>
      </c>
      <c r="G882" s="1">
        <v>3.3000000000000002E-2</v>
      </c>
      <c r="H882" t="s">
        <v>225</v>
      </c>
      <c r="I882" t="s">
        <v>1580</v>
      </c>
      <c r="J882" t="s">
        <v>1581</v>
      </c>
      <c r="K882" t="s">
        <v>24</v>
      </c>
      <c r="L882" s="14">
        <f>IFERROR(VALUE(LEFT(tblMatriculas[[#This Row],[Clases]],FIND("/",tblMatriculas[[#This Row],[Clases]])-1)),"")</f>
        <v>1</v>
      </c>
      <c r="M882" s="14">
        <f>IFERROR(VALUE(MID(tblMatriculas[[#This Row],[Clases]],FIND("/",tblMatriculas[[#This Row],[Clases]])+1,5)),"")</f>
        <v>30</v>
      </c>
      <c r="N8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2" s="14">
        <f>IF(OR(tblMatriculas[[#This Row],[Estado]]&lt;&gt;"activa",tblMatriculas[[#This Row],[Clases dictadas]]=""),"",MAX(0,tblMatriculas[[#This Row],[Clases dictadas]]-tblMatriculas[[#This Row],[Asistidas]]))</f>
        <v>4</v>
      </c>
      <c r="P882" s="1">
        <f>IF(OR(tblMatriculas[[#This Row],[Estado]]&lt;&gt;"activa",tblMatriculas[[#This Row],[Asistidas]]=""),"",tblMatriculas[[#This Row],[Asistencia]])</f>
        <v>3.3000000000000002E-2</v>
      </c>
      <c r="Q882" t="b">
        <f>AND(tblMatriculas[[#This Row],[Estado]]="activa",ISNUMBER(tblMatriculas[[#This Row],[% asistencia]]),NOT(ISNUMBER(SEARCH(pPrueba,tblMatriculas[[#This Row],[Nombre]]))))</f>
        <v>1</v>
      </c>
      <c r="R8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82" s="23" t="str" cm="1">
        <f t="array" ref="S8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2" s="23" t="str" cm="1">
        <f t="array" ref="T8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2" s="14" t="str" cm="1">
        <f t="array" ref="U8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2" t="str" cm="1">
        <f t="array" ref="V8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2" t="str" cm="1">
        <f t="array" ref="W8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82" t="str">
        <f>IF(COUNTIFS('Base Estudiantes'!$C:$C,tblMatriculas[[#This Row],[Cédula]],'Base Estudiantes'!$I:$I,tblMatriculas[[#This Row],[Código]])&gt;0,"Sí","No")</f>
        <v>Sí</v>
      </c>
      <c r="Z882" s="23" cm="1">
        <f t="array" ref="Z882">_xlfn.XLOOKUP(tblMatriculas[[#This Row],[Cédula]]&amp;"|"&amp;tblMatriculas[[#This Row],[Código]],tblBase[Documento]&amp;"|"&amp;tblBase[Código grupo],tblBase[Fecha matrícula],"")</f>
        <v>46263</v>
      </c>
    </row>
    <row r="883" spans="1:26" x14ac:dyDescent="0.2">
      <c r="A883" t="s">
        <v>1897</v>
      </c>
      <c r="B883" t="s">
        <v>1898</v>
      </c>
      <c r="C883" t="s">
        <v>13</v>
      </c>
      <c r="D883" t="s">
        <v>1861</v>
      </c>
      <c r="E883" t="s">
        <v>1862</v>
      </c>
      <c r="F883" t="s">
        <v>1863</v>
      </c>
      <c r="G883" s="1">
        <v>0.1</v>
      </c>
      <c r="H883" t="s">
        <v>117</v>
      </c>
      <c r="I883" t="s">
        <v>1580</v>
      </c>
      <c r="J883" t="s">
        <v>1581</v>
      </c>
      <c r="K883" t="s">
        <v>24</v>
      </c>
      <c r="L883" s="14">
        <f>IFERROR(VALUE(LEFT(tblMatriculas[[#This Row],[Clases]],FIND("/",tblMatriculas[[#This Row],[Clases]])-1)),"")</f>
        <v>3</v>
      </c>
      <c r="M883" s="14">
        <f>IFERROR(VALUE(MID(tblMatriculas[[#This Row],[Clases]],FIND("/",tblMatriculas[[#This Row],[Clases]])+1,5)),"")</f>
        <v>30</v>
      </c>
      <c r="N8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3" s="14">
        <f>IF(OR(tblMatriculas[[#This Row],[Estado]]&lt;&gt;"activa",tblMatriculas[[#This Row],[Clases dictadas]]=""),"",MAX(0,tblMatriculas[[#This Row],[Clases dictadas]]-tblMatriculas[[#This Row],[Asistidas]]))</f>
        <v>2</v>
      </c>
      <c r="P883" s="1">
        <f>IF(OR(tblMatriculas[[#This Row],[Estado]]&lt;&gt;"activa",tblMatriculas[[#This Row],[Asistidas]]=""),"",tblMatriculas[[#This Row],[Asistencia]])</f>
        <v>0.1</v>
      </c>
      <c r="Q883" t="b">
        <f>AND(tblMatriculas[[#This Row],[Estado]]="activa",ISNUMBER(tblMatriculas[[#This Row],[% asistencia]]),NOT(ISNUMBER(SEARCH(pPrueba,tblMatriculas[[#This Row],[Nombre]]))))</f>
        <v>1</v>
      </c>
      <c r="R8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3" s="23" t="str" cm="1">
        <f t="array" ref="S8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3" s="23" t="str" cm="1">
        <f t="array" ref="T8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3" s="14" t="str" cm="1">
        <f t="array" ref="U8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3" t="str" cm="1">
        <f t="array" ref="V8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3" t="str" cm="1">
        <f t="array" ref="W8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3" t="str">
        <f>IF(COUNTIFS('Base Estudiantes'!$C:$C,tblMatriculas[[#This Row],[Cédula]],'Base Estudiantes'!$I:$I,tblMatriculas[[#This Row],[Código]])&gt;0,"Sí","No")</f>
        <v>Sí</v>
      </c>
      <c r="Z883" s="23" cm="1">
        <f t="array" ref="Z883">_xlfn.XLOOKUP(tblMatriculas[[#This Row],[Cédula]]&amp;"|"&amp;tblMatriculas[[#This Row],[Código]],tblBase[Documento]&amp;"|"&amp;tblBase[Código grupo],tblBase[Fecha matrícula],"")</f>
        <v>46263</v>
      </c>
    </row>
    <row r="884" spans="1:26" x14ac:dyDescent="0.2">
      <c r="A884" t="s">
        <v>1899</v>
      </c>
      <c r="B884" t="s">
        <v>1900</v>
      </c>
      <c r="C884" t="s">
        <v>13</v>
      </c>
      <c r="D884" t="s">
        <v>1861</v>
      </c>
      <c r="E884" t="s">
        <v>1862</v>
      </c>
      <c r="F884" t="s">
        <v>1863</v>
      </c>
      <c r="G884" s="1">
        <v>6.7000000000000004E-2</v>
      </c>
      <c r="H884" t="s">
        <v>166</v>
      </c>
      <c r="I884" t="s">
        <v>1580</v>
      </c>
      <c r="J884" t="s">
        <v>1581</v>
      </c>
      <c r="K884" t="s">
        <v>24</v>
      </c>
      <c r="L884" s="14">
        <f>IFERROR(VALUE(LEFT(tblMatriculas[[#This Row],[Clases]],FIND("/",tblMatriculas[[#This Row],[Clases]])-1)),"")</f>
        <v>2</v>
      </c>
      <c r="M884" s="14">
        <f>IFERROR(VALUE(MID(tblMatriculas[[#This Row],[Clases]],FIND("/",tblMatriculas[[#This Row],[Clases]])+1,5)),"")</f>
        <v>30</v>
      </c>
      <c r="N8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4" s="14">
        <f>IF(OR(tblMatriculas[[#This Row],[Estado]]&lt;&gt;"activa",tblMatriculas[[#This Row],[Clases dictadas]]=""),"",MAX(0,tblMatriculas[[#This Row],[Clases dictadas]]-tblMatriculas[[#This Row],[Asistidas]]))</f>
        <v>3</v>
      </c>
      <c r="P884" s="1">
        <f>IF(OR(tblMatriculas[[#This Row],[Estado]]&lt;&gt;"activa",tblMatriculas[[#This Row],[Asistidas]]=""),"",tblMatriculas[[#This Row],[Asistencia]])</f>
        <v>6.7000000000000004E-2</v>
      </c>
      <c r="Q884" t="b">
        <f>AND(tblMatriculas[[#This Row],[Estado]]="activa",ISNUMBER(tblMatriculas[[#This Row],[% asistencia]]),NOT(ISNUMBER(SEARCH(pPrueba,tblMatriculas[[#This Row],[Nombre]]))))</f>
        <v>1</v>
      </c>
      <c r="R8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84" s="23" t="str" cm="1">
        <f t="array" ref="S8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4" s="23" t="str" cm="1">
        <f t="array" ref="T8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4" s="14" t="str" cm="1">
        <f t="array" ref="U8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4" t="str" cm="1">
        <f t="array" ref="V8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4" t="str" cm="1">
        <f t="array" ref="W8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84" t="str">
        <f>IF(COUNTIFS('Base Estudiantes'!$C:$C,tblMatriculas[[#This Row],[Cédula]],'Base Estudiantes'!$I:$I,tblMatriculas[[#This Row],[Código]])&gt;0,"Sí","No")</f>
        <v>Sí</v>
      </c>
      <c r="Z884" s="23" cm="1">
        <f t="array" ref="Z884">_xlfn.XLOOKUP(tblMatriculas[[#This Row],[Cédula]]&amp;"|"&amp;tblMatriculas[[#This Row],[Código]],tblBase[Documento]&amp;"|"&amp;tblBase[Código grupo],tblBase[Fecha matrícula],"")</f>
        <v>46263</v>
      </c>
    </row>
    <row r="885" spans="1:26" x14ac:dyDescent="0.2">
      <c r="A885" t="s">
        <v>1901</v>
      </c>
      <c r="B885" t="s">
        <v>1902</v>
      </c>
      <c r="C885" t="s">
        <v>13</v>
      </c>
      <c r="D885" t="s">
        <v>1861</v>
      </c>
      <c r="E885" t="s">
        <v>1862</v>
      </c>
      <c r="F885" t="s">
        <v>1863</v>
      </c>
      <c r="G885" s="1">
        <v>6.7000000000000004E-2</v>
      </c>
      <c r="H885" t="s">
        <v>166</v>
      </c>
      <c r="I885" t="s">
        <v>1580</v>
      </c>
      <c r="J885" t="s">
        <v>1581</v>
      </c>
      <c r="K885" t="s">
        <v>24</v>
      </c>
      <c r="L885" s="14">
        <f>IFERROR(VALUE(LEFT(tblMatriculas[[#This Row],[Clases]],FIND("/",tblMatriculas[[#This Row],[Clases]])-1)),"")</f>
        <v>2</v>
      </c>
      <c r="M885" s="14">
        <f>IFERROR(VALUE(MID(tblMatriculas[[#This Row],[Clases]],FIND("/",tblMatriculas[[#This Row],[Clases]])+1,5)),"")</f>
        <v>30</v>
      </c>
      <c r="N8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5" s="14">
        <f>IF(OR(tblMatriculas[[#This Row],[Estado]]&lt;&gt;"activa",tblMatriculas[[#This Row],[Clases dictadas]]=""),"",MAX(0,tblMatriculas[[#This Row],[Clases dictadas]]-tblMatriculas[[#This Row],[Asistidas]]))</f>
        <v>3</v>
      </c>
      <c r="P885" s="1">
        <f>IF(OR(tblMatriculas[[#This Row],[Estado]]&lt;&gt;"activa",tblMatriculas[[#This Row],[Asistidas]]=""),"",tblMatriculas[[#This Row],[Asistencia]])</f>
        <v>6.7000000000000004E-2</v>
      </c>
      <c r="Q885" t="b">
        <f>AND(tblMatriculas[[#This Row],[Estado]]="activa",ISNUMBER(tblMatriculas[[#This Row],[% asistencia]]),NOT(ISNUMBER(SEARCH(pPrueba,tblMatriculas[[#This Row],[Nombre]]))))</f>
        <v>1</v>
      </c>
      <c r="R8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885" s="23" t="str" cm="1">
        <f t="array" ref="S8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5" s="23" t="str" cm="1">
        <f t="array" ref="T8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5" s="14" t="str" cm="1">
        <f t="array" ref="U8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5" t="str" cm="1">
        <f t="array" ref="V8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5" t="str" cm="1">
        <f t="array" ref="W8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8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885" t="str">
        <f>IF(COUNTIFS('Base Estudiantes'!$C:$C,tblMatriculas[[#This Row],[Cédula]],'Base Estudiantes'!$I:$I,tblMatriculas[[#This Row],[Código]])&gt;0,"Sí","No")</f>
        <v>Sí</v>
      </c>
      <c r="Z885" s="23" cm="1">
        <f t="array" ref="Z885">_xlfn.XLOOKUP(tblMatriculas[[#This Row],[Cédula]]&amp;"|"&amp;tblMatriculas[[#This Row],[Código]],tblBase[Documento]&amp;"|"&amp;tblBase[Código grupo],tblBase[Fecha matrícula],"")</f>
        <v>46263</v>
      </c>
    </row>
    <row r="886" spans="1:26" x14ac:dyDescent="0.2">
      <c r="A886" t="s">
        <v>1903</v>
      </c>
      <c r="B886" t="s">
        <v>1904</v>
      </c>
      <c r="C886" t="s">
        <v>13</v>
      </c>
      <c r="D886" t="s">
        <v>1861</v>
      </c>
      <c r="E886" t="s">
        <v>1862</v>
      </c>
      <c r="F886" t="s">
        <v>1863</v>
      </c>
      <c r="G886" s="1">
        <v>0.16699999999999998</v>
      </c>
      <c r="H886" t="s">
        <v>229</v>
      </c>
      <c r="I886" t="s">
        <v>1580</v>
      </c>
      <c r="J886" t="s">
        <v>1581</v>
      </c>
      <c r="K886" t="s">
        <v>24</v>
      </c>
      <c r="L886" s="14">
        <f>IFERROR(VALUE(LEFT(tblMatriculas[[#This Row],[Clases]],FIND("/",tblMatriculas[[#This Row],[Clases]])-1)),"")</f>
        <v>5</v>
      </c>
      <c r="M886" s="14">
        <f>IFERROR(VALUE(MID(tblMatriculas[[#This Row],[Clases]],FIND("/",tblMatriculas[[#This Row],[Clases]])+1,5)),"")</f>
        <v>30</v>
      </c>
      <c r="N8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6" s="14">
        <f>IF(OR(tblMatriculas[[#This Row],[Estado]]&lt;&gt;"activa",tblMatriculas[[#This Row],[Clases dictadas]]=""),"",MAX(0,tblMatriculas[[#This Row],[Clases dictadas]]-tblMatriculas[[#This Row],[Asistidas]]))</f>
        <v>0</v>
      </c>
      <c r="P886" s="1">
        <f>IF(OR(tblMatriculas[[#This Row],[Estado]]&lt;&gt;"activa",tblMatriculas[[#This Row],[Asistidas]]=""),"",tblMatriculas[[#This Row],[Asistencia]])</f>
        <v>0.16699999999999998</v>
      </c>
      <c r="Q886" t="b">
        <f>AND(tblMatriculas[[#This Row],[Estado]]="activa",ISNUMBER(tblMatriculas[[#This Row],[% asistencia]]),NOT(ISNUMBER(SEARCH(pPrueba,tblMatriculas[[#This Row],[Nombre]]))))</f>
        <v>1</v>
      </c>
      <c r="R8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6" s="23" t="str" cm="1">
        <f t="array" ref="S8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6" s="23" t="str" cm="1">
        <f t="array" ref="T8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6" s="14" t="str" cm="1">
        <f t="array" ref="U8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6" t="str" cm="1">
        <f t="array" ref="V8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6" t="str" cm="1">
        <f t="array" ref="W8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6" t="str">
        <f>IF(COUNTIFS('Base Estudiantes'!$C:$C,tblMatriculas[[#This Row],[Cédula]],'Base Estudiantes'!$I:$I,tblMatriculas[[#This Row],[Código]])&gt;0,"Sí","No")</f>
        <v>Sí</v>
      </c>
      <c r="Z886" s="23" cm="1">
        <f t="array" ref="Z886">_xlfn.XLOOKUP(tblMatriculas[[#This Row],[Cédula]]&amp;"|"&amp;tblMatriculas[[#This Row],[Código]],tblBase[Documento]&amp;"|"&amp;tblBase[Código grupo],tblBase[Fecha matrícula],"")</f>
        <v>46263</v>
      </c>
    </row>
    <row r="887" spans="1:26" x14ac:dyDescent="0.2">
      <c r="A887" t="s">
        <v>1905</v>
      </c>
      <c r="B887" t="s">
        <v>1906</v>
      </c>
      <c r="C887" t="s">
        <v>13</v>
      </c>
      <c r="D887" t="s">
        <v>1861</v>
      </c>
      <c r="E887" t="s">
        <v>1862</v>
      </c>
      <c r="F887" t="s">
        <v>1863</v>
      </c>
      <c r="G887" s="1">
        <v>3.3000000000000002E-2</v>
      </c>
      <c r="H887" t="s">
        <v>225</v>
      </c>
      <c r="I887" t="s">
        <v>1580</v>
      </c>
      <c r="J887" t="s">
        <v>1581</v>
      </c>
      <c r="K887" t="s">
        <v>24</v>
      </c>
      <c r="L887" s="14">
        <f>IFERROR(VALUE(LEFT(tblMatriculas[[#This Row],[Clases]],FIND("/",tblMatriculas[[#This Row],[Clases]])-1)),"")</f>
        <v>1</v>
      </c>
      <c r="M887" s="14">
        <f>IFERROR(VALUE(MID(tblMatriculas[[#This Row],[Clases]],FIND("/",tblMatriculas[[#This Row],[Clases]])+1,5)),"")</f>
        <v>30</v>
      </c>
      <c r="N8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7" s="14">
        <f>IF(OR(tblMatriculas[[#This Row],[Estado]]&lt;&gt;"activa",tblMatriculas[[#This Row],[Clases dictadas]]=""),"",MAX(0,tblMatriculas[[#This Row],[Clases dictadas]]-tblMatriculas[[#This Row],[Asistidas]]))</f>
        <v>4</v>
      </c>
      <c r="P887" s="1">
        <f>IF(OR(tblMatriculas[[#This Row],[Estado]]&lt;&gt;"activa",tblMatriculas[[#This Row],[Asistidas]]=""),"",tblMatriculas[[#This Row],[Asistencia]])</f>
        <v>3.3000000000000002E-2</v>
      </c>
      <c r="Q887" t="b">
        <f>AND(tblMatriculas[[#This Row],[Estado]]="activa",ISNUMBER(tblMatriculas[[#This Row],[% asistencia]]),NOT(ISNUMBER(SEARCH(pPrueba,tblMatriculas[[#This Row],[Nombre]]))))</f>
        <v>1</v>
      </c>
      <c r="R8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887" s="23" t="str" cm="1">
        <f t="array" ref="S8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7" s="23" t="str" cm="1">
        <f t="array" ref="T8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7" s="14" t="str" cm="1">
        <f t="array" ref="U8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7" t="str" cm="1">
        <f t="array" ref="V8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7" t="str" cm="1">
        <f t="array" ref="W8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8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887" t="str">
        <f>IF(COUNTIFS('Base Estudiantes'!$C:$C,tblMatriculas[[#This Row],[Cédula]],'Base Estudiantes'!$I:$I,tblMatriculas[[#This Row],[Código]])&gt;0,"Sí","No")</f>
        <v>Sí</v>
      </c>
      <c r="Z887" s="23" cm="1">
        <f t="array" ref="Z887">_xlfn.XLOOKUP(tblMatriculas[[#This Row],[Cédula]]&amp;"|"&amp;tblMatriculas[[#This Row],[Código]],tblBase[Documento]&amp;"|"&amp;tblBase[Código grupo],tblBase[Fecha matrícula],"")</f>
        <v>46263</v>
      </c>
    </row>
    <row r="888" spans="1:26" x14ac:dyDescent="0.2">
      <c r="A888" t="s">
        <v>1907</v>
      </c>
      <c r="B888" t="s">
        <v>1908</v>
      </c>
      <c r="C888" t="s">
        <v>13</v>
      </c>
      <c r="D888" t="s">
        <v>1861</v>
      </c>
      <c r="E888" t="s">
        <v>1862</v>
      </c>
      <c r="F888" t="s">
        <v>1863</v>
      </c>
      <c r="G888" s="1">
        <v>0.13300000000000001</v>
      </c>
      <c r="H888" t="s">
        <v>112</v>
      </c>
      <c r="I888" t="s">
        <v>1580</v>
      </c>
      <c r="J888" t="s">
        <v>1581</v>
      </c>
      <c r="K888" t="s">
        <v>24</v>
      </c>
      <c r="L888" s="14">
        <f>IFERROR(VALUE(LEFT(tblMatriculas[[#This Row],[Clases]],FIND("/",tblMatriculas[[#This Row],[Clases]])-1)),"")</f>
        <v>4</v>
      </c>
      <c r="M888" s="14">
        <f>IFERROR(VALUE(MID(tblMatriculas[[#This Row],[Clases]],FIND("/",tblMatriculas[[#This Row],[Clases]])+1,5)),"")</f>
        <v>30</v>
      </c>
      <c r="N8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8" s="14">
        <f>IF(OR(tblMatriculas[[#This Row],[Estado]]&lt;&gt;"activa",tblMatriculas[[#This Row],[Clases dictadas]]=""),"",MAX(0,tblMatriculas[[#This Row],[Clases dictadas]]-tblMatriculas[[#This Row],[Asistidas]]))</f>
        <v>1</v>
      </c>
      <c r="P888" s="1">
        <f>IF(OR(tblMatriculas[[#This Row],[Estado]]&lt;&gt;"activa",tblMatriculas[[#This Row],[Asistidas]]=""),"",tblMatriculas[[#This Row],[Asistencia]])</f>
        <v>0.13300000000000001</v>
      </c>
      <c r="Q888" t="b">
        <f>AND(tblMatriculas[[#This Row],[Estado]]="activa",ISNUMBER(tblMatriculas[[#This Row],[% asistencia]]),NOT(ISNUMBER(SEARCH(pPrueba,tblMatriculas[[#This Row],[Nombre]]))))</f>
        <v>1</v>
      </c>
      <c r="R8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8" s="23" t="str" cm="1">
        <f t="array" ref="S8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8" s="23" t="str" cm="1">
        <f t="array" ref="T8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8" s="14" t="str" cm="1">
        <f t="array" ref="U8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8" t="str" cm="1">
        <f t="array" ref="V8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8" t="str" cm="1">
        <f t="array" ref="W8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8" t="str">
        <f>IF(COUNTIFS('Base Estudiantes'!$C:$C,tblMatriculas[[#This Row],[Cédula]],'Base Estudiantes'!$I:$I,tblMatriculas[[#This Row],[Código]])&gt;0,"Sí","No")</f>
        <v>Sí</v>
      </c>
      <c r="Z888" s="23" cm="1">
        <f t="array" ref="Z888">_xlfn.XLOOKUP(tblMatriculas[[#This Row],[Cédula]]&amp;"|"&amp;tblMatriculas[[#This Row],[Código]],tblBase[Documento]&amp;"|"&amp;tblBase[Código grupo],tblBase[Fecha matrícula],"")</f>
        <v>46263</v>
      </c>
    </row>
    <row r="889" spans="1:26" x14ac:dyDescent="0.2">
      <c r="A889" t="s">
        <v>1909</v>
      </c>
      <c r="B889" t="s">
        <v>1910</v>
      </c>
      <c r="C889" t="s">
        <v>13</v>
      </c>
      <c r="D889" t="s">
        <v>1861</v>
      </c>
      <c r="E889" t="s">
        <v>1862</v>
      </c>
      <c r="F889" t="s">
        <v>1863</v>
      </c>
      <c r="G889" s="1">
        <v>0.16699999999999998</v>
      </c>
      <c r="H889" t="s">
        <v>229</v>
      </c>
      <c r="I889" t="s">
        <v>1580</v>
      </c>
      <c r="J889" t="s">
        <v>1581</v>
      </c>
      <c r="K889" t="s">
        <v>24</v>
      </c>
      <c r="L889" s="14">
        <f>IFERROR(VALUE(LEFT(tblMatriculas[[#This Row],[Clases]],FIND("/",tblMatriculas[[#This Row],[Clases]])-1)),"")</f>
        <v>5</v>
      </c>
      <c r="M889" s="14">
        <f>IFERROR(VALUE(MID(tblMatriculas[[#This Row],[Clases]],FIND("/",tblMatriculas[[#This Row],[Clases]])+1,5)),"")</f>
        <v>30</v>
      </c>
      <c r="N8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89" s="14">
        <f>IF(OR(tblMatriculas[[#This Row],[Estado]]&lt;&gt;"activa",tblMatriculas[[#This Row],[Clases dictadas]]=""),"",MAX(0,tblMatriculas[[#This Row],[Clases dictadas]]-tblMatriculas[[#This Row],[Asistidas]]))</f>
        <v>0</v>
      </c>
      <c r="P889" s="1">
        <f>IF(OR(tblMatriculas[[#This Row],[Estado]]&lt;&gt;"activa",tblMatriculas[[#This Row],[Asistidas]]=""),"",tblMatriculas[[#This Row],[Asistencia]])</f>
        <v>0.16699999999999998</v>
      </c>
      <c r="Q889" t="b">
        <f>AND(tblMatriculas[[#This Row],[Estado]]="activa",ISNUMBER(tblMatriculas[[#This Row],[% asistencia]]),NOT(ISNUMBER(SEARCH(pPrueba,tblMatriculas[[#This Row],[Nombre]]))))</f>
        <v>1</v>
      </c>
      <c r="R8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89" s="23" t="str" cm="1">
        <f t="array" ref="S8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89" s="23" t="str" cm="1">
        <f t="array" ref="T8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89" s="14" t="str" cm="1">
        <f t="array" ref="U8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89" t="str" cm="1">
        <f t="array" ref="V8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89" t="str" cm="1">
        <f t="array" ref="W8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89" t="str">
        <f>IF(COUNTIFS('Base Estudiantes'!$C:$C,tblMatriculas[[#This Row],[Cédula]],'Base Estudiantes'!$I:$I,tblMatriculas[[#This Row],[Código]])&gt;0,"Sí","No")</f>
        <v>Sí</v>
      </c>
      <c r="Z889" s="23" cm="1">
        <f t="array" ref="Z889">_xlfn.XLOOKUP(tblMatriculas[[#This Row],[Cédula]]&amp;"|"&amp;tblMatriculas[[#This Row],[Código]],tblBase[Documento]&amp;"|"&amp;tblBase[Código grupo],tblBase[Fecha matrícula],"")</f>
        <v>46263</v>
      </c>
    </row>
    <row r="890" spans="1:26" x14ac:dyDescent="0.2">
      <c r="A890" t="s">
        <v>1911</v>
      </c>
      <c r="B890" t="s">
        <v>1912</v>
      </c>
      <c r="C890" t="s">
        <v>13</v>
      </c>
      <c r="D890" t="s">
        <v>1861</v>
      </c>
      <c r="E890" t="s">
        <v>1862</v>
      </c>
      <c r="F890" t="s">
        <v>1863</v>
      </c>
      <c r="G890" s="1">
        <v>0.1</v>
      </c>
      <c r="H890" t="s">
        <v>117</v>
      </c>
      <c r="I890" t="s">
        <v>1580</v>
      </c>
      <c r="J890" t="s">
        <v>1581</v>
      </c>
      <c r="K890" t="s">
        <v>24</v>
      </c>
      <c r="L890" s="14">
        <f>IFERROR(VALUE(LEFT(tblMatriculas[[#This Row],[Clases]],FIND("/",tblMatriculas[[#This Row],[Clases]])-1)),"")</f>
        <v>3</v>
      </c>
      <c r="M890" s="14">
        <f>IFERROR(VALUE(MID(tblMatriculas[[#This Row],[Clases]],FIND("/",tblMatriculas[[#This Row],[Clases]])+1,5)),"")</f>
        <v>30</v>
      </c>
      <c r="N8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90" s="14">
        <f>IF(OR(tblMatriculas[[#This Row],[Estado]]&lt;&gt;"activa",tblMatriculas[[#This Row],[Clases dictadas]]=""),"",MAX(0,tblMatriculas[[#This Row],[Clases dictadas]]-tblMatriculas[[#This Row],[Asistidas]]))</f>
        <v>2</v>
      </c>
      <c r="P890" s="1">
        <f>IF(OR(tblMatriculas[[#This Row],[Estado]]&lt;&gt;"activa",tblMatriculas[[#This Row],[Asistidas]]=""),"",tblMatriculas[[#This Row],[Asistencia]])</f>
        <v>0.1</v>
      </c>
      <c r="Q890" t="b">
        <f>AND(tblMatriculas[[#This Row],[Estado]]="activa",ISNUMBER(tblMatriculas[[#This Row],[% asistencia]]),NOT(ISNUMBER(SEARCH(pPrueba,tblMatriculas[[#This Row],[Nombre]]))))</f>
        <v>1</v>
      </c>
      <c r="R8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0" s="23" t="str" cm="1">
        <f t="array" ref="S8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0" s="23" t="str" cm="1">
        <f t="array" ref="T8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0" s="14" t="str" cm="1">
        <f t="array" ref="U8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0" t="str" cm="1">
        <f t="array" ref="V8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0" t="str" cm="1">
        <f t="array" ref="W8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0" t="str">
        <f>IF(COUNTIFS('Base Estudiantes'!$C:$C,tblMatriculas[[#This Row],[Cédula]],'Base Estudiantes'!$I:$I,tblMatriculas[[#This Row],[Código]])&gt;0,"Sí","No")</f>
        <v>Sí</v>
      </c>
      <c r="Z890" s="23" cm="1">
        <f t="array" ref="Z890">_xlfn.XLOOKUP(tblMatriculas[[#This Row],[Cédula]]&amp;"|"&amp;tblMatriculas[[#This Row],[Código]],tblBase[Documento]&amp;"|"&amp;tblBase[Código grupo],tblBase[Fecha matrícula],"")</f>
        <v>46263</v>
      </c>
    </row>
    <row r="891" spans="1:26" x14ac:dyDescent="0.2">
      <c r="A891" t="s">
        <v>1913</v>
      </c>
      <c r="B891" t="s">
        <v>1914</v>
      </c>
      <c r="C891" t="s">
        <v>13</v>
      </c>
      <c r="D891" t="s">
        <v>1861</v>
      </c>
      <c r="E891" t="s">
        <v>1862</v>
      </c>
      <c r="F891" t="s">
        <v>1863</v>
      </c>
      <c r="G891" s="1">
        <v>0.13300000000000001</v>
      </c>
      <c r="H891" t="s">
        <v>112</v>
      </c>
      <c r="I891" t="s">
        <v>1580</v>
      </c>
      <c r="J891" t="s">
        <v>1581</v>
      </c>
      <c r="K891" t="s">
        <v>24</v>
      </c>
      <c r="L891" s="14">
        <f>IFERROR(VALUE(LEFT(tblMatriculas[[#This Row],[Clases]],FIND("/",tblMatriculas[[#This Row],[Clases]])-1)),"")</f>
        <v>4</v>
      </c>
      <c r="M891" s="14">
        <f>IFERROR(VALUE(MID(tblMatriculas[[#This Row],[Clases]],FIND("/",tblMatriculas[[#This Row],[Clases]])+1,5)),"")</f>
        <v>30</v>
      </c>
      <c r="N8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91" s="14">
        <f>IF(OR(tblMatriculas[[#This Row],[Estado]]&lt;&gt;"activa",tblMatriculas[[#This Row],[Clases dictadas]]=""),"",MAX(0,tblMatriculas[[#This Row],[Clases dictadas]]-tblMatriculas[[#This Row],[Asistidas]]))</f>
        <v>1</v>
      </c>
      <c r="P891" s="1">
        <f>IF(OR(tblMatriculas[[#This Row],[Estado]]&lt;&gt;"activa",tblMatriculas[[#This Row],[Asistidas]]=""),"",tblMatriculas[[#This Row],[Asistencia]])</f>
        <v>0.13300000000000001</v>
      </c>
      <c r="Q891" t="b">
        <f>AND(tblMatriculas[[#This Row],[Estado]]="activa",ISNUMBER(tblMatriculas[[#This Row],[% asistencia]]),NOT(ISNUMBER(SEARCH(pPrueba,tblMatriculas[[#This Row],[Nombre]]))))</f>
        <v>1</v>
      </c>
      <c r="R8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1" s="23" t="str" cm="1">
        <f t="array" ref="S8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1" s="23" t="str" cm="1">
        <f t="array" ref="T8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1" s="14" t="str" cm="1">
        <f t="array" ref="U8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1" t="str" cm="1">
        <f t="array" ref="V8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1" t="str" cm="1">
        <f t="array" ref="W8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1" t="str">
        <f>IF(COUNTIFS('Base Estudiantes'!$C:$C,tblMatriculas[[#This Row],[Cédula]],'Base Estudiantes'!$I:$I,tblMatriculas[[#This Row],[Código]])&gt;0,"Sí","No")</f>
        <v>Sí</v>
      </c>
      <c r="Z891" s="23" cm="1">
        <f t="array" ref="Z891">_xlfn.XLOOKUP(tblMatriculas[[#This Row],[Cédula]]&amp;"|"&amp;tblMatriculas[[#This Row],[Código]],tblBase[Documento]&amp;"|"&amp;tblBase[Código grupo],tblBase[Fecha matrícula],"")</f>
        <v>46263</v>
      </c>
    </row>
    <row r="892" spans="1:26" x14ac:dyDescent="0.2">
      <c r="A892" t="s">
        <v>1915</v>
      </c>
      <c r="B892" t="s">
        <v>1916</v>
      </c>
      <c r="C892" t="s">
        <v>13</v>
      </c>
      <c r="D892" t="s">
        <v>1861</v>
      </c>
      <c r="E892" t="s">
        <v>1862</v>
      </c>
      <c r="F892" t="s">
        <v>1863</v>
      </c>
      <c r="G892" s="1">
        <v>0.16699999999999998</v>
      </c>
      <c r="H892" t="s">
        <v>229</v>
      </c>
      <c r="I892" t="s">
        <v>1580</v>
      </c>
      <c r="J892" t="s">
        <v>1581</v>
      </c>
      <c r="K892" t="s">
        <v>1590</v>
      </c>
      <c r="L892" s="14">
        <f>IFERROR(VALUE(LEFT(tblMatriculas[[#This Row],[Clases]],FIND("/",tblMatriculas[[#This Row],[Clases]])-1)),"")</f>
        <v>5</v>
      </c>
      <c r="M892" s="14">
        <f>IFERROR(VALUE(MID(tblMatriculas[[#This Row],[Clases]],FIND("/",tblMatriculas[[#This Row],[Clases]])+1,5)),"")</f>
        <v>30</v>
      </c>
      <c r="N8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92" s="14">
        <f>IF(OR(tblMatriculas[[#This Row],[Estado]]&lt;&gt;"activa",tblMatriculas[[#This Row],[Clases dictadas]]=""),"",MAX(0,tblMatriculas[[#This Row],[Clases dictadas]]-tblMatriculas[[#This Row],[Asistidas]]))</f>
        <v>0</v>
      </c>
      <c r="P892" s="1">
        <f>IF(OR(tblMatriculas[[#This Row],[Estado]]&lt;&gt;"activa",tblMatriculas[[#This Row],[Asistidas]]=""),"",tblMatriculas[[#This Row],[Asistencia]])</f>
        <v>0.16699999999999998</v>
      </c>
      <c r="Q892" t="b">
        <f>AND(tblMatriculas[[#This Row],[Estado]]="activa",ISNUMBER(tblMatriculas[[#This Row],[% asistencia]]),NOT(ISNUMBER(SEARCH(pPrueba,tblMatriculas[[#This Row],[Nombre]]))))</f>
        <v>1</v>
      </c>
      <c r="R8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2" s="23" t="str" cm="1">
        <f t="array" ref="S8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2" s="23" t="str" cm="1">
        <f t="array" ref="T8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2" s="14" t="str" cm="1">
        <f t="array" ref="U8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2" t="str" cm="1">
        <f t="array" ref="V8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2" t="str" cm="1">
        <f t="array" ref="W8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2" t="str">
        <f>IF(COUNTIFS('Base Estudiantes'!$C:$C,tblMatriculas[[#This Row],[Cédula]],'Base Estudiantes'!$I:$I,tblMatriculas[[#This Row],[Código]])&gt;0,"Sí","No")</f>
        <v>Sí</v>
      </c>
      <c r="Z892" s="23" cm="1">
        <f t="array" ref="Z892">_xlfn.XLOOKUP(tblMatriculas[[#This Row],[Cédula]]&amp;"|"&amp;tblMatriculas[[#This Row],[Código]],tblBase[Documento]&amp;"|"&amp;tblBase[Código grupo],tblBase[Fecha matrícula],"")</f>
        <v>46263</v>
      </c>
    </row>
    <row r="893" spans="1:26" x14ac:dyDescent="0.2">
      <c r="A893" t="s">
        <v>1917</v>
      </c>
      <c r="B893" t="s">
        <v>1918</v>
      </c>
      <c r="C893" t="s">
        <v>13</v>
      </c>
      <c r="D893" t="s">
        <v>1861</v>
      </c>
      <c r="E893" t="s">
        <v>1862</v>
      </c>
      <c r="F893" t="s">
        <v>1863</v>
      </c>
      <c r="G893" s="1">
        <v>0.1</v>
      </c>
      <c r="H893" t="s">
        <v>117</v>
      </c>
      <c r="I893" t="s">
        <v>1580</v>
      </c>
      <c r="J893" t="s">
        <v>1581</v>
      </c>
      <c r="K893" t="s">
        <v>24</v>
      </c>
      <c r="L893" s="14">
        <f>IFERROR(VALUE(LEFT(tblMatriculas[[#This Row],[Clases]],FIND("/",tblMatriculas[[#This Row],[Clases]])-1)),"")</f>
        <v>3</v>
      </c>
      <c r="M893" s="14">
        <f>IFERROR(VALUE(MID(tblMatriculas[[#This Row],[Clases]],FIND("/",tblMatriculas[[#This Row],[Clases]])+1,5)),"")</f>
        <v>30</v>
      </c>
      <c r="N8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893" s="14">
        <f>IF(OR(tblMatriculas[[#This Row],[Estado]]&lt;&gt;"activa",tblMatriculas[[#This Row],[Clases dictadas]]=""),"",MAX(0,tblMatriculas[[#This Row],[Clases dictadas]]-tblMatriculas[[#This Row],[Asistidas]]))</f>
        <v>2</v>
      </c>
      <c r="P893" s="1">
        <f>IF(OR(tblMatriculas[[#This Row],[Estado]]&lt;&gt;"activa",tblMatriculas[[#This Row],[Asistidas]]=""),"",tblMatriculas[[#This Row],[Asistencia]])</f>
        <v>0.1</v>
      </c>
      <c r="Q893" t="b">
        <f>AND(tblMatriculas[[#This Row],[Estado]]="activa",ISNUMBER(tblMatriculas[[#This Row],[% asistencia]]),NOT(ISNUMBER(SEARCH(pPrueba,tblMatriculas[[#This Row],[Nombre]]))))</f>
        <v>1</v>
      </c>
      <c r="R8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3" s="23" t="str" cm="1">
        <f t="array" ref="S8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3" s="23" t="str" cm="1">
        <f t="array" ref="T8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3" s="14" t="str" cm="1">
        <f t="array" ref="U8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3" t="str" cm="1">
        <f t="array" ref="V8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3" t="str" cm="1">
        <f t="array" ref="W8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3" t="str">
        <f>IF(COUNTIFS('Base Estudiantes'!$C:$C,tblMatriculas[[#This Row],[Cédula]],'Base Estudiantes'!$I:$I,tblMatriculas[[#This Row],[Código]])&gt;0,"Sí","No")</f>
        <v>Sí</v>
      </c>
      <c r="Z893" s="23" cm="1">
        <f t="array" ref="Z893">_xlfn.XLOOKUP(tblMatriculas[[#This Row],[Cédula]]&amp;"|"&amp;tblMatriculas[[#This Row],[Código]],tblBase[Documento]&amp;"|"&amp;tblBase[Código grupo],tblBase[Fecha matrícula],"")</f>
        <v>46282</v>
      </c>
    </row>
    <row r="894" spans="1:26" x14ac:dyDescent="0.2">
      <c r="A894" t="s">
        <v>1919</v>
      </c>
      <c r="B894" t="s">
        <v>1920</v>
      </c>
      <c r="C894" t="s">
        <v>13</v>
      </c>
      <c r="D894" t="s">
        <v>1921</v>
      </c>
      <c r="E894" t="s">
        <v>1922</v>
      </c>
      <c r="F894" t="s">
        <v>1863</v>
      </c>
      <c r="G894" s="1">
        <v>0</v>
      </c>
      <c r="H894" t="s">
        <v>1649</v>
      </c>
      <c r="I894" t="s">
        <v>1580</v>
      </c>
      <c r="J894" t="s">
        <v>1654</v>
      </c>
      <c r="K894" t="s">
        <v>1582</v>
      </c>
      <c r="L894" s="14" t="str">
        <f>IFERROR(VALUE(LEFT(tblMatriculas[[#This Row],[Clases]],FIND("/",tblMatriculas[[#This Row],[Clases]])-1)),"")</f>
        <v/>
      </c>
      <c r="M894" s="14" t="str">
        <f>IFERROR(VALUE(MID(tblMatriculas[[#This Row],[Clases]],FIND("/",tblMatriculas[[#This Row],[Clases]])+1,5)),"")</f>
        <v/>
      </c>
      <c r="N89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894" s="14" t="str">
        <f>IF(OR(tblMatriculas[[#This Row],[Estado]]&lt;&gt;"activa",tblMatriculas[[#This Row],[Clases dictadas]]=""),"",MAX(0,tblMatriculas[[#This Row],[Clases dictadas]]-tblMatriculas[[#This Row],[Asistidas]]))</f>
        <v/>
      </c>
      <c r="P894" s="1" t="str">
        <f>IF(OR(tblMatriculas[[#This Row],[Estado]]&lt;&gt;"activa",tblMatriculas[[#This Row],[Asistidas]]=""),"",tblMatriculas[[#This Row],[Asistencia]])</f>
        <v/>
      </c>
      <c r="Q894" t="b">
        <f>AND(tblMatriculas[[#This Row],[Estado]]="activa",ISNUMBER(tblMatriculas[[#This Row],[% asistencia]]),NOT(ISNUMBER(SEARCH(pPrueba,tblMatriculas[[#This Row],[Nombre]]))))</f>
        <v>0</v>
      </c>
      <c r="R8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894" s="23" t="str" cm="1">
        <f t="array" ref="S8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4" s="23" t="str" cm="1">
        <f t="array" ref="T8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4" s="14" t="str" cm="1">
        <f t="array" ref="U8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4" t="str" cm="1">
        <f t="array" ref="V8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4" t="str" cm="1">
        <f t="array" ref="W8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8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894" t="str">
        <f>IF(COUNTIFS('Base Estudiantes'!$C:$C,tblMatriculas[[#This Row],[Cédula]],'Base Estudiantes'!$I:$I,tblMatriculas[[#This Row],[Código]])&gt;0,"Sí","No")</f>
        <v>Sí</v>
      </c>
      <c r="Z894" s="23" cm="1">
        <f t="array" ref="Z894">_xlfn.XLOOKUP(tblMatriculas[[#This Row],[Cédula]]&amp;"|"&amp;tblMatriculas[[#This Row],[Código]],tblBase[Documento]&amp;"|"&amp;tblBase[Código grupo],tblBase[Fecha matrícula],"")</f>
        <v>46263</v>
      </c>
    </row>
    <row r="895" spans="1:26" x14ac:dyDescent="0.2">
      <c r="A895" t="s">
        <v>1923</v>
      </c>
      <c r="B895" t="s">
        <v>1924</v>
      </c>
      <c r="C895" t="s">
        <v>13</v>
      </c>
      <c r="D895" t="s">
        <v>1921</v>
      </c>
      <c r="E895" t="s">
        <v>1922</v>
      </c>
      <c r="F895" t="s">
        <v>1863</v>
      </c>
      <c r="G895" s="1">
        <v>0.1</v>
      </c>
      <c r="H895" t="s">
        <v>117</v>
      </c>
      <c r="I895" t="s">
        <v>1580</v>
      </c>
      <c r="J895" t="s">
        <v>1654</v>
      </c>
      <c r="K895" t="s">
        <v>1868</v>
      </c>
      <c r="L895" s="14">
        <f>IFERROR(VALUE(LEFT(tblMatriculas[[#This Row],[Clases]],FIND("/",tblMatriculas[[#This Row],[Clases]])-1)),"")</f>
        <v>3</v>
      </c>
      <c r="M895" s="14">
        <f>IFERROR(VALUE(MID(tblMatriculas[[#This Row],[Clases]],FIND("/",tblMatriculas[[#This Row],[Clases]])+1,5)),"")</f>
        <v>30</v>
      </c>
      <c r="N8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895" s="14">
        <f>IF(OR(tblMatriculas[[#This Row],[Estado]]&lt;&gt;"activa",tblMatriculas[[#This Row],[Clases dictadas]]=""),"",MAX(0,tblMatriculas[[#This Row],[Clases dictadas]]-tblMatriculas[[#This Row],[Asistidas]]))</f>
        <v>0</v>
      </c>
      <c r="P895" s="1">
        <f>IF(OR(tblMatriculas[[#This Row],[Estado]]&lt;&gt;"activa",tblMatriculas[[#This Row],[Asistidas]]=""),"",tblMatriculas[[#This Row],[Asistencia]])</f>
        <v>0.1</v>
      </c>
      <c r="Q895" t="b">
        <f>AND(tblMatriculas[[#This Row],[Estado]]="activa",ISNUMBER(tblMatriculas[[#This Row],[% asistencia]]),NOT(ISNUMBER(SEARCH(pPrueba,tblMatriculas[[#This Row],[Nombre]]))))</f>
        <v>1</v>
      </c>
      <c r="R8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895" s="23" t="str" cm="1">
        <f t="array" ref="S8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5" s="23" t="str" cm="1">
        <f t="array" ref="T8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5" s="14" t="str" cm="1">
        <f t="array" ref="U8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5" t="str" cm="1">
        <f t="array" ref="V8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5" t="str" cm="1">
        <f t="array" ref="W8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8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895" t="str">
        <f>IF(COUNTIFS('Base Estudiantes'!$C:$C,tblMatriculas[[#This Row],[Cédula]],'Base Estudiantes'!$I:$I,tblMatriculas[[#This Row],[Código]])&gt;0,"Sí","No")</f>
        <v>Sí</v>
      </c>
      <c r="Z895" s="23" cm="1">
        <f t="array" ref="Z895">_xlfn.XLOOKUP(tblMatriculas[[#This Row],[Cédula]]&amp;"|"&amp;tblMatriculas[[#This Row],[Código]],tblBase[Documento]&amp;"|"&amp;tblBase[Código grupo],tblBase[Fecha matrícula],"")</f>
        <v>46263</v>
      </c>
    </row>
    <row r="896" spans="1:26" x14ac:dyDescent="0.2">
      <c r="A896" t="s">
        <v>1925</v>
      </c>
      <c r="B896" t="s">
        <v>1926</v>
      </c>
      <c r="C896" t="s">
        <v>13</v>
      </c>
      <c r="D896" t="s">
        <v>1921</v>
      </c>
      <c r="E896" t="s">
        <v>1922</v>
      </c>
      <c r="F896" t="s">
        <v>1863</v>
      </c>
      <c r="G896" s="1">
        <v>0</v>
      </c>
      <c r="H896" t="s">
        <v>1649</v>
      </c>
      <c r="I896" t="s">
        <v>1580</v>
      </c>
      <c r="J896" t="s">
        <v>1654</v>
      </c>
      <c r="K896" t="s">
        <v>24</v>
      </c>
      <c r="L896" s="14" t="str">
        <f>IFERROR(VALUE(LEFT(tblMatriculas[[#This Row],[Clases]],FIND("/",tblMatriculas[[#This Row],[Clases]])-1)),"")</f>
        <v/>
      </c>
      <c r="M896" s="14" t="str">
        <f>IFERROR(VALUE(MID(tblMatriculas[[#This Row],[Clases]],FIND("/",tblMatriculas[[#This Row],[Clases]])+1,5)),"")</f>
        <v/>
      </c>
      <c r="N896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896" s="14" t="str">
        <f>IF(OR(tblMatriculas[[#This Row],[Estado]]&lt;&gt;"activa",tblMatriculas[[#This Row],[Clases dictadas]]=""),"",MAX(0,tblMatriculas[[#This Row],[Clases dictadas]]-tblMatriculas[[#This Row],[Asistidas]]))</f>
        <v/>
      </c>
      <c r="P896" s="1" t="str">
        <f>IF(OR(tblMatriculas[[#This Row],[Estado]]&lt;&gt;"activa",tblMatriculas[[#This Row],[Asistidas]]=""),"",tblMatriculas[[#This Row],[Asistencia]])</f>
        <v/>
      </c>
      <c r="Q896" t="b">
        <f>AND(tblMatriculas[[#This Row],[Estado]]="activa",ISNUMBER(tblMatriculas[[#This Row],[% asistencia]]),NOT(ISNUMBER(SEARCH(pPrueba,tblMatriculas[[#This Row],[Nombre]]))))</f>
        <v>0</v>
      </c>
      <c r="R8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896" s="23" t="str" cm="1">
        <f t="array" ref="S8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6" s="23" t="str" cm="1">
        <f t="array" ref="T8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6" s="14" t="str" cm="1">
        <f t="array" ref="U8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6" t="str" cm="1">
        <f t="array" ref="V8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6" t="str" cm="1">
        <f t="array" ref="W8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8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896" t="str">
        <f>IF(COUNTIFS('Base Estudiantes'!$C:$C,tblMatriculas[[#This Row],[Cédula]],'Base Estudiantes'!$I:$I,tblMatriculas[[#This Row],[Código]])&gt;0,"Sí","No")</f>
        <v>Sí</v>
      </c>
      <c r="Z896" s="23" cm="1">
        <f t="array" ref="Z896">_xlfn.XLOOKUP(tblMatriculas[[#This Row],[Cédula]]&amp;"|"&amp;tblMatriculas[[#This Row],[Código]],tblBase[Documento]&amp;"|"&amp;tblBase[Código grupo],tblBase[Fecha matrícula],"")</f>
        <v>46263</v>
      </c>
    </row>
    <row r="897" spans="1:26" x14ac:dyDescent="0.2">
      <c r="A897" t="s">
        <v>1927</v>
      </c>
      <c r="B897" t="s">
        <v>1928</v>
      </c>
      <c r="C897" t="s">
        <v>13</v>
      </c>
      <c r="D897" t="s">
        <v>1921</v>
      </c>
      <c r="E897" t="s">
        <v>1922</v>
      </c>
      <c r="F897" t="s">
        <v>1863</v>
      </c>
      <c r="G897" s="1">
        <v>0</v>
      </c>
      <c r="H897" t="s">
        <v>1649</v>
      </c>
      <c r="I897" t="s">
        <v>1580</v>
      </c>
      <c r="J897" t="s">
        <v>1654</v>
      </c>
      <c r="K897" t="s">
        <v>24</v>
      </c>
      <c r="L897" s="14" t="str">
        <f>IFERROR(VALUE(LEFT(tblMatriculas[[#This Row],[Clases]],FIND("/",tblMatriculas[[#This Row],[Clases]])-1)),"")</f>
        <v/>
      </c>
      <c r="M897" s="14" t="str">
        <f>IFERROR(VALUE(MID(tblMatriculas[[#This Row],[Clases]],FIND("/",tblMatriculas[[#This Row],[Clases]])+1,5)),"")</f>
        <v/>
      </c>
      <c r="N897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897" s="14" t="str">
        <f>IF(OR(tblMatriculas[[#This Row],[Estado]]&lt;&gt;"activa",tblMatriculas[[#This Row],[Clases dictadas]]=""),"",MAX(0,tblMatriculas[[#This Row],[Clases dictadas]]-tblMatriculas[[#This Row],[Asistidas]]))</f>
        <v/>
      </c>
      <c r="P897" s="1" t="str">
        <f>IF(OR(tblMatriculas[[#This Row],[Estado]]&lt;&gt;"activa",tblMatriculas[[#This Row],[Asistidas]]=""),"",tblMatriculas[[#This Row],[Asistencia]])</f>
        <v/>
      </c>
      <c r="Q897" t="b">
        <f>AND(tblMatriculas[[#This Row],[Estado]]="activa",ISNUMBER(tblMatriculas[[#This Row],[% asistencia]]),NOT(ISNUMBER(SEARCH(pPrueba,tblMatriculas[[#This Row],[Nombre]]))))</f>
        <v>0</v>
      </c>
      <c r="R8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897" s="23" t="str" cm="1">
        <f t="array" ref="S8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7" s="23" t="str" cm="1">
        <f t="array" ref="T8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7" s="14" t="str" cm="1">
        <f t="array" ref="U8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7" t="str" cm="1">
        <f t="array" ref="V8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7" t="str" cm="1">
        <f t="array" ref="W8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8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897" t="str">
        <f>IF(COUNTIFS('Base Estudiantes'!$C:$C,tblMatriculas[[#This Row],[Cédula]],'Base Estudiantes'!$I:$I,tblMatriculas[[#This Row],[Código]])&gt;0,"Sí","No")</f>
        <v>Sí</v>
      </c>
      <c r="Z897" s="23" cm="1">
        <f t="array" ref="Z897">_xlfn.XLOOKUP(tblMatriculas[[#This Row],[Cédula]]&amp;"|"&amp;tblMatriculas[[#This Row],[Código]],tblBase[Documento]&amp;"|"&amp;tblBase[Código grupo],tblBase[Fecha matrícula],"")</f>
        <v>46263</v>
      </c>
    </row>
    <row r="898" spans="1:26" x14ac:dyDescent="0.2">
      <c r="A898" t="s">
        <v>1929</v>
      </c>
      <c r="B898" t="s">
        <v>1930</v>
      </c>
      <c r="C898" t="s">
        <v>13</v>
      </c>
      <c r="D898" t="s">
        <v>1921</v>
      </c>
      <c r="E898" t="s">
        <v>1922</v>
      </c>
      <c r="F898" t="s">
        <v>1863</v>
      </c>
      <c r="G898" s="1">
        <v>0</v>
      </c>
      <c r="H898" t="s">
        <v>1649</v>
      </c>
      <c r="I898" t="s">
        <v>1580</v>
      </c>
      <c r="J898" t="s">
        <v>1654</v>
      </c>
      <c r="K898" t="s">
        <v>24</v>
      </c>
      <c r="L898" s="14" t="str">
        <f>IFERROR(VALUE(LEFT(tblMatriculas[[#This Row],[Clases]],FIND("/",tblMatriculas[[#This Row],[Clases]])-1)),"")</f>
        <v/>
      </c>
      <c r="M898" s="14" t="str">
        <f>IFERROR(VALUE(MID(tblMatriculas[[#This Row],[Clases]],FIND("/",tblMatriculas[[#This Row],[Clases]])+1,5)),"")</f>
        <v/>
      </c>
      <c r="N898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898" s="14" t="str">
        <f>IF(OR(tblMatriculas[[#This Row],[Estado]]&lt;&gt;"activa",tblMatriculas[[#This Row],[Clases dictadas]]=""),"",MAX(0,tblMatriculas[[#This Row],[Clases dictadas]]-tblMatriculas[[#This Row],[Asistidas]]))</f>
        <v/>
      </c>
      <c r="P898" s="1" t="str">
        <f>IF(OR(tblMatriculas[[#This Row],[Estado]]&lt;&gt;"activa",tblMatriculas[[#This Row],[Asistidas]]=""),"",tblMatriculas[[#This Row],[Asistencia]])</f>
        <v/>
      </c>
      <c r="Q898" t="b">
        <f>AND(tblMatriculas[[#This Row],[Estado]]="activa",ISNUMBER(tblMatriculas[[#This Row],[% asistencia]]),NOT(ISNUMBER(SEARCH(pPrueba,tblMatriculas[[#This Row],[Nombre]]))))</f>
        <v>0</v>
      </c>
      <c r="R8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898" s="23" t="str" cm="1">
        <f t="array" ref="S8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8" s="23" t="str" cm="1">
        <f t="array" ref="T8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8" s="14" t="str" cm="1">
        <f t="array" ref="U8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8" t="str" cm="1">
        <f t="array" ref="V8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8" t="str" cm="1">
        <f t="array" ref="W8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8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898" t="str">
        <f>IF(COUNTIFS('Base Estudiantes'!$C:$C,tblMatriculas[[#This Row],[Cédula]],'Base Estudiantes'!$I:$I,tblMatriculas[[#This Row],[Código]])&gt;0,"Sí","No")</f>
        <v>Sí</v>
      </c>
      <c r="Z898" s="23" cm="1">
        <f t="array" ref="Z898">_xlfn.XLOOKUP(tblMatriculas[[#This Row],[Cédula]]&amp;"|"&amp;tblMatriculas[[#This Row],[Código]],tblBase[Documento]&amp;"|"&amp;tblBase[Código grupo],tblBase[Fecha matrícula],"")</f>
        <v>46263</v>
      </c>
    </row>
    <row r="899" spans="1:26" x14ac:dyDescent="0.2">
      <c r="A899" t="s">
        <v>1931</v>
      </c>
      <c r="B899" t="s">
        <v>1932</v>
      </c>
      <c r="C899" t="s">
        <v>13</v>
      </c>
      <c r="D899" t="s">
        <v>1921</v>
      </c>
      <c r="E899" t="s">
        <v>1922</v>
      </c>
      <c r="F899" t="s">
        <v>1863</v>
      </c>
      <c r="G899" s="1">
        <v>0</v>
      </c>
      <c r="H899" t="s">
        <v>1649</v>
      </c>
      <c r="I899" t="s">
        <v>1580</v>
      </c>
      <c r="J899" t="s">
        <v>1654</v>
      </c>
      <c r="K899" t="s">
        <v>24</v>
      </c>
      <c r="L899" s="14" t="str">
        <f>IFERROR(VALUE(LEFT(tblMatriculas[[#This Row],[Clases]],FIND("/",tblMatriculas[[#This Row],[Clases]])-1)),"")</f>
        <v/>
      </c>
      <c r="M899" s="14" t="str">
        <f>IFERROR(VALUE(MID(tblMatriculas[[#This Row],[Clases]],FIND("/",tblMatriculas[[#This Row],[Clases]])+1,5)),"")</f>
        <v/>
      </c>
      <c r="N899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899" s="14" t="str">
        <f>IF(OR(tblMatriculas[[#This Row],[Estado]]&lt;&gt;"activa",tblMatriculas[[#This Row],[Clases dictadas]]=""),"",MAX(0,tblMatriculas[[#This Row],[Clases dictadas]]-tblMatriculas[[#This Row],[Asistidas]]))</f>
        <v/>
      </c>
      <c r="P899" s="1" t="str">
        <f>IF(OR(tblMatriculas[[#This Row],[Estado]]&lt;&gt;"activa",tblMatriculas[[#This Row],[Asistidas]]=""),"",tblMatriculas[[#This Row],[Asistencia]])</f>
        <v/>
      </c>
      <c r="Q899" t="b">
        <f>AND(tblMatriculas[[#This Row],[Estado]]="activa",ISNUMBER(tblMatriculas[[#This Row],[% asistencia]]),NOT(ISNUMBER(SEARCH(pPrueba,tblMatriculas[[#This Row],[Nombre]]))))</f>
        <v>0</v>
      </c>
      <c r="R8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899" s="23" t="str" cm="1">
        <f t="array" ref="S8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899" s="23" t="str" cm="1">
        <f t="array" ref="T8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899" s="14" t="str" cm="1">
        <f t="array" ref="U8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899" t="str" cm="1">
        <f t="array" ref="V8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899" t="str" cm="1">
        <f t="array" ref="W8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8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899" t="str">
        <f>IF(COUNTIFS('Base Estudiantes'!$C:$C,tblMatriculas[[#This Row],[Cédula]],'Base Estudiantes'!$I:$I,tblMatriculas[[#This Row],[Código]])&gt;0,"Sí","No")</f>
        <v>Sí</v>
      </c>
      <c r="Z899" s="23" cm="1">
        <f t="array" ref="Z899">_xlfn.XLOOKUP(tblMatriculas[[#This Row],[Cédula]]&amp;"|"&amp;tblMatriculas[[#This Row],[Código]],tblBase[Documento]&amp;"|"&amp;tblBase[Código grupo],tblBase[Fecha matrícula],"")</f>
        <v>46263</v>
      </c>
    </row>
    <row r="900" spans="1:26" x14ac:dyDescent="0.2">
      <c r="A900" t="s">
        <v>1933</v>
      </c>
      <c r="B900" t="s">
        <v>1934</v>
      </c>
      <c r="C900" t="s">
        <v>13</v>
      </c>
      <c r="D900" t="s">
        <v>1921</v>
      </c>
      <c r="E900" t="s">
        <v>1922</v>
      </c>
      <c r="F900" t="s">
        <v>1863</v>
      </c>
      <c r="G900" s="1">
        <v>0</v>
      </c>
      <c r="H900" t="s">
        <v>1649</v>
      </c>
      <c r="I900" t="s">
        <v>1580</v>
      </c>
      <c r="J900" t="s">
        <v>1654</v>
      </c>
      <c r="K900" t="s">
        <v>24</v>
      </c>
      <c r="L900" s="14" t="str">
        <f>IFERROR(VALUE(LEFT(tblMatriculas[[#This Row],[Clases]],FIND("/",tblMatriculas[[#This Row],[Clases]])-1)),"")</f>
        <v/>
      </c>
      <c r="M900" s="14" t="str">
        <f>IFERROR(VALUE(MID(tblMatriculas[[#This Row],[Clases]],FIND("/",tblMatriculas[[#This Row],[Clases]])+1,5)),"")</f>
        <v/>
      </c>
      <c r="N900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0" s="14" t="str">
        <f>IF(OR(tblMatriculas[[#This Row],[Estado]]&lt;&gt;"activa",tblMatriculas[[#This Row],[Clases dictadas]]=""),"",MAX(0,tblMatriculas[[#This Row],[Clases dictadas]]-tblMatriculas[[#This Row],[Asistidas]]))</f>
        <v/>
      </c>
      <c r="P900" s="1" t="str">
        <f>IF(OR(tblMatriculas[[#This Row],[Estado]]&lt;&gt;"activa",tblMatriculas[[#This Row],[Asistidas]]=""),"",tblMatriculas[[#This Row],[Asistencia]])</f>
        <v/>
      </c>
      <c r="Q900" t="b">
        <f>AND(tblMatriculas[[#This Row],[Estado]]="activa",ISNUMBER(tblMatriculas[[#This Row],[% asistencia]]),NOT(ISNUMBER(SEARCH(pPrueba,tblMatriculas[[#This Row],[Nombre]]))))</f>
        <v>0</v>
      </c>
      <c r="R9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0" s="23" t="str" cm="1">
        <f t="array" ref="S9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0" s="23" t="str" cm="1">
        <f t="array" ref="T9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0" s="14" t="str" cm="1">
        <f t="array" ref="U9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0" t="str" cm="1">
        <f t="array" ref="V9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0" t="str" cm="1">
        <f t="array" ref="W9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0" t="str">
        <f>IF(COUNTIFS('Base Estudiantes'!$C:$C,tblMatriculas[[#This Row],[Cédula]],'Base Estudiantes'!$I:$I,tblMatriculas[[#This Row],[Código]])&gt;0,"Sí","No")</f>
        <v>Sí</v>
      </c>
      <c r="Z900" s="23" cm="1">
        <f t="array" ref="Z900">_xlfn.XLOOKUP(tblMatriculas[[#This Row],[Cédula]]&amp;"|"&amp;tblMatriculas[[#This Row],[Código]],tblBase[Documento]&amp;"|"&amp;tblBase[Código grupo],tblBase[Fecha matrícula],"")</f>
        <v>46263</v>
      </c>
    </row>
    <row r="901" spans="1:26" x14ac:dyDescent="0.2">
      <c r="A901" t="s">
        <v>1935</v>
      </c>
      <c r="B901" t="s">
        <v>1936</v>
      </c>
      <c r="C901" t="s">
        <v>13</v>
      </c>
      <c r="D901" t="s">
        <v>1921</v>
      </c>
      <c r="E901" t="s">
        <v>1922</v>
      </c>
      <c r="F901" t="s">
        <v>1863</v>
      </c>
      <c r="G901" s="1">
        <v>0</v>
      </c>
      <c r="H901" t="s">
        <v>1649</v>
      </c>
      <c r="I901" t="s">
        <v>1580</v>
      </c>
      <c r="J901" t="s">
        <v>1654</v>
      </c>
      <c r="K901" t="s">
        <v>24</v>
      </c>
      <c r="L901" s="14" t="str">
        <f>IFERROR(VALUE(LEFT(tblMatriculas[[#This Row],[Clases]],FIND("/",tblMatriculas[[#This Row],[Clases]])-1)),"")</f>
        <v/>
      </c>
      <c r="M901" s="14" t="str">
        <f>IFERROR(VALUE(MID(tblMatriculas[[#This Row],[Clases]],FIND("/",tblMatriculas[[#This Row],[Clases]])+1,5)),"")</f>
        <v/>
      </c>
      <c r="N901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1" s="14" t="str">
        <f>IF(OR(tblMatriculas[[#This Row],[Estado]]&lt;&gt;"activa",tblMatriculas[[#This Row],[Clases dictadas]]=""),"",MAX(0,tblMatriculas[[#This Row],[Clases dictadas]]-tblMatriculas[[#This Row],[Asistidas]]))</f>
        <v/>
      </c>
      <c r="P901" s="1" t="str">
        <f>IF(OR(tblMatriculas[[#This Row],[Estado]]&lt;&gt;"activa",tblMatriculas[[#This Row],[Asistidas]]=""),"",tblMatriculas[[#This Row],[Asistencia]])</f>
        <v/>
      </c>
      <c r="Q901" t="b">
        <f>AND(tblMatriculas[[#This Row],[Estado]]="activa",ISNUMBER(tblMatriculas[[#This Row],[% asistencia]]),NOT(ISNUMBER(SEARCH(pPrueba,tblMatriculas[[#This Row],[Nombre]]))))</f>
        <v>0</v>
      </c>
      <c r="R9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1" s="23" t="str" cm="1">
        <f t="array" ref="S9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1" s="23" t="str" cm="1">
        <f t="array" ref="T9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1" s="14" t="str" cm="1">
        <f t="array" ref="U9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1" t="str" cm="1">
        <f t="array" ref="V9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1" t="str" cm="1">
        <f t="array" ref="W9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1" t="str">
        <f>IF(COUNTIFS('Base Estudiantes'!$C:$C,tblMatriculas[[#This Row],[Cédula]],'Base Estudiantes'!$I:$I,tblMatriculas[[#This Row],[Código]])&gt;0,"Sí","No")</f>
        <v>Sí</v>
      </c>
      <c r="Z901" s="23" cm="1">
        <f t="array" ref="Z901">_xlfn.XLOOKUP(tblMatriculas[[#This Row],[Cédula]]&amp;"|"&amp;tblMatriculas[[#This Row],[Código]],tblBase[Documento]&amp;"|"&amp;tblBase[Código grupo],tblBase[Fecha matrícula],"")</f>
        <v>46263</v>
      </c>
    </row>
    <row r="902" spans="1:26" x14ac:dyDescent="0.2">
      <c r="A902" t="s">
        <v>1937</v>
      </c>
      <c r="B902" t="s">
        <v>1938</v>
      </c>
      <c r="C902" t="s">
        <v>13</v>
      </c>
      <c r="D902" t="s">
        <v>1921</v>
      </c>
      <c r="E902" t="s">
        <v>1922</v>
      </c>
      <c r="F902" t="s">
        <v>1863</v>
      </c>
      <c r="G902" s="1">
        <v>0</v>
      </c>
      <c r="H902" t="s">
        <v>1649</v>
      </c>
      <c r="I902" t="s">
        <v>1580</v>
      </c>
      <c r="J902" t="s">
        <v>1654</v>
      </c>
      <c r="K902" t="s">
        <v>24</v>
      </c>
      <c r="L902" s="14" t="str">
        <f>IFERROR(VALUE(LEFT(tblMatriculas[[#This Row],[Clases]],FIND("/",tblMatriculas[[#This Row],[Clases]])-1)),"")</f>
        <v/>
      </c>
      <c r="M902" s="14" t="str">
        <f>IFERROR(VALUE(MID(tblMatriculas[[#This Row],[Clases]],FIND("/",tblMatriculas[[#This Row],[Clases]])+1,5)),"")</f>
        <v/>
      </c>
      <c r="N902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2" s="14" t="str">
        <f>IF(OR(tblMatriculas[[#This Row],[Estado]]&lt;&gt;"activa",tblMatriculas[[#This Row],[Clases dictadas]]=""),"",MAX(0,tblMatriculas[[#This Row],[Clases dictadas]]-tblMatriculas[[#This Row],[Asistidas]]))</f>
        <v/>
      </c>
      <c r="P902" s="1" t="str">
        <f>IF(OR(tblMatriculas[[#This Row],[Estado]]&lt;&gt;"activa",tblMatriculas[[#This Row],[Asistidas]]=""),"",tblMatriculas[[#This Row],[Asistencia]])</f>
        <v/>
      </c>
      <c r="Q902" t="b">
        <f>AND(tblMatriculas[[#This Row],[Estado]]="activa",ISNUMBER(tblMatriculas[[#This Row],[% asistencia]]),NOT(ISNUMBER(SEARCH(pPrueba,tblMatriculas[[#This Row],[Nombre]]))))</f>
        <v>0</v>
      </c>
      <c r="R9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2" s="23" t="str" cm="1">
        <f t="array" ref="S9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2" s="23" t="str" cm="1">
        <f t="array" ref="T9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2" s="14" t="str" cm="1">
        <f t="array" ref="U9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2" t="str" cm="1">
        <f t="array" ref="V9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2" t="str" cm="1">
        <f t="array" ref="W9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2" t="str">
        <f>IF(COUNTIFS('Base Estudiantes'!$C:$C,tblMatriculas[[#This Row],[Cédula]],'Base Estudiantes'!$I:$I,tblMatriculas[[#This Row],[Código]])&gt;0,"Sí","No")</f>
        <v>Sí</v>
      </c>
      <c r="Z902" s="23" cm="1">
        <f t="array" ref="Z902">_xlfn.XLOOKUP(tblMatriculas[[#This Row],[Cédula]]&amp;"|"&amp;tblMatriculas[[#This Row],[Código]],tblBase[Documento]&amp;"|"&amp;tblBase[Código grupo],tblBase[Fecha matrícula],"")</f>
        <v>46263</v>
      </c>
    </row>
    <row r="903" spans="1:26" x14ac:dyDescent="0.2">
      <c r="A903" t="s">
        <v>1939</v>
      </c>
      <c r="B903" t="s">
        <v>1940</v>
      </c>
      <c r="C903" t="s">
        <v>13</v>
      </c>
      <c r="D903" t="s">
        <v>1921</v>
      </c>
      <c r="E903" t="s">
        <v>1922</v>
      </c>
      <c r="F903" t="s">
        <v>1863</v>
      </c>
      <c r="G903" s="1">
        <v>0</v>
      </c>
      <c r="H903" t="s">
        <v>1649</v>
      </c>
      <c r="I903" t="s">
        <v>1580</v>
      </c>
      <c r="J903" t="s">
        <v>1654</v>
      </c>
      <c r="K903" t="s">
        <v>24</v>
      </c>
      <c r="L903" s="14" t="str">
        <f>IFERROR(VALUE(LEFT(tblMatriculas[[#This Row],[Clases]],FIND("/",tblMatriculas[[#This Row],[Clases]])-1)),"")</f>
        <v/>
      </c>
      <c r="M903" s="14" t="str">
        <f>IFERROR(VALUE(MID(tblMatriculas[[#This Row],[Clases]],FIND("/",tblMatriculas[[#This Row],[Clases]])+1,5)),"")</f>
        <v/>
      </c>
      <c r="N903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3" s="14" t="str">
        <f>IF(OR(tblMatriculas[[#This Row],[Estado]]&lt;&gt;"activa",tblMatriculas[[#This Row],[Clases dictadas]]=""),"",MAX(0,tblMatriculas[[#This Row],[Clases dictadas]]-tblMatriculas[[#This Row],[Asistidas]]))</f>
        <v/>
      </c>
      <c r="P903" s="1" t="str">
        <f>IF(OR(tblMatriculas[[#This Row],[Estado]]&lt;&gt;"activa",tblMatriculas[[#This Row],[Asistidas]]=""),"",tblMatriculas[[#This Row],[Asistencia]])</f>
        <v/>
      </c>
      <c r="Q903" t="b">
        <f>AND(tblMatriculas[[#This Row],[Estado]]="activa",ISNUMBER(tblMatriculas[[#This Row],[% asistencia]]),NOT(ISNUMBER(SEARCH(pPrueba,tblMatriculas[[#This Row],[Nombre]]))))</f>
        <v>0</v>
      </c>
      <c r="R9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3" s="23" t="str" cm="1">
        <f t="array" ref="S9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3" s="23" t="str" cm="1">
        <f t="array" ref="T9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3" s="14" t="str" cm="1">
        <f t="array" ref="U9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3" t="str" cm="1">
        <f t="array" ref="V9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3" t="str" cm="1">
        <f t="array" ref="W9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3" t="str">
        <f>IF(COUNTIFS('Base Estudiantes'!$C:$C,tblMatriculas[[#This Row],[Cédula]],'Base Estudiantes'!$I:$I,tblMatriculas[[#This Row],[Código]])&gt;0,"Sí","No")</f>
        <v>Sí</v>
      </c>
      <c r="Z903" s="23" cm="1">
        <f t="array" ref="Z903">_xlfn.XLOOKUP(tblMatriculas[[#This Row],[Cédula]]&amp;"|"&amp;tblMatriculas[[#This Row],[Código]],tblBase[Documento]&amp;"|"&amp;tblBase[Código grupo],tblBase[Fecha matrícula],"")</f>
        <v>46263</v>
      </c>
    </row>
    <row r="904" spans="1:26" x14ac:dyDescent="0.2">
      <c r="A904" t="s">
        <v>1941</v>
      </c>
      <c r="B904" t="s">
        <v>1942</v>
      </c>
      <c r="C904" t="s">
        <v>13</v>
      </c>
      <c r="D904" t="s">
        <v>1921</v>
      </c>
      <c r="E904" t="s">
        <v>1922</v>
      </c>
      <c r="F904" t="s">
        <v>1863</v>
      </c>
      <c r="G904" s="1">
        <v>0</v>
      </c>
      <c r="H904" t="s">
        <v>1649</v>
      </c>
      <c r="I904" t="s">
        <v>1580</v>
      </c>
      <c r="J904" t="s">
        <v>1654</v>
      </c>
      <c r="K904" t="s">
        <v>24</v>
      </c>
      <c r="L904" s="14" t="str">
        <f>IFERROR(VALUE(LEFT(tblMatriculas[[#This Row],[Clases]],FIND("/",tblMatriculas[[#This Row],[Clases]])-1)),"")</f>
        <v/>
      </c>
      <c r="M904" s="14" t="str">
        <f>IFERROR(VALUE(MID(tblMatriculas[[#This Row],[Clases]],FIND("/",tblMatriculas[[#This Row],[Clases]])+1,5)),"")</f>
        <v/>
      </c>
      <c r="N90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4" s="14" t="str">
        <f>IF(OR(tblMatriculas[[#This Row],[Estado]]&lt;&gt;"activa",tblMatriculas[[#This Row],[Clases dictadas]]=""),"",MAX(0,tblMatriculas[[#This Row],[Clases dictadas]]-tblMatriculas[[#This Row],[Asistidas]]))</f>
        <v/>
      </c>
      <c r="P904" s="1" t="str">
        <f>IF(OR(tblMatriculas[[#This Row],[Estado]]&lt;&gt;"activa",tblMatriculas[[#This Row],[Asistidas]]=""),"",tblMatriculas[[#This Row],[Asistencia]])</f>
        <v/>
      </c>
      <c r="Q904" t="b">
        <f>AND(tblMatriculas[[#This Row],[Estado]]="activa",ISNUMBER(tblMatriculas[[#This Row],[% asistencia]]),NOT(ISNUMBER(SEARCH(pPrueba,tblMatriculas[[#This Row],[Nombre]]))))</f>
        <v>0</v>
      </c>
      <c r="R9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4" s="23" t="str" cm="1">
        <f t="array" ref="S9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4" s="23" t="str" cm="1">
        <f t="array" ref="T9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4" s="14" t="str" cm="1">
        <f t="array" ref="U9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4" t="str" cm="1">
        <f t="array" ref="V9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4" t="str" cm="1">
        <f t="array" ref="W9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4" t="str">
        <f>IF(COUNTIFS('Base Estudiantes'!$C:$C,tblMatriculas[[#This Row],[Cédula]],'Base Estudiantes'!$I:$I,tblMatriculas[[#This Row],[Código]])&gt;0,"Sí","No")</f>
        <v>Sí</v>
      </c>
      <c r="Z904" s="23" cm="1">
        <f t="array" ref="Z904">_xlfn.XLOOKUP(tblMatriculas[[#This Row],[Cédula]]&amp;"|"&amp;tblMatriculas[[#This Row],[Código]],tblBase[Documento]&amp;"|"&amp;tblBase[Código grupo],tblBase[Fecha matrícula],"")</f>
        <v>46263</v>
      </c>
    </row>
    <row r="905" spans="1:26" x14ac:dyDescent="0.2">
      <c r="A905" t="s">
        <v>1943</v>
      </c>
      <c r="B905" t="s">
        <v>1944</v>
      </c>
      <c r="C905" t="s">
        <v>13</v>
      </c>
      <c r="D905" t="s">
        <v>1921</v>
      </c>
      <c r="E905" t="s">
        <v>1922</v>
      </c>
      <c r="F905" t="s">
        <v>1863</v>
      </c>
      <c r="G905" s="1">
        <v>0</v>
      </c>
      <c r="H905" t="s">
        <v>1649</v>
      </c>
      <c r="I905" t="s">
        <v>1580</v>
      </c>
      <c r="J905" t="s">
        <v>1654</v>
      </c>
      <c r="K905" t="s">
        <v>24</v>
      </c>
      <c r="L905" s="14" t="str">
        <f>IFERROR(VALUE(LEFT(tblMatriculas[[#This Row],[Clases]],FIND("/",tblMatriculas[[#This Row],[Clases]])-1)),"")</f>
        <v/>
      </c>
      <c r="M905" s="14" t="str">
        <f>IFERROR(VALUE(MID(tblMatriculas[[#This Row],[Clases]],FIND("/",tblMatriculas[[#This Row],[Clases]])+1,5)),"")</f>
        <v/>
      </c>
      <c r="N905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5" s="14" t="str">
        <f>IF(OR(tblMatriculas[[#This Row],[Estado]]&lt;&gt;"activa",tblMatriculas[[#This Row],[Clases dictadas]]=""),"",MAX(0,tblMatriculas[[#This Row],[Clases dictadas]]-tblMatriculas[[#This Row],[Asistidas]]))</f>
        <v/>
      </c>
      <c r="P905" s="1" t="str">
        <f>IF(OR(tblMatriculas[[#This Row],[Estado]]&lt;&gt;"activa",tblMatriculas[[#This Row],[Asistidas]]=""),"",tblMatriculas[[#This Row],[Asistencia]])</f>
        <v/>
      </c>
      <c r="Q905" t="b">
        <f>AND(tblMatriculas[[#This Row],[Estado]]="activa",ISNUMBER(tblMatriculas[[#This Row],[% asistencia]]),NOT(ISNUMBER(SEARCH(pPrueba,tblMatriculas[[#This Row],[Nombre]]))))</f>
        <v>0</v>
      </c>
      <c r="R9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5" s="23" t="str" cm="1">
        <f t="array" ref="S9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5" s="23" t="str" cm="1">
        <f t="array" ref="T9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5" s="14" t="str" cm="1">
        <f t="array" ref="U9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5" t="str" cm="1">
        <f t="array" ref="V9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5" t="str" cm="1">
        <f t="array" ref="W9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5" t="str">
        <f>IF(COUNTIFS('Base Estudiantes'!$C:$C,tblMatriculas[[#This Row],[Cédula]],'Base Estudiantes'!$I:$I,tblMatriculas[[#This Row],[Código]])&gt;0,"Sí","No")</f>
        <v>Sí</v>
      </c>
      <c r="Z905" s="23" cm="1">
        <f t="array" ref="Z905">_xlfn.XLOOKUP(tblMatriculas[[#This Row],[Cédula]]&amp;"|"&amp;tblMatriculas[[#This Row],[Código]],tblBase[Documento]&amp;"|"&amp;tblBase[Código grupo],tblBase[Fecha matrícula],"")</f>
        <v>46263</v>
      </c>
    </row>
    <row r="906" spans="1:26" x14ac:dyDescent="0.2">
      <c r="A906" t="s">
        <v>1945</v>
      </c>
      <c r="B906" t="s">
        <v>1946</v>
      </c>
      <c r="C906" t="s">
        <v>13</v>
      </c>
      <c r="D906" t="s">
        <v>1921</v>
      </c>
      <c r="E906" t="s">
        <v>1922</v>
      </c>
      <c r="F906" t="s">
        <v>1863</v>
      </c>
      <c r="G906" s="1">
        <v>0</v>
      </c>
      <c r="H906" t="s">
        <v>1649</v>
      </c>
      <c r="I906" t="s">
        <v>1580</v>
      </c>
      <c r="J906" t="s">
        <v>1654</v>
      </c>
      <c r="K906" t="s">
        <v>24</v>
      </c>
      <c r="L906" s="14" t="str">
        <f>IFERROR(VALUE(LEFT(tblMatriculas[[#This Row],[Clases]],FIND("/",tblMatriculas[[#This Row],[Clases]])-1)),"")</f>
        <v/>
      </c>
      <c r="M906" s="14" t="str">
        <f>IFERROR(VALUE(MID(tblMatriculas[[#This Row],[Clases]],FIND("/",tblMatriculas[[#This Row],[Clases]])+1,5)),"")</f>
        <v/>
      </c>
      <c r="N906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6" s="14" t="str">
        <f>IF(OR(tblMatriculas[[#This Row],[Estado]]&lt;&gt;"activa",tblMatriculas[[#This Row],[Clases dictadas]]=""),"",MAX(0,tblMatriculas[[#This Row],[Clases dictadas]]-tblMatriculas[[#This Row],[Asistidas]]))</f>
        <v/>
      </c>
      <c r="P906" s="1" t="str">
        <f>IF(OR(tblMatriculas[[#This Row],[Estado]]&lt;&gt;"activa",tblMatriculas[[#This Row],[Asistidas]]=""),"",tblMatriculas[[#This Row],[Asistencia]])</f>
        <v/>
      </c>
      <c r="Q906" t="b">
        <f>AND(tblMatriculas[[#This Row],[Estado]]="activa",ISNUMBER(tblMatriculas[[#This Row],[% asistencia]]),NOT(ISNUMBER(SEARCH(pPrueba,tblMatriculas[[#This Row],[Nombre]]))))</f>
        <v>0</v>
      </c>
      <c r="R9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6" s="23" t="str" cm="1">
        <f t="array" ref="S9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6" s="23" t="str" cm="1">
        <f t="array" ref="T9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6" s="14" t="str" cm="1">
        <f t="array" ref="U9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6" t="str" cm="1">
        <f t="array" ref="V9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6" t="str" cm="1">
        <f t="array" ref="W9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6" t="str">
        <f>IF(COUNTIFS('Base Estudiantes'!$C:$C,tblMatriculas[[#This Row],[Cédula]],'Base Estudiantes'!$I:$I,tblMatriculas[[#This Row],[Código]])&gt;0,"Sí","No")</f>
        <v>Sí</v>
      </c>
      <c r="Z906" s="23" cm="1">
        <f t="array" ref="Z906">_xlfn.XLOOKUP(tblMatriculas[[#This Row],[Cédula]]&amp;"|"&amp;tblMatriculas[[#This Row],[Código]],tblBase[Documento]&amp;"|"&amp;tblBase[Código grupo],tblBase[Fecha matrícula],"")</f>
        <v>46263</v>
      </c>
    </row>
    <row r="907" spans="1:26" x14ac:dyDescent="0.2">
      <c r="A907" t="s">
        <v>1947</v>
      </c>
      <c r="B907" t="s">
        <v>1948</v>
      </c>
      <c r="C907" t="s">
        <v>13</v>
      </c>
      <c r="D907" t="s">
        <v>1921</v>
      </c>
      <c r="E907" t="s">
        <v>1922</v>
      </c>
      <c r="F907" t="s">
        <v>1863</v>
      </c>
      <c r="G907" s="1">
        <v>0</v>
      </c>
      <c r="H907" t="s">
        <v>1649</v>
      </c>
      <c r="I907" t="s">
        <v>1580</v>
      </c>
      <c r="J907" t="s">
        <v>1654</v>
      </c>
      <c r="K907" t="s">
        <v>24</v>
      </c>
      <c r="L907" s="14" t="str">
        <f>IFERROR(VALUE(LEFT(tblMatriculas[[#This Row],[Clases]],FIND("/",tblMatriculas[[#This Row],[Clases]])-1)),"")</f>
        <v/>
      </c>
      <c r="M907" s="14" t="str">
        <f>IFERROR(VALUE(MID(tblMatriculas[[#This Row],[Clases]],FIND("/",tblMatriculas[[#This Row],[Clases]])+1,5)),"")</f>
        <v/>
      </c>
      <c r="N907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7" s="14" t="str">
        <f>IF(OR(tblMatriculas[[#This Row],[Estado]]&lt;&gt;"activa",tblMatriculas[[#This Row],[Clases dictadas]]=""),"",MAX(0,tblMatriculas[[#This Row],[Clases dictadas]]-tblMatriculas[[#This Row],[Asistidas]]))</f>
        <v/>
      </c>
      <c r="P907" s="1" t="str">
        <f>IF(OR(tblMatriculas[[#This Row],[Estado]]&lt;&gt;"activa",tblMatriculas[[#This Row],[Asistidas]]=""),"",tblMatriculas[[#This Row],[Asistencia]])</f>
        <v/>
      </c>
      <c r="Q907" t="b">
        <f>AND(tblMatriculas[[#This Row],[Estado]]="activa",ISNUMBER(tblMatriculas[[#This Row],[% asistencia]]),NOT(ISNUMBER(SEARCH(pPrueba,tblMatriculas[[#This Row],[Nombre]]))))</f>
        <v>0</v>
      </c>
      <c r="R9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7" s="23" t="str" cm="1">
        <f t="array" ref="S9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7" s="23" t="str" cm="1">
        <f t="array" ref="T9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7" s="14" t="str" cm="1">
        <f t="array" ref="U9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7" t="str" cm="1">
        <f t="array" ref="V9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7" t="str" cm="1">
        <f t="array" ref="W9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7" t="str">
        <f>IF(COUNTIFS('Base Estudiantes'!$C:$C,tblMatriculas[[#This Row],[Cédula]],'Base Estudiantes'!$I:$I,tblMatriculas[[#This Row],[Código]])&gt;0,"Sí","No")</f>
        <v>Sí</v>
      </c>
      <c r="Z907" s="23" cm="1">
        <f t="array" ref="Z907">_xlfn.XLOOKUP(tblMatriculas[[#This Row],[Cédula]]&amp;"|"&amp;tblMatriculas[[#This Row],[Código]],tblBase[Documento]&amp;"|"&amp;tblBase[Código grupo],tblBase[Fecha matrícula],"")</f>
        <v>46263</v>
      </c>
    </row>
    <row r="908" spans="1:26" x14ac:dyDescent="0.2">
      <c r="A908" t="s">
        <v>1949</v>
      </c>
      <c r="B908" t="s">
        <v>1950</v>
      </c>
      <c r="C908" t="s">
        <v>13</v>
      </c>
      <c r="D908" t="s">
        <v>1921</v>
      </c>
      <c r="E908" t="s">
        <v>1922</v>
      </c>
      <c r="F908" t="s">
        <v>1863</v>
      </c>
      <c r="G908" s="1">
        <v>0</v>
      </c>
      <c r="H908" t="s">
        <v>1649</v>
      </c>
      <c r="I908" t="s">
        <v>1580</v>
      </c>
      <c r="J908" t="s">
        <v>1654</v>
      </c>
      <c r="K908" t="s">
        <v>24</v>
      </c>
      <c r="L908" s="14" t="str">
        <f>IFERROR(VALUE(LEFT(tblMatriculas[[#This Row],[Clases]],FIND("/",tblMatriculas[[#This Row],[Clases]])-1)),"")</f>
        <v/>
      </c>
      <c r="M908" s="14" t="str">
        <f>IFERROR(VALUE(MID(tblMatriculas[[#This Row],[Clases]],FIND("/",tblMatriculas[[#This Row],[Clases]])+1,5)),"")</f>
        <v/>
      </c>
      <c r="N908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8" s="14" t="str">
        <f>IF(OR(tblMatriculas[[#This Row],[Estado]]&lt;&gt;"activa",tblMatriculas[[#This Row],[Clases dictadas]]=""),"",MAX(0,tblMatriculas[[#This Row],[Clases dictadas]]-tblMatriculas[[#This Row],[Asistidas]]))</f>
        <v/>
      </c>
      <c r="P908" s="1" t="str">
        <f>IF(OR(tblMatriculas[[#This Row],[Estado]]&lt;&gt;"activa",tblMatriculas[[#This Row],[Asistidas]]=""),"",tblMatriculas[[#This Row],[Asistencia]])</f>
        <v/>
      </c>
      <c r="Q908" t="b">
        <f>AND(tblMatriculas[[#This Row],[Estado]]="activa",ISNUMBER(tblMatriculas[[#This Row],[% asistencia]]),NOT(ISNUMBER(SEARCH(pPrueba,tblMatriculas[[#This Row],[Nombre]]))))</f>
        <v>0</v>
      </c>
      <c r="R9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8" s="23" t="str" cm="1">
        <f t="array" ref="S9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8" s="23" t="str" cm="1">
        <f t="array" ref="T9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8" s="14" t="str" cm="1">
        <f t="array" ref="U9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8" t="str" cm="1">
        <f t="array" ref="V9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8" t="str" cm="1">
        <f t="array" ref="W9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8" t="str">
        <f>IF(COUNTIFS('Base Estudiantes'!$C:$C,tblMatriculas[[#This Row],[Cédula]],'Base Estudiantes'!$I:$I,tblMatriculas[[#This Row],[Código]])&gt;0,"Sí","No")</f>
        <v>Sí</v>
      </c>
      <c r="Z908" s="23" cm="1">
        <f t="array" ref="Z908">_xlfn.XLOOKUP(tblMatriculas[[#This Row],[Cédula]]&amp;"|"&amp;tblMatriculas[[#This Row],[Código]],tblBase[Documento]&amp;"|"&amp;tblBase[Código grupo],tblBase[Fecha matrícula],"")</f>
        <v>46263</v>
      </c>
    </row>
    <row r="909" spans="1:26" x14ac:dyDescent="0.2">
      <c r="A909" t="s">
        <v>1951</v>
      </c>
      <c r="B909" t="s">
        <v>1952</v>
      </c>
      <c r="C909" t="s">
        <v>13</v>
      </c>
      <c r="D909" t="s">
        <v>1921</v>
      </c>
      <c r="E909" t="s">
        <v>1922</v>
      </c>
      <c r="F909" t="s">
        <v>1863</v>
      </c>
      <c r="G909" s="1">
        <v>0</v>
      </c>
      <c r="H909" t="s">
        <v>1649</v>
      </c>
      <c r="I909" t="s">
        <v>1580</v>
      </c>
      <c r="J909" t="s">
        <v>1654</v>
      </c>
      <c r="K909" t="s">
        <v>24</v>
      </c>
      <c r="L909" s="14" t="str">
        <f>IFERROR(VALUE(LEFT(tblMatriculas[[#This Row],[Clases]],FIND("/",tblMatriculas[[#This Row],[Clases]])-1)),"")</f>
        <v/>
      </c>
      <c r="M909" s="14" t="str">
        <f>IFERROR(VALUE(MID(tblMatriculas[[#This Row],[Clases]],FIND("/",tblMatriculas[[#This Row],[Clases]])+1,5)),"")</f>
        <v/>
      </c>
      <c r="N909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09" s="14" t="str">
        <f>IF(OR(tblMatriculas[[#This Row],[Estado]]&lt;&gt;"activa",tblMatriculas[[#This Row],[Clases dictadas]]=""),"",MAX(0,tblMatriculas[[#This Row],[Clases dictadas]]-tblMatriculas[[#This Row],[Asistidas]]))</f>
        <v/>
      </c>
      <c r="P909" s="1" t="str">
        <f>IF(OR(tblMatriculas[[#This Row],[Estado]]&lt;&gt;"activa",tblMatriculas[[#This Row],[Asistidas]]=""),"",tblMatriculas[[#This Row],[Asistencia]])</f>
        <v/>
      </c>
      <c r="Q909" t="b">
        <f>AND(tblMatriculas[[#This Row],[Estado]]="activa",ISNUMBER(tblMatriculas[[#This Row],[% asistencia]]),NOT(ISNUMBER(SEARCH(pPrueba,tblMatriculas[[#This Row],[Nombre]]))))</f>
        <v>0</v>
      </c>
      <c r="R9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09" s="23" t="str" cm="1">
        <f t="array" ref="S9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09" s="23" t="str" cm="1">
        <f t="array" ref="T9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09" s="14" t="str" cm="1">
        <f t="array" ref="U9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09" t="str" cm="1">
        <f t="array" ref="V9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09" t="str" cm="1">
        <f t="array" ref="W9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09" t="str">
        <f>IF(COUNTIFS('Base Estudiantes'!$C:$C,tblMatriculas[[#This Row],[Cédula]],'Base Estudiantes'!$I:$I,tblMatriculas[[#This Row],[Código]])&gt;0,"Sí","No")</f>
        <v>Sí</v>
      </c>
      <c r="Z909" s="23" cm="1">
        <f t="array" ref="Z909">_xlfn.XLOOKUP(tblMatriculas[[#This Row],[Cédula]]&amp;"|"&amp;tblMatriculas[[#This Row],[Código]],tblBase[Documento]&amp;"|"&amp;tblBase[Código grupo],tblBase[Fecha matrícula],"")</f>
        <v>46263</v>
      </c>
    </row>
    <row r="910" spans="1:26" x14ac:dyDescent="0.2">
      <c r="A910" t="s">
        <v>1953</v>
      </c>
      <c r="B910" t="s">
        <v>1954</v>
      </c>
      <c r="C910" t="s">
        <v>13</v>
      </c>
      <c r="D910" t="s">
        <v>1921</v>
      </c>
      <c r="E910" t="s">
        <v>1922</v>
      </c>
      <c r="F910" t="s">
        <v>1863</v>
      </c>
      <c r="G910" s="1">
        <v>0</v>
      </c>
      <c r="H910" t="s">
        <v>1649</v>
      </c>
      <c r="I910" t="s">
        <v>1580</v>
      </c>
      <c r="J910" t="s">
        <v>1654</v>
      </c>
      <c r="K910" t="s">
        <v>24</v>
      </c>
      <c r="L910" s="14" t="str">
        <f>IFERROR(VALUE(LEFT(tblMatriculas[[#This Row],[Clases]],FIND("/",tblMatriculas[[#This Row],[Clases]])-1)),"")</f>
        <v/>
      </c>
      <c r="M910" s="14" t="str">
        <f>IFERROR(VALUE(MID(tblMatriculas[[#This Row],[Clases]],FIND("/",tblMatriculas[[#This Row],[Clases]])+1,5)),"")</f>
        <v/>
      </c>
      <c r="N910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0" s="14" t="str">
        <f>IF(OR(tblMatriculas[[#This Row],[Estado]]&lt;&gt;"activa",tblMatriculas[[#This Row],[Clases dictadas]]=""),"",MAX(0,tblMatriculas[[#This Row],[Clases dictadas]]-tblMatriculas[[#This Row],[Asistidas]]))</f>
        <v/>
      </c>
      <c r="P910" s="1" t="str">
        <f>IF(OR(tblMatriculas[[#This Row],[Estado]]&lt;&gt;"activa",tblMatriculas[[#This Row],[Asistidas]]=""),"",tblMatriculas[[#This Row],[Asistencia]])</f>
        <v/>
      </c>
      <c r="Q910" t="b">
        <f>AND(tblMatriculas[[#This Row],[Estado]]="activa",ISNUMBER(tblMatriculas[[#This Row],[% asistencia]]),NOT(ISNUMBER(SEARCH(pPrueba,tblMatriculas[[#This Row],[Nombre]]))))</f>
        <v>0</v>
      </c>
      <c r="R9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0" s="23" t="str" cm="1">
        <f t="array" ref="S9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0" s="23" t="str" cm="1">
        <f t="array" ref="T9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0" s="14" t="str" cm="1">
        <f t="array" ref="U9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0" t="str" cm="1">
        <f t="array" ref="V9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0" t="str" cm="1">
        <f t="array" ref="W9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0" t="str">
        <f>IF(COUNTIFS('Base Estudiantes'!$C:$C,tblMatriculas[[#This Row],[Cédula]],'Base Estudiantes'!$I:$I,tblMatriculas[[#This Row],[Código]])&gt;0,"Sí","No")</f>
        <v>Sí</v>
      </c>
      <c r="Z910" s="23" cm="1">
        <f t="array" ref="Z910">_xlfn.XLOOKUP(tblMatriculas[[#This Row],[Cédula]]&amp;"|"&amp;tblMatriculas[[#This Row],[Código]],tblBase[Documento]&amp;"|"&amp;tblBase[Código grupo],tblBase[Fecha matrícula],"")</f>
        <v>46263</v>
      </c>
    </row>
    <row r="911" spans="1:26" x14ac:dyDescent="0.2">
      <c r="A911" t="s">
        <v>1955</v>
      </c>
      <c r="B911" t="s">
        <v>1956</v>
      </c>
      <c r="C911" t="s">
        <v>13</v>
      </c>
      <c r="D911" t="s">
        <v>1921</v>
      </c>
      <c r="E911" t="s">
        <v>1922</v>
      </c>
      <c r="F911" t="s">
        <v>1863</v>
      </c>
      <c r="G911" s="1">
        <v>0</v>
      </c>
      <c r="H911" t="s">
        <v>1649</v>
      </c>
      <c r="I911" t="s">
        <v>1580</v>
      </c>
      <c r="J911" t="s">
        <v>1654</v>
      </c>
      <c r="K911" t="s">
        <v>24</v>
      </c>
      <c r="L911" s="14" t="str">
        <f>IFERROR(VALUE(LEFT(tblMatriculas[[#This Row],[Clases]],FIND("/",tblMatriculas[[#This Row],[Clases]])-1)),"")</f>
        <v/>
      </c>
      <c r="M911" s="14" t="str">
        <f>IFERROR(VALUE(MID(tblMatriculas[[#This Row],[Clases]],FIND("/",tblMatriculas[[#This Row],[Clases]])+1,5)),"")</f>
        <v/>
      </c>
      <c r="N911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1" s="14" t="str">
        <f>IF(OR(tblMatriculas[[#This Row],[Estado]]&lt;&gt;"activa",tblMatriculas[[#This Row],[Clases dictadas]]=""),"",MAX(0,tblMatriculas[[#This Row],[Clases dictadas]]-tblMatriculas[[#This Row],[Asistidas]]))</f>
        <v/>
      </c>
      <c r="P911" s="1" t="str">
        <f>IF(OR(tblMatriculas[[#This Row],[Estado]]&lt;&gt;"activa",tblMatriculas[[#This Row],[Asistidas]]=""),"",tblMatriculas[[#This Row],[Asistencia]])</f>
        <v/>
      </c>
      <c r="Q911" t="b">
        <f>AND(tblMatriculas[[#This Row],[Estado]]="activa",ISNUMBER(tblMatriculas[[#This Row],[% asistencia]]),NOT(ISNUMBER(SEARCH(pPrueba,tblMatriculas[[#This Row],[Nombre]]))))</f>
        <v>0</v>
      </c>
      <c r="R9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1" s="23" t="str" cm="1">
        <f t="array" ref="S9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1" s="23" t="str" cm="1">
        <f t="array" ref="T9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1" s="14" t="str" cm="1">
        <f t="array" ref="U9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1" t="str" cm="1">
        <f t="array" ref="V9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1" t="str" cm="1">
        <f t="array" ref="W9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1" t="str">
        <f>IF(COUNTIFS('Base Estudiantes'!$C:$C,tblMatriculas[[#This Row],[Cédula]],'Base Estudiantes'!$I:$I,tblMatriculas[[#This Row],[Código]])&gt;0,"Sí","No")</f>
        <v>Sí</v>
      </c>
      <c r="Z911" s="23" cm="1">
        <f t="array" ref="Z911">_xlfn.XLOOKUP(tblMatriculas[[#This Row],[Cédula]]&amp;"|"&amp;tblMatriculas[[#This Row],[Código]],tblBase[Documento]&amp;"|"&amp;tblBase[Código grupo],tblBase[Fecha matrícula],"")</f>
        <v>46263</v>
      </c>
    </row>
    <row r="912" spans="1:26" x14ac:dyDescent="0.2">
      <c r="A912" t="s">
        <v>1957</v>
      </c>
      <c r="B912" t="s">
        <v>1958</v>
      </c>
      <c r="C912" t="s">
        <v>13</v>
      </c>
      <c r="D912" t="s">
        <v>1921</v>
      </c>
      <c r="E912" t="s">
        <v>1922</v>
      </c>
      <c r="F912" t="s">
        <v>1863</v>
      </c>
      <c r="G912" s="1">
        <v>0</v>
      </c>
      <c r="H912" t="s">
        <v>1649</v>
      </c>
      <c r="I912" t="s">
        <v>1580</v>
      </c>
      <c r="J912" t="s">
        <v>1654</v>
      </c>
      <c r="K912" t="s">
        <v>24</v>
      </c>
      <c r="L912" s="14" t="str">
        <f>IFERROR(VALUE(LEFT(tblMatriculas[[#This Row],[Clases]],FIND("/",tblMatriculas[[#This Row],[Clases]])-1)),"")</f>
        <v/>
      </c>
      <c r="M912" s="14" t="str">
        <f>IFERROR(VALUE(MID(tblMatriculas[[#This Row],[Clases]],FIND("/",tblMatriculas[[#This Row],[Clases]])+1,5)),"")</f>
        <v/>
      </c>
      <c r="N912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2" s="14" t="str">
        <f>IF(OR(tblMatriculas[[#This Row],[Estado]]&lt;&gt;"activa",tblMatriculas[[#This Row],[Clases dictadas]]=""),"",MAX(0,tblMatriculas[[#This Row],[Clases dictadas]]-tblMatriculas[[#This Row],[Asistidas]]))</f>
        <v/>
      </c>
      <c r="P912" s="1" t="str">
        <f>IF(OR(tblMatriculas[[#This Row],[Estado]]&lt;&gt;"activa",tblMatriculas[[#This Row],[Asistidas]]=""),"",tblMatriculas[[#This Row],[Asistencia]])</f>
        <v/>
      </c>
      <c r="Q912" t="b">
        <f>AND(tblMatriculas[[#This Row],[Estado]]="activa",ISNUMBER(tblMatriculas[[#This Row],[% asistencia]]),NOT(ISNUMBER(SEARCH(pPrueba,tblMatriculas[[#This Row],[Nombre]]))))</f>
        <v>0</v>
      </c>
      <c r="R9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2" s="23" t="str" cm="1">
        <f t="array" ref="S9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2" s="23" t="str" cm="1">
        <f t="array" ref="T9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2" s="14" t="str" cm="1">
        <f t="array" ref="U9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2" t="str" cm="1">
        <f t="array" ref="V9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2" t="str" cm="1">
        <f t="array" ref="W9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2" t="str">
        <f>IF(COUNTIFS('Base Estudiantes'!$C:$C,tblMatriculas[[#This Row],[Cédula]],'Base Estudiantes'!$I:$I,tblMatriculas[[#This Row],[Código]])&gt;0,"Sí","No")</f>
        <v>Sí</v>
      </c>
      <c r="Z912" s="23" cm="1">
        <f t="array" ref="Z912">_xlfn.XLOOKUP(tblMatriculas[[#This Row],[Cédula]]&amp;"|"&amp;tblMatriculas[[#This Row],[Código]],tblBase[Documento]&amp;"|"&amp;tblBase[Código grupo],tblBase[Fecha matrícula],"")</f>
        <v>46263</v>
      </c>
    </row>
    <row r="913" spans="1:26" x14ac:dyDescent="0.2">
      <c r="A913" t="s">
        <v>1959</v>
      </c>
      <c r="B913" t="s">
        <v>1960</v>
      </c>
      <c r="C913" t="s">
        <v>13</v>
      </c>
      <c r="D913" t="s">
        <v>1921</v>
      </c>
      <c r="E913" t="s">
        <v>1922</v>
      </c>
      <c r="F913" t="s">
        <v>1863</v>
      </c>
      <c r="G913" s="1">
        <v>0</v>
      </c>
      <c r="H913" t="s">
        <v>1649</v>
      </c>
      <c r="I913" t="s">
        <v>1580</v>
      </c>
      <c r="J913" t="s">
        <v>1654</v>
      </c>
      <c r="K913" t="s">
        <v>24</v>
      </c>
      <c r="L913" s="14" t="str">
        <f>IFERROR(VALUE(LEFT(tblMatriculas[[#This Row],[Clases]],FIND("/",tblMatriculas[[#This Row],[Clases]])-1)),"")</f>
        <v/>
      </c>
      <c r="M913" s="14" t="str">
        <f>IFERROR(VALUE(MID(tblMatriculas[[#This Row],[Clases]],FIND("/",tblMatriculas[[#This Row],[Clases]])+1,5)),"")</f>
        <v/>
      </c>
      <c r="N913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3" s="14" t="str">
        <f>IF(OR(tblMatriculas[[#This Row],[Estado]]&lt;&gt;"activa",tblMatriculas[[#This Row],[Clases dictadas]]=""),"",MAX(0,tblMatriculas[[#This Row],[Clases dictadas]]-tblMatriculas[[#This Row],[Asistidas]]))</f>
        <v/>
      </c>
      <c r="P913" s="1" t="str">
        <f>IF(OR(tblMatriculas[[#This Row],[Estado]]&lt;&gt;"activa",tblMatriculas[[#This Row],[Asistidas]]=""),"",tblMatriculas[[#This Row],[Asistencia]])</f>
        <v/>
      </c>
      <c r="Q913" t="b">
        <f>AND(tblMatriculas[[#This Row],[Estado]]="activa",ISNUMBER(tblMatriculas[[#This Row],[% asistencia]]),NOT(ISNUMBER(SEARCH(pPrueba,tblMatriculas[[#This Row],[Nombre]]))))</f>
        <v>0</v>
      </c>
      <c r="R9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3" s="23" t="str" cm="1">
        <f t="array" ref="S9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3" s="23" t="str" cm="1">
        <f t="array" ref="T9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3" s="14" t="str" cm="1">
        <f t="array" ref="U9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3" t="str" cm="1">
        <f t="array" ref="V9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3" t="str" cm="1">
        <f t="array" ref="W9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3" t="str">
        <f>IF(COUNTIFS('Base Estudiantes'!$C:$C,tblMatriculas[[#This Row],[Cédula]],'Base Estudiantes'!$I:$I,tblMatriculas[[#This Row],[Código]])&gt;0,"Sí","No")</f>
        <v>Sí</v>
      </c>
      <c r="Z913" s="23" cm="1">
        <f t="array" ref="Z913">_xlfn.XLOOKUP(tblMatriculas[[#This Row],[Cédula]]&amp;"|"&amp;tblMatriculas[[#This Row],[Código]],tblBase[Documento]&amp;"|"&amp;tblBase[Código grupo],tblBase[Fecha matrícula],"")</f>
        <v>46263</v>
      </c>
    </row>
    <row r="914" spans="1:26" x14ac:dyDescent="0.2">
      <c r="A914" t="s">
        <v>1961</v>
      </c>
      <c r="B914" t="s">
        <v>1962</v>
      </c>
      <c r="C914" t="s">
        <v>13</v>
      </c>
      <c r="D914" t="s">
        <v>1921</v>
      </c>
      <c r="E914" t="s">
        <v>1922</v>
      </c>
      <c r="F914" t="s">
        <v>1863</v>
      </c>
      <c r="G914" s="1">
        <v>0</v>
      </c>
      <c r="H914" t="s">
        <v>1649</v>
      </c>
      <c r="I914" t="s">
        <v>1580</v>
      </c>
      <c r="J914" t="s">
        <v>1654</v>
      </c>
      <c r="K914" t="s">
        <v>24</v>
      </c>
      <c r="L914" s="14" t="str">
        <f>IFERROR(VALUE(LEFT(tblMatriculas[[#This Row],[Clases]],FIND("/",tblMatriculas[[#This Row],[Clases]])-1)),"")</f>
        <v/>
      </c>
      <c r="M914" s="14" t="str">
        <f>IFERROR(VALUE(MID(tblMatriculas[[#This Row],[Clases]],FIND("/",tblMatriculas[[#This Row],[Clases]])+1,5)),"")</f>
        <v/>
      </c>
      <c r="N914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4" s="14" t="str">
        <f>IF(OR(tblMatriculas[[#This Row],[Estado]]&lt;&gt;"activa",tblMatriculas[[#This Row],[Clases dictadas]]=""),"",MAX(0,tblMatriculas[[#This Row],[Clases dictadas]]-tblMatriculas[[#This Row],[Asistidas]]))</f>
        <v/>
      </c>
      <c r="P914" s="1" t="str">
        <f>IF(OR(tblMatriculas[[#This Row],[Estado]]&lt;&gt;"activa",tblMatriculas[[#This Row],[Asistidas]]=""),"",tblMatriculas[[#This Row],[Asistencia]])</f>
        <v/>
      </c>
      <c r="Q914" t="b">
        <f>AND(tblMatriculas[[#This Row],[Estado]]="activa",ISNUMBER(tblMatriculas[[#This Row],[% asistencia]]),NOT(ISNUMBER(SEARCH(pPrueba,tblMatriculas[[#This Row],[Nombre]]))))</f>
        <v>0</v>
      </c>
      <c r="R9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4" s="23" t="str" cm="1">
        <f t="array" ref="S9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4" s="23" t="str" cm="1">
        <f t="array" ref="T9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4" s="14" t="str" cm="1">
        <f t="array" ref="U9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4" t="str" cm="1">
        <f t="array" ref="V9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4" t="str" cm="1">
        <f t="array" ref="W9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4" t="str">
        <f>IF(COUNTIFS('Base Estudiantes'!$C:$C,tblMatriculas[[#This Row],[Cédula]],'Base Estudiantes'!$I:$I,tblMatriculas[[#This Row],[Código]])&gt;0,"Sí","No")</f>
        <v>Sí</v>
      </c>
      <c r="Z914" s="23" cm="1">
        <f t="array" ref="Z914">_xlfn.XLOOKUP(tblMatriculas[[#This Row],[Cédula]]&amp;"|"&amp;tblMatriculas[[#This Row],[Código]],tblBase[Documento]&amp;"|"&amp;tblBase[Código grupo],tblBase[Fecha matrícula],"")</f>
        <v>46263</v>
      </c>
    </row>
    <row r="915" spans="1:26" x14ac:dyDescent="0.2">
      <c r="A915" t="s">
        <v>1568</v>
      </c>
      <c r="B915" t="s">
        <v>1569</v>
      </c>
      <c r="C915" t="s">
        <v>13</v>
      </c>
      <c r="D915" t="s">
        <v>1921</v>
      </c>
      <c r="E915" t="s">
        <v>1922</v>
      </c>
      <c r="F915" t="s">
        <v>1863</v>
      </c>
      <c r="G915" s="1">
        <v>0</v>
      </c>
      <c r="H915" t="s">
        <v>1649</v>
      </c>
      <c r="I915" t="s">
        <v>1580</v>
      </c>
      <c r="J915" t="s">
        <v>1654</v>
      </c>
      <c r="K915" t="s">
        <v>24</v>
      </c>
      <c r="L915" s="14" t="str">
        <f>IFERROR(VALUE(LEFT(tblMatriculas[[#This Row],[Clases]],FIND("/",tblMatriculas[[#This Row],[Clases]])-1)),"")</f>
        <v/>
      </c>
      <c r="M915" s="14" t="str">
        <f>IFERROR(VALUE(MID(tblMatriculas[[#This Row],[Clases]],FIND("/",tblMatriculas[[#This Row],[Clases]])+1,5)),"")</f>
        <v/>
      </c>
      <c r="N915" s="14" t="str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/>
      </c>
      <c r="O915" s="14" t="str">
        <f>IF(OR(tblMatriculas[[#This Row],[Estado]]&lt;&gt;"activa",tblMatriculas[[#This Row],[Clases dictadas]]=""),"",MAX(0,tblMatriculas[[#This Row],[Clases dictadas]]-tblMatriculas[[#This Row],[Asistidas]]))</f>
        <v/>
      </c>
      <c r="P915" s="1" t="str">
        <f>IF(OR(tblMatriculas[[#This Row],[Estado]]&lt;&gt;"activa",tblMatriculas[[#This Row],[Asistidas]]=""),"",tblMatriculas[[#This Row],[Asistencia]])</f>
        <v/>
      </c>
      <c r="Q915" t="b">
        <f>AND(tblMatriculas[[#This Row],[Estado]]="activa",ISNUMBER(tblMatriculas[[#This Row],[% asistencia]]),NOT(ISNUMBER(SEARCH(pPrueba,tblMatriculas[[#This Row],[Nombre]]))))</f>
        <v>0</v>
      </c>
      <c r="R9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⚪ SIN REGISTRO</v>
      </c>
      <c r="S915" s="23" t="str" cm="1">
        <f t="array" ref="S9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5" s="23" t="str" cm="1">
        <f t="array" ref="T9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5" s="14" t="str" cm="1">
        <f t="array" ref="U9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5" t="str" cm="1">
        <f t="array" ref="V9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5" t="str" cm="1">
        <f t="array" ref="W9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⚪ SIN REGISTRO</v>
      </c>
      <c r="X91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2.5</v>
      </c>
      <c r="Y915" t="str">
        <f>IF(COUNTIFS('Base Estudiantes'!$C:$C,tblMatriculas[[#This Row],[Cédula]],'Base Estudiantes'!$I:$I,tblMatriculas[[#This Row],[Código]])&gt;0,"Sí","No")</f>
        <v>Sí</v>
      </c>
      <c r="Z915" s="23" cm="1">
        <f t="array" ref="Z915">_xlfn.XLOOKUP(tblMatriculas[[#This Row],[Cédula]]&amp;"|"&amp;tblMatriculas[[#This Row],[Código]],tblBase[Documento]&amp;"|"&amp;tblBase[Código grupo],tblBase[Fecha matrícula],"")</f>
        <v>46274</v>
      </c>
    </row>
    <row r="916" spans="1:26" x14ac:dyDescent="0.2">
      <c r="A916" t="s">
        <v>1963</v>
      </c>
      <c r="B916" t="s">
        <v>1964</v>
      </c>
      <c r="C916" t="s">
        <v>13</v>
      </c>
      <c r="D916" t="s">
        <v>1965</v>
      </c>
      <c r="E916" t="s">
        <v>1966</v>
      </c>
      <c r="F916" t="s">
        <v>111</v>
      </c>
      <c r="G916" s="1">
        <v>0.13300000000000001</v>
      </c>
      <c r="H916" t="s">
        <v>112</v>
      </c>
      <c r="I916" t="s">
        <v>1580</v>
      </c>
      <c r="J916" t="s">
        <v>19</v>
      </c>
      <c r="K916" t="s">
        <v>1967</v>
      </c>
      <c r="L916" s="14">
        <f>IFERROR(VALUE(LEFT(tblMatriculas[[#This Row],[Clases]],FIND("/",tblMatriculas[[#This Row],[Clases]])-1)),"")</f>
        <v>4</v>
      </c>
      <c r="M916" s="14">
        <f>IFERROR(VALUE(MID(tblMatriculas[[#This Row],[Clases]],FIND("/",tblMatriculas[[#This Row],[Clases]])+1,5)),"")</f>
        <v>30</v>
      </c>
      <c r="N9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16" s="14">
        <f>IF(OR(tblMatriculas[[#This Row],[Estado]]&lt;&gt;"activa",tblMatriculas[[#This Row],[Clases dictadas]]=""),"",MAX(0,tblMatriculas[[#This Row],[Clases dictadas]]-tblMatriculas[[#This Row],[Asistidas]]))</f>
        <v>0</v>
      </c>
      <c r="P916" s="1">
        <f>IF(OR(tblMatriculas[[#This Row],[Estado]]&lt;&gt;"activa",tblMatriculas[[#This Row],[Asistidas]]=""),"",tblMatriculas[[#This Row],[Asistencia]])</f>
        <v>0.13300000000000001</v>
      </c>
      <c r="Q916" t="b">
        <f>AND(tblMatriculas[[#This Row],[Estado]]="activa",ISNUMBER(tblMatriculas[[#This Row],[% asistencia]]),NOT(ISNUMBER(SEARCH(pPrueba,tblMatriculas[[#This Row],[Nombre]]))))</f>
        <v>1</v>
      </c>
      <c r="R9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16" s="23" t="str" cm="1">
        <f t="array" ref="S9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6" s="23" t="str" cm="1">
        <f t="array" ref="T9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6" s="14" t="str" cm="1">
        <f t="array" ref="U9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6" t="str" cm="1">
        <f t="array" ref="V9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6" t="str" cm="1">
        <f t="array" ref="W9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16" t="str">
        <f>IF(COUNTIFS('Base Estudiantes'!$C:$C,tblMatriculas[[#This Row],[Cédula]],'Base Estudiantes'!$I:$I,tblMatriculas[[#This Row],[Código]])&gt;0,"Sí","No")</f>
        <v>Sí</v>
      </c>
      <c r="Z916" s="23" cm="1">
        <f t="array" ref="Z916">_xlfn.XLOOKUP(tblMatriculas[[#This Row],[Cédula]]&amp;"|"&amp;tblMatriculas[[#This Row],[Código]],tblBase[Documento]&amp;"|"&amp;tblBase[Código grupo],tblBase[Fecha matrícula],"")</f>
        <v>46263</v>
      </c>
    </row>
    <row r="917" spans="1:26" x14ac:dyDescent="0.2">
      <c r="A917" t="s">
        <v>1968</v>
      </c>
      <c r="B917" t="s">
        <v>1969</v>
      </c>
      <c r="C917" t="s">
        <v>13</v>
      </c>
      <c r="D917" t="s">
        <v>1965</v>
      </c>
      <c r="E917" t="s">
        <v>1966</v>
      </c>
      <c r="F917" t="s">
        <v>111</v>
      </c>
      <c r="G917" s="1">
        <v>0.13300000000000001</v>
      </c>
      <c r="H917" t="s">
        <v>112</v>
      </c>
      <c r="I917" t="s">
        <v>1580</v>
      </c>
      <c r="J917" t="s">
        <v>19</v>
      </c>
      <c r="K917" t="s">
        <v>1781</v>
      </c>
      <c r="L917" s="14">
        <f>IFERROR(VALUE(LEFT(tblMatriculas[[#This Row],[Clases]],FIND("/",tblMatriculas[[#This Row],[Clases]])-1)),"")</f>
        <v>4</v>
      </c>
      <c r="M917" s="14">
        <f>IFERROR(VALUE(MID(tblMatriculas[[#This Row],[Clases]],FIND("/",tblMatriculas[[#This Row],[Clases]])+1,5)),"")</f>
        <v>30</v>
      </c>
      <c r="N9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17" s="14">
        <f>IF(OR(tblMatriculas[[#This Row],[Estado]]&lt;&gt;"activa",tblMatriculas[[#This Row],[Clases dictadas]]=""),"",MAX(0,tblMatriculas[[#This Row],[Clases dictadas]]-tblMatriculas[[#This Row],[Asistidas]]))</f>
        <v>0</v>
      </c>
      <c r="P917" s="1">
        <f>IF(OR(tblMatriculas[[#This Row],[Estado]]&lt;&gt;"activa",tblMatriculas[[#This Row],[Asistidas]]=""),"",tblMatriculas[[#This Row],[Asistencia]])</f>
        <v>0.13300000000000001</v>
      </c>
      <c r="Q917" t="b">
        <f>AND(tblMatriculas[[#This Row],[Estado]]="activa",ISNUMBER(tblMatriculas[[#This Row],[% asistencia]]),NOT(ISNUMBER(SEARCH(pPrueba,tblMatriculas[[#This Row],[Nombre]]))))</f>
        <v>1</v>
      </c>
      <c r="R9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17" s="23" t="str" cm="1">
        <f t="array" ref="S9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7" s="23" t="str" cm="1">
        <f t="array" ref="T9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7" s="14" t="str" cm="1">
        <f t="array" ref="U9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7" t="str" cm="1">
        <f t="array" ref="V9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7" t="str" cm="1">
        <f t="array" ref="W9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17" t="str">
        <f>IF(COUNTIFS('Base Estudiantes'!$C:$C,tblMatriculas[[#This Row],[Cédula]],'Base Estudiantes'!$I:$I,tblMatriculas[[#This Row],[Código]])&gt;0,"Sí","No")</f>
        <v>Sí</v>
      </c>
      <c r="Z917" s="23" cm="1">
        <f t="array" ref="Z917">_xlfn.XLOOKUP(tblMatriculas[[#This Row],[Cédula]]&amp;"|"&amp;tblMatriculas[[#This Row],[Código]],tblBase[Documento]&amp;"|"&amp;tblBase[Código grupo],tblBase[Fecha matrícula],"")</f>
        <v>46263</v>
      </c>
    </row>
    <row r="918" spans="1:26" x14ac:dyDescent="0.2">
      <c r="A918" t="s">
        <v>1970</v>
      </c>
      <c r="B918" t="s">
        <v>1971</v>
      </c>
      <c r="C918" t="s">
        <v>13</v>
      </c>
      <c r="D918" t="s">
        <v>1965</v>
      </c>
      <c r="E918" t="s">
        <v>1966</v>
      </c>
      <c r="F918" t="s">
        <v>111</v>
      </c>
      <c r="G918" s="1">
        <v>0.13300000000000001</v>
      </c>
      <c r="H918" t="s">
        <v>112</v>
      </c>
      <c r="I918" t="s">
        <v>1580</v>
      </c>
      <c r="J918" t="s">
        <v>19</v>
      </c>
      <c r="K918" t="s">
        <v>1864</v>
      </c>
      <c r="L918" s="14">
        <f>IFERROR(VALUE(LEFT(tblMatriculas[[#This Row],[Clases]],FIND("/",tblMatriculas[[#This Row],[Clases]])-1)),"")</f>
        <v>4</v>
      </c>
      <c r="M918" s="14">
        <f>IFERROR(VALUE(MID(tblMatriculas[[#This Row],[Clases]],FIND("/",tblMatriculas[[#This Row],[Clases]])+1,5)),"")</f>
        <v>30</v>
      </c>
      <c r="N9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18" s="14">
        <f>IF(OR(tblMatriculas[[#This Row],[Estado]]&lt;&gt;"activa",tblMatriculas[[#This Row],[Clases dictadas]]=""),"",MAX(0,tblMatriculas[[#This Row],[Clases dictadas]]-tblMatriculas[[#This Row],[Asistidas]]))</f>
        <v>0</v>
      </c>
      <c r="P918" s="1">
        <f>IF(OR(tblMatriculas[[#This Row],[Estado]]&lt;&gt;"activa",tblMatriculas[[#This Row],[Asistidas]]=""),"",tblMatriculas[[#This Row],[Asistencia]])</f>
        <v>0.13300000000000001</v>
      </c>
      <c r="Q918" t="b">
        <f>AND(tblMatriculas[[#This Row],[Estado]]="activa",ISNUMBER(tblMatriculas[[#This Row],[% asistencia]]),NOT(ISNUMBER(SEARCH(pPrueba,tblMatriculas[[#This Row],[Nombre]]))))</f>
        <v>1</v>
      </c>
      <c r="R9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18" s="23" t="str" cm="1">
        <f t="array" ref="S9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8" s="23" t="str" cm="1">
        <f t="array" ref="T9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8" s="14" t="str" cm="1">
        <f t="array" ref="U9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8" t="str" cm="1">
        <f t="array" ref="V9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8" t="str" cm="1">
        <f t="array" ref="W9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18" t="str">
        <f>IF(COUNTIFS('Base Estudiantes'!$C:$C,tblMatriculas[[#This Row],[Cédula]],'Base Estudiantes'!$I:$I,tblMatriculas[[#This Row],[Código]])&gt;0,"Sí","No")</f>
        <v>Sí</v>
      </c>
      <c r="Z918" s="23" cm="1">
        <f t="array" ref="Z918">_xlfn.XLOOKUP(tblMatriculas[[#This Row],[Cédula]]&amp;"|"&amp;tblMatriculas[[#This Row],[Código]],tblBase[Documento]&amp;"|"&amp;tblBase[Código grupo],tblBase[Fecha matrícula],"")</f>
        <v>46263</v>
      </c>
    </row>
    <row r="919" spans="1:26" x14ac:dyDescent="0.2">
      <c r="A919" t="s">
        <v>1972</v>
      </c>
      <c r="B919" t="s">
        <v>1973</v>
      </c>
      <c r="C919" t="s">
        <v>13</v>
      </c>
      <c r="D919" t="s">
        <v>1965</v>
      </c>
      <c r="E919" t="s">
        <v>1966</v>
      </c>
      <c r="F919" t="s">
        <v>111</v>
      </c>
      <c r="G919" s="1">
        <v>0.1</v>
      </c>
      <c r="H919" t="s">
        <v>117</v>
      </c>
      <c r="I919" t="s">
        <v>1580</v>
      </c>
      <c r="J919" t="s">
        <v>19</v>
      </c>
      <c r="K919" t="s">
        <v>1864</v>
      </c>
      <c r="L919" s="14">
        <f>IFERROR(VALUE(LEFT(tblMatriculas[[#This Row],[Clases]],FIND("/",tblMatriculas[[#This Row],[Clases]])-1)),"")</f>
        <v>3</v>
      </c>
      <c r="M919" s="14">
        <f>IFERROR(VALUE(MID(tblMatriculas[[#This Row],[Clases]],FIND("/",tblMatriculas[[#This Row],[Clases]])+1,5)),"")</f>
        <v>30</v>
      </c>
      <c r="N9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19" s="14">
        <f>IF(OR(tblMatriculas[[#This Row],[Estado]]&lt;&gt;"activa",tblMatriculas[[#This Row],[Clases dictadas]]=""),"",MAX(0,tblMatriculas[[#This Row],[Clases dictadas]]-tblMatriculas[[#This Row],[Asistidas]]))</f>
        <v>1</v>
      </c>
      <c r="P919" s="1">
        <f>IF(OR(tblMatriculas[[#This Row],[Estado]]&lt;&gt;"activa",tblMatriculas[[#This Row],[Asistidas]]=""),"",tblMatriculas[[#This Row],[Asistencia]])</f>
        <v>0.1</v>
      </c>
      <c r="Q919" t="b">
        <f>AND(tblMatriculas[[#This Row],[Estado]]="activa",ISNUMBER(tblMatriculas[[#This Row],[% asistencia]]),NOT(ISNUMBER(SEARCH(pPrueba,tblMatriculas[[#This Row],[Nombre]]))))</f>
        <v>1</v>
      </c>
      <c r="R9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19" s="23" t="str" cm="1">
        <f t="array" ref="S9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19" s="23" t="str" cm="1">
        <f t="array" ref="T9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19" s="14" t="str" cm="1">
        <f t="array" ref="U9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19" t="str" cm="1">
        <f t="array" ref="V9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19" t="str" cm="1">
        <f t="array" ref="W9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19" t="str">
        <f>IF(COUNTIFS('Base Estudiantes'!$C:$C,tblMatriculas[[#This Row],[Cédula]],'Base Estudiantes'!$I:$I,tblMatriculas[[#This Row],[Código]])&gt;0,"Sí","No")</f>
        <v>Sí</v>
      </c>
      <c r="Z919" s="23" cm="1">
        <f t="array" ref="Z919">_xlfn.XLOOKUP(tblMatriculas[[#This Row],[Cédula]]&amp;"|"&amp;tblMatriculas[[#This Row],[Código]],tblBase[Documento]&amp;"|"&amp;tblBase[Código grupo],tblBase[Fecha matrícula],"")</f>
        <v>46263</v>
      </c>
    </row>
    <row r="920" spans="1:26" x14ac:dyDescent="0.2">
      <c r="A920" t="s">
        <v>1974</v>
      </c>
      <c r="B920" t="s">
        <v>1975</v>
      </c>
      <c r="C920" t="s">
        <v>13</v>
      </c>
      <c r="D920" t="s">
        <v>1965</v>
      </c>
      <c r="E920" t="s">
        <v>1966</v>
      </c>
      <c r="F920" t="s">
        <v>111</v>
      </c>
      <c r="G920" s="1">
        <v>0.13300000000000001</v>
      </c>
      <c r="H920" t="s">
        <v>112</v>
      </c>
      <c r="I920" t="s">
        <v>1580</v>
      </c>
      <c r="J920" t="s">
        <v>19</v>
      </c>
      <c r="K920" t="s">
        <v>1864</v>
      </c>
      <c r="L920" s="14">
        <f>IFERROR(VALUE(LEFT(tblMatriculas[[#This Row],[Clases]],FIND("/",tblMatriculas[[#This Row],[Clases]])-1)),"")</f>
        <v>4</v>
      </c>
      <c r="M920" s="14">
        <f>IFERROR(VALUE(MID(tblMatriculas[[#This Row],[Clases]],FIND("/",tblMatriculas[[#This Row],[Clases]])+1,5)),"")</f>
        <v>30</v>
      </c>
      <c r="N9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0" s="14">
        <f>IF(OR(tblMatriculas[[#This Row],[Estado]]&lt;&gt;"activa",tblMatriculas[[#This Row],[Clases dictadas]]=""),"",MAX(0,tblMatriculas[[#This Row],[Clases dictadas]]-tblMatriculas[[#This Row],[Asistidas]]))</f>
        <v>0</v>
      </c>
      <c r="P920" s="1">
        <f>IF(OR(tblMatriculas[[#This Row],[Estado]]&lt;&gt;"activa",tblMatriculas[[#This Row],[Asistidas]]=""),"",tblMatriculas[[#This Row],[Asistencia]])</f>
        <v>0.13300000000000001</v>
      </c>
      <c r="Q920" t="b">
        <f>AND(tblMatriculas[[#This Row],[Estado]]="activa",ISNUMBER(tblMatriculas[[#This Row],[% asistencia]]),NOT(ISNUMBER(SEARCH(pPrueba,tblMatriculas[[#This Row],[Nombre]]))))</f>
        <v>1</v>
      </c>
      <c r="R9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0" s="23" t="str" cm="1">
        <f t="array" ref="S9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0" s="23" t="str" cm="1">
        <f t="array" ref="T9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0" s="14" t="str" cm="1">
        <f t="array" ref="U9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0" t="str" cm="1">
        <f t="array" ref="V9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0" t="str" cm="1">
        <f t="array" ref="W9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0" t="str">
        <f>IF(COUNTIFS('Base Estudiantes'!$C:$C,tblMatriculas[[#This Row],[Cédula]],'Base Estudiantes'!$I:$I,tblMatriculas[[#This Row],[Código]])&gt;0,"Sí","No")</f>
        <v>Sí</v>
      </c>
      <c r="Z920" s="23" cm="1">
        <f t="array" ref="Z920">_xlfn.XLOOKUP(tblMatriculas[[#This Row],[Cédula]]&amp;"|"&amp;tblMatriculas[[#This Row],[Código]],tblBase[Documento]&amp;"|"&amp;tblBase[Código grupo],tblBase[Fecha matrícula],"")</f>
        <v>46263</v>
      </c>
    </row>
    <row r="921" spans="1:26" x14ac:dyDescent="0.2">
      <c r="A921" t="s">
        <v>1976</v>
      </c>
      <c r="B921" t="s">
        <v>1977</v>
      </c>
      <c r="C921" t="s">
        <v>13</v>
      </c>
      <c r="D921" t="s">
        <v>1965</v>
      </c>
      <c r="E921" t="s">
        <v>1966</v>
      </c>
      <c r="F921" t="s">
        <v>111</v>
      </c>
      <c r="G921" s="1">
        <v>0.13300000000000001</v>
      </c>
      <c r="H921" t="s">
        <v>112</v>
      </c>
      <c r="I921" t="s">
        <v>1580</v>
      </c>
      <c r="J921" t="s">
        <v>19</v>
      </c>
      <c r="K921" t="s">
        <v>1715</v>
      </c>
      <c r="L921" s="14">
        <f>IFERROR(VALUE(LEFT(tblMatriculas[[#This Row],[Clases]],FIND("/",tblMatriculas[[#This Row],[Clases]])-1)),"")</f>
        <v>4</v>
      </c>
      <c r="M921" s="14">
        <f>IFERROR(VALUE(MID(tblMatriculas[[#This Row],[Clases]],FIND("/",tblMatriculas[[#This Row],[Clases]])+1,5)),"")</f>
        <v>30</v>
      </c>
      <c r="N9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1" s="14">
        <f>IF(OR(tblMatriculas[[#This Row],[Estado]]&lt;&gt;"activa",tblMatriculas[[#This Row],[Clases dictadas]]=""),"",MAX(0,tblMatriculas[[#This Row],[Clases dictadas]]-tblMatriculas[[#This Row],[Asistidas]]))</f>
        <v>0</v>
      </c>
      <c r="P921" s="1">
        <f>IF(OR(tblMatriculas[[#This Row],[Estado]]&lt;&gt;"activa",tblMatriculas[[#This Row],[Asistidas]]=""),"",tblMatriculas[[#This Row],[Asistencia]])</f>
        <v>0.13300000000000001</v>
      </c>
      <c r="Q921" t="b">
        <f>AND(tblMatriculas[[#This Row],[Estado]]="activa",ISNUMBER(tblMatriculas[[#This Row],[% asistencia]]),NOT(ISNUMBER(SEARCH(pPrueba,tblMatriculas[[#This Row],[Nombre]]))))</f>
        <v>1</v>
      </c>
      <c r="R9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1" s="23" t="str" cm="1">
        <f t="array" ref="S9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1" s="23" t="str" cm="1">
        <f t="array" ref="T9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1" s="14" t="str" cm="1">
        <f t="array" ref="U9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1" t="str" cm="1">
        <f t="array" ref="V9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1" t="str" cm="1">
        <f t="array" ref="W9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1" t="str">
        <f>IF(COUNTIFS('Base Estudiantes'!$C:$C,tblMatriculas[[#This Row],[Cédula]],'Base Estudiantes'!$I:$I,tblMatriculas[[#This Row],[Código]])&gt;0,"Sí","No")</f>
        <v>Sí</v>
      </c>
      <c r="Z921" s="23" cm="1">
        <f t="array" ref="Z921">_xlfn.XLOOKUP(tblMatriculas[[#This Row],[Cédula]]&amp;"|"&amp;tblMatriculas[[#This Row],[Código]],tblBase[Documento]&amp;"|"&amp;tblBase[Código grupo],tblBase[Fecha matrícula],"")</f>
        <v>46263</v>
      </c>
    </row>
    <row r="922" spans="1:26" x14ac:dyDescent="0.2">
      <c r="A922" t="s">
        <v>1978</v>
      </c>
      <c r="B922" t="s">
        <v>1979</v>
      </c>
      <c r="C922" t="s">
        <v>13</v>
      </c>
      <c r="D922" t="s">
        <v>1965</v>
      </c>
      <c r="E922" t="s">
        <v>1966</v>
      </c>
      <c r="F922" t="s">
        <v>111</v>
      </c>
      <c r="G922" s="1">
        <v>0.1</v>
      </c>
      <c r="H922" t="s">
        <v>117</v>
      </c>
      <c r="I922" t="s">
        <v>1580</v>
      </c>
      <c r="J922" t="s">
        <v>19</v>
      </c>
      <c r="K922" t="s">
        <v>1715</v>
      </c>
      <c r="L922" s="14">
        <f>IFERROR(VALUE(LEFT(tblMatriculas[[#This Row],[Clases]],FIND("/",tblMatriculas[[#This Row],[Clases]])-1)),"")</f>
        <v>3</v>
      </c>
      <c r="M922" s="14">
        <f>IFERROR(VALUE(MID(tblMatriculas[[#This Row],[Clases]],FIND("/",tblMatriculas[[#This Row],[Clases]])+1,5)),"")</f>
        <v>30</v>
      </c>
      <c r="N9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2" s="14">
        <f>IF(OR(tblMatriculas[[#This Row],[Estado]]&lt;&gt;"activa",tblMatriculas[[#This Row],[Clases dictadas]]=""),"",MAX(0,tblMatriculas[[#This Row],[Clases dictadas]]-tblMatriculas[[#This Row],[Asistidas]]))</f>
        <v>1</v>
      </c>
      <c r="P922" s="1">
        <f>IF(OR(tblMatriculas[[#This Row],[Estado]]&lt;&gt;"activa",tblMatriculas[[#This Row],[Asistidas]]=""),"",tblMatriculas[[#This Row],[Asistencia]])</f>
        <v>0.1</v>
      </c>
      <c r="Q922" t="b">
        <f>AND(tblMatriculas[[#This Row],[Estado]]="activa",ISNUMBER(tblMatriculas[[#This Row],[% asistencia]]),NOT(ISNUMBER(SEARCH(pPrueba,tblMatriculas[[#This Row],[Nombre]]))))</f>
        <v>1</v>
      </c>
      <c r="R9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2" s="23" t="str" cm="1">
        <f t="array" ref="S9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2" s="23" t="str" cm="1">
        <f t="array" ref="T9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2" s="14" t="str" cm="1">
        <f t="array" ref="U9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2" t="str" cm="1">
        <f t="array" ref="V9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2" t="str" cm="1">
        <f t="array" ref="W9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2" t="str">
        <f>IF(COUNTIFS('Base Estudiantes'!$C:$C,tblMatriculas[[#This Row],[Cédula]],'Base Estudiantes'!$I:$I,tblMatriculas[[#This Row],[Código]])&gt;0,"Sí","No")</f>
        <v>Sí</v>
      </c>
      <c r="Z922" s="23" cm="1">
        <f t="array" ref="Z922">_xlfn.XLOOKUP(tblMatriculas[[#This Row],[Cédula]]&amp;"|"&amp;tblMatriculas[[#This Row],[Código]],tblBase[Documento]&amp;"|"&amp;tblBase[Código grupo],tblBase[Fecha matrícula],"")</f>
        <v>46263</v>
      </c>
    </row>
    <row r="923" spans="1:26" x14ac:dyDescent="0.2">
      <c r="A923" t="s">
        <v>1980</v>
      </c>
      <c r="B923" t="s">
        <v>1981</v>
      </c>
      <c r="C923" t="s">
        <v>49</v>
      </c>
      <c r="D923" t="s">
        <v>1965</v>
      </c>
      <c r="E923" t="s">
        <v>1966</v>
      </c>
      <c r="F923" t="s">
        <v>111</v>
      </c>
      <c r="G923" s="1">
        <v>3.3000000000000002E-2</v>
      </c>
      <c r="H923" t="s">
        <v>225</v>
      </c>
      <c r="I923" t="s">
        <v>1580</v>
      </c>
      <c r="J923" t="s">
        <v>19</v>
      </c>
      <c r="K923" t="s">
        <v>1715</v>
      </c>
      <c r="L923" s="14">
        <f>IFERROR(VALUE(LEFT(tblMatriculas[[#This Row],[Clases]],FIND("/",tblMatriculas[[#This Row],[Clases]])-1)),"")</f>
        <v>1</v>
      </c>
      <c r="M923" s="14">
        <f>IFERROR(VALUE(MID(tblMatriculas[[#This Row],[Clases]],FIND("/",tblMatriculas[[#This Row],[Clases]])+1,5)),"")</f>
        <v>30</v>
      </c>
      <c r="N9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3" s="14" t="str">
        <f>IF(OR(tblMatriculas[[#This Row],[Estado]]&lt;&gt;"activa",tblMatriculas[[#This Row],[Clases dictadas]]=""),"",MAX(0,tblMatriculas[[#This Row],[Clases dictadas]]-tblMatriculas[[#This Row],[Asistidas]]))</f>
        <v/>
      </c>
      <c r="P923" s="1" t="str">
        <f>IF(OR(tblMatriculas[[#This Row],[Estado]]&lt;&gt;"activa",tblMatriculas[[#This Row],[Asistidas]]=""),"",tblMatriculas[[#This Row],[Asistencia]])</f>
        <v/>
      </c>
      <c r="Q923" t="b">
        <f>AND(tblMatriculas[[#This Row],[Estado]]="activa",ISNUMBER(tblMatriculas[[#This Row],[% asistencia]]),NOT(ISNUMBER(SEARCH(pPrueba,tblMatriculas[[#This Row],[Nombre]]))))</f>
        <v>0</v>
      </c>
      <c r="R9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923" s="23" t="str" cm="1">
        <f t="array" ref="S9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3" s="23" t="str" cm="1">
        <f t="array" ref="T9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3" s="14" t="str" cm="1">
        <f t="array" ref="U9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3" t="str" cm="1">
        <f t="array" ref="V9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3" t="str" cm="1">
        <f t="array" ref="W9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3" t="str">
        <f>IF(COUNTIFS('Base Estudiantes'!$C:$C,tblMatriculas[[#This Row],[Cédula]],'Base Estudiantes'!$I:$I,tblMatriculas[[#This Row],[Código]])&gt;0,"Sí","No")</f>
        <v>No</v>
      </c>
      <c r="Z923" s="23" t="str" cm="1">
        <f t="array" ref="Z923">_xlfn.XLOOKUP(tblMatriculas[[#This Row],[Cédula]]&amp;"|"&amp;tblMatriculas[[#This Row],[Código]],tblBase[Documento]&amp;"|"&amp;tblBase[Código grupo],tblBase[Fecha matrícula],"")</f>
        <v/>
      </c>
    </row>
    <row r="924" spans="1:26" x14ac:dyDescent="0.2">
      <c r="A924" t="s">
        <v>1982</v>
      </c>
      <c r="B924" t="s">
        <v>1983</v>
      </c>
      <c r="C924" t="s">
        <v>13</v>
      </c>
      <c r="D924" t="s">
        <v>1965</v>
      </c>
      <c r="E924" t="s">
        <v>1966</v>
      </c>
      <c r="F924" t="s">
        <v>111</v>
      </c>
      <c r="G924" s="1">
        <v>0.1</v>
      </c>
      <c r="H924" t="s">
        <v>117</v>
      </c>
      <c r="I924" t="s">
        <v>1580</v>
      </c>
      <c r="J924" t="s">
        <v>19</v>
      </c>
      <c r="K924" t="s">
        <v>1715</v>
      </c>
      <c r="L924" s="14">
        <f>IFERROR(VALUE(LEFT(tblMatriculas[[#This Row],[Clases]],FIND("/",tblMatriculas[[#This Row],[Clases]])-1)),"")</f>
        <v>3</v>
      </c>
      <c r="M924" s="14">
        <f>IFERROR(VALUE(MID(tblMatriculas[[#This Row],[Clases]],FIND("/",tblMatriculas[[#This Row],[Clases]])+1,5)),"")</f>
        <v>30</v>
      </c>
      <c r="N9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4" s="14">
        <f>IF(OR(tblMatriculas[[#This Row],[Estado]]&lt;&gt;"activa",tblMatriculas[[#This Row],[Clases dictadas]]=""),"",MAX(0,tblMatriculas[[#This Row],[Clases dictadas]]-tblMatriculas[[#This Row],[Asistidas]]))</f>
        <v>1</v>
      </c>
      <c r="P924" s="1">
        <f>IF(OR(tblMatriculas[[#This Row],[Estado]]&lt;&gt;"activa",tblMatriculas[[#This Row],[Asistidas]]=""),"",tblMatriculas[[#This Row],[Asistencia]])</f>
        <v>0.1</v>
      </c>
      <c r="Q924" t="b">
        <f>AND(tblMatriculas[[#This Row],[Estado]]="activa",ISNUMBER(tblMatriculas[[#This Row],[% asistencia]]),NOT(ISNUMBER(SEARCH(pPrueba,tblMatriculas[[#This Row],[Nombre]]))))</f>
        <v>1</v>
      </c>
      <c r="R9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4" s="23" t="str" cm="1">
        <f t="array" ref="S9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4" s="23" t="str" cm="1">
        <f t="array" ref="T9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4" s="14" t="str" cm="1">
        <f t="array" ref="U9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4" t="str" cm="1">
        <f t="array" ref="V9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4" t="str" cm="1">
        <f t="array" ref="W9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4" t="str">
        <f>IF(COUNTIFS('Base Estudiantes'!$C:$C,tblMatriculas[[#This Row],[Cédula]],'Base Estudiantes'!$I:$I,tblMatriculas[[#This Row],[Código]])&gt;0,"Sí","No")</f>
        <v>Sí</v>
      </c>
      <c r="Z924" s="23" cm="1">
        <f t="array" ref="Z924">_xlfn.XLOOKUP(tblMatriculas[[#This Row],[Cédula]]&amp;"|"&amp;tblMatriculas[[#This Row],[Código]],tblBase[Documento]&amp;"|"&amp;tblBase[Código grupo],tblBase[Fecha matrícula],"")</f>
        <v>46263</v>
      </c>
    </row>
    <row r="925" spans="1:26" x14ac:dyDescent="0.2">
      <c r="A925" t="s">
        <v>1984</v>
      </c>
      <c r="B925" t="s">
        <v>1985</v>
      </c>
      <c r="C925" t="s">
        <v>13</v>
      </c>
      <c r="D925" t="s">
        <v>1965</v>
      </c>
      <c r="E925" t="s">
        <v>1966</v>
      </c>
      <c r="F925" t="s">
        <v>111</v>
      </c>
      <c r="G925" s="1">
        <v>0.13300000000000001</v>
      </c>
      <c r="H925" t="s">
        <v>112</v>
      </c>
      <c r="I925" t="s">
        <v>1580</v>
      </c>
      <c r="J925" t="s">
        <v>19</v>
      </c>
      <c r="K925" t="s">
        <v>1986</v>
      </c>
      <c r="L925" s="14">
        <f>IFERROR(VALUE(LEFT(tblMatriculas[[#This Row],[Clases]],FIND("/",tblMatriculas[[#This Row],[Clases]])-1)),"")</f>
        <v>4</v>
      </c>
      <c r="M925" s="14">
        <f>IFERROR(VALUE(MID(tblMatriculas[[#This Row],[Clases]],FIND("/",tblMatriculas[[#This Row],[Clases]])+1,5)),"")</f>
        <v>30</v>
      </c>
      <c r="N9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5" s="14">
        <f>IF(OR(tblMatriculas[[#This Row],[Estado]]&lt;&gt;"activa",tblMatriculas[[#This Row],[Clases dictadas]]=""),"",MAX(0,tblMatriculas[[#This Row],[Clases dictadas]]-tblMatriculas[[#This Row],[Asistidas]]))</f>
        <v>0</v>
      </c>
      <c r="P925" s="1">
        <f>IF(OR(tblMatriculas[[#This Row],[Estado]]&lt;&gt;"activa",tblMatriculas[[#This Row],[Asistidas]]=""),"",tblMatriculas[[#This Row],[Asistencia]])</f>
        <v>0.13300000000000001</v>
      </c>
      <c r="Q925" t="b">
        <f>AND(tblMatriculas[[#This Row],[Estado]]="activa",ISNUMBER(tblMatriculas[[#This Row],[% asistencia]]),NOT(ISNUMBER(SEARCH(pPrueba,tblMatriculas[[#This Row],[Nombre]]))))</f>
        <v>1</v>
      </c>
      <c r="R9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5" s="23" t="str" cm="1">
        <f t="array" ref="S9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5" s="23" t="str" cm="1">
        <f t="array" ref="T9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5" s="14" t="str" cm="1">
        <f t="array" ref="U9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5" t="str" cm="1">
        <f t="array" ref="V9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5" t="str" cm="1">
        <f t="array" ref="W9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5" t="str">
        <f>IF(COUNTIFS('Base Estudiantes'!$C:$C,tblMatriculas[[#This Row],[Cédula]],'Base Estudiantes'!$I:$I,tblMatriculas[[#This Row],[Código]])&gt;0,"Sí","No")</f>
        <v>Sí</v>
      </c>
      <c r="Z925" s="23" cm="1">
        <f t="array" ref="Z925">_xlfn.XLOOKUP(tblMatriculas[[#This Row],[Cédula]]&amp;"|"&amp;tblMatriculas[[#This Row],[Código]],tblBase[Documento]&amp;"|"&amp;tblBase[Código grupo],tblBase[Fecha matrícula],"")</f>
        <v>46263</v>
      </c>
    </row>
    <row r="926" spans="1:26" x14ac:dyDescent="0.2">
      <c r="A926" t="s">
        <v>1987</v>
      </c>
      <c r="B926" t="s">
        <v>1988</v>
      </c>
      <c r="C926" t="s">
        <v>13</v>
      </c>
      <c r="D926" t="s">
        <v>1965</v>
      </c>
      <c r="E926" t="s">
        <v>1966</v>
      </c>
      <c r="F926" t="s">
        <v>111</v>
      </c>
      <c r="G926" s="1">
        <v>0.13300000000000001</v>
      </c>
      <c r="H926" t="s">
        <v>112</v>
      </c>
      <c r="I926" t="s">
        <v>1580</v>
      </c>
      <c r="J926" t="s">
        <v>19</v>
      </c>
      <c r="K926" t="s">
        <v>1989</v>
      </c>
      <c r="L926" s="14">
        <f>IFERROR(VALUE(LEFT(tblMatriculas[[#This Row],[Clases]],FIND("/",tblMatriculas[[#This Row],[Clases]])-1)),"")</f>
        <v>4</v>
      </c>
      <c r="M926" s="14">
        <f>IFERROR(VALUE(MID(tblMatriculas[[#This Row],[Clases]],FIND("/",tblMatriculas[[#This Row],[Clases]])+1,5)),"")</f>
        <v>30</v>
      </c>
      <c r="N9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6" s="14">
        <f>IF(OR(tblMatriculas[[#This Row],[Estado]]&lt;&gt;"activa",tblMatriculas[[#This Row],[Clases dictadas]]=""),"",MAX(0,tblMatriculas[[#This Row],[Clases dictadas]]-tblMatriculas[[#This Row],[Asistidas]]))</f>
        <v>0</v>
      </c>
      <c r="P926" s="1">
        <f>IF(OR(tblMatriculas[[#This Row],[Estado]]&lt;&gt;"activa",tblMatriculas[[#This Row],[Asistidas]]=""),"",tblMatriculas[[#This Row],[Asistencia]])</f>
        <v>0.13300000000000001</v>
      </c>
      <c r="Q926" t="b">
        <f>AND(tblMatriculas[[#This Row],[Estado]]="activa",ISNUMBER(tblMatriculas[[#This Row],[% asistencia]]),NOT(ISNUMBER(SEARCH(pPrueba,tblMatriculas[[#This Row],[Nombre]]))))</f>
        <v>1</v>
      </c>
      <c r="R9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6" s="23" t="str" cm="1">
        <f t="array" ref="S9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6" s="23" t="str" cm="1">
        <f t="array" ref="T9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6" s="14" t="str" cm="1">
        <f t="array" ref="U9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6" t="str" cm="1">
        <f t="array" ref="V9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6" t="str" cm="1">
        <f t="array" ref="W9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6" t="str">
        <f>IF(COUNTIFS('Base Estudiantes'!$C:$C,tblMatriculas[[#This Row],[Cédula]],'Base Estudiantes'!$I:$I,tblMatriculas[[#This Row],[Código]])&gt;0,"Sí","No")</f>
        <v>Sí</v>
      </c>
      <c r="Z926" s="23" cm="1">
        <f t="array" ref="Z926">_xlfn.XLOOKUP(tblMatriculas[[#This Row],[Cédula]]&amp;"|"&amp;tblMatriculas[[#This Row],[Código]],tblBase[Documento]&amp;"|"&amp;tblBase[Código grupo],tblBase[Fecha matrícula],"")</f>
        <v>46263</v>
      </c>
    </row>
    <row r="927" spans="1:26" x14ac:dyDescent="0.2">
      <c r="A927" t="s">
        <v>1990</v>
      </c>
      <c r="B927" t="s">
        <v>1991</v>
      </c>
      <c r="C927" t="s">
        <v>13</v>
      </c>
      <c r="D927" t="s">
        <v>1965</v>
      </c>
      <c r="E927" t="s">
        <v>1966</v>
      </c>
      <c r="F927" t="s">
        <v>111</v>
      </c>
      <c r="G927" s="1">
        <v>6.7000000000000004E-2</v>
      </c>
      <c r="H927" t="s">
        <v>166</v>
      </c>
      <c r="I927" t="s">
        <v>1580</v>
      </c>
      <c r="J927" t="s">
        <v>19</v>
      </c>
      <c r="K927" t="s">
        <v>1992</v>
      </c>
      <c r="L927" s="14">
        <f>IFERROR(VALUE(LEFT(tblMatriculas[[#This Row],[Clases]],FIND("/",tblMatriculas[[#This Row],[Clases]])-1)),"")</f>
        <v>2</v>
      </c>
      <c r="M927" s="14">
        <f>IFERROR(VALUE(MID(tblMatriculas[[#This Row],[Clases]],FIND("/",tblMatriculas[[#This Row],[Clases]])+1,5)),"")</f>
        <v>30</v>
      </c>
      <c r="N9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7" s="14">
        <f>IF(OR(tblMatriculas[[#This Row],[Estado]]&lt;&gt;"activa",tblMatriculas[[#This Row],[Clases dictadas]]=""),"",MAX(0,tblMatriculas[[#This Row],[Clases dictadas]]-tblMatriculas[[#This Row],[Asistidas]]))</f>
        <v>2</v>
      </c>
      <c r="P927" s="1">
        <f>IF(OR(tblMatriculas[[#This Row],[Estado]]&lt;&gt;"activa",tblMatriculas[[#This Row],[Asistidas]]=""),"",tblMatriculas[[#This Row],[Asistencia]])</f>
        <v>6.7000000000000004E-2</v>
      </c>
      <c r="Q927" t="b">
        <f>AND(tblMatriculas[[#This Row],[Estado]]="activa",ISNUMBER(tblMatriculas[[#This Row],[% asistencia]]),NOT(ISNUMBER(SEARCH(pPrueba,tblMatriculas[[#This Row],[Nombre]]))))</f>
        <v>1</v>
      </c>
      <c r="R9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27" s="23" t="str" cm="1">
        <f t="array" ref="S9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7" s="23" t="str" cm="1">
        <f t="array" ref="T9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7" s="14" t="str" cm="1">
        <f t="array" ref="U9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7" t="str" cm="1">
        <f t="array" ref="V9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7" t="str" cm="1">
        <f t="array" ref="W9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27" t="str">
        <f>IF(COUNTIFS('Base Estudiantes'!$C:$C,tblMatriculas[[#This Row],[Cédula]],'Base Estudiantes'!$I:$I,tblMatriculas[[#This Row],[Código]])&gt;0,"Sí","No")</f>
        <v>Sí</v>
      </c>
      <c r="Z927" s="23" cm="1">
        <f t="array" ref="Z927">_xlfn.XLOOKUP(tblMatriculas[[#This Row],[Cédula]]&amp;"|"&amp;tblMatriculas[[#This Row],[Código]],tblBase[Documento]&amp;"|"&amp;tblBase[Código grupo],tblBase[Fecha matrícula],"")</f>
        <v>46263</v>
      </c>
    </row>
    <row r="928" spans="1:26" x14ac:dyDescent="0.2">
      <c r="A928" t="s">
        <v>1993</v>
      </c>
      <c r="B928" t="s">
        <v>1994</v>
      </c>
      <c r="C928" t="s">
        <v>13</v>
      </c>
      <c r="D928" t="s">
        <v>1965</v>
      </c>
      <c r="E928" t="s">
        <v>1966</v>
      </c>
      <c r="F928" t="s">
        <v>111</v>
      </c>
      <c r="G928" s="1">
        <v>0.13300000000000001</v>
      </c>
      <c r="H928" t="s">
        <v>112</v>
      </c>
      <c r="I928" t="s">
        <v>1580</v>
      </c>
      <c r="J928" t="s">
        <v>19</v>
      </c>
      <c r="K928" t="s">
        <v>1992</v>
      </c>
      <c r="L928" s="14">
        <f>IFERROR(VALUE(LEFT(tblMatriculas[[#This Row],[Clases]],FIND("/",tblMatriculas[[#This Row],[Clases]])-1)),"")</f>
        <v>4</v>
      </c>
      <c r="M928" s="14">
        <f>IFERROR(VALUE(MID(tblMatriculas[[#This Row],[Clases]],FIND("/",tblMatriculas[[#This Row],[Clases]])+1,5)),"")</f>
        <v>30</v>
      </c>
      <c r="N9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8" s="14">
        <f>IF(OR(tblMatriculas[[#This Row],[Estado]]&lt;&gt;"activa",tblMatriculas[[#This Row],[Clases dictadas]]=""),"",MAX(0,tblMatriculas[[#This Row],[Clases dictadas]]-tblMatriculas[[#This Row],[Asistidas]]))</f>
        <v>0</v>
      </c>
      <c r="P928" s="1">
        <f>IF(OR(tblMatriculas[[#This Row],[Estado]]&lt;&gt;"activa",tblMatriculas[[#This Row],[Asistidas]]=""),"",tblMatriculas[[#This Row],[Asistencia]])</f>
        <v>0.13300000000000001</v>
      </c>
      <c r="Q928" t="b">
        <f>AND(tblMatriculas[[#This Row],[Estado]]="activa",ISNUMBER(tblMatriculas[[#This Row],[% asistencia]]),NOT(ISNUMBER(SEARCH(pPrueba,tblMatriculas[[#This Row],[Nombre]]))))</f>
        <v>1</v>
      </c>
      <c r="R9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8" s="23" t="str" cm="1">
        <f t="array" ref="S9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8" s="23" t="str" cm="1">
        <f t="array" ref="T9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8" s="14" t="str" cm="1">
        <f t="array" ref="U9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8" t="str" cm="1">
        <f t="array" ref="V9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8" t="str" cm="1">
        <f t="array" ref="W9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8" t="str">
        <f>IF(COUNTIFS('Base Estudiantes'!$C:$C,tblMatriculas[[#This Row],[Cédula]],'Base Estudiantes'!$I:$I,tblMatriculas[[#This Row],[Código]])&gt;0,"Sí","No")</f>
        <v>Sí</v>
      </c>
      <c r="Z928" s="23" cm="1">
        <f t="array" ref="Z928">_xlfn.XLOOKUP(tblMatriculas[[#This Row],[Cédula]]&amp;"|"&amp;tblMatriculas[[#This Row],[Código]],tblBase[Documento]&amp;"|"&amp;tblBase[Código grupo],tblBase[Fecha matrícula],"")</f>
        <v>46263</v>
      </c>
    </row>
    <row r="929" spans="1:26" x14ac:dyDescent="0.2">
      <c r="A929" t="s">
        <v>1995</v>
      </c>
      <c r="B929" t="s">
        <v>1996</v>
      </c>
      <c r="C929" t="s">
        <v>13</v>
      </c>
      <c r="D929" t="s">
        <v>1965</v>
      </c>
      <c r="E929" t="s">
        <v>1966</v>
      </c>
      <c r="F929" t="s">
        <v>111</v>
      </c>
      <c r="G929" s="1">
        <v>0.13300000000000001</v>
      </c>
      <c r="H929" t="s">
        <v>112</v>
      </c>
      <c r="I929" t="s">
        <v>1580</v>
      </c>
      <c r="J929" t="s">
        <v>19</v>
      </c>
      <c r="K929" t="s">
        <v>1868</v>
      </c>
      <c r="L929" s="14">
        <f>IFERROR(VALUE(LEFT(tblMatriculas[[#This Row],[Clases]],FIND("/",tblMatriculas[[#This Row],[Clases]])-1)),"")</f>
        <v>4</v>
      </c>
      <c r="M929" s="14">
        <f>IFERROR(VALUE(MID(tblMatriculas[[#This Row],[Clases]],FIND("/",tblMatriculas[[#This Row],[Clases]])+1,5)),"")</f>
        <v>30</v>
      </c>
      <c r="N9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29" s="14">
        <f>IF(OR(tblMatriculas[[#This Row],[Estado]]&lt;&gt;"activa",tblMatriculas[[#This Row],[Clases dictadas]]=""),"",MAX(0,tblMatriculas[[#This Row],[Clases dictadas]]-tblMatriculas[[#This Row],[Asistidas]]))</f>
        <v>0</v>
      </c>
      <c r="P929" s="1">
        <f>IF(OR(tblMatriculas[[#This Row],[Estado]]&lt;&gt;"activa",tblMatriculas[[#This Row],[Asistidas]]=""),"",tblMatriculas[[#This Row],[Asistencia]])</f>
        <v>0.13300000000000001</v>
      </c>
      <c r="Q929" t="b">
        <f>AND(tblMatriculas[[#This Row],[Estado]]="activa",ISNUMBER(tblMatriculas[[#This Row],[% asistencia]]),NOT(ISNUMBER(SEARCH(pPrueba,tblMatriculas[[#This Row],[Nombre]]))))</f>
        <v>1</v>
      </c>
      <c r="R9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29" s="23" t="str" cm="1">
        <f t="array" ref="S9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29" s="23" t="str" cm="1">
        <f t="array" ref="T9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29" s="14" t="str" cm="1">
        <f t="array" ref="U9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29" t="str" cm="1">
        <f t="array" ref="V9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29" t="str" cm="1">
        <f t="array" ref="W9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29" t="str">
        <f>IF(COUNTIFS('Base Estudiantes'!$C:$C,tblMatriculas[[#This Row],[Cédula]],'Base Estudiantes'!$I:$I,tblMatriculas[[#This Row],[Código]])&gt;0,"Sí","No")</f>
        <v>Sí</v>
      </c>
      <c r="Z929" s="23" cm="1">
        <f t="array" ref="Z929">_xlfn.XLOOKUP(tblMatriculas[[#This Row],[Cédula]]&amp;"|"&amp;tblMatriculas[[#This Row],[Código]],tblBase[Documento]&amp;"|"&amp;tblBase[Código grupo],tblBase[Fecha matrícula],"")</f>
        <v>46263</v>
      </c>
    </row>
    <row r="930" spans="1:26" x14ac:dyDescent="0.2">
      <c r="A930" t="s">
        <v>1997</v>
      </c>
      <c r="B930" t="s">
        <v>1998</v>
      </c>
      <c r="C930" t="s">
        <v>13</v>
      </c>
      <c r="D930" t="s">
        <v>1965</v>
      </c>
      <c r="E930" t="s">
        <v>1966</v>
      </c>
      <c r="F930" t="s">
        <v>111</v>
      </c>
      <c r="G930" s="1">
        <v>0.13300000000000001</v>
      </c>
      <c r="H930" t="s">
        <v>112</v>
      </c>
      <c r="I930" t="s">
        <v>1580</v>
      </c>
      <c r="J930" t="s">
        <v>19</v>
      </c>
      <c r="K930" t="s">
        <v>1999</v>
      </c>
      <c r="L930" s="14">
        <f>IFERROR(VALUE(LEFT(tblMatriculas[[#This Row],[Clases]],FIND("/",tblMatriculas[[#This Row],[Clases]])-1)),"")</f>
        <v>4</v>
      </c>
      <c r="M930" s="14">
        <f>IFERROR(VALUE(MID(tblMatriculas[[#This Row],[Clases]],FIND("/",tblMatriculas[[#This Row],[Clases]])+1,5)),"")</f>
        <v>30</v>
      </c>
      <c r="N9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0" s="14">
        <f>IF(OR(tblMatriculas[[#This Row],[Estado]]&lt;&gt;"activa",tblMatriculas[[#This Row],[Clases dictadas]]=""),"",MAX(0,tblMatriculas[[#This Row],[Clases dictadas]]-tblMatriculas[[#This Row],[Asistidas]]))</f>
        <v>0</v>
      </c>
      <c r="P930" s="1">
        <f>IF(OR(tblMatriculas[[#This Row],[Estado]]&lt;&gt;"activa",tblMatriculas[[#This Row],[Asistidas]]=""),"",tblMatriculas[[#This Row],[Asistencia]])</f>
        <v>0.13300000000000001</v>
      </c>
      <c r="Q930" t="b">
        <f>AND(tblMatriculas[[#This Row],[Estado]]="activa",ISNUMBER(tblMatriculas[[#This Row],[% asistencia]]),NOT(ISNUMBER(SEARCH(pPrueba,tblMatriculas[[#This Row],[Nombre]]))))</f>
        <v>1</v>
      </c>
      <c r="R9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0" s="23" t="str" cm="1">
        <f t="array" ref="S9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0" s="23" t="str" cm="1">
        <f t="array" ref="T9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0" s="14" t="str" cm="1">
        <f t="array" ref="U9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0" t="str" cm="1">
        <f t="array" ref="V9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0" t="str" cm="1">
        <f t="array" ref="W9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0" t="str">
        <f>IF(COUNTIFS('Base Estudiantes'!$C:$C,tblMatriculas[[#This Row],[Cédula]],'Base Estudiantes'!$I:$I,tblMatriculas[[#This Row],[Código]])&gt;0,"Sí","No")</f>
        <v>Sí</v>
      </c>
      <c r="Z930" s="23" cm="1">
        <f t="array" ref="Z930">_xlfn.XLOOKUP(tblMatriculas[[#This Row],[Cédula]]&amp;"|"&amp;tblMatriculas[[#This Row],[Código]],tblBase[Documento]&amp;"|"&amp;tblBase[Código grupo],tblBase[Fecha matrícula],"")</f>
        <v>46263</v>
      </c>
    </row>
    <row r="931" spans="1:26" x14ac:dyDescent="0.2">
      <c r="A931" t="s">
        <v>2000</v>
      </c>
      <c r="B931" t="s">
        <v>2001</v>
      </c>
      <c r="C931" t="s">
        <v>13</v>
      </c>
      <c r="D931" t="s">
        <v>1965</v>
      </c>
      <c r="E931" t="s">
        <v>1966</v>
      </c>
      <c r="F931" t="s">
        <v>111</v>
      </c>
      <c r="G931" s="1">
        <v>0.13300000000000001</v>
      </c>
      <c r="H931" t="s">
        <v>112</v>
      </c>
      <c r="I931" t="s">
        <v>1580</v>
      </c>
      <c r="J931" t="s">
        <v>19</v>
      </c>
      <c r="K931" t="s">
        <v>24</v>
      </c>
      <c r="L931" s="14">
        <f>IFERROR(VALUE(LEFT(tblMatriculas[[#This Row],[Clases]],FIND("/",tblMatriculas[[#This Row],[Clases]])-1)),"")</f>
        <v>4</v>
      </c>
      <c r="M931" s="14">
        <f>IFERROR(VALUE(MID(tblMatriculas[[#This Row],[Clases]],FIND("/",tblMatriculas[[#This Row],[Clases]])+1,5)),"")</f>
        <v>30</v>
      </c>
      <c r="N9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1" s="14">
        <f>IF(OR(tblMatriculas[[#This Row],[Estado]]&lt;&gt;"activa",tblMatriculas[[#This Row],[Clases dictadas]]=""),"",MAX(0,tblMatriculas[[#This Row],[Clases dictadas]]-tblMatriculas[[#This Row],[Asistidas]]))</f>
        <v>0</v>
      </c>
      <c r="P931" s="1">
        <f>IF(OR(tblMatriculas[[#This Row],[Estado]]&lt;&gt;"activa",tblMatriculas[[#This Row],[Asistidas]]=""),"",tblMatriculas[[#This Row],[Asistencia]])</f>
        <v>0.13300000000000001</v>
      </c>
      <c r="Q931" t="b">
        <f>AND(tblMatriculas[[#This Row],[Estado]]="activa",ISNUMBER(tblMatriculas[[#This Row],[% asistencia]]),NOT(ISNUMBER(SEARCH(pPrueba,tblMatriculas[[#This Row],[Nombre]]))))</f>
        <v>1</v>
      </c>
      <c r="R9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1" s="23" t="str" cm="1">
        <f t="array" ref="S9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1" s="23" t="str" cm="1">
        <f t="array" ref="T9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1" s="14" t="str" cm="1">
        <f t="array" ref="U9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1" t="str" cm="1">
        <f t="array" ref="V9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1" t="str" cm="1">
        <f t="array" ref="W9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1" t="str">
        <f>IF(COUNTIFS('Base Estudiantes'!$C:$C,tblMatriculas[[#This Row],[Cédula]],'Base Estudiantes'!$I:$I,tblMatriculas[[#This Row],[Código]])&gt;0,"Sí","No")</f>
        <v>Sí</v>
      </c>
      <c r="Z931" s="23" cm="1">
        <f t="array" ref="Z931">_xlfn.XLOOKUP(tblMatriculas[[#This Row],[Cédula]]&amp;"|"&amp;tblMatriculas[[#This Row],[Código]],tblBase[Documento]&amp;"|"&amp;tblBase[Código grupo],tblBase[Fecha matrícula],"")</f>
        <v>46263</v>
      </c>
    </row>
    <row r="932" spans="1:26" x14ac:dyDescent="0.2">
      <c r="A932" t="s">
        <v>2002</v>
      </c>
      <c r="B932" t="s">
        <v>2003</v>
      </c>
      <c r="C932" t="s">
        <v>13</v>
      </c>
      <c r="D932" t="s">
        <v>1965</v>
      </c>
      <c r="E932" t="s">
        <v>1966</v>
      </c>
      <c r="F932" t="s">
        <v>111</v>
      </c>
      <c r="G932" s="1">
        <v>0.13300000000000001</v>
      </c>
      <c r="H932" t="s">
        <v>112</v>
      </c>
      <c r="I932" t="s">
        <v>1580</v>
      </c>
      <c r="J932" t="s">
        <v>19</v>
      </c>
      <c r="K932" t="s">
        <v>24</v>
      </c>
      <c r="L932" s="14">
        <f>IFERROR(VALUE(LEFT(tblMatriculas[[#This Row],[Clases]],FIND("/",tblMatriculas[[#This Row],[Clases]])-1)),"")</f>
        <v>4</v>
      </c>
      <c r="M932" s="14">
        <f>IFERROR(VALUE(MID(tblMatriculas[[#This Row],[Clases]],FIND("/",tblMatriculas[[#This Row],[Clases]])+1,5)),"")</f>
        <v>30</v>
      </c>
      <c r="N9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2" s="14">
        <f>IF(OR(tblMatriculas[[#This Row],[Estado]]&lt;&gt;"activa",tblMatriculas[[#This Row],[Clases dictadas]]=""),"",MAX(0,tblMatriculas[[#This Row],[Clases dictadas]]-tblMatriculas[[#This Row],[Asistidas]]))</f>
        <v>0</v>
      </c>
      <c r="P932" s="1">
        <f>IF(OR(tblMatriculas[[#This Row],[Estado]]&lt;&gt;"activa",tblMatriculas[[#This Row],[Asistidas]]=""),"",tblMatriculas[[#This Row],[Asistencia]])</f>
        <v>0.13300000000000001</v>
      </c>
      <c r="Q932" t="b">
        <f>AND(tblMatriculas[[#This Row],[Estado]]="activa",ISNUMBER(tblMatriculas[[#This Row],[% asistencia]]),NOT(ISNUMBER(SEARCH(pPrueba,tblMatriculas[[#This Row],[Nombre]]))))</f>
        <v>1</v>
      </c>
      <c r="R9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2" s="23" t="str" cm="1">
        <f t="array" ref="S9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2" s="23" t="str" cm="1">
        <f t="array" ref="T9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2" s="14" t="str" cm="1">
        <f t="array" ref="U9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2" t="str" cm="1">
        <f t="array" ref="V9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2" t="str" cm="1">
        <f t="array" ref="W9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2" t="str">
        <f>IF(COUNTIFS('Base Estudiantes'!$C:$C,tblMatriculas[[#This Row],[Cédula]],'Base Estudiantes'!$I:$I,tblMatriculas[[#This Row],[Código]])&gt;0,"Sí","No")</f>
        <v>Sí</v>
      </c>
      <c r="Z932" s="23" cm="1">
        <f t="array" ref="Z932">_xlfn.XLOOKUP(tblMatriculas[[#This Row],[Cédula]]&amp;"|"&amp;tblMatriculas[[#This Row],[Código]],tblBase[Documento]&amp;"|"&amp;tblBase[Código grupo],tblBase[Fecha matrícula],"")</f>
        <v>46263</v>
      </c>
    </row>
    <row r="933" spans="1:26" x14ac:dyDescent="0.2">
      <c r="A933" t="s">
        <v>2004</v>
      </c>
      <c r="B933" t="s">
        <v>2005</v>
      </c>
      <c r="C933" t="s">
        <v>13</v>
      </c>
      <c r="D933" t="s">
        <v>1965</v>
      </c>
      <c r="E933" t="s">
        <v>1966</v>
      </c>
      <c r="F933" t="s">
        <v>111</v>
      </c>
      <c r="G933" s="1">
        <v>0</v>
      </c>
      <c r="H933" t="s">
        <v>254</v>
      </c>
      <c r="I933" t="s">
        <v>1580</v>
      </c>
      <c r="J933" t="s">
        <v>19</v>
      </c>
      <c r="K933" t="s">
        <v>24</v>
      </c>
      <c r="L933" s="14">
        <f>IFERROR(VALUE(LEFT(tblMatriculas[[#This Row],[Clases]],FIND("/",tblMatriculas[[#This Row],[Clases]])-1)),"")</f>
        <v>0</v>
      </c>
      <c r="M933" s="14">
        <f>IFERROR(VALUE(MID(tblMatriculas[[#This Row],[Clases]],FIND("/",tblMatriculas[[#This Row],[Clases]])+1,5)),"")</f>
        <v>30</v>
      </c>
      <c r="N9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3" s="14">
        <f>IF(OR(tblMatriculas[[#This Row],[Estado]]&lt;&gt;"activa",tblMatriculas[[#This Row],[Clases dictadas]]=""),"",MAX(0,tblMatriculas[[#This Row],[Clases dictadas]]-tblMatriculas[[#This Row],[Asistidas]]))</f>
        <v>4</v>
      </c>
      <c r="P933" s="1">
        <f>IF(OR(tblMatriculas[[#This Row],[Estado]]&lt;&gt;"activa",tblMatriculas[[#This Row],[Asistidas]]=""),"",tblMatriculas[[#This Row],[Asistencia]])</f>
        <v>0</v>
      </c>
      <c r="Q933" t="b">
        <f>AND(tblMatriculas[[#This Row],[Estado]]="activa",ISNUMBER(tblMatriculas[[#This Row],[% asistencia]]),NOT(ISNUMBER(SEARCH(pPrueba,tblMatriculas[[#This Row],[Nombre]]))))</f>
        <v>1</v>
      </c>
      <c r="R9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933" s="23" t="str" cm="1">
        <f t="array" ref="S9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3" s="23" t="str" cm="1">
        <f t="array" ref="T9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3" s="14" t="str" cm="1">
        <f t="array" ref="U9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3" t="str" cm="1">
        <f t="array" ref="V9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3" t="str" cm="1">
        <f t="array" ref="W9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93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933" t="str">
        <f>IF(COUNTIFS('Base Estudiantes'!$C:$C,tblMatriculas[[#This Row],[Cédula]],'Base Estudiantes'!$I:$I,tblMatriculas[[#This Row],[Código]])&gt;0,"Sí","No")</f>
        <v>Sí</v>
      </c>
      <c r="Z933" s="23" cm="1">
        <f t="array" ref="Z933">_xlfn.XLOOKUP(tblMatriculas[[#This Row],[Cédula]]&amp;"|"&amp;tblMatriculas[[#This Row],[Código]],tblBase[Documento]&amp;"|"&amp;tblBase[Código grupo],tblBase[Fecha matrícula],"")</f>
        <v>46263</v>
      </c>
    </row>
    <row r="934" spans="1:26" x14ac:dyDescent="0.2">
      <c r="A934" t="s">
        <v>2006</v>
      </c>
      <c r="B934" t="s">
        <v>2007</v>
      </c>
      <c r="C934" t="s">
        <v>13</v>
      </c>
      <c r="D934" t="s">
        <v>1965</v>
      </c>
      <c r="E934" t="s">
        <v>1966</v>
      </c>
      <c r="F934" t="s">
        <v>111</v>
      </c>
      <c r="G934" s="1">
        <v>0.13300000000000001</v>
      </c>
      <c r="H934" t="s">
        <v>112</v>
      </c>
      <c r="I934" t="s">
        <v>1580</v>
      </c>
      <c r="J934" t="s">
        <v>19</v>
      </c>
      <c r="K934" t="s">
        <v>24</v>
      </c>
      <c r="L934" s="14">
        <f>IFERROR(VALUE(LEFT(tblMatriculas[[#This Row],[Clases]],FIND("/",tblMatriculas[[#This Row],[Clases]])-1)),"")</f>
        <v>4</v>
      </c>
      <c r="M934" s="14">
        <f>IFERROR(VALUE(MID(tblMatriculas[[#This Row],[Clases]],FIND("/",tblMatriculas[[#This Row],[Clases]])+1,5)),"")</f>
        <v>30</v>
      </c>
      <c r="N9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4" s="14">
        <f>IF(OR(tblMatriculas[[#This Row],[Estado]]&lt;&gt;"activa",tblMatriculas[[#This Row],[Clases dictadas]]=""),"",MAX(0,tblMatriculas[[#This Row],[Clases dictadas]]-tblMatriculas[[#This Row],[Asistidas]]))</f>
        <v>0</v>
      </c>
      <c r="P934" s="1">
        <f>IF(OR(tblMatriculas[[#This Row],[Estado]]&lt;&gt;"activa",tblMatriculas[[#This Row],[Asistidas]]=""),"",tblMatriculas[[#This Row],[Asistencia]])</f>
        <v>0.13300000000000001</v>
      </c>
      <c r="Q934" t="b">
        <f>AND(tblMatriculas[[#This Row],[Estado]]="activa",ISNUMBER(tblMatriculas[[#This Row],[% asistencia]]),NOT(ISNUMBER(SEARCH(pPrueba,tblMatriculas[[#This Row],[Nombre]]))))</f>
        <v>1</v>
      </c>
      <c r="R9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4" s="23" t="str" cm="1">
        <f t="array" ref="S9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4" s="23" t="str" cm="1">
        <f t="array" ref="T9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4" s="14" t="str" cm="1">
        <f t="array" ref="U9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4" t="str" cm="1">
        <f t="array" ref="V9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4" t="str" cm="1">
        <f t="array" ref="W9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4" t="str">
        <f>IF(COUNTIFS('Base Estudiantes'!$C:$C,tblMatriculas[[#This Row],[Cédula]],'Base Estudiantes'!$I:$I,tblMatriculas[[#This Row],[Código]])&gt;0,"Sí","No")</f>
        <v>Sí</v>
      </c>
      <c r="Z934" s="23" cm="1">
        <f t="array" ref="Z934">_xlfn.XLOOKUP(tblMatriculas[[#This Row],[Cédula]]&amp;"|"&amp;tblMatriculas[[#This Row],[Código]],tblBase[Documento]&amp;"|"&amp;tblBase[Código grupo],tblBase[Fecha matrícula],"")</f>
        <v>46263</v>
      </c>
    </row>
    <row r="935" spans="1:26" x14ac:dyDescent="0.2">
      <c r="A935" t="s">
        <v>2008</v>
      </c>
      <c r="B935" t="s">
        <v>2009</v>
      </c>
      <c r="C935" t="s">
        <v>13</v>
      </c>
      <c r="D935" t="s">
        <v>1965</v>
      </c>
      <c r="E935" t="s">
        <v>1966</v>
      </c>
      <c r="F935" t="s">
        <v>111</v>
      </c>
      <c r="G935" s="1">
        <v>0.13300000000000001</v>
      </c>
      <c r="H935" t="s">
        <v>112</v>
      </c>
      <c r="I935" t="s">
        <v>1580</v>
      </c>
      <c r="J935" t="s">
        <v>19</v>
      </c>
      <c r="K935" t="s">
        <v>24</v>
      </c>
      <c r="L935" s="14">
        <f>IFERROR(VALUE(LEFT(tblMatriculas[[#This Row],[Clases]],FIND("/",tblMatriculas[[#This Row],[Clases]])-1)),"")</f>
        <v>4</v>
      </c>
      <c r="M935" s="14">
        <f>IFERROR(VALUE(MID(tblMatriculas[[#This Row],[Clases]],FIND("/",tblMatriculas[[#This Row],[Clases]])+1,5)),"")</f>
        <v>30</v>
      </c>
      <c r="N9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5" s="14">
        <f>IF(OR(tblMatriculas[[#This Row],[Estado]]&lt;&gt;"activa",tblMatriculas[[#This Row],[Clases dictadas]]=""),"",MAX(0,tblMatriculas[[#This Row],[Clases dictadas]]-tblMatriculas[[#This Row],[Asistidas]]))</f>
        <v>0</v>
      </c>
      <c r="P935" s="1">
        <f>IF(OR(tblMatriculas[[#This Row],[Estado]]&lt;&gt;"activa",tblMatriculas[[#This Row],[Asistidas]]=""),"",tblMatriculas[[#This Row],[Asistencia]])</f>
        <v>0.13300000000000001</v>
      </c>
      <c r="Q935" t="b">
        <f>AND(tblMatriculas[[#This Row],[Estado]]="activa",ISNUMBER(tblMatriculas[[#This Row],[% asistencia]]),NOT(ISNUMBER(SEARCH(pPrueba,tblMatriculas[[#This Row],[Nombre]]))))</f>
        <v>1</v>
      </c>
      <c r="R9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5" s="23" t="str" cm="1">
        <f t="array" ref="S9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5" s="23" t="str" cm="1">
        <f t="array" ref="T9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5" s="14" t="str" cm="1">
        <f t="array" ref="U9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5" t="str" cm="1">
        <f t="array" ref="V9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5" t="str" cm="1">
        <f t="array" ref="W9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5" t="str">
        <f>IF(COUNTIFS('Base Estudiantes'!$C:$C,tblMatriculas[[#This Row],[Cédula]],'Base Estudiantes'!$I:$I,tblMatriculas[[#This Row],[Código]])&gt;0,"Sí","No")</f>
        <v>Sí</v>
      </c>
      <c r="Z935" s="23" cm="1">
        <f t="array" ref="Z935">_xlfn.XLOOKUP(tblMatriculas[[#This Row],[Cédula]]&amp;"|"&amp;tblMatriculas[[#This Row],[Código]],tblBase[Documento]&amp;"|"&amp;tblBase[Código grupo],tblBase[Fecha matrícula],"")</f>
        <v>46263</v>
      </c>
    </row>
    <row r="936" spans="1:26" x14ac:dyDescent="0.2">
      <c r="A936" t="s">
        <v>2010</v>
      </c>
      <c r="B936" t="s">
        <v>2011</v>
      </c>
      <c r="C936" t="s">
        <v>13</v>
      </c>
      <c r="D936" t="s">
        <v>1965</v>
      </c>
      <c r="E936" t="s">
        <v>1966</v>
      </c>
      <c r="F936" t="s">
        <v>111</v>
      </c>
      <c r="G936" s="1">
        <v>3.3000000000000002E-2</v>
      </c>
      <c r="H936" t="s">
        <v>225</v>
      </c>
      <c r="I936" t="s">
        <v>1580</v>
      </c>
      <c r="J936" t="s">
        <v>19</v>
      </c>
      <c r="K936" t="s">
        <v>24</v>
      </c>
      <c r="L936" s="14">
        <f>IFERROR(VALUE(LEFT(tblMatriculas[[#This Row],[Clases]],FIND("/",tblMatriculas[[#This Row],[Clases]])-1)),"")</f>
        <v>1</v>
      </c>
      <c r="M936" s="14">
        <f>IFERROR(VALUE(MID(tblMatriculas[[#This Row],[Clases]],FIND("/",tblMatriculas[[#This Row],[Clases]])+1,5)),"")</f>
        <v>30</v>
      </c>
      <c r="N9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6" s="14">
        <f>IF(OR(tblMatriculas[[#This Row],[Estado]]&lt;&gt;"activa",tblMatriculas[[#This Row],[Clases dictadas]]=""),"",MAX(0,tblMatriculas[[#This Row],[Clases dictadas]]-tblMatriculas[[#This Row],[Asistidas]]))</f>
        <v>3</v>
      </c>
      <c r="P936" s="1">
        <f>IF(OR(tblMatriculas[[#This Row],[Estado]]&lt;&gt;"activa",tblMatriculas[[#This Row],[Asistidas]]=""),"",tblMatriculas[[#This Row],[Asistencia]])</f>
        <v>3.3000000000000002E-2</v>
      </c>
      <c r="Q936" t="b">
        <f>AND(tblMatriculas[[#This Row],[Estado]]="activa",ISNUMBER(tblMatriculas[[#This Row],[% asistencia]]),NOT(ISNUMBER(SEARCH(pPrueba,tblMatriculas[[#This Row],[Nombre]]))))</f>
        <v>1</v>
      </c>
      <c r="R9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36" s="23" t="str" cm="1">
        <f t="array" ref="S9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6" s="23" t="str" cm="1">
        <f t="array" ref="T9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6" s="14" t="str" cm="1">
        <f t="array" ref="U9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6" t="str" cm="1">
        <f t="array" ref="V9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6" t="str" cm="1">
        <f t="array" ref="W9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3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36" t="str">
        <f>IF(COUNTIFS('Base Estudiantes'!$C:$C,tblMatriculas[[#This Row],[Cédula]],'Base Estudiantes'!$I:$I,tblMatriculas[[#This Row],[Código]])&gt;0,"Sí","No")</f>
        <v>Sí</v>
      </c>
      <c r="Z936" s="23" cm="1">
        <f t="array" ref="Z936">_xlfn.XLOOKUP(tblMatriculas[[#This Row],[Cédula]]&amp;"|"&amp;tblMatriculas[[#This Row],[Código]],tblBase[Documento]&amp;"|"&amp;tblBase[Código grupo],tblBase[Fecha matrícula],"")</f>
        <v>46263</v>
      </c>
    </row>
    <row r="937" spans="1:26" x14ac:dyDescent="0.2">
      <c r="A937" t="s">
        <v>2012</v>
      </c>
      <c r="B937" t="s">
        <v>2013</v>
      </c>
      <c r="C937" t="s">
        <v>13</v>
      </c>
      <c r="D937" t="s">
        <v>1965</v>
      </c>
      <c r="E937" t="s">
        <v>1966</v>
      </c>
      <c r="F937" t="s">
        <v>111</v>
      </c>
      <c r="G937" s="1">
        <v>3.3000000000000002E-2</v>
      </c>
      <c r="H937" t="s">
        <v>225</v>
      </c>
      <c r="I937" t="s">
        <v>1580</v>
      </c>
      <c r="J937" t="s">
        <v>19</v>
      </c>
      <c r="K937" t="s">
        <v>24</v>
      </c>
      <c r="L937" s="14">
        <f>IFERROR(VALUE(LEFT(tblMatriculas[[#This Row],[Clases]],FIND("/",tblMatriculas[[#This Row],[Clases]])-1)),"")</f>
        <v>1</v>
      </c>
      <c r="M937" s="14">
        <f>IFERROR(VALUE(MID(tblMatriculas[[#This Row],[Clases]],FIND("/",tblMatriculas[[#This Row],[Clases]])+1,5)),"")</f>
        <v>30</v>
      </c>
      <c r="N9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7" s="14">
        <f>IF(OR(tblMatriculas[[#This Row],[Estado]]&lt;&gt;"activa",tblMatriculas[[#This Row],[Clases dictadas]]=""),"",MAX(0,tblMatriculas[[#This Row],[Clases dictadas]]-tblMatriculas[[#This Row],[Asistidas]]))</f>
        <v>3</v>
      </c>
      <c r="P937" s="1">
        <f>IF(OR(tblMatriculas[[#This Row],[Estado]]&lt;&gt;"activa",tblMatriculas[[#This Row],[Asistidas]]=""),"",tblMatriculas[[#This Row],[Asistencia]])</f>
        <v>3.3000000000000002E-2</v>
      </c>
      <c r="Q937" t="b">
        <f>AND(tblMatriculas[[#This Row],[Estado]]="activa",ISNUMBER(tblMatriculas[[#This Row],[% asistencia]]),NOT(ISNUMBER(SEARCH(pPrueba,tblMatriculas[[#This Row],[Nombre]]))))</f>
        <v>1</v>
      </c>
      <c r="R9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37" s="23" t="str" cm="1">
        <f t="array" ref="S9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7" s="23" t="str" cm="1">
        <f t="array" ref="T9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7" s="14" t="str" cm="1">
        <f t="array" ref="U9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7" t="str" cm="1">
        <f t="array" ref="V9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7" t="str" cm="1">
        <f t="array" ref="W9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37" t="str">
        <f>IF(COUNTIFS('Base Estudiantes'!$C:$C,tblMatriculas[[#This Row],[Cédula]],'Base Estudiantes'!$I:$I,tblMatriculas[[#This Row],[Código]])&gt;0,"Sí","No")</f>
        <v>Sí</v>
      </c>
      <c r="Z937" s="23" cm="1">
        <f t="array" ref="Z937">_xlfn.XLOOKUP(tblMatriculas[[#This Row],[Cédula]]&amp;"|"&amp;tblMatriculas[[#This Row],[Código]],tblBase[Documento]&amp;"|"&amp;tblBase[Código grupo],tblBase[Fecha matrícula],"")</f>
        <v>46263</v>
      </c>
    </row>
    <row r="938" spans="1:26" x14ac:dyDescent="0.2">
      <c r="A938" t="s">
        <v>2014</v>
      </c>
      <c r="B938" t="s">
        <v>2015</v>
      </c>
      <c r="C938" t="s">
        <v>13</v>
      </c>
      <c r="D938" t="s">
        <v>1965</v>
      </c>
      <c r="E938" t="s">
        <v>1966</v>
      </c>
      <c r="F938" t="s">
        <v>111</v>
      </c>
      <c r="G938" s="1">
        <v>0.13300000000000001</v>
      </c>
      <c r="H938" t="s">
        <v>112</v>
      </c>
      <c r="I938" t="s">
        <v>1580</v>
      </c>
      <c r="J938" t="s">
        <v>19</v>
      </c>
      <c r="K938" t="s">
        <v>24</v>
      </c>
      <c r="L938" s="14">
        <f>IFERROR(VALUE(LEFT(tblMatriculas[[#This Row],[Clases]],FIND("/",tblMatriculas[[#This Row],[Clases]])-1)),"")</f>
        <v>4</v>
      </c>
      <c r="M938" s="14">
        <f>IFERROR(VALUE(MID(tblMatriculas[[#This Row],[Clases]],FIND("/",tblMatriculas[[#This Row],[Clases]])+1,5)),"")</f>
        <v>30</v>
      </c>
      <c r="N9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8" s="14">
        <f>IF(OR(tblMatriculas[[#This Row],[Estado]]&lt;&gt;"activa",tblMatriculas[[#This Row],[Clases dictadas]]=""),"",MAX(0,tblMatriculas[[#This Row],[Clases dictadas]]-tblMatriculas[[#This Row],[Asistidas]]))</f>
        <v>0</v>
      </c>
      <c r="P938" s="1">
        <f>IF(OR(tblMatriculas[[#This Row],[Estado]]&lt;&gt;"activa",tblMatriculas[[#This Row],[Asistidas]]=""),"",tblMatriculas[[#This Row],[Asistencia]])</f>
        <v>0.13300000000000001</v>
      </c>
      <c r="Q938" t="b">
        <f>AND(tblMatriculas[[#This Row],[Estado]]="activa",ISNUMBER(tblMatriculas[[#This Row],[% asistencia]]),NOT(ISNUMBER(SEARCH(pPrueba,tblMatriculas[[#This Row],[Nombre]]))))</f>
        <v>1</v>
      </c>
      <c r="R9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38" s="23" t="str" cm="1">
        <f t="array" ref="S9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8" s="23" t="str" cm="1">
        <f t="array" ref="T9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8" s="14" t="str" cm="1">
        <f t="array" ref="U9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8" t="str" cm="1">
        <f t="array" ref="V9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8" t="str" cm="1">
        <f t="array" ref="W9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38" t="str">
        <f>IF(COUNTIFS('Base Estudiantes'!$C:$C,tblMatriculas[[#This Row],[Cédula]],'Base Estudiantes'!$I:$I,tblMatriculas[[#This Row],[Código]])&gt;0,"Sí","No")</f>
        <v>Sí</v>
      </c>
      <c r="Z938" s="23" cm="1">
        <f t="array" ref="Z938">_xlfn.XLOOKUP(tblMatriculas[[#This Row],[Cédula]]&amp;"|"&amp;tblMatriculas[[#This Row],[Código]],tblBase[Documento]&amp;"|"&amp;tblBase[Código grupo],tblBase[Fecha matrícula],"")</f>
        <v>46263</v>
      </c>
    </row>
    <row r="939" spans="1:26" x14ac:dyDescent="0.2">
      <c r="A939" t="s">
        <v>2016</v>
      </c>
      <c r="B939" t="s">
        <v>2017</v>
      </c>
      <c r="C939" t="s">
        <v>13</v>
      </c>
      <c r="D939" t="s">
        <v>1965</v>
      </c>
      <c r="E939" t="s">
        <v>1966</v>
      </c>
      <c r="F939" t="s">
        <v>111</v>
      </c>
      <c r="G939" s="1">
        <v>3.3000000000000002E-2</v>
      </c>
      <c r="H939" t="s">
        <v>225</v>
      </c>
      <c r="I939" t="s">
        <v>1580</v>
      </c>
      <c r="J939" t="s">
        <v>19</v>
      </c>
      <c r="K939" t="s">
        <v>24</v>
      </c>
      <c r="L939" s="14">
        <f>IFERROR(VALUE(LEFT(tblMatriculas[[#This Row],[Clases]],FIND("/",tblMatriculas[[#This Row],[Clases]])-1)),"")</f>
        <v>1</v>
      </c>
      <c r="M939" s="14">
        <f>IFERROR(VALUE(MID(tblMatriculas[[#This Row],[Clases]],FIND("/",tblMatriculas[[#This Row],[Clases]])+1,5)),"")</f>
        <v>30</v>
      </c>
      <c r="N9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39" s="14">
        <f>IF(OR(tblMatriculas[[#This Row],[Estado]]&lt;&gt;"activa",tblMatriculas[[#This Row],[Clases dictadas]]=""),"",MAX(0,tblMatriculas[[#This Row],[Clases dictadas]]-tblMatriculas[[#This Row],[Asistidas]]))</f>
        <v>3</v>
      </c>
      <c r="P939" s="1">
        <f>IF(OR(tblMatriculas[[#This Row],[Estado]]&lt;&gt;"activa",tblMatriculas[[#This Row],[Asistidas]]=""),"",tblMatriculas[[#This Row],[Asistencia]])</f>
        <v>3.3000000000000002E-2</v>
      </c>
      <c r="Q939" t="b">
        <f>AND(tblMatriculas[[#This Row],[Estado]]="activa",ISNUMBER(tblMatriculas[[#This Row],[% asistencia]]),NOT(ISNUMBER(SEARCH(pPrueba,tblMatriculas[[#This Row],[Nombre]]))))</f>
        <v>1</v>
      </c>
      <c r="R9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39" s="23" t="str" cm="1">
        <f t="array" ref="S9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39" s="23" t="str" cm="1">
        <f t="array" ref="T9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39" s="14" t="str" cm="1">
        <f t="array" ref="U9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39" t="str" cm="1">
        <f t="array" ref="V9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39" t="str" cm="1">
        <f t="array" ref="W9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39" t="str">
        <f>IF(COUNTIFS('Base Estudiantes'!$C:$C,tblMatriculas[[#This Row],[Cédula]],'Base Estudiantes'!$I:$I,tblMatriculas[[#This Row],[Código]])&gt;0,"Sí","No")</f>
        <v>Sí</v>
      </c>
      <c r="Z939" s="23" cm="1">
        <f t="array" ref="Z939">_xlfn.XLOOKUP(tblMatriculas[[#This Row],[Cédula]]&amp;"|"&amp;tblMatriculas[[#This Row],[Código]],tblBase[Documento]&amp;"|"&amp;tblBase[Código grupo],tblBase[Fecha matrícula],"")</f>
        <v>46263</v>
      </c>
    </row>
    <row r="940" spans="1:26" x14ac:dyDescent="0.2">
      <c r="A940" t="s">
        <v>2018</v>
      </c>
      <c r="B940" t="s">
        <v>2019</v>
      </c>
      <c r="C940" t="s">
        <v>13</v>
      </c>
      <c r="D940" t="s">
        <v>1965</v>
      </c>
      <c r="E940" t="s">
        <v>1966</v>
      </c>
      <c r="F940" t="s">
        <v>111</v>
      </c>
      <c r="G940" s="1">
        <v>0.13300000000000001</v>
      </c>
      <c r="H940" t="s">
        <v>112</v>
      </c>
      <c r="I940" t="s">
        <v>1580</v>
      </c>
      <c r="J940" t="s">
        <v>19</v>
      </c>
      <c r="K940" t="s">
        <v>24</v>
      </c>
      <c r="L940" s="14">
        <f>IFERROR(VALUE(LEFT(tblMatriculas[[#This Row],[Clases]],FIND("/",tblMatriculas[[#This Row],[Clases]])-1)),"")</f>
        <v>4</v>
      </c>
      <c r="M940" s="14">
        <f>IFERROR(VALUE(MID(tblMatriculas[[#This Row],[Clases]],FIND("/",tblMatriculas[[#This Row],[Clases]])+1,5)),"")</f>
        <v>30</v>
      </c>
      <c r="N9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0" s="14">
        <f>IF(OR(tblMatriculas[[#This Row],[Estado]]&lt;&gt;"activa",tblMatriculas[[#This Row],[Clases dictadas]]=""),"",MAX(0,tblMatriculas[[#This Row],[Clases dictadas]]-tblMatriculas[[#This Row],[Asistidas]]))</f>
        <v>0</v>
      </c>
      <c r="P940" s="1">
        <f>IF(OR(tblMatriculas[[#This Row],[Estado]]&lt;&gt;"activa",tblMatriculas[[#This Row],[Asistidas]]=""),"",tblMatriculas[[#This Row],[Asistencia]])</f>
        <v>0.13300000000000001</v>
      </c>
      <c r="Q940" t="b">
        <f>AND(tblMatriculas[[#This Row],[Estado]]="activa",ISNUMBER(tblMatriculas[[#This Row],[% asistencia]]),NOT(ISNUMBER(SEARCH(pPrueba,tblMatriculas[[#This Row],[Nombre]]))))</f>
        <v>1</v>
      </c>
      <c r="R9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0" s="23" t="str" cm="1">
        <f t="array" ref="S9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0" s="23" t="str" cm="1">
        <f t="array" ref="T9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0" s="14" t="str" cm="1">
        <f t="array" ref="U9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0" t="str" cm="1">
        <f t="array" ref="V9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0" t="str" cm="1">
        <f t="array" ref="W9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0" t="str">
        <f>IF(COUNTIFS('Base Estudiantes'!$C:$C,tblMatriculas[[#This Row],[Cédula]],'Base Estudiantes'!$I:$I,tblMatriculas[[#This Row],[Código]])&gt;0,"Sí","No")</f>
        <v>Sí</v>
      </c>
      <c r="Z940" s="23" cm="1">
        <f t="array" ref="Z940">_xlfn.XLOOKUP(tblMatriculas[[#This Row],[Cédula]]&amp;"|"&amp;tblMatriculas[[#This Row],[Código]],tblBase[Documento]&amp;"|"&amp;tblBase[Código grupo],tblBase[Fecha matrícula],"")</f>
        <v>46263</v>
      </c>
    </row>
    <row r="941" spans="1:26" x14ac:dyDescent="0.2">
      <c r="A941" t="s">
        <v>2020</v>
      </c>
      <c r="B941" t="s">
        <v>2021</v>
      </c>
      <c r="C941" t="s">
        <v>13</v>
      </c>
      <c r="D941" t="s">
        <v>1965</v>
      </c>
      <c r="E941" t="s">
        <v>1966</v>
      </c>
      <c r="F941" t="s">
        <v>111</v>
      </c>
      <c r="G941" s="1">
        <v>0.13300000000000001</v>
      </c>
      <c r="H941" t="s">
        <v>112</v>
      </c>
      <c r="I941" t="s">
        <v>1580</v>
      </c>
      <c r="J941" t="s">
        <v>19</v>
      </c>
      <c r="K941" t="s">
        <v>24</v>
      </c>
      <c r="L941" s="14">
        <f>IFERROR(VALUE(LEFT(tblMatriculas[[#This Row],[Clases]],FIND("/",tblMatriculas[[#This Row],[Clases]])-1)),"")</f>
        <v>4</v>
      </c>
      <c r="M941" s="14">
        <f>IFERROR(VALUE(MID(tblMatriculas[[#This Row],[Clases]],FIND("/",tblMatriculas[[#This Row],[Clases]])+1,5)),"")</f>
        <v>30</v>
      </c>
      <c r="N9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1" s="14">
        <f>IF(OR(tblMatriculas[[#This Row],[Estado]]&lt;&gt;"activa",tblMatriculas[[#This Row],[Clases dictadas]]=""),"",MAX(0,tblMatriculas[[#This Row],[Clases dictadas]]-tblMatriculas[[#This Row],[Asistidas]]))</f>
        <v>0</v>
      </c>
      <c r="P941" s="1">
        <f>IF(OR(tblMatriculas[[#This Row],[Estado]]&lt;&gt;"activa",tblMatriculas[[#This Row],[Asistidas]]=""),"",tblMatriculas[[#This Row],[Asistencia]])</f>
        <v>0.13300000000000001</v>
      </c>
      <c r="Q941" t="b">
        <f>AND(tblMatriculas[[#This Row],[Estado]]="activa",ISNUMBER(tblMatriculas[[#This Row],[% asistencia]]),NOT(ISNUMBER(SEARCH(pPrueba,tblMatriculas[[#This Row],[Nombre]]))))</f>
        <v>1</v>
      </c>
      <c r="R9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1" s="23" t="str" cm="1">
        <f t="array" ref="S9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1" s="23" t="str" cm="1">
        <f t="array" ref="T9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1" s="14" t="str" cm="1">
        <f t="array" ref="U9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1" t="str" cm="1">
        <f t="array" ref="V9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1" t="str" cm="1">
        <f t="array" ref="W9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1" t="str">
        <f>IF(COUNTIFS('Base Estudiantes'!$C:$C,tblMatriculas[[#This Row],[Cédula]],'Base Estudiantes'!$I:$I,tblMatriculas[[#This Row],[Código]])&gt;0,"Sí","No")</f>
        <v>Sí</v>
      </c>
      <c r="Z941" s="23" cm="1">
        <f t="array" ref="Z941">_xlfn.XLOOKUP(tblMatriculas[[#This Row],[Cédula]]&amp;"|"&amp;tblMatriculas[[#This Row],[Código]],tblBase[Documento]&amp;"|"&amp;tblBase[Código grupo],tblBase[Fecha matrícula],"")</f>
        <v>46263</v>
      </c>
    </row>
    <row r="942" spans="1:26" x14ac:dyDescent="0.2">
      <c r="A942" t="s">
        <v>2022</v>
      </c>
      <c r="B942" t="s">
        <v>2023</v>
      </c>
      <c r="C942" t="s">
        <v>13</v>
      </c>
      <c r="D942" t="s">
        <v>1965</v>
      </c>
      <c r="E942" t="s">
        <v>1966</v>
      </c>
      <c r="F942" t="s">
        <v>111</v>
      </c>
      <c r="G942" s="1">
        <v>0.1</v>
      </c>
      <c r="H942" t="s">
        <v>117</v>
      </c>
      <c r="I942" t="s">
        <v>1580</v>
      </c>
      <c r="J942" t="s">
        <v>19</v>
      </c>
      <c r="K942" t="s">
        <v>24</v>
      </c>
      <c r="L942" s="14">
        <f>IFERROR(VALUE(LEFT(tblMatriculas[[#This Row],[Clases]],FIND("/",tblMatriculas[[#This Row],[Clases]])-1)),"")</f>
        <v>3</v>
      </c>
      <c r="M942" s="14">
        <f>IFERROR(VALUE(MID(tblMatriculas[[#This Row],[Clases]],FIND("/",tblMatriculas[[#This Row],[Clases]])+1,5)),"")</f>
        <v>30</v>
      </c>
      <c r="N9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2" s="14">
        <f>IF(OR(tblMatriculas[[#This Row],[Estado]]&lt;&gt;"activa",tblMatriculas[[#This Row],[Clases dictadas]]=""),"",MAX(0,tblMatriculas[[#This Row],[Clases dictadas]]-tblMatriculas[[#This Row],[Asistidas]]))</f>
        <v>1</v>
      </c>
      <c r="P942" s="1">
        <f>IF(OR(tblMatriculas[[#This Row],[Estado]]&lt;&gt;"activa",tblMatriculas[[#This Row],[Asistidas]]=""),"",tblMatriculas[[#This Row],[Asistencia]])</f>
        <v>0.1</v>
      </c>
      <c r="Q942" t="b">
        <f>AND(tblMatriculas[[#This Row],[Estado]]="activa",ISNUMBER(tblMatriculas[[#This Row],[% asistencia]]),NOT(ISNUMBER(SEARCH(pPrueba,tblMatriculas[[#This Row],[Nombre]]))))</f>
        <v>1</v>
      </c>
      <c r="R9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2" s="23" t="str" cm="1">
        <f t="array" ref="S9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2" s="23" t="str" cm="1">
        <f t="array" ref="T9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2" s="14" t="str" cm="1">
        <f t="array" ref="U9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2" t="str" cm="1">
        <f t="array" ref="V9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2" t="str" cm="1">
        <f t="array" ref="W9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2" t="str">
        <f>IF(COUNTIFS('Base Estudiantes'!$C:$C,tblMatriculas[[#This Row],[Cédula]],'Base Estudiantes'!$I:$I,tblMatriculas[[#This Row],[Código]])&gt;0,"Sí","No")</f>
        <v>Sí</v>
      </c>
      <c r="Z942" s="23" cm="1">
        <f t="array" ref="Z942">_xlfn.XLOOKUP(tblMatriculas[[#This Row],[Cédula]]&amp;"|"&amp;tblMatriculas[[#This Row],[Código]],tblBase[Documento]&amp;"|"&amp;tblBase[Código grupo],tblBase[Fecha matrícula],"")</f>
        <v>46263</v>
      </c>
    </row>
    <row r="943" spans="1:26" x14ac:dyDescent="0.2">
      <c r="A943" t="s">
        <v>2024</v>
      </c>
      <c r="B943" t="s">
        <v>2025</v>
      </c>
      <c r="C943" t="s">
        <v>13</v>
      </c>
      <c r="D943" t="s">
        <v>1965</v>
      </c>
      <c r="E943" t="s">
        <v>1966</v>
      </c>
      <c r="F943" t="s">
        <v>111</v>
      </c>
      <c r="G943" s="1">
        <v>0.13300000000000001</v>
      </c>
      <c r="H943" t="s">
        <v>112</v>
      </c>
      <c r="I943" t="s">
        <v>1580</v>
      </c>
      <c r="J943" t="s">
        <v>19</v>
      </c>
      <c r="K943" t="s">
        <v>24</v>
      </c>
      <c r="L943" s="14">
        <f>IFERROR(VALUE(LEFT(tblMatriculas[[#This Row],[Clases]],FIND("/",tblMatriculas[[#This Row],[Clases]])-1)),"")</f>
        <v>4</v>
      </c>
      <c r="M943" s="14">
        <f>IFERROR(VALUE(MID(tblMatriculas[[#This Row],[Clases]],FIND("/",tblMatriculas[[#This Row],[Clases]])+1,5)),"")</f>
        <v>30</v>
      </c>
      <c r="N9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3" s="14">
        <f>IF(OR(tblMatriculas[[#This Row],[Estado]]&lt;&gt;"activa",tblMatriculas[[#This Row],[Clases dictadas]]=""),"",MAX(0,tblMatriculas[[#This Row],[Clases dictadas]]-tblMatriculas[[#This Row],[Asistidas]]))</f>
        <v>0</v>
      </c>
      <c r="P943" s="1">
        <f>IF(OR(tblMatriculas[[#This Row],[Estado]]&lt;&gt;"activa",tblMatriculas[[#This Row],[Asistidas]]=""),"",tblMatriculas[[#This Row],[Asistencia]])</f>
        <v>0.13300000000000001</v>
      </c>
      <c r="Q943" t="b">
        <f>AND(tblMatriculas[[#This Row],[Estado]]="activa",ISNUMBER(tblMatriculas[[#This Row],[% asistencia]]),NOT(ISNUMBER(SEARCH(pPrueba,tblMatriculas[[#This Row],[Nombre]]))))</f>
        <v>1</v>
      </c>
      <c r="R9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3" s="23" t="str" cm="1">
        <f t="array" ref="S9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3" s="23" t="str" cm="1">
        <f t="array" ref="T9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3" s="14" t="str" cm="1">
        <f t="array" ref="U9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3" t="str" cm="1">
        <f t="array" ref="V9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3" t="str" cm="1">
        <f t="array" ref="W9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3" t="str">
        <f>IF(COUNTIFS('Base Estudiantes'!$C:$C,tblMatriculas[[#This Row],[Cédula]],'Base Estudiantes'!$I:$I,tblMatriculas[[#This Row],[Código]])&gt;0,"Sí","No")</f>
        <v>Sí</v>
      </c>
      <c r="Z943" s="23" cm="1">
        <f t="array" ref="Z943">_xlfn.XLOOKUP(tblMatriculas[[#This Row],[Cédula]]&amp;"|"&amp;tblMatriculas[[#This Row],[Código]],tblBase[Documento]&amp;"|"&amp;tblBase[Código grupo],tblBase[Fecha matrícula],"")</f>
        <v>46263</v>
      </c>
    </row>
    <row r="944" spans="1:26" x14ac:dyDescent="0.2">
      <c r="A944" t="s">
        <v>2026</v>
      </c>
      <c r="B944" t="s">
        <v>2027</v>
      </c>
      <c r="C944" t="s">
        <v>13</v>
      </c>
      <c r="D944" t="s">
        <v>1965</v>
      </c>
      <c r="E944" t="s">
        <v>1966</v>
      </c>
      <c r="F944" t="s">
        <v>111</v>
      </c>
      <c r="G944" s="1">
        <v>0.1</v>
      </c>
      <c r="H944" t="s">
        <v>117</v>
      </c>
      <c r="I944" t="s">
        <v>1580</v>
      </c>
      <c r="J944" t="s">
        <v>19</v>
      </c>
      <c r="K944" t="s">
        <v>24</v>
      </c>
      <c r="L944" s="14">
        <f>IFERROR(VALUE(LEFT(tblMatriculas[[#This Row],[Clases]],FIND("/",tblMatriculas[[#This Row],[Clases]])-1)),"")</f>
        <v>3</v>
      </c>
      <c r="M944" s="14">
        <f>IFERROR(VALUE(MID(tblMatriculas[[#This Row],[Clases]],FIND("/",tblMatriculas[[#This Row],[Clases]])+1,5)),"")</f>
        <v>30</v>
      </c>
      <c r="N9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4" s="14">
        <f>IF(OR(tblMatriculas[[#This Row],[Estado]]&lt;&gt;"activa",tblMatriculas[[#This Row],[Clases dictadas]]=""),"",MAX(0,tblMatriculas[[#This Row],[Clases dictadas]]-tblMatriculas[[#This Row],[Asistidas]]))</f>
        <v>1</v>
      </c>
      <c r="P944" s="1">
        <f>IF(OR(tblMatriculas[[#This Row],[Estado]]&lt;&gt;"activa",tblMatriculas[[#This Row],[Asistidas]]=""),"",tblMatriculas[[#This Row],[Asistencia]])</f>
        <v>0.1</v>
      </c>
      <c r="Q944" t="b">
        <f>AND(tblMatriculas[[#This Row],[Estado]]="activa",ISNUMBER(tblMatriculas[[#This Row],[% asistencia]]),NOT(ISNUMBER(SEARCH(pPrueba,tblMatriculas[[#This Row],[Nombre]]))))</f>
        <v>1</v>
      </c>
      <c r="R9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4" s="23" t="str" cm="1">
        <f t="array" ref="S9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4" s="23" t="str" cm="1">
        <f t="array" ref="T9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4" s="14" t="str" cm="1">
        <f t="array" ref="U9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4" t="str" cm="1">
        <f t="array" ref="V9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4" t="str" cm="1">
        <f t="array" ref="W9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4" t="str">
        <f>IF(COUNTIFS('Base Estudiantes'!$C:$C,tblMatriculas[[#This Row],[Cédula]],'Base Estudiantes'!$I:$I,tblMatriculas[[#This Row],[Código]])&gt;0,"Sí","No")</f>
        <v>Sí</v>
      </c>
      <c r="Z944" s="23" cm="1">
        <f t="array" ref="Z944">_xlfn.XLOOKUP(tblMatriculas[[#This Row],[Cédula]]&amp;"|"&amp;tblMatriculas[[#This Row],[Código]],tblBase[Documento]&amp;"|"&amp;tblBase[Código grupo],tblBase[Fecha matrícula],"")</f>
        <v>46263</v>
      </c>
    </row>
    <row r="945" spans="1:26" x14ac:dyDescent="0.2">
      <c r="A945" t="s">
        <v>2028</v>
      </c>
      <c r="B945" t="s">
        <v>2029</v>
      </c>
      <c r="C945" t="s">
        <v>13</v>
      </c>
      <c r="D945" t="s">
        <v>1965</v>
      </c>
      <c r="E945" t="s">
        <v>1966</v>
      </c>
      <c r="F945" t="s">
        <v>111</v>
      </c>
      <c r="G945" s="1">
        <v>3.3000000000000002E-2</v>
      </c>
      <c r="H945" t="s">
        <v>225</v>
      </c>
      <c r="I945" t="s">
        <v>1580</v>
      </c>
      <c r="J945" t="s">
        <v>19</v>
      </c>
      <c r="K945" t="s">
        <v>24</v>
      </c>
      <c r="L945" s="14">
        <f>IFERROR(VALUE(LEFT(tblMatriculas[[#This Row],[Clases]],FIND("/",tblMatriculas[[#This Row],[Clases]])-1)),"")</f>
        <v>1</v>
      </c>
      <c r="M945" s="14">
        <f>IFERROR(VALUE(MID(tblMatriculas[[#This Row],[Clases]],FIND("/",tblMatriculas[[#This Row],[Clases]])+1,5)),"")</f>
        <v>30</v>
      </c>
      <c r="N9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5" s="14">
        <f>IF(OR(tblMatriculas[[#This Row],[Estado]]&lt;&gt;"activa",tblMatriculas[[#This Row],[Clases dictadas]]=""),"",MAX(0,tblMatriculas[[#This Row],[Clases dictadas]]-tblMatriculas[[#This Row],[Asistidas]]))</f>
        <v>3</v>
      </c>
      <c r="P945" s="1">
        <f>IF(OR(tblMatriculas[[#This Row],[Estado]]&lt;&gt;"activa",tblMatriculas[[#This Row],[Asistidas]]=""),"",tblMatriculas[[#This Row],[Asistencia]])</f>
        <v>3.3000000000000002E-2</v>
      </c>
      <c r="Q945" t="b">
        <f>AND(tblMatriculas[[#This Row],[Estado]]="activa",ISNUMBER(tblMatriculas[[#This Row],[% asistencia]]),NOT(ISNUMBER(SEARCH(pPrueba,tblMatriculas[[#This Row],[Nombre]]))))</f>
        <v>1</v>
      </c>
      <c r="R9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45" s="23" t="str" cm="1">
        <f t="array" ref="S9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5" s="23" t="str" cm="1">
        <f t="array" ref="T9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5" s="14" t="str" cm="1">
        <f t="array" ref="U9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5" t="str" cm="1">
        <f t="array" ref="V9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5" t="str" cm="1">
        <f t="array" ref="W9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45" t="str">
        <f>IF(COUNTIFS('Base Estudiantes'!$C:$C,tblMatriculas[[#This Row],[Cédula]],'Base Estudiantes'!$I:$I,tblMatriculas[[#This Row],[Código]])&gt;0,"Sí","No")</f>
        <v>Sí</v>
      </c>
      <c r="Z945" s="23" cm="1">
        <f t="array" ref="Z945">_xlfn.XLOOKUP(tblMatriculas[[#This Row],[Cédula]]&amp;"|"&amp;tblMatriculas[[#This Row],[Código]],tblBase[Documento]&amp;"|"&amp;tblBase[Código grupo],tblBase[Fecha matrícula],"")</f>
        <v>46263</v>
      </c>
    </row>
    <row r="946" spans="1:26" x14ac:dyDescent="0.2">
      <c r="A946" t="s">
        <v>2030</v>
      </c>
      <c r="B946" t="s">
        <v>2031</v>
      </c>
      <c r="C946" t="s">
        <v>13</v>
      </c>
      <c r="D946" t="s">
        <v>1965</v>
      </c>
      <c r="E946" t="s">
        <v>1966</v>
      </c>
      <c r="F946" t="s">
        <v>111</v>
      </c>
      <c r="G946" s="1">
        <v>3.3000000000000002E-2</v>
      </c>
      <c r="H946" t="s">
        <v>225</v>
      </c>
      <c r="I946" t="s">
        <v>1580</v>
      </c>
      <c r="J946" t="s">
        <v>19</v>
      </c>
      <c r="K946" t="s">
        <v>24</v>
      </c>
      <c r="L946" s="14">
        <f>IFERROR(VALUE(LEFT(tblMatriculas[[#This Row],[Clases]],FIND("/",tblMatriculas[[#This Row],[Clases]])-1)),"")</f>
        <v>1</v>
      </c>
      <c r="M946" s="14">
        <f>IFERROR(VALUE(MID(tblMatriculas[[#This Row],[Clases]],FIND("/",tblMatriculas[[#This Row],[Clases]])+1,5)),"")</f>
        <v>30</v>
      </c>
      <c r="N9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6" s="14">
        <f>IF(OR(tblMatriculas[[#This Row],[Estado]]&lt;&gt;"activa",tblMatriculas[[#This Row],[Clases dictadas]]=""),"",MAX(0,tblMatriculas[[#This Row],[Clases dictadas]]-tblMatriculas[[#This Row],[Asistidas]]))</f>
        <v>3</v>
      </c>
      <c r="P946" s="1">
        <f>IF(OR(tblMatriculas[[#This Row],[Estado]]&lt;&gt;"activa",tblMatriculas[[#This Row],[Asistidas]]=""),"",tblMatriculas[[#This Row],[Asistencia]])</f>
        <v>3.3000000000000002E-2</v>
      </c>
      <c r="Q946" t="b">
        <f>AND(tblMatriculas[[#This Row],[Estado]]="activa",ISNUMBER(tblMatriculas[[#This Row],[% asistencia]]),NOT(ISNUMBER(SEARCH(pPrueba,tblMatriculas[[#This Row],[Nombre]]))))</f>
        <v>1</v>
      </c>
      <c r="R9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46" s="23" t="str" cm="1">
        <f t="array" ref="S9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6" s="23" t="str" cm="1">
        <f t="array" ref="T9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6" s="14" t="str" cm="1">
        <f t="array" ref="U9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6" t="str" cm="1">
        <f t="array" ref="V9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6" t="str" cm="1">
        <f t="array" ref="W9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46" t="str">
        <f>IF(COUNTIFS('Base Estudiantes'!$C:$C,tblMatriculas[[#This Row],[Cédula]],'Base Estudiantes'!$I:$I,tblMatriculas[[#This Row],[Código]])&gt;0,"Sí","No")</f>
        <v>Sí</v>
      </c>
      <c r="Z946" s="23" cm="1">
        <f t="array" ref="Z946">_xlfn.XLOOKUP(tblMatriculas[[#This Row],[Cédula]]&amp;"|"&amp;tblMatriculas[[#This Row],[Código]],tblBase[Documento]&amp;"|"&amp;tblBase[Código grupo],tblBase[Fecha matrícula],"")</f>
        <v>46263</v>
      </c>
    </row>
    <row r="947" spans="1:26" x14ac:dyDescent="0.2">
      <c r="A947" t="s">
        <v>2032</v>
      </c>
      <c r="B947" t="s">
        <v>2033</v>
      </c>
      <c r="C947" t="s">
        <v>13</v>
      </c>
      <c r="D947" t="s">
        <v>1965</v>
      </c>
      <c r="E947" t="s">
        <v>1966</v>
      </c>
      <c r="F947" t="s">
        <v>111</v>
      </c>
      <c r="G947" s="1">
        <v>0.13300000000000001</v>
      </c>
      <c r="H947" t="s">
        <v>112</v>
      </c>
      <c r="I947" t="s">
        <v>1580</v>
      </c>
      <c r="J947" t="s">
        <v>19</v>
      </c>
      <c r="K947" t="s">
        <v>24</v>
      </c>
      <c r="L947" s="14">
        <f>IFERROR(VALUE(LEFT(tblMatriculas[[#This Row],[Clases]],FIND("/",tblMatriculas[[#This Row],[Clases]])-1)),"")</f>
        <v>4</v>
      </c>
      <c r="M947" s="14">
        <f>IFERROR(VALUE(MID(tblMatriculas[[#This Row],[Clases]],FIND("/",tblMatriculas[[#This Row],[Clases]])+1,5)),"")</f>
        <v>30</v>
      </c>
      <c r="N9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7" s="14">
        <f>IF(OR(tblMatriculas[[#This Row],[Estado]]&lt;&gt;"activa",tblMatriculas[[#This Row],[Clases dictadas]]=""),"",MAX(0,tblMatriculas[[#This Row],[Clases dictadas]]-tblMatriculas[[#This Row],[Asistidas]]))</f>
        <v>0</v>
      </c>
      <c r="P947" s="1">
        <f>IF(OR(tblMatriculas[[#This Row],[Estado]]&lt;&gt;"activa",tblMatriculas[[#This Row],[Asistidas]]=""),"",tblMatriculas[[#This Row],[Asistencia]])</f>
        <v>0.13300000000000001</v>
      </c>
      <c r="Q947" t="b">
        <f>AND(tblMatriculas[[#This Row],[Estado]]="activa",ISNUMBER(tblMatriculas[[#This Row],[% asistencia]]),NOT(ISNUMBER(SEARCH(pPrueba,tblMatriculas[[#This Row],[Nombre]]))))</f>
        <v>1</v>
      </c>
      <c r="R9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7" s="23" t="str" cm="1">
        <f t="array" ref="S9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7" s="23" t="str" cm="1">
        <f t="array" ref="T9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7" s="14" t="str" cm="1">
        <f t="array" ref="U9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7" t="str" cm="1">
        <f t="array" ref="V9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7" t="str" cm="1">
        <f t="array" ref="W9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7" t="str">
        <f>IF(COUNTIFS('Base Estudiantes'!$C:$C,tblMatriculas[[#This Row],[Cédula]],'Base Estudiantes'!$I:$I,tblMatriculas[[#This Row],[Código]])&gt;0,"Sí","No")</f>
        <v>Sí</v>
      </c>
      <c r="Z947" s="23" cm="1">
        <f t="array" ref="Z947">_xlfn.XLOOKUP(tblMatriculas[[#This Row],[Cédula]]&amp;"|"&amp;tblMatriculas[[#This Row],[Código]],tblBase[Documento]&amp;"|"&amp;tblBase[Código grupo],tblBase[Fecha matrícula],"")</f>
        <v>46263</v>
      </c>
    </row>
    <row r="948" spans="1:26" x14ac:dyDescent="0.2">
      <c r="A948" t="s">
        <v>2034</v>
      </c>
      <c r="B948" t="s">
        <v>2035</v>
      </c>
      <c r="C948" t="s">
        <v>13</v>
      </c>
      <c r="D948" t="s">
        <v>1965</v>
      </c>
      <c r="E948" t="s">
        <v>1966</v>
      </c>
      <c r="F948" t="s">
        <v>111</v>
      </c>
      <c r="G948" s="1">
        <v>0.13300000000000001</v>
      </c>
      <c r="H948" t="s">
        <v>112</v>
      </c>
      <c r="I948" t="s">
        <v>1580</v>
      </c>
      <c r="J948" t="s">
        <v>19</v>
      </c>
      <c r="K948" t="s">
        <v>24</v>
      </c>
      <c r="L948" s="14">
        <f>IFERROR(VALUE(LEFT(tblMatriculas[[#This Row],[Clases]],FIND("/",tblMatriculas[[#This Row],[Clases]])-1)),"")</f>
        <v>4</v>
      </c>
      <c r="M948" s="14">
        <f>IFERROR(VALUE(MID(tblMatriculas[[#This Row],[Clases]],FIND("/",tblMatriculas[[#This Row],[Clases]])+1,5)),"")</f>
        <v>30</v>
      </c>
      <c r="N9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8" s="14">
        <f>IF(OR(tblMatriculas[[#This Row],[Estado]]&lt;&gt;"activa",tblMatriculas[[#This Row],[Clases dictadas]]=""),"",MAX(0,tblMatriculas[[#This Row],[Clases dictadas]]-tblMatriculas[[#This Row],[Asistidas]]))</f>
        <v>0</v>
      </c>
      <c r="P948" s="1">
        <f>IF(OR(tblMatriculas[[#This Row],[Estado]]&lt;&gt;"activa",tblMatriculas[[#This Row],[Asistidas]]=""),"",tblMatriculas[[#This Row],[Asistencia]])</f>
        <v>0.13300000000000001</v>
      </c>
      <c r="Q948" t="b">
        <f>AND(tblMatriculas[[#This Row],[Estado]]="activa",ISNUMBER(tblMatriculas[[#This Row],[% asistencia]]),NOT(ISNUMBER(SEARCH(pPrueba,tblMatriculas[[#This Row],[Nombre]]))))</f>
        <v>1</v>
      </c>
      <c r="R9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48" s="23" t="str" cm="1">
        <f t="array" ref="S9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8" s="23" t="str" cm="1">
        <f t="array" ref="T9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8" s="14" t="str" cm="1">
        <f t="array" ref="U9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8" t="str" cm="1">
        <f t="array" ref="V9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8" t="str" cm="1">
        <f t="array" ref="W9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48" t="str">
        <f>IF(COUNTIFS('Base Estudiantes'!$C:$C,tblMatriculas[[#This Row],[Cédula]],'Base Estudiantes'!$I:$I,tblMatriculas[[#This Row],[Código]])&gt;0,"Sí","No")</f>
        <v>Sí</v>
      </c>
      <c r="Z948" s="23" cm="1">
        <f t="array" ref="Z948">_xlfn.XLOOKUP(tblMatriculas[[#This Row],[Cédula]]&amp;"|"&amp;tblMatriculas[[#This Row],[Código]],tblBase[Documento]&amp;"|"&amp;tblBase[Código grupo],tblBase[Fecha matrícula],"")</f>
        <v>46263</v>
      </c>
    </row>
    <row r="949" spans="1:26" x14ac:dyDescent="0.2">
      <c r="A949" t="s">
        <v>2036</v>
      </c>
      <c r="B949" t="s">
        <v>2037</v>
      </c>
      <c r="C949" t="s">
        <v>13</v>
      </c>
      <c r="D949" t="s">
        <v>1965</v>
      </c>
      <c r="E949" t="s">
        <v>1966</v>
      </c>
      <c r="F949" t="s">
        <v>111</v>
      </c>
      <c r="G949" s="1">
        <v>6.7000000000000004E-2</v>
      </c>
      <c r="H949" t="s">
        <v>166</v>
      </c>
      <c r="I949" t="s">
        <v>1580</v>
      </c>
      <c r="J949" t="s">
        <v>19</v>
      </c>
      <c r="K949" t="s">
        <v>24</v>
      </c>
      <c r="L949" s="14">
        <f>IFERROR(VALUE(LEFT(tblMatriculas[[#This Row],[Clases]],FIND("/",tblMatriculas[[#This Row],[Clases]])-1)),"")</f>
        <v>2</v>
      </c>
      <c r="M949" s="14">
        <f>IFERROR(VALUE(MID(tblMatriculas[[#This Row],[Clases]],FIND("/",tblMatriculas[[#This Row],[Clases]])+1,5)),"")</f>
        <v>30</v>
      </c>
      <c r="N9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49" s="14">
        <f>IF(OR(tblMatriculas[[#This Row],[Estado]]&lt;&gt;"activa",tblMatriculas[[#This Row],[Clases dictadas]]=""),"",MAX(0,tblMatriculas[[#This Row],[Clases dictadas]]-tblMatriculas[[#This Row],[Asistidas]]))</f>
        <v>2</v>
      </c>
      <c r="P949" s="1">
        <f>IF(OR(tblMatriculas[[#This Row],[Estado]]&lt;&gt;"activa",tblMatriculas[[#This Row],[Asistidas]]=""),"",tblMatriculas[[#This Row],[Asistencia]])</f>
        <v>6.7000000000000004E-2</v>
      </c>
      <c r="Q949" t="b">
        <f>AND(tblMatriculas[[#This Row],[Estado]]="activa",ISNUMBER(tblMatriculas[[#This Row],[% asistencia]]),NOT(ISNUMBER(SEARCH(pPrueba,tblMatriculas[[#This Row],[Nombre]]))))</f>
        <v>1</v>
      </c>
      <c r="R9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49" s="23" t="str" cm="1">
        <f t="array" ref="S9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49" s="23" t="str" cm="1">
        <f t="array" ref="T9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49" s="14" t="str" cm="1">
        <f t="array" ref="U9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49" t="str" cm="1">
        <f t="array" ref="V9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49" t="str" cm="1">
        <f t="array" ref="W9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49" t="str">
        <f>IF(COUNTIFS('Base Estudiantes'!$C:$C,tblMatriculas[[#This Row],[Cédula]],'Base Estudiantes'!$I:$I,tblMatriculas[[#This Row],[Código]])&gt;0,"Sí","No")</f>
        <v>Sí</v>
      </c>
      <c r="Z949" s="23" cm="1">
        <f t="array" ref="Z949">_xlfn.XLOOKUP(tblMatriculas[[#This Row],[Cédula]]&amp;"|"&amp;tblMatriculas[[#This Row],[Código]],tblBase[Documento]&amp;"|"&amp;tblBase[Código grupo],tblBase[Fecha matrícula],"")</f>
        <v>46263</v>
      </c>
    </row>
    <row r="950" spans="1:26" x14ac:dyDescent="0.2">
      <c r="A950" t="s">
        <v>2038</v>
      </c>
      <c r="B950" t="s">
        <v>2039</v>
      </c>
      <c r="C950" t="s">
        <v>13</v>
      </c>
      <c r="D950" t="s">
        <v>1965</v>
      </c>
      <c r="E950" t="s">
        <v>1966</v>
      </c>
      <c r="F950" t="s">
        <v>111</v>
      </c>
      <c r="G950" s="1">
        <v>0.13300000000000001</v>
      </c>
      <c r="H950" t="s">
        <v>112</v>
      </c>
      <c r="I950" t="s">
        <v>1580</v>
      </c>
      <c r="J950" t="s">
        <v>19</v>
      </c>
      <c r="K950" t="s">
        <v>24</v>
      </c>
      <c r="L950" s="14">
        <f>IFERROR(VALUE(LEFT(tblMatriculas[[#This Row],[Clases]],FIND("/",tblMatriculas[[#This Row],[Clases]])-1)),"")</f>
        <v>4</v>
      </c>
      <c r="M950" s="14">
        <f>IFERROR(VALUE(MID(tblMatriculas[[#This Row],[Clases]],FIND("/",tblMatriculas[[#This Row],[Clases]])+1,5)),"")</f>
        <v>30</v>
      </c>
      <c r="N9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0" s="14">
        <f>IF(OR(tblMatriculas[[#This Row],[Estado]]&lt;&gt;"activa",tblMatriculas[[#This Row],[Clases dictadas]]=""),"",MAX(0,tblMatriculas[[#This Row],[Clases dictadas]]-tblMatriculas[[#This Row],[Asistidas]]))</f>
        <v>0</v>
      </c>
      <c r="P950" s="1">
        <f>IF(OR(tblMatriculas[[#This Row],[Estado]]&lt;&gt;"activa",tblMatriculas[[#This Row],[Asistidas]]=""),"",tblMatriculas[[#This Row],[Asistencia]])</f>
        <v>0.13300000000000001</v>
      </c>
      <c r="Q950" t="b">
        <f>AND(tblMatriculas[[#This Row],[Estado]]="activa",ISNUMBER(tblMatriculas[[#This Row],[% asistencia]]),NOT(ISNUMBER(SEARCH(pPrueba,tblMatriculas[[#This Row],[Nombre]]))))</f>
        <v>1</v>
      </c>
      <c r="R9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0" s="23" t="str" cm="1">
        <f t="array" ref="S9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0" s="23" t="str" cm="1">
        <f t="array" ref="T9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0" s="14" t="str" cm="1">
        <f t="array" ref="U9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0" t="str" cm="1">
        <f t="array" ref="V9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0" t="str" cm="1">
        <f t="array" ref="W9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0" t="str">
        <f>IF(COUNTIFS('Base Estudiantes'!$C:$C,tblMatriculas[[#This Row],[Cédula]],'Base Estudiantes'!$I:$I,tblMatriculas[[#This Row],[Código]])&gt;0,"Sí","No")</f>
        <v>Sí</v>
      </c>
      <c r="Z950" s="23" cm="1">
        <f t="array" ref="Z950">_xlfn.XLOOKUP(tblMatriculas[[#This Row],[Cédula]]&amp;"|"&amp;tblMatriculas[[#This Row],[Código]],tblBase[Documento]&amp;"|"&amp;tblBase[Código grupo],tblBase[Fecha matrícula],"")</f>
        <v>46263</v>
      </c>
    </row>
    <row r="951" spans="1:26" x14ac:dyDescent="0.2">
      <c r="A951" t="s">
        <v>2040</v>
      </c>
      <c r="B951" t="s">
        <v>2041</v>
      </c>
      <c r="C951" t="s">
        <v>13</v>
      </c>
      <c r="D951" t="s">
        <v>1965</v>
      </c>
      <c r="E951" t="s">
        <v>1966</v>
      </c>
      <c r="F951" t="s">
        <v>111</v>
      </c>
      <c r="G951" s="1">
        <v>0.1</v>
      </c>
      <c r="H951" t="s">
        <v>117</v>
      </c>
      <c r="I951" t="s">
        <v>1580</v>
      </c>
      <c r="J951" t="s">
        <v>19</v>
      </c>
      <c r="K951" t="s">
        <v>24</v>
      </c>
      <c r="L951" s="14">
        <f>IFERROR(VALUE(LEFT(tblMatriculas[[#This Row],[Clases]],FIND("/",tblMatriculas[[#This Row],[Clases]])-1)),"")</f>
        <v>3</v>
      </c>
      <c r="M951" s="14">
        <f>IFERROR(VALUE(MID(tblMatriculas[[#This Row],[Clases]],FIND("/",tblMatriculas[[#This Row],[Clases]])+1,5)),"")</f>
        <v>30</v>
      </c>
      <c r="N9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1" s="14">
        <f>IF(OR(tblMatriculas[[#This Row],[Estado]]&lt;&gt;"activa",tblMatriculas[[#This Row],[Clases dictadas]]=""),"",MAX(0,tblMatriculas[[#This Row],[Clases dictadas]]-tblMatriculas[[#This Row],[Asistidas]]))</f>
        <v>1</v>
      </c>
      <c r="P951" s="1">
        <f>IF(OR(tblMatriculas[[#This Row],[Estado]]&lt;&gt;"activa",tblMatriculas[[#This Row],[Asistidas]]=""),"",tblMatriculas[[#This Row],[Asistencia]])</f>
        <v>0.1</v>
      </c>
      <c r="Q951" t="b">
        <f>AND(tblMatriculas[[#This Row],[Estado]]="activa",ISNUMBER(tblMatriculas[[#This Row],[% asistencia]]),NOT(ISNUMBER(SEARCH(pPrueba,tblMatriculas[[#This Row],[Nombre]]))))</f>
        <v>1</v>
      </c>
      <c r="R9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1" s="23" t="str" cm="1">
        <f t="array" ref="S9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1" s="23" t="str" cm="1">
        <f t="array" ref="T9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1" s="14" t="str" cm="1">
        <f t="array" ref="U9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1" t="str" cm="1">
        <f t="array" ref="V9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1" t="str" cm="1">
        <f t="array" ref="W9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1" t="str">
        <f>IF(COUNTIFS('Base Estudiantes'!$C:$C,tblMatriculas[[#This Row],[Cédula]],'Base Estudiantes'!$I:$I,tblMatriculas[[#This Row],[Código]])&gt;0,"Sí","No")</f>
        <v>Sí</v>
      </c>
      <c r="Z951" s="23" cm="1">
        <f t="array" ref="Z951">_xlfn.XLOOKUP(tblMatriculas[[#This Row],[Cédula]]&amp;"|"&amp;tblMatriculas[[#This Row],[Código]],tblBase[Documento]&amp;"|"&amp;tblBase[Código grupo],tblBase[Fecha matrícula],"")</f>
        <v>46263</v>
      </c>
    </row>
    <row r="952" spans="1:26" x14ac:dyDescent="0.2">
      <c r="A952" t="s">
        <v>2042</v>
      </c>
      <c r="B952" t="s">
        <v>2043</v>
      </c>
      <c r="C952" t="s">
        <v>13</v>
      </c>
      <c r="D952" t="s">
        <v>1965</v>
      </c>
      <c r="E952" t="s">
        <v>1966</v>
      </c>
      <c r="F952" t="s">
        <v>111</v>
      </c>
      <c r="G952" s="1">
        <v>3.3000000000000002E-2</v>
      </c>
      <c r="H952" t="s">
        <v>225</v>
      </c>
      <c r="I952" t="s">
        <v>1580</v>
      </c>
      <c r="J952" t="s">
        <v>19</v>
      </c>
      <c r="K952" t="s">
        <v>24</v>
      </c>
      <c r="L952" s="14">
        <f>IFERROR(VALUE(LEFT(tblMatriculas[[#This Row],[Clases]],FIND("/",tblMatriculas[[#This Row],[Clases]])-1)),"")</f>
        <v>1</v>
      </c>
      <c r="M952" s="14">
        <f>IFERROR(VALUE(MID(tblMatriculas[[#This Row],[Clases]],FIND("/",tblMatriculas[[#This Row],[Clases]])+1,5)),"")</f>
        <v>30</v>
      </c>
      <c r="N9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2" s="14">
        <f>IF(OR(tblMatriculas[[#This Row],[Estado]]&lt;&gt;"activa",tblMatriculas[[#This Row],[Clases dictadas]]=""),"",MAX(0,tblMatriculas[[#This Row],[Clases dictadas]]-tblMatriculas[[#This Row],[Asistidas]]))</f>
        <v>3</v>
      </c>
      <c r="P952" s="1">
        <f>IF(OR(tblMatriculas[[#This Row],[Estado]]&lt;&gt;"activa",tblMatriculas[[#This Row],[Asistidas]]=""),"",tblMatriculas[[#This Row],[Asistencia]])</f>
        <v>3.3000000000000002E-2</v>
      </c>
      <c r="Q952" t="b">
        <f>AND(tblMatriculas[[#This Row],[Estado]]="activa",ISNUMBER(tblMatriculas[[#This Row],[% asistencia]]),NOT(ISNUMBER(SEARCH(pPrueba,tblMatriculas[[#This Row],[Nombre]]))))</f>
        <v>1</v>
      </c>
      <c r="R9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52" s="23" t="str" cm="1">
        <f t="array" ref="S9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2" s="23" t="str" cm="1">
        <f t="array" ref="T9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2" s="14" t="str" cm="1">
        <f t="array" ref="U9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2" t="str" cm="1">
        <f t="array" ref="V9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2" t="str" cm="1">
        <f t="array" ref="W9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52" t="str">
        <f>IF(COUNTIFS('Base Estudiantes'!$C:$C,tblMatriculas[[#This Row],[Cédula]],'Base Estudiantes'!$I:$I,tblMatriculas[[#This Row],[Código]])&gt;0,"Sí","No")</f>
        <v>Sí</v>
      </c>
      <c r="Z952" s="23" cm="1">
        <f t="array" ref="Z952">_xlfn.XLOOKUP(tblMatriculas[[#This Row],[Cédula]]&amp;"|"&amp;tblMatriculas[[#This Row],[Código]],tblBase[Documento]&amp;"|"&amp;tblBase[Código grupo],tblBase[Fecha matrícula],"")</f>
        <v>46263</v>
      </c>
    </row>
    <row r="953" spans="1:26" x14ac:dyDescent="0.2">
      <c r="A953" t="s">
        <v>2044</v>
      </c>
      <c r="B953" t="s">
        <v>2045</v>
      </c>
      <c r="C953" t="s">
        <v>13</v>
      </c>
      <c r="D953" t="s">
        <v>1965</v>
      </c>
      <c r="E953" t="s">
        <v>1966</v>
      </c>
      <c r="F953" t="s">
        <v>111</v>
      </c>
      <c r="G953" s="1">
        <v>0.13300000000000001</v>
      </c>
      <c r="H953" t="s">
        <v>112</v>
      </c>
      <c r="I953" t="s">
        <v>1580</v>
      </c>
      <c r="J953" t="s">
        <v>19</v>
      </c>
      <c r="K953" t="s">
        <v>24</v>
      </c>
      <c r="L953" s="14">
        <f>IFERROR(VALUE(LEFT(tblMatriculas[[#This Row],[Clases]],FIND("/",tblMatriculas[[#This Row],[Clases]])-1)),"")</f>
        <v>4</v>
      </c>
      <c r="M953" s="14">
        <f>IFERROR(VALUE(MID(tblMatriculas[[#This Row],[Clases]],FIND("/",tblMatriculas[[#This Row],[Clases]])+1,5)),"")</f>
        <v>30</v>
      </c>
      <c r="N9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3" s="14">
        <f>IF(OR(tblMatriculas[[#This Row],[Estado]]&lt;&gt;"activa",tblMatriculas[[#This Row],[Clases dictadas]]=""),"",MAX(0,tblMatriculas[[#This Row],[Clases dictadas]]-tblMatriculas[[#This Row],[Asistidas]]))</f>
        <v>0</v>
      </c>
      <c r="P953" s="1">
        <f>IF(OR(tblMatriculas[[#This Row],[Estado]]&lt;&gt;"activa",tblMatriculas[[#This Row],[Asistidas]]=""),"",tblMatriculas[[#This Row],[Asistencia]])</f>
        <v>0.13300000000000001</v>
      </c>
      <c r="Q953" t="b">
        <f>AND(tblMatriculas[[#This Row],[Estado]]="activa",ISNUMBER(tblMatriculas[[#This Row],[% asistencia]]),NOT(ISNUMBER(SEARCH(pPrueba,tblMatriculas[[#This Row],[Nombre]]))))</f>
        <v>1</v>
      </c>
      <c r="R9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3" s="23" t="str" cm="1">
        <f t="array" ref="S9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3" s="23" t="str" cm="1">
        <f t="array" ref="T9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3" s="14" t="str" cm="1">
        <f t="array" ref="U9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3" t="str" cm="1">
        <f t="array" ref="V9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3" t="str" cm="1">
        <f t="array" ref="W9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3" t="str">
        <f>IF(COUNTIFS('Base Estudiantes'!$C:$C,tblMatriculas[[#This Row],[Cédula]],'Base Estudiantes'!$I:$I,tblMatriculas[[#This Row],[Código]])&gt;0,"Sí","No")</f>
        <v>Sí</v>
      </c>
      <c r="Z953" s="23" cm="1">
        <f t="array" ref="Z953">_xlfn.XLOOKUP(tblMatriculas[[#This Row],[Cédula]]&amp;"|"&amp;tblMatriculas[[#This Row],[Código]],tblBase[Documento]&amp;"|"&amp;tblBase[Código grupo],tblBase[Fecha matrícula],"")</f>
        <v>46263</v>
      </c>
    </row>
    <row r="954" spans="1:26" x14ac:dyDescent="0.2">
      <c r="A954" t="s">
        <v>2046</v>
      </c>
      <c r="B954" t="s">
        <v>2047</v>
      </c>
      <c r="C954" t="s">
        <v>13</v>
      </c>
      <c r="D954" t="s">
        <v>1965</v>
      </c>
      <c r="E954" t="s">
        <v>1966</v>
      </c>
      <c r="F954" t="s">
        <v>111</v>
      </c>
      <c r="G954" s="1">
        <v>0.13300000000000001</v>
      </c>
      <c r="H954" t="s">
        <v>112</v>
      </c>
      <c r="I954" t="s">
        <v>1580</v>
      </c>
      <c r="J954" t="s">
        <v>19</v>
      </c>
      <c r="K954" t="s">
        <v>24</v>
      </c>
      <c r="L954" s="14">
        <f>IFERROR(VALUE(LEFT(tblMatriculas[[#This Row],[Clases]],FIND("/",tblMatriculas[[#This Row],[Clases]])-1)),"")</f>
        <v>4</v>
      </c>
      <c r="M954" s="14">
        <f>IFERROR(VALUE(MID(tblMatriculas[[#This Row],[Clases]],FIND("/",tblMatriculas[[#This Row],[Clases]])+1,5)),"")</f>
        <v>30</v>
      </c>
      <c r="N9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4" s="14">
        <f>IF(OR(tblMatriculas[[#This Row],[Estado]]&lt;&gt;"activa",tblMatriculas[[#This Row],[Clases dictadas]]=""),"",MAX(0,tblMatriculas[[#This Row],[Clases dictadas]]-tblMatriculas[[#This Row],[Asistidas]]))</f>
        <v>0</v>
      </c>
      <c r="P954" s="1">
        <f>IF(OR(tblMatriculas[[#This Row],[Estado]]&lt;&gt;"activa",tblMatriculas[[#This Row],[Asistidas]]=""),"",tblMatriculas[[#This Row],[Asistencia]])</f>
        <v>0.13300000000000001</v>
      </c>
      <c r="Q954" t="b">
        <f>AND(tblMatriculas[[#This Row],[Estado]]="activa",ISNUMBER(tblMatriculas[[#This Row],[% asistencia]]),NOT(ISNUMBER(SEARCH(pPrueba,tblMatriculas[[#This Row],[Nombre]]))))</f>
        <v>1</v>
      </c>
      <c r="R9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4" s="23" t="str" cm="1">
        <f t="array" ref="S9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4" s="23" t="str" cm="1">
        <f t="array" ref="T9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4" s="14" t="str" cm="1">
        <f t="array" ref="U9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4" t="str" cm="1">
        <f t="array" ref="V9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4" t="str" cm="1">
        <f t="array" ref="W9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4" t="str">
        <f>IF(COUNTIFS('Base Estudiantes'!$C:$C,tblMatriculas[[#This Row],[Cédula]],'Base Estudiantes'!$I:$I,tblMatriculas[[#This Row],[Código]])&gt;0,"Sí","No")</f>
        <v>Sí</v>
      </c>
      <c r="Z954" s="23" cm="1">
        <f t="array" ref="Z954">_xlfn.XLOOKUP(tblMatriculas[[#This Row],[Cédula]]&amp;"|"&amp;tblMatriculas[[#This Row],[Código]],tblBase[Documento]&amp;"|"&amp;tblBase[Código grupo],tblBase[Fecha matrícula],"")</f>
        <v>46263</v>
      </c>
    </row>
    <row r="955" spans="1:26" x14ac:dyDescent="0.2">
      <c r="A955" t="s">
        <v>2048</v>
      </c>
      <c r="B955" t="s">
        <v>2049</v>
      </c>
      <c r="C955" t="s">
        <v>13</v>
      </c>
      <c r="D955" t="s">
        <v>1965</v>
      </c>
      <c r="E955" t="s">
        <v>1966</v>
      </c>
      <c r="F955" t="s">
        <v>111</v>
      </c>
      <c r="G955" s="1">
        <v>0</v>
      </c>
      <c r="H955" t="s">
        <v>254</v>
      </c>
      <c r="I955" t="s">
        <v>1580</v>
      </c>
      <c r="J955" t="s">
        <v>19</v>
      </c>
      <c r="K955" t="s">
        <v>24</v>
      </c>
      <c r="L955" s="14">
        <f>IFERROR(VALUE(LEFT(tblMatriculas[[#This Row],[Clases]],FIND("/",tblMatriculas[[#This Row],[Clases]])-1)),"")</f>
        <v>0</v>
      </c>
      <c r="M955" s="14">
        <f>IFERROR(VALUE(MID(tblMatriculas[[#This Row],[Clases]],FIND("/",tblMatriculas[[#This Row],[Clases]])+1,5)),"")</f>
        <v>30</v>
      </c>
      <c r="N9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5" s="14">
        <f>IF(OR(tblMatriculas[[#This Row],[Estado]]&lt;&gt;"activa",tblMatriculas[[#This Row],[Clases dictadas]]=""),"",MAX(0,tblMatriculas[[#This Row],[Clases dictadas]]-tblMatriculas[[#This Row],[Asistidas]]))</f>
        <v>4</v>
      </c>
      <c r="P955" s="1">
        <f>IF(OR(tblMatriculas[[#This Row],[Estado]]&lt;&gt;"activa",tblMatriculas[[#This Row],[Asistidas]]=""),"",tblMatriculas[[#This Row],[Asistencia]])</f>
        <v>0</v>
      </c>
      <c r="Q955" t="b">
        <f>AND(tblMatriculas[[#This Row],[Estado]]="activa",ISNUMBER(tblMatriculas[[#This Row],[% asistencia]]),NOT(ISNUMBER(SEARCH(pPrueba,tblMatriculas[[#This Row],[Nombre]]))))</f>
        <v>1</v>
      </c>
      <c r="R9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955" s="23" t="str" cm="1">
        <f t="array" ref="S9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5" s="23" t="str" cm="1">
        <f t="array" ref="T9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5" s="14" t="str" cm="1">
        <f t="array" ref="U9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5" t="str" cm="1">
        <f t="array" ref="V9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5" t="str" cm="1">
        <f t="array" ref="W9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9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955" t="str">
        <f>IF(COUNTIFS('Base Estudiantes'!$C:$C,tblMatriculas[[#This Row],[Cédula]],'Base Estudiantes'!$I:$I,tblMatriculas[[#This Row],[Código]])&gt;0,"Sí","No")</f>
        <v>Sí</v>
      </c>
      <c r="Z955" s="23" cm="1">
        <f t="array" ref="Z955">_xlfn.XLOOKUP(tblMatriculas[[#This Row],[Cédula]]&amp;"|"&amp;tblMatriculas[[#This Row],[Código]],tblBase[Documento]&amp;"|"&amp;tblBase[Código grupo],tblBase[Fecha matrícula],"")</f>
        <v>46263</v>
      </c>
    </row>
    <row r="956" spans="1:26" x14ac:dyDescent="0.2">
      <c r="A956" t="s">
        <v>2050</v>
      </c>
      <c r="B956" t="s">
        <v>2051</v>
      </c>
      <c r="C956" t="s">
        <v>13</v>
      </c>
      <c r="D956" t="s">
        <v>1965</v>
      </c>
      <c r="E956" t="s">
        <v>1966</v>
      </c>
      <c r="F956" t="s">
        <v>111</v>
      </c>
      <c r="G956" s="1">
        <v>0.13300000000000001</v>
      </c>
      <c r="H956" t="s">
        <v>112</v>
      </c>
      <c r="I956" t="s">
        <v>1580</v>
      </c>
      <c r="J956" t="s">
        <v>19</v>
      </c>
      <c r="K956" t="s">
        <v>24</v>
      </c>
      <c r="L956" s="14">
        <f>IFERROR(VALUE(LEFT(tblMatriculas[[#This Row],[Clases]],FIND("/",tblMatriculas[[#This Row],[Clases]])-1)),"")</f>
        <v>4</v>
      </c>
      <c r="M956" s="14">
        <f>IFERROR(VALUE(MID(tblMatriculas[[#This Row],[Clases]],FIND("/",tblMatriculas[[#This Row],[Clases]])+1,5)),"")</f>
        <v>30</v>
      </c>
      <c r="N9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6" s="14">
        <f>IF(OR(tblMatriculas[[#This Row],[Estado]]&lt;&gt;"activa",tblMatriculas[[#This Row],[Clases dictadas]]=""),"",MAX(0,tblMatriculas[[#This Row],[Clases dictadas]]-tblMatriculas[[#This Row],[Asistidas]]))</f>
        <v>0</v>
      </c>
      <c r="P956" s="1">
        <f>IF(OR(tblMatriculas[[#This Row],[Estado]]&lt;&gt;"activa",tblMatriculas[[#This Row],[Asistidas]]=""),"",tblMatriculas[[#This Row],[Asistencia]])</f>
        <v>0.13300000000000001</v>
      </c>
      <c r="Q956" t="b">
        <f>AND(tblMatriculas[[#This Row],[Estado]]="activa",ISNUMBER(tblMatriculas[[#This Row],[% asistencia]]),NOT(ISNUMBER(SEARCH(pPrueba,tblMatriculas[[#This Row],[Nombre]]))))</f>
        <v>1</v>
      </c>
      <c r="R9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6" s="23" t="str" cm="1">
        <f t="array" ref="S9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6" s="23" t="str" cm="1">
        <f t="array" ref="T9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6" s="14" t="str" cm="1">
        <f t="array" ref="U9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6" t="str" cm="1">
        <f t="array" ref="V9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6" t="str" cm="1">
        <f t="array" ref="W9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6" t="str">
        <f>IF(COUNTIFS('Base Estudiantes'!$C:$C,tblMatriculas[[#This Row],[Cédula]],'Base Estudiantes'!$I:$I,tblMatriculas[[#This Row],[Código]])&gt;0,"Sí","No")</f>
        <v>Sí</v>
      </c>
      <c r="Z956" s="23" cm="1">
        <f t="array" ref="Z956">_xlfn.XLOOKUP(tblMatriculas[[#This Row],[Cédula]]&amp;"|"&amp;tblMatriculas[[#This Row],[Código]],tblBase[Documento]&amp;"|"&amp;tblBase[Código grupo],tblBase[Fecha matrícula],"")</f>
        <v>46263</v>
      </c>
    </row>
    <row r="957" spans="1:26" x14ac:dyDescent="0.2">
      <c r="A957" t="s">
        <v>2052</v>
      </c>
      <c r="B957" t="s">
        <v>2053</v>
      </c>
      <c r="C957" t="s">
        <v>13</v>
      </c>
      <c r="D957" t="s">
        <v>1965</v>
      </c>
      <c r="E957" t="s">
        <v>1966</v>
      </c>
      <c r="F957" t="s">
        <v>111</v>
      </c>
      <c r="G957" s="1">
        <v>0.13300000000000001</v>
      </c>
      <c r="H957" t="s">
        <v>112</v>
      </c>
      <c r="I957" t="s">
        <v>1580</v>
      </c>
      <c r="J957" t="s">
        <v>19</v>
      </c>
      <c r="K957" t="s">
        <v>24</v>
      </c>
      <c r="L957" s="14">
        <f>IFERROR(VALUE(LEFT(tblMatriculas[[#This Row],[Clases]],FIND("/",tblMatriculas[[#This Row],[Clases]])-1)),"")</f>
        <v>4</v>
      </c>
      <c r="M957" s="14">
        <f>IFERROR(VALUE(MID(tblMatriculas[[#This Row],[Clases]],FIND("/",tblMatriculas[[#This Row],[Clases]])+1,5)),"")</f>
        <v>30</v>
      </c>
      <c r="N9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7" s="14">
        <f>IF(OR(tblMatriculas[[#This Row],[Estado]]&lt;&gt;"activa",tblMatriculas[[#This Row],[Clases dictadas]]=""),"",MAX(0,tblMatriculas[[#This Row],[Clases dictadas]]-tblMatriculas[[#This Row],[Asistidas]]))</f>
        <v>0</v>
      </c>
      <c r="P957" s="1">
        <f>IF(OR(tblMatriculas[[#This Row],[Estado]]&lt;&gt;"activa",tblMatriculas[[#This Row],[Asistidas]]=""),"",tblMatriculas[[#This Row],[Asistencia]])</f>
        <v>0.13300000000000001</v>
      </c>
      <c r="Q957" t="b">
        <f>AND(tblMatriculas[[#This Row],[Estado]]="activa",ISNUMBER(tblMatriculas[[#This Row],[% asistencia]]),NOT(ISNUMBER(SEARCH(pPrueba,tblMatriculas[[#This Row],[Nombre]]))))</f>
        <v>1</v>
      </c>
      <c r="R9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7" s="23" t="str" cm="1">
        <f t="array" ref="S9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7" s="23" t="str" cm="1">
        <f t="array" ref="T9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7" s="14" t="str" cm="1">
        <f t="array" ref="U9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7" t="str" cm="1">
        <f t="array" ref="V9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7" t="str" cm="1">
        <f t="array" ref="W9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7" t="str">
        <f>IF(COUNTIFS('Base Estudiantes'!$C:$C,tblMatriculas[[#This Row],[Cédula]],'Base Estudiantes'!$I:$I,tblMatriculas[[#This Row],[Código]])&gt;0,"Sí","No")</f>
        <v>Sí</v>
      </c>
      <c r="Z957" s="23" cm="1">
        <f t="array" ref="Z957">_xlfn.XLOOKUP(tblMatriculas[[#This Row],[Cédula]]&amp;"|"&amp;tblMatriculas[[#This Row],[Código]],tblBase[Documento]&amp;"|"&amp;tblBase[Código grupo],tblBase[Fecha matrícula],"")</f>
        <v>46263</v>
      </c>
    </row>
    <row r="958" spans="1:26" x14ac:dyDescent="0.2">
      <c r="A958" t="s">
        <v>2054</v>
      </c>
      <c r="B958" t="s">
        <v>2055</v>
      </c>
      <c r="C958" t="s">
        <v>13</v>
      </c>
      <c r="D958" t="s">
        <v>1965</v>
      </c>
      <c r="E958" t="s">
        <v>1966</v>
      </c>
      <c r="F958" t="s">
        <v>111</v>
      </c>
      <c r="G958" s="1">
        <v>0.13300000000000001</v>
      </c>
      <c r="H958" t="s">
        <v>112</v>
      </c>
      <c r="I958" t="s">
        <v>1580</v>
      </c>
      <c r="J958" t="s">
        <v>19</v>
      </c>
      <c r="K958" t="s">
        <v>24</v>
      </c>
      <c r="L958" s="14">
        <f>IFERROR(VALUE(LEFT(tblMatriculas[[#This Row],[Clases]],FIND("/",tblMatriculas[[#This Row],[Clases]])-1)),"")</f>
        <v>4</v>
      </c>
      <c r="M958" s="14">
        <f>IFERROR(VALUE(MID(tblMatriculas[[#This Row],[Clases]],FIND("/",tblMatriculas[[#This Row],[Clases]])+1,5)),"")</f>
        <v>30</v>
      </c>
      <c r="N9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8" s="14">
        <f>IF(OR(tblMatriculas[[#This Row],[Estado]]&lt;&gt;"activa",tblMatriculas[[#This Row],[Clases dictadas]]=""),"",MAX(0,tblMatriculas[[#This Row],[Clases dictadas]]-tblMatriculas[[#This Row],[Asistidas]]))</f>
        <v>0</v>
      </c>
      <c r="P958" s="1">
        <f>IF(OR(tblMatriculas[[#This Row],[Estado]]&lt;&gt;"activa",tblMatriculas[[#This Row],[Asistidas]]=""),"",tblMatriculas[[#This Row],[Asistencia]])</f>
        <v>0.13300000000000001</v>
      </c>
      <c r="Q958" t="b">
        <f>AND(tblMatriculas[[#This Row],[Estado]]="activa",ISNUMBER(tblMatriculas[[#This Row],[% asistencia]]),NOT(ISNUMBER(SEARCH(pPrueba,tblMatriculas[[#This Row],[Nombre]]))))</f>
        <v>1</v>
      </c>
      <c r="R9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58" s="23" t="str" cm="1">
        <f t="array" ref="S9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8" s="23" t="str" cm="1">
        <f t="array" ref="T9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8" s="14" t="str" cm="1">
        <f t="array" ref="U9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8" t="str" cm="1">
        <f t="array" ref="V9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8" t="str" cm="1">
        <f t="array" ref="W9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58" t="str">
        <f>IF(COUNTIFS('Base Estudiantes'!$C:$C,tblMatriculas[[#This Row],[Cédula]],'Base Estudiantes'!$I:$I,tblMatriculas[[#This Row],[Código]])&gt;0,"Sí","No")</f>
        <v>Sí</v>
      </c>
      <c r="Z958" s="23" cm="1">
        <f t="array" ref="Z958">_xlfn.XLOOKUP(tblMatriculas[[#This Row],[Cédula]]&amp;"|"&amp;tblMatriculas[[#This Row],[Código]],tblBase[Documento]&amp;"|"&amp;tblBase[Código grupo],tblBase[Fecha matrícula],"")</f>
        <v>46263</v>
      </c>
    </row>
    <row r="959" spans="1:26" x14ac:dyDescent="0.2">
      <c r="A959" t="s">
        <v>2056</v>
      </c>
      <c r="B959" t="s">
        <v>2057</v>
      </c>
      <c r="C959" t="s">
        <v>13</v>
      </c>
      <c r="D959" t="s">
        <v>1965</v>
      </c>
      <c r="E959" t="s">
        <v>1966</v>
      </c>
      <c r="F959" t="s">
        <v>111</v>
      </c>
      <c r="G959" s="1">
        <v>3.3000000000000002E-2</v>
      </c>
      <c r="H959" t="s">
        <v>225</v>
      </c>
      <c r="I959" t="s">
        <v>1580</v>
      </c>
      <c r="J959" t="s">
        <v>19</v>
      </c>
      <c r="K959" t="s">
        <v>24</v>
      </c>
      <c r="L959" s="14">
        <f>IFERROR(VALUE(LEFT(tblMatriculas[[#This Row],[Clases]],FIND("/",tblMatriculas[[#This Row],[Clases]])-1)),"")</f>
        <v>1</v>
      </c>
      <c r="M959" s="14">
        <f>IFERROR(VALUE(MID(tblMatriculas[[#This Row],[Clases]],FIND("/",tblMatriculas[[#This Row],[Clases]])+1,5)),"")</f>
        <v>30</v>
      </c>
      <c r="N9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59" s="14">
        <f>IF(OR(tblMatriculas[[#This Row],[Estado]]&lt;&gt;"activa",tblMatriculas[[#This Row],[Clases dictadas]]=""),"",MAX(0,tblMatriculas[[#This Row],[Clases dictadas]]-tblMatriculas[[#This Row],[Asistidas]]))</f>
        <v>3</v>
      </c>
      <c r="P959" s="1">
        <f>IF(OR(tblMatriculas[[#This Row],[Estado]]&lt;&gt;"activa",tblMatriculas[[#This Row],[Asistidas]]=""),"",tblMatriculas[[#This Row],[Asistencia]])</f>
        <v>3.3000000000000002E-2</v>
      </c>
      <c r="Q959" t="b">
        <f>AND(tblMatriculas[[#This Row],[Estado]]="activa",ISNUMBER(tblMatriculas[[#This Row],[% asistencia]]),NOT(ISNUMBER(SEARCH(pPrueba,tblMatriculas[[#This Row],[Nombre]]))))</f>
        <v>1</v>
      </c>
      <c r="R9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59" s="23" t="str" cm="1">
        <f t="array" ref="S9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59" s="23" t="str" cm="1">
        <f t="array" ref="T9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59" s="14" t="str" cm="1">
        <f t="array" ref="U9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59" t="str" cm="1">
        <f t="array" ref="V9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59" t="str" cm="1">
        <f t="array" ref="W9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59" t="str">
        <f>IF(COUNTIFS('Base Estudiantes'!$C:$C,tblMatriculas[[#This Row],[Cédula]],'Base Estudiantes'!$I:$I,tblMatriculas[[#This Row],[Código]])&gt;0,"Sí","No")</f>
        <v>Sí</v>
      </c>
      <c r="Z959" s="23" cm="1">
        <f t="array" ref="Z959">_xlfn.XLOOKUP(tblMatriculas[[#This Row],[Cédula]]&amp;"|"&amp;tblMatriculas[[#This Row],[Código]],tblBase[Documento]&amp;"|"&amp;tblBase[Código grupo],tblBase[Fecha matrícula],"")</f>
        <v>46263</v>
      </c>
    </row>
    <row r="960" spans="1:26" x14ac:dyDescent="0.2">
      <c r="A960" t="s">
        <v>2058</v>
      </c>
      <c r="B960" t="s">
        <v>2059</v>
      </c>
      <c r="C960" t="s">
        <v>13</v>
      </c>
      <c r="D960" t="s">
        <v>1965</v>
      </c>
      <c r="E960" t="s">
        <v>1966</v>
      </c>
      <c r="F960" t="s">
        <v>111</v>
      </c>
      <c r="G960" s="1">
        <v>0.13300000000000001</v>
      </c>
      <c r="H960" t="s">
        <v>112</v>
      </c>
      <c r="I960" t="s">
        <v>1580</v>
      </c>
      <c r="J960" t="s">
        <v>19</v>
      </c>
      <c r="K960" t="s">
        <v>24</v>
      </c>
      <c r="L960" s="14">
        <f>IFERROR(VALUE(LEFT(tblMatriculas[[#This Row],[Clases]],FIND("/",tblMatriculas[[#This Row],[Clases]])-1)),"")</f>
        <v>4</v>
      </c>
      <c r="M960" s="14">
        <f>IFERROR(VALUE(MID(tblMatriculas[[#This Row],[Clases]],FIND("/",tblMatriculas[[#This Row],[Clases]])+1,5)),"")</f>
        <v>30</v>
      </c>
      <c r="N9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0" s="14">
        <f>IF(OR(tblMatriculas[[#This Row],[Estado]]&lt;&gt;"activa",tblMatriculas[[#This Row],[Clases dictadas]]=""),"",MAX(0,tblMatriculas[[#This Row],[Clases dictadas]]-tblMatriculas[[#This Row],[Asistidas]]))</f>
        <v>0</v>
      </c>
      <c r="P960" s="1">
        <f>IF(OR(tblMatriculas[[#This Row],[Estado]]&lt;&gt;"activa",tblMatriculas[[#This Row],[Asistidas]]=""),"",tblMatriculas[[#This Row],[Asistencia]])</f>
        <v>0.13300000000000001</v>
      </c>
      <c r="Q960" t="b">
        <f>AND(tblMatriculas[[#This Row],[Estado]]="activa",ISNUMBER(tblMatriculas[[#This Row],[% asistencia]]),NOT(ISNUMBER(SEARCH(pPrueba,tblMatriculas[[#This Row],[Nombre]]))))</f>
        <v>1</v>
      </c>
      <c r="R9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0" s="23" t="str" cm="1">
        <f t="array" ref="S9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0" s="23" t="str" cm="1">
        <f t="array" ref="T9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0" s="14" t="str" cm="1">
        <f t="array" ref="U9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0" t="str" cm="1">
        <f t="array" ref="V9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0" t="str" cm="1">
        <f t="array" ref="W9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0" t="str">
        <f>IF(COUNTIFS('Base Estudiantes'!$C:$C,tblMatriculas[[#This Row],[Cédula]],'Base Estudiantes'!$I:$I,tblMatriculas[[#This Row],[Código]])&gt;0,"Sí","No")</f>
        <v>Sí</v>
      </c>
      <c r="Z960" s="23" cm="1">
        <f t="array" ref="Z960">_xlfn.XLOOKUP(tblMatriculas[[#This Row],[Cédula]]&amp;"|"&amp;tblMatriculas[[#This Row],[Código]],tblBase[Documento]&amp;"|"&amp;tblBase[Código grupo],tblBase[Fecha matrícula],"")</f>
        <v>46263</v>
      </c>
    </row>
    <row r="961" spans="1:26" x14ac:dyDescent="0.2">
      <c r="A961" t="s">
        <v>2060</v>
      </c>
      <c r="B961" t="s">
        <v>2061</v>
      </c>
      <c r="C961" t="s">
        <v>13</v>
      </c>
      <c r="D961" t="s">
        <v>1965</v>
      </c>
      <c r="E961" t="s">
        <v>1966</v>
      </c>
      <c r="F961" t="s">
        <v>111</v>
      </c>
      <c r="G961" s="1">
        <v>0.1</v>
      </c>
      <c r="H961" t="s">
        <v>117</v>
      </c>
      <c r="I961" t="s">
        <v>1580</v>
      </c>
      <c r="J961" t="s">
        <v>19</v>
      </c>
      <c r="K961" t="s">
        <v>24</v>
      </c>
      <c r="L961" s="14">
        <f>IFERROR(VALUE(LEFT(tblMatriculas[[#This Row],[Clases]],FIND("/",tblMatriculas[[#This Row],[Clases]])-1)),"")</f>
        <v>3</v>
      </c>
      <c r="M961" s="14">
        <f>IFERROR(VALUE(MID(tblMatriculas[[#This Row],[Clases]],FIND("/",tblMatriculas[[#This Row],[Clases]])+1,5)),"")</f>
        <v>30</v>
      </c>
      <c r="N9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1" s="14">
        <f>IF(OR(tblMatriculas[[#This Row],[Estado]]&lt;&gt;"activa",tblMatriculas[[#This Row],[Clases dictadas]]=""),"",MAX(0,tblMatriculas[[#This Row],[Clases dictadas]]-tblMatriculas[[#This Row],[Asistidas]]))</f>
        <v>1</v>
      </c>
      <c r="P961" s="1">
        <f>IF(OR(tblMatriculas[[#This Row],[Estado]]&lt;&gt;"activa",tblMatriculas[[#This Row],[Asistidas]]=""),"",tblMatriculas[[#This Row],[Asistencia]])</f>
        <v>0.1</v>
      </c>
      <c r="Q961" t="b">
        <f>AND(tblMatriculas[[#This Row],[Estado]]="activa",ISNUMBER(tblMatriculas[[#This Row],[% asistencia]]),NOT(ISNUMBER(SEARCH(pPrueba,tblMatriculas[[#This Row],[Nombre]]))))</f>
        <v>1</v>
      </c>
      <c r="R9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1" s="23" t="str" cm="1">
        <f t="array" ref="S9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1" s="23" t="str" cm="1">
        <f t="array" ref="T9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1" s="14" t="str" cm="1">
        <f t="array" ref="U9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1" t="str" cm="1">
        <f t="array" ref="V9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1" t="str" cm="1">
        <f t="array" ref="W9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1" t="str">
        <f>IF(COUNTIFS('Base Estudiantes'!$C:$C,tblMatriculas[[#This Row],[Cédula]],'Base Estudiantes'!$I:$I,tblMatriculas[[#This Row],[Código]])&gt;0,"Sí","No")</f>
        <v>Sí</v>
      </c>
      <c r="Z961" s="23" cm="1">
        <f t="array" ref="Z961">_xlfn.XLOOKUP(tblMatriculas[[#This Row],[Cédula]]&amp;"|"&amp;tblMatriculas[[#This Row],[Código]],tblBase[Documento]&amp;"|"&amp;tblBase[Código grupo],tblBase[Fecha matrícula],"")</f>
        <v>46263</v>
      </c>
    </row>
    <row r="962" spans="1:26" x14ac:dyDescent="0.2">
      <c r="A962" t="s">
        <v>2062</v>
      </c>
      <c r="B962" t="s">
        <v>2063</v>
      </c>
      <c r="C962" t="s">
        <v>13</v>
      </c>
      <c r="D962" t="s">
        <v>1965</v>
      </c>
      <c r="E962" t="s">
        <v>1966</v>
      </c>
      <c r="F962" t="s">
        <v>111</v>
      </c>
      <c r="G962" s="1">
        <v>0.13300000000000001</v>
      </c>
      <c r="H962" t="s">
        <v>112</v>
      </c>
      <c r="I962" t="s">
        <v>1580</v>
      </c>
      <c r="J962" t="s">
        <v>19</v>
      </c>
      <c r="K962" t="s">
        <v>24</v>
      </c>
      <c r="L962" s="14">
        <f>IFERROR(VALUE(LEFT(tblMatriculas[[#This Row],[Clases]],FIND("/",tblMatriculas[[#This Row],[Clases]])-1)),"")</f>
        <v>4</v>
      </c>
      <c r="M962" s="14">
        <f>IFERROR(VALUE(MID(tblMatriculas[[#This Row],[Clases]],FIND("/",tblMatriculas[[#This Row],[Clases]])+1,5)),"")</f>
        <v>30</v>
      </c>
      <c r="N9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2" s="14">
        <f>IF(OR(tblMatriculas[[#This Row],[Estado]]&lt;&gt;"activa",tblMatriculas[[#This Row],[Clases dictadas]]=""),"",MAX(0,tblMatriculas[[#This Row],[Clases dictadas]]-tblMatriculas[[#This Row],[Asistidas]]))</f>
        <v>0</v>
      </c>
      <c r="P962" s="1">
        <f>IF(OR(tblMatriculas[[#This Row],[Estado]]&lt;&gt;"activa",tblMatriculas[[#This Row],[Asistidas]]=""),"",tblMatriculas[[#This Row],[Asistencia]])</f>
        <v>0.13300000000000001</v>
      </c>
      <c r="Q962" t="b">
        <f>AND(tblMatriculas[[#This Row],[Estado]]="activa",ISNUMBER(tblMatriculas[[#This Row],[% asistencia]]),NOT(ISNUMBER(SEARCH(pPrueba,tblMatriculas[[#This Row],[Nombre]]))))</f>
        <v>1</v>
      </c>
      <c r="R9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2" s="23" t="str" cm="1">
        <f t="array" ref="S9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2" s="23" t="str" cm="1">
        <f t="array" ref="T9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2" s="14" t="str" cm="1">
        <f t="array" ref="U9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2" t="str" cm="1">
        <f t="array" ref="V9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2" t="str" cm="1">
        <f t="array" ref="W9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2" t="str">
        <f>IF(COUNTIFS('Base Estudiantes'!$C:$C,tblMatriculas[[#This Row],[Cédula]],'Base Estudiantes'!$I:$I,tblMatriculas[[#This Row],[Código]])&gt;0,"Sí","No")</f>
        <v>Sí</v>
      </c>
      <c r="Z962" s="23" cm="1">
        <f t="array" ref="Z962">_xlfn.XLOOKUP(tblMatriculas[[#This Row],[Cédula]]&amp;"|"&amp;tblMatriculas[[#This Row],[Código]],tblBase[Documento]&amp;"|"&amp;tblBase[Código grupo],tblBase[Fecha matrícula],"")</f>
        <v>46263</v>
      </c>
    </row>
    <row r="963" spans="1:26" x14ac:dyDescent="0.2">
      <c r="A963" t="s">
        <v>2064</v>
      </c>
      <c r="B963" t="s">
        <v>2065</v>
      </c>
      <c r="C963" t="s">
        <v>13</v>
      </c>
      <c r="D963" t="s">
        <v>1965</v>
      </c>
      <c r="E963" t="s">
        <v>1966</v>
      </c>
      <c r="F963" t="s">
        <v>111</v>
      </c>
      <c r="G963" s="1">
        <v>3.3000000000000002E-2</v>
      </c>
      <c r="H963" t="s">
        <v>225</v>
      </c>
      <c r="I963" t="s">
        <v>1580</v>
      </c>
      <c r="J963" t="s">
        <v>19</v>
      </c>
      <c r="K963" t="s">
        <v>24</v>
      </c>
      <c r="L963" s="14">
        <f>IFERROR(VALUE(LEFT(tblMatriculas[[#This Row],[Clases]],FIND("/",tblMatriculas[[#This Row],[Clases]])-1)),"")</f>
        <v>1</v>
      </c>
      <c r="M963" s="14">
        <f>IFERROR(VALUE(MID(tblMatriculas[[#This Row],[Clases]],FIND("/",tblMatriculas[[#This Row],[Clases]])+1,5)),"")</f>
        <v>30</v>
      </c>
      <c r="N9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3" s="14">
        <f>IF(OR(tblMatriculas[[#This Row],[Estado]]&lt;&gt;"activa",tblMatriculas[[#This Row],[Clases dictadas]]=""),"",MAX(0,tblMatriculas[[#This Row],[Clases dictadas]]-tblMatriculas[[#This Row],[Asistidas]]))</f>
        <v>3</v>
      </c>
      <c r="P963" s="1">
        <f>IF(OR(tblMatriculas[[#This Row],[Estado]]&lt;&gt;"activa",tblMatriculas[[#This Row],[Asistidas]]=""),"",tblMatriculas[[#This Row],[Asistencia]])</f>
        <v>3.3000000000000002E-2</v>
      </c>
      <c r="Q963" t="b">
        <f>AND(tblMatriculas[[#This Row],[Estado]]="activa",ISNUMBER(tblMatriculas[[#This Row],[% asistencia]]),NOT(ISNUMBER(SEARCH(pPrueba,tblMatriculas[[#This Row],[Nombre]]))))</f>
        <v>1</v>
      </c>
      <c r="R9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63" s="23" t="str" cm="1">
        <f t="array" ref="S9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3" s="23" t="str" cm="1">
        <f t="array" ref="T9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3" s="14" t="str" cm="1">
        <f t="array" ref="U9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3" t="str" cm="1">
        <f t="array" ref="V9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3" t="str" cm="1">
        <f t="array" ref="W9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63" t="str">
        <f>IF(COUNTIFS('Base Estudiantes'!$C:$C,tblMatriculas[[#This Row],[Cédula]],'Base Estudiantes'!$I:$I,tblMatriculas[[#This Row],[Código]])&gt;0,"Sí","No")</f>
        <v>Sí</v>
      </c>
      <c r="Z963" s="23" cm="1">
        <f t="array" ref="Z963">_xlfn.XLOOKUP(tblMatriculas[[#This Row],[Cédula]]&amp;"|"&amp;tblMatriculas[[#This Row],[Código]],tblBase[Documento]&amp;"|"&amp;tblBase[Código grupo],tblBase[Fecha matrícula],"")</f>
        <v>46263</v>
      </c>
    </row>
    <row r="964" spans="1:26" x14ac:dyDescent="0.2">
      <c r="A964" t="s">
        <v>329</v>
      </c>
      <c r="B964" t="s">
        <v>330</v>
      </c>
      <c r="C964" t="s">
        <v>49</v>
      </c>
      <c r="D964" t="s">
        <v>1965</v>
      </c>
      <c r="E964" t="s">
        <v>1966</v>
      </c>
      <c r="F964" t="s">
        <v>111</v>
      </c>
      <c r="G964" s="1">
        <v>0.13300000000000001</v>
      </c>
      <c r="H964" t="s">
        <v>112</v>
      </c>
      <c r="I964" t="s">
        <v>1580</v>
      </c>
      <c r="J964" t="s">
        <v>19</v>
      </c>
      <c r="K964" t="s">
        <v>1989</v>
      </c>
      <c r="L964" s="14">
        <f>IFERROR(VALUE(LEFT(tblMatriculas[[#This Row],[Clases]],FIND("/",tblMatriculas[[#This Row],[Clases]])-1)),"")</f>
        <v>4</v>
      </c>
      <c r="M964" s="14">
        <f>IFERROR(VALUE(MID(tblMatriculas[[#This Row],[Clases]],FIND("/",tblMatriculas[[#This Row],[Clases]])+1,5)),"")</f>
        <v>30</v>
      </c>
      <c r="N9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4" s="14" t="str">
        <f>IF(OR(tblMatriculas[[#This Row],[Estado]]&lt;&gt;"activa",tblMatriculas[[#This Row],[Clases dictadas]]=""),"",MAX(0,tblMatriculas[[#This Row],[Clases dictadas]]-tblMatriculas[[#This Row],[Asistidas]]))</f>
        <v/>
      </c>
      <c r="P964" s="1" t="str">
        <f>IF(OR(tblMatriculas[[#This Row],[Estado]]&lt;&gt;"activa",tblMatriculas[[#This Row],[Asistidas]]=""),"",tblMatriculas[[#This Row],[Asistencia]])</f>
        <v/>
      </c>
      <c r="Q964" t="b">
        <f>AND(tblMatriculas[[#This Row],[Estado]]="activa",ISNUMBER(tblMatriculas[[#This Row],[% asistencia]]),NOT(ISNUMBER(SEARCH(pPrueba,tblMatriculas[[#This Row],[Nombre]]))))</f>
        <v>0</v>
      </c>
      <c r="R9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964" s="23" t="str" cm="1">
        <f t="array" ref="S9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4" s="23" t="str" cm="1">
        <f t="array" ref="T9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4" s="14" t="str" cm="1">
        <f t="array" ref="U9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4" t="str" cm="1">
        <f t="array" ref="V9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4" t="str" cm="1">
        <f t="array" ref="W9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4" t="str">
        <f>IF(COUNTIFS('Base Estudiantes'!$C:$C,tblMatriculas[[#This Row],[Cédula]],'Base Estudiantes'!$I:$I,tblMatriculas[[#This Row],[Código]])&gt;0,"Sí","No")</f>
        <v>No</v>
      </c>
      <c r="Z964" s="23" t="str" cm="1">
        <f t="array" ref="Z964">_xlfn.XLOOKUP(tblMatriculas[[#This Row],[Cédula]]&amp;"|"&amp;tblMatriculas[[#This Row],[Código]],tblBase[Documento]&amp;"|"&amp;tblBase[Código grupo],tblBase[Fecha matrícula],"")</f>
        <v/>
      </c>
    </row>
    <row r="965" spans="1:26" x14ac:dyDescent="0.2">
      <c r="A965" t="s">
        <v>2066</v>
      </c>
      <c r="B965" t="s">
        <v>2067</v>
      </c>
      <c r="C965" t="s">
        <v>13</v>
      </c>
      <c r="D965" t="s">
        <v>1965</v>
      </c>
      <c r="E965" t="s">
        <v>1966</v>
      </c>
      <c r="F965" t="s">
        <v>111</v>
      </c>
      <c r="G965" s="1">
        <v>0.1</v>
      </c>
      <c r="H965" t="s">
        <v>117</v>
      </c>
      <c r="I965" t="s">
        <v>1580</v>
      </c>
      <c r="J965" t="s">
        <v>19</v>
      </c>
      <c r="K965" t="s">
        <v>1585</v>
      </c>
      <c r="L965" s="14">
        <f>IFERROR(VALUE(LEFT(tblMatriculas[[#This Row],[Clases]],FIND("/",tblMatriculas[[#This Row],[Clases]])-1)),"")</f>
        <v>3</v>
      </c>
      <c r="M965" s="14">
        <f>IFERROR(VALUE(MID(tblMatriculas[[#This Row],[Clases]],FIND("/",tblMatriculas[[#This Row],[Clases]])+1,5)),"")</f>
        <v>30</v>
      </c>
      <c r="N9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965" s="14">
        <f>IF(OR(tblMatriculas[[#This Row],[Estado]]&lt;&gt;"activa",tblMatriculas[[#This Row],[Clases dictadas]]=""),"",MAX(0,tblMatriculas[[#This Row],[Clases dictadas]]-tblMatriculas[[#This Row],[Asistidas]]))</f>
        <v>1</v>
      </c>
      <c r="P965" s="1">
        <f>IF(OR(tblMatriculas[[#This Row],[Estado]]&lt;&gt;"activa",tblMatriculas[[#This Row],[Asistidas]]=""),"",tblMatriculas[[#This Row],[Asistencia]])</f>
        <v>0.1</v>
      </c>
      <c r="Q965" t="b">
        <f>AND(tblMatriculas[[#This Row],[Estado]]="activa",ISNUMBER(tblMatriculas[[#This Row],[% asistencia]]),NOT(ISNUMBER(SEARCH(pPrueba,tblMatriculas[[#This Row],[Nombre]]))))</f>
        <v>1</v>
      </c>
      <c r="R9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5" s="23" t="str" cm="1">
        <f t="array" ref="S9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5" s="23" t="str" cm="1">
        <f t="array" ref="T9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5" s="14" t="str" cm="1">
        <f t="array" ref="U9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5" t="str" cm="1">
        <f t="array" ref="V9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5" t="str" cm="1">
        <f t="array" ref="W9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5" t="str">
        <f>IF(COUNTIFS('Base Estudiantes'!$C:$C,tblMatriculas[[#This Row],[Cédula]],'Base Estudiantes'!$I:$I,tblMatriculas[[#This Row],[Código]])&gt;0,"Sí","No")</f>
        <v>Sí</v>
      </c>
      <c r="Z965" s="23" cm="1">
        <f t="array" ref="Z965">_xlfn.XLOOKUP(tblMatriculas[[#This Row],[Cédula]]&amp;"|"&amp;tblMatriculas[[#This Row],[Código]],tblBase[Documento]&amp;"|"&amp;tblBase[Código grupo],tblBase[Fecha matrícula],"")</f>
        <v>46263</v>
      </c>
    </row>
    <row r="966" spans="1:26" x14ac:dyDescent="0.2">
      <c r="A966" t="s">
        <v>2068</v>
      </c>
      <c r="B966" t="s">
        <v>2069</v>
      </c>
      <c r="C966" t="s">
        <v>13</v>
      </c>
      <c r="D966" t="s">
        <v>1965</v>
      </c>
      <c r="E966" t="s">
        <v>1966</v>
      </c>
      <c r="F966" t="s">
        <v>111</v>
      </c>
      <c r="G966" s="1">
        <v>8.3000000000000004E-2</v>
      </c>
      <c r="H966" t="s">
        <v>1867</v>
      </c>
      <c r="I966" t="s">
        <v>1580</v>
      </c>
      <c r="J966" t="s">
        <v>19</v>
      </c>
      <c r="K966" t="s">
        <v>24</v>
      </c>
      <c r="L966" s="14">
        <f>IFERROR(VALUE(LEFT(tblMatriculas[[#This Row],[Clases]],FIND("/",tblMatriculas[[#This Row],[Clases]])-1)),"")</f>
        <v>5</v>
      </c>
      <c r="M966" s="14">
        <f>IFERROR(VALUE(MID(tblMatriculas[[#This Row],[Clases]],FIND("/",tblMatriculas[[#This Row],[Clases]])+1,5)),"")</f>
        <v>60</v>
      </c>
      <c r="N9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966" s="14">
        <f>IF(OR(tblMatriculas[[#This Row],[Estado]]&lt;&gt;"activa",tblMatriculas[[#This Row],[Clases dictadas]]=""),"",MAX(0,tblMatriculas[[#This Row],[Clases dictadas]]-tblMatriculas[[#This Row],[Asistidas]]))</f>
        <v>3</v>
      </c>
      <c r="P966" s="1">
        <f>IF(OR(tblMatriculas[[#This Row],[Estado]]&lt;&gt;"activa",tblMatriculas[[#This Row],[Asistidas]]=""),"",tblMatriculas[[#This Row],[Asistencia]])</f>
        <v>8.3000000000000004E-2</v>
      </c>
      <c r="Q966" t="b">
        <f>AND(tblMatriculas[[#This Row],[Estado]]="activa",ISNUMBER(tblMatriculas[[#This Row],[% asistencia]]),NOT(ISNUMBER(SEARCH(pPrueba,tblMatriculas[[#This Row],[Nombre]]))))</f>
        <v>1</v>
      </c>
      <c r="R9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6" s="23" t="str" cm="1">
        <f t="array" ref="S9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6" s="23" t="str" cm="1">
        <f t="array" ref="T9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6" s="14" t="str" cm="1">
        <f t="array" ref="U9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6" t="str" cm="1">
        <f t="array" ref="V9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6" t="str" cm="1">
        <f t="array" ref="W9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6" t="str">
        <f>IF(COUNTIFS('Base Estudiantes'!$C:$C,tblMatriculas[[#This Row],[Cédula]],'Base Estudiantes'!$I:$I,tblMatriculas[[#This Row],[Código]])&gt;0,"Sí","No")</f>
        <v>Sí</v>
      </c>
      <c r="Z966" s="23" cm="1">
        <f t="array" ref="Z966">_xlfn.XLOOKUP(tblMatriculas[[#This Row],[Cédula]]&amp;"|"&amp;tblMatriculas[[#This Row],[Código]],tblBase[Documento]&amp;"|"&amp;tblBase[Código grupo],tblBase[Fecha matrícula],"")</f>
        <v>46268</v>
      </c>
    </row>
    <row r="967" spans="1:26" x14ac:dyDescent="0.2">
      <c r="A967" t="s">
        <v>1786</v>
      </c>
      <c r="B967" t="s">
        <v>1787</v>
      </c>
      <c r="C967" t="s">
        <v>13</v>
      </c>
      <c r="D967" t="s">
        <v>1965</v>
      </c>
      <c r="E967" t="s">
        <v>1966</v>
      </c>
      <c r="F967" t="s">
        <v>111</v>
      </c>
      <c r="G967" s="1">
        <v>0.05</v>
      </c>
      <c r="H967" t="s">
        <v>336</v>
      </c>
      <c r="I967" t="s">
        <v>1580</v>
      </c>
      <c r="J967" t="s">
        <v>19</v>
      </c>
      <c r="K967" t="s">
        <v>24</v>
      </c>
      <c r="L967" s="14">
        <f>IFERROR(VALUE(LEFT(tblMatriculas[[#This Row],[Clases]],FIND("/",tblMatriculas[[#This Row],[Clases]])-1)),"")</f>
        <v>3</v>
      </c>
      <c r="M967" s="14">
        <f>IFERROR(VALUE(MID(tblMatriculas[[#This Row],[Clases]],FIND("/",tblMatriculas[[#This Row],[Clases]])+1,5)),"")</f>
        <v>60</v>
      </c>
      <c r="N9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967" s="14">
        <f>IF(OR(tblMatriculas[[#This Row],[Estado]]&lt;&gt;"activa",tblMatriculas[[#This Row],[Clases dictadas]]=""),"",MAX(0,tblMatriculas[[#This Row],[Clases dictadas]]-tblMatriculas[[#This Row],[Asistidas]]))</f>
        <v>5</v>
      </c>
      <c r="P967" s="1">
        <f>IF(OR(tblMatriculas[[#This Row],[Estado]]&lt;&gt;"activa",tblMatriculas[[#This Row],[Asistidas]]=""),"",tblMatriculas[[#This Row],[Asistencia]])</f>
        <v>0.05</v>
      </c>
      <c r="Q967" t="b">
        <f>AND(tblMatriculas[[#This Row],[Estado]]="activa",ISNUMBER(tblMatriculas[[#This Row],[% asistencia]]),NOT(ISNUMBER(SEARCH(pPrueba,tblMatriculas[[#This Row],[Nombre]]))))</f>
        <v>1</v>
      </c>
      <c r="R9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67" s="23" t="str" cm="1">
        <f t="array" ref="S9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7" s="23" t="str" cm="1">
        <f t="array" ref="T9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7" s="14" t="str" cm="1">
        <f t="array" ref="U9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7" t="str" cm="1">
        <f t="array" ref="V9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7" t="str" cm="1">
        <f t="array" ref="W9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67" t="str">
        <f>IF(COUNTIFS('Base Estudiantes'!$C:$C,tblMatriculas[[#This Row],[Cédula]],'Base Estudiantes'!$I:$I,tblMatriculas[[#This Row],[Código]])&gt;0,"Sí","No")</f>
        <v>Sí</v>
      </c>
      <c r="Z967" s="23" cm="1">
        <f t="array" ref="Z967">_xlfn.XLOOKUP(tblMatriculas[[#This Row],[Cédula]]&amp;"|"&amp;tblMatriculas[[#This Row],[Código]],tblBase[Documento]&amp;"|"&amp;tblBase[Código grupo],tblBase[Fecha matrícula],"")</f>
        <v>46268</v>
      </c>
    </row>
    <row r="968" spans="1:26" x14ac:dyDescent="0.2">
      <c r="A968" t="s">
        <v>2070</v>
      </c>
      <c r="B968" t="s">
        <v>2071</v>
      </c>
      <c r="C968" t="s">
        <v>13</v>
      </c>
      <c r="D968" t="s">
        <v>1965</v>
      </c>
      <c r="E968" t="s">
        <v>1966</v>
      </c>
      <c r="F968" t="s">
        <v>111</v>
      </c>
      <c r="G968" s="1">
        <v>6.7000000000000004E-2</v>
      </c>
      <c r="H968" t="s">
        <v>2072</v>
      </c>
      <c r="I968" t="s">
        <v>1580</v>
      </c>
      <c r="J968" t="s">
        <v>19</v>
      </c>
      <c r="K968" t="s">
        <v>24</v>
      </c>
      <c r="L968" s="14">
        <f>IFERROR(VALUE(LEFT(tblMatriculas[[#This Row],[Clases]],FIND("/",tblMatriculas[[#This Row],[Clases]])-1)),"")</f>
        <v>4</v>
      </c>
      <c r="M968" s="14">
        <f>IFERROR(VALUE(MID(tblMatriculas[[#This Row],[Clases]],FIND("/",tblMatriculas[[#This Row],[Clases]])+1,5)),"")</f>
        <v>60</v>
      </c>
      <c r="N9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968" s="14">
        <f>IF(OR(tblMatriculas[[#This Row],[Estado]]&lt;&gt;"activa",tblMatriculas[[#This Row],[Clases dictadas]]=""),"",MAX(0,tblMatriculas[[#This Row],[Clases dictadas]]-tblMatriculas[[#This Row],[Asistidas]]))</f>
        <v>4</v>
      </c>
      <c r="P968" s="1">
        <f>IF(OR(tblMatriculas[[#This Row],[Estado]]&lt;&gt;"activa",tblMatriculas[[#This Row],[Asistidas]]=""),"",tblMatriculas[[#This Row],[Asistencia]])</f>
        <v>6.7000000000000004E-2</v>
      </c>
      <c r="Q968" t="b">
        <f>AND(tblMatriculas[[#This Row],[Estado]]="activa",ISNUMBER(tblMatriculas[[#This Row],[% asistencia]]),NOT(ISNUMBER(SEARCH(pPrueba,tblMatriculas[[#This Row],[Nombre]]))))</f>
        <v>1</v>
      </c>
      <c r="R9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68" s="23" t="str" cm="1">
        <f t="array" ref="S9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8" s="23" t="str" cm="1">
        <f t="array" ref="T9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8" s="14" t="str" cm="1">
        <f t="array" ref="U9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8" t="str" cm="1">
        <f t="array" ref="V9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8" t="str" cm="1">
        <f t="array" ref="W9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68" t="str">
        <f>IF(COUNTIFS('Base Estudiantes'!$C:$C,tblMatriculas[[#This Row],[Cédula]],'Base Estudiantes'!$I:$I,tblMatriculas[[#This Row],[Código]])&gt;0,"Sí","No")</f>
        <v>Sí</v>
      </c>
      <c r="Z968" s="23" cm="1">
        <f t="array" ref="Z968">_xlfn.XLOOKUP(tblMatriculas[[#This Row],[Cédula]]&amp;"|"&amp;tblMatriculas[[#This Row],[Código]],tblBase[Documento]&amp;"|"&amp;tblBase[Código grupo],tblBase[Fecha matrícula],"")</f>
        <v>46273</v>
      </c>
    </row>
    <row r="969" spans="1:26" x14ac:dyDescent="0.2">
      <c r="A969" t="s">
        <v>2073</v>
      </c>
      <c r="B969" t="s">
        <v>2074</v>
      </c>
      <c r="C969" t="s">
        <v>13</v>
      </c>
      <c r="D969" t="s">
        <v>2075</v>
      </c>
      <c r="E969" t="s">
        <v>2076</v>
      </c>
      <c r="F969" t="s">
        <v>111</v>
      </c>
      <c r="G969" s="1">
        <v>0.16699999999999998</v>
      </c>
      <c r="H969" t="s">
        <v>229</v>
      </c>
      <c r="I969" t="s">
        <v>1580</v>
      </c>
      <c r="J969" t="s">
        <v>2077</v>
      </c>
      <c r="K969" t="s">
        <v>2078</v>
      </c>
      <c r="L969" s="14">
        <f>IFERROR(VALUE(LEFT(tblMatriculas[[#This Row],[Clases]],FIND("/",tblMatriculas[[#This Row],[Clases]])-1)),"")</f>
        <v>5</v>
      </c>
      <c r="M969" s="14">
        <f>IFERROR(VALUE(MID(tblMatriculas[[#This Row],[Clases]],FIND("/",tblMatriculas[[#This Row],[Clases]])+1,5)),"")</f>
        <v>30</v>
      </c>
      <c r="N9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69" s="14">
        <f>IF(OR(tblMatriculas[[#This Row],[Estado]]&lt;&gt;"activa",tblMatriculas[[#This Row],[Clases dictadas]]=""),"",MAX(0,tblMatriculas[[#This Row],[Clases dictadas]]-tblMatriculas[[#This Row],[Asistidas]]))</f>
        <v>1</v>
      </c>
      <c r="P969" s="1">
        <f>IF(OR(tblMatriculas[[#This Row],[Estado]]&lt;&gt;"activa",tblMatriculas[[#This Row],[Asistidas]]=""),"",tblMatriculas[[#This Row],[Asistencia]])</f>
        <v>0.16699999999999998</v>
      </c>
      <c r="Q969" t="b">
        <f>AND(tblMatriculas[[#This Row],[Estado]]="activa",ISNUMBER(tblMatriculas[[#This Row],[% asistencia]]),NOT(ISNUMBER(SEARCH(pPrueba,tblMatriculas[[#This Row],[Nombre]]))))</f>
        <v>1</v>
      </c>
      <c r="R9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69" s="23" t="str" cm="1">
        <f t="array" ref="S9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69" s="23" t="str" cm="1">
        <f t="array" ref="T9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69" s="14" t="str" cm="1">
        <f t="array" ref="U9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69" t="str" cm="1">
        <f t="array" ref="V9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69" t="str" cm="1">
        <f t="array" ref="W9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69" t="str">
        <f>IF(COUNTIFS('Base Estudiantes'!$C:$C,tblMatriculas[[#This Row],[Cédula]],'Base Estudiantes'!$I:$I,tblMatriculas[[#This Row],[Código]])&gt;0,"Sí","No")</f>
        <v>Sí</v>
      </c>
      <c r="Z969" s="23" cm="1">
        <f t="array" ref="Z969">_xlfn.XLOOKUP(tblMatriculas[[#This Row],[Cédula]]&amp;"|"&amp;tblMatriculas[[#This Row],[Código]],tblBase[Documento]&amp;"|"&amp;tblBase[Código grupo],tblBase[Fecha matrícula],"")</f>
        <v>46263</v>
      </c>
    </row>
    <row r="970" spans="1:26" x14ac:dyDescent="0.2">
      <c r="A970" t="s">
        <v>2079</v>
      </c>
      <c r="B970" t="s">
        <v>2080</v>
      </c>
      <c r="C970" t="s">
        <v>13</v>
      </c>
      <c r="D970" t="s">
        <v>2075</v>
      </c>
      <c r="E970" t="s">
        <v>2076</v>
      </c>
      <c r="F970" t="s">
        <v>111</v>
      </c>
      <c r="G970" s="1">
        <v>0.2</v>
      </c>
      <c r="H970" t="s">
        <v>232</v>
      </c>
      <c r="I970" t="s">
        <v>1580</v>
      </c>
      <c r="J970" t="s">
        <v>2077</v>
      </c>
      <c r="K970" t="s">
        <v>1864</v>
      </c>
      <c r="L970" s="14">
        <f>IFERROR(VALUE(LEFT(tblMatriculas[[#This Row],[Clases]],FIND("/",tblMatriculas[[#This Row],[Clases]])-1)),"")</f>
        <v>6</v>
      </c>
      <c r="M970" s="14">
        <f>IFERROR(VALUE(MID(tblMatriculas[[#This Row],[Clases]],FIND("/",tblMatriculas[[#This Row],[Clases]])+1,5)),"")</f>
        <v>30</v>
      </c>
      <c r="N9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0" s="14">
        <f>IF(OR(tblMatriculas[[#This Row],[Estado]]&lt;&gt;"activa",tblMatriculas[[#This Row],[Clases dictadas]]=""),"",MAX(0,tblMatriculas[[#This Row],[Clases dictadas]]-tblMatriculas[[#This Row],[Asistidas]]))</f>
        <v>0</v>
      </c>
      <c r="P970" s="1">
        <f>IF(OR(tblMatriculas[[#This Row],[Estado]]&lt;&gt;"activa",tblMatriculas[[#This Row],[Asistidas]]=""),"",tblMatriculas[[#This Row],[Asistencia]])</f>
        <v>0.2</v>
      </c>
      <c r="Q970" t="b">
        <f>AND(tblMatriculas[[#This Row],[Estado]]="activa",ISNUMBER(tblMatriculas[[#This Row],[% asistencia]]),NOT(ISNUMBER(SEARCH(pPrueba,tblMatriculas[[#This Row],[Nombre]]))))</f>
        <v>1</v>
      </c>
      <c r="R9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0" s="23" t="str" cm="1">
        <f t="array" ref="S9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0" s="23" t="str" cm="1">
        <f t="array" ref="T9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0" s="14" t="str" cm="1">
        <f t="array" ref="U9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0" t="str" cm="1">
        <f t="array" ref="V9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0" t="str" cm="1">
        <f t="array" ref="W9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0" t="str">
        <f>IF(COUNTIFS('Base Estudiantes'!$C:$C,tblMatriculas[[#This Row],[Cédula]],'Base Estudiantes'!$I:$I,tblMatriculas[[#This Row],[Código]])&gt;0,"Sí","No")</f>
        <v>Sí</v>
      </c>
      <c r="Z970" s="23" cm="1">
        <f t="array" ref="Z970">_xlfn.XLOOKUP(tblMatriculas[[#This Row],[Cédula]]&amp;"|"&amp;tblMatriculas[[#This Row],[Código]],tblBase[Documento]&amp;"|"&amp;tblBase[Código grupo],tblBase[Fecha matrícula],"")</f>
        <v>46263</v>
      </c>
    </row>
    <row r="971" spans="1:26" x14ac:dyDescent="0.2">
      <c r="A971" t="s">
        <v>2081</v>
      </c>
      <c r="B971" t="s">
        <v>2082</v>
      </c>
      <c r="C971" t="s">
        <v>13</v>
      </c>
      <c r="D971" t="s">
        <v>2075</v>
      </c>
      <c r="E971" t="s">
        <v>2076</v>
      </c>
      <c r="F971" t="s">
        <v>111</v>
      </c>
      <c r="G971" s="1">
        <v>0.13300000000000001</v>
      </c>
      <c r="H971" t="s">
        <v>112</v>
      </c>
      <c r="I971" t="s">
        <v>1580</v>
      </c>
      <c r="J971" t="s">
        <v>2077</v>
      </c>
      <c r="K971" t="s">
        <v>1864</v>
      </c>
      <c r="L971" s="14">
        <f>IFERROR(VALUE(LEFT(tblMatriculas[[#This Row],[Clases]],FIND("/",tblMatriculas[[#This Row],[Clases]])-1)),"")</f>
        <v>4</v>
      </c>
      <c r="M971" s="14">
        <f>IFERROR(VALUE(MID(tblMatriculas[[#This Row],[Clases]],FIND("/",tblMatriculas[[#This Row],[Clases]])+1,5)),"")</f>
        <v>30</v>
      </c>
      <c r="N9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1" s="14">
        <f>IF(OR(tblMatriculas[[#This Row],[Estado]]&lt;&gt;"activa",tblMatriculas[[#This Row],[Clases dictadas]]=""),"",MAX(0,tblMatriculas[[#This Row],[Clases dictadas]]-tblMatriculas[[#This Row],[Asistidas]]))</f>
        <v>2</v>
      </c>
      <c r="P971" s="1">
        <f>IF(OR(tblMatriculas[[#This Row],[Estado]]&lt;&gt;"activa",tblMatriculas[[#This Row],[Asistidas]]=""),"",tblMatriculas[[#This Row],[Asistencia]])</f>
        <v>0.13300000000000001</v>
      </c>
      <c r="Q971" t="b">
        <f>AND(tblMatriculas[[#This Row],[Estado]]="activa",ISNUMBER(tblMatriculas[[#This Row],[% asistencia]]),NOT(ISNUMBER(SEARCH(pPrueba,tblMatriculas[[#This Row],[Nombre]]))))</f>
        <v>1</v>
      </c>
      <c r="R9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1" s="23" t="str" cm="1">
        <f t="array" ref="S9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1" s="23" t="str" cm="1">
        <f t="array" ref="T9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1" s="14" t="str" cm="1">
        <f t="array" ref="U9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1" t="str" cm="1">
        <f t="array" ref="V9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1" t="str" cm="1">
        <f t="array" ref="W9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1" t="str">
        <f>IF(COUNTIFS('Base Estudiantes'!$C:$C,tblMatriculas[[#This Row],[Cédula]],'Base Estudiantes'!$I:$I,tblMatriculas[[#This Row],[Código]])&gt;0,"Sí","No")</f>
        <v>Sí</v>
      </c>
      <c r="Z971" s="23" cm="1">
        <f t="array" ref="Z971">_xlfn.XLOOKUP(tblMatriculas[[#This Row],[Cédula]]&amp;"|"&amp;tblMatriculas[[#This Row],[Código]],tblBase[Documento]&amp;"|"&amp;tblBase[Código grupo],tblBase[Fecha matrícula],"")</f>
        <v>46263</v>
      </c>
    </row>
    <row r="972" spans="1:26" x14ac:dyDescent="0.2">
      <c r="A972" t="s">
        <v>2083</v>
      </c>
      <c r="B972" t="s">
        <v>2084</v>
      </c>
      <c r="C972" t="s">
        <v>13</v>
      </c>
      <c r="D972" t="s">
        <v>2075</v>
      </c>
      <c r="E972" t="s">
        <v>2076</v>
      </c>
      <c r="F972" t="s">
        <v>111</v>
      </c>
      <c r="G972" s="1">
        <v>0.16699999999999998</v>
      </c>
      <c r="H972" t="s">
        <v>229</v>
      </c>
      <c r="I972" t="s">
        <v>1580</v>
      </c>
      <c r="J972" t="s">
        <v>2077</v>
      </c>
      <c r="K972" t="s">
        <v>1864</v>
      </c>
      <c r="L972" s="14">
        <f>IFERROR(VALUE(LEFT(tblMatriculas[[#This Row],[Clases]],FIND("/",tblMatriculas[[#This Row],[Clases]])-1)),"")</f>
        <v>5</v>
      </c>
      <c r="M972" s="14">
        <f>IFERROR(VALUE(MID(tblMatriculas[[#This Row],[Clases]],FIND("/",tblMatriculas[[#This Row],[Clases]])+1,5)),"")</f>
        <v>30</v>
      </c>
      <c r="N9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2" s="14">
        <f>IF(OR(tblMatriculas[[#This Row],[Estado]]&lt;&gt;"activa",tblMatriculas[[#This Row],[Clases dictadas]]=""),"",MAX(0,tblMatriculas[[#This Row],[Clases dictadas]]-tblMatriculas[[#This Row],[Asistidas]]))</f>
        <v>1</v>
      </c>
      <c r="P972" s="1">
        <f>IF(OR(tblMatriculas[[#This Row],[Estado]]&lt;&gt;"activa",tblMatriculas[[#This Row],[Asistidas]]=""),"",tblMatriculas[[#This Row],[Asistencia]])</f>
        <v>0.16699999999999998</v>
      </c>
      <c r="Q972" t="b">
        <f>AND(tblMatriculas[[#This Row],[Estado]]="activa",ISNUMBER(tblMatriculas[[#This Row],[% asistencia]]),NOT(ISNUMBER(SEARCH(pPrueba,tblMatriculas[[#This Row],[Nombre]]))))</f>
        <v>1</v>
      </c>
      <c r="R9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2" s="23" t="str" cm="1">
        <f t="array" ref="S9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2" s="23" t="str" cm="1">
        <f t="array" ref="T9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2" s="14" t="str" cm="1">
        <f t="array" ref="U9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2" t="str" cm="1">
        <f t="array" ref="V9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2" t="str" cm="1">
        <f t="array" ref="W9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2" t="str">
        <f>IF(COUNTIFS('Base Estudiantes'!$C:$C,tblMatriculas[[#This Row],[Cédula]],'Base Estudiantes'!$I:$I,tblMatriculas[[#This Row],[Código]])&gt;0,"Sí","No")</f>
        <v>Sí</v>
      </c>
      <c r="Z972" s="23" cm="1">
        <f t="array" ref="Z972">_xlfn.XLOOKUP(tblMatriculas[[#This Row],[Cédula]]&amp;"|"&amp;tblMatriculas[[#This Row],[Código]],tblBase[Documento]&amp;"|"&amp;tblBase[Código grupo],tblBase[Fecha matrícula],"")</f>
        <v>46263</v>
      </c>
    </row>
    <row r="973" spans="1:26" x14ac:dyDescent="0.2">
      <c r="A973" t="s">
        <v>2085</v>
      </c>
      <c r="B973" t="s">
        <v>2086</v>
      </c>
      <c r="C973" t="s">
        <v>13</v>
      </c>
      <c r="D973" t="s">
        <v>2075</v>
      </c>
      <c r="E973" t="s">
        <v>2076</v>
      </c>
      <c r="F973" t="s">
        <v>111</v>
      </c>
      <c r="G973" s="1">
        <v>0.2</v>
      </c>
      <c r="H973" t="s">
        <v>232</v>
      </c>
      <c r="I973" t="s">
        <v>1580</v>
      </c>
      <c r="J973" t="s">
        <v>2077</v>
      </c>
      <c r="K973" t="s">
        <v>1864</v>
      </c>
      <c r="L973" s="14">
        <f>IFERROR(VALUE(LEFT(tblMatriculas[[#This Row],[Clases]],FIND("/",tblMatriculas[[#This Row],[Clases]])-1)),"")</f>
        <v>6</v>
      </c>
      <c r="M973" s="14">
        <f>IFERROR(VALUE(MID(tblMatriculas[[#This Row],[Clases]],FIND("/",tblMatriculas[[#This Row],[Clases]])+1,5)),"")</f>
        <v>30</v>
      </c>
      <c r="N9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3" s="14">
        <f>IF(OR(tblMatriculas[[#This Row],[Estado]]&lt;&gt;"activa",tblMatriculas[[#This Row],[Clases dictadas]]=""),"",MAX(0,tblMatriculas[[#This Row],[Clases dictadas]]-tblMatriculas[[#This Row],[Asistidas]]))</f>
        <v>0</v>
      </c>
      <c r="P973" s="1">
        <f>IF(OR(tblMatriculas[[#This Row],[Estado]]&lt;&gt;"activa",tblMatriculas[[#This Row],[Asistidas]]=""),"",tblMatriculas[[#This Row],[Asistencia]])</f>
        <v>0.2</v>
      </c>
      <c r="Q973" t="b">
        <f>AND(tblMatriculas[[#This Row],[Estado]]="activa",ISNUMBER(tblMatriculas[[#This Row],[% asistencia]]),NOT(ISNUMBER(SEARCH(pPrueba,tblMatriculas[[#This Row],[Nombre]]))))</f>
        <v>1</v>
      </c>
      <c r="R9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3" s="23" t="str" cm="1">
        <f t="array" ref="S9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3" s="23" t="str" cm="1">
        <f t="array" ref="T9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3" s="14" t="str" cm="1">
        <f t="array" ref="U9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3" t="str" cm="1">
        <f t="array" ref="V9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3" t="str" cm="1">
        <f t="array" ref="W9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3" t="str">
        <f>IF(COUNTIFS('Base Estudiantes'!$C:$C,tblMatriculas[[#This Row],[Cédula]],'Base Estudiantes'!$I:$I,tblMatriculas[[#This Row],[Código]])&gt;0,"Sí","No")</f>
        <v>Sí</v>
      </c>
      <c r="Z973" s="23" cm="1">
        <f t="array" ref="Z973">_xlfn.XLOOKUP(tblMatriculas[[#This Row],[Cédula]]&amp;"|"&amp;tblMatriculas[[#This Row],[Código]],tblBase[Documento]&amp;"|"&amp;tblBase[Código grupo],tblBase[Fecha matrícula],"")</f>
        <v>46263</v>
      </c>
    </row>
    <row r="974" spans="1:26" x14ac:dyDescent="0.2">
      <c r="A974" t="s">
        <v>2087</v>
      </c>
      <c r="B974" t="s">
        <v>2088</v>
      </c>
      <c r="C974" t="s">
        <v>13</v>
      </c>
      <c r="D974" t="s">
        <v>2075</v>
      </c>
      <c r="E974" t="s">
        <v>2076</v>
      </c>
      <c r="F974" t="s">
        <v>111</v>
      </c>
      <c r="G974" s="1">
        <v>0.13300000000000001</v>
      </c>
      <c r="H974" t="s">
        <v>112</v>
      </c>
      <c r="I974" t="s">
        <v>1580</v>
      </c>
      <c r="J974" t="s">
        <v>2077</v>
      </c>
      <c r="K974" t="s">
        <v>1715</v>
      </c>
      <c r="L974" s="14">
        <f>IFERROR(VALUE(LEFT(tblMatriculas[[#This Row],[Clases]],FIND("/",tblMatriculas[[#This Row],[Clases]])-1)),"")</f>
        <v>4</v>
      </c>
      <c r="M974" s="14">
        <f>IFERROR(VALUE(MID(tblMatriculas[[#This Row],[Clases]],FIND("/",tblMatriculas[[#This Row],[Clases]])+1,5)),"")</f>
        <v>30</v>
      </c>
      <c r="N9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4" s="14">
        <f>IF(OR(tblMatriculas[[#This Row],[Estado]]&lt;&gt;"activa",tblMatriculas[[#This Row],[Clases dictadas]]=""),"",MAX(0,tblMatriculas[[#This Row],[Clases dictadas]]-tblMatriculas[[#This Row],[Asistidas]]))</f>
        <v>2</v>
      </c>
      <c r="P974" s="1">
        <f>IF(OR(tblMatriculas[[#This Row],[Estado]]&lt;&gt;"activa",tblMatriculas[[#This Row],[Asistidas]]=""),"",tblMatriculas[[#This Row],[Asistencia]])</f>
        <v>0.13300000000000001</v>
      </c>
      <c r="Q974" t="b">
        <f>AND(tblMatriculas[[#This Row],[Estado]]="activa",ISNUMBER(tblMatriculas[[#This Row],[% asistencia]]),NOT(ISNUMBER(SEARCH(pPrueba,tblMatriculas[[#This Row],[Nombre]]))))</f>
        <v>1</v>
      </c>
      <c r="R9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4" s="23" t="str" cm="1">
        <f t="array" ref="S9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4" s="23" t="str" cm="1">
        <f t="array" ref="T9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4" s="14" t="str" cm="1">
        <f t="array" ref="U9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4" t="str" cm="1">
        <f t="array" ref="V9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4" t="str" cm="1">
        <f t="array" ref="W9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4" t="str">
        <f>IF(COUNTIFS('Base Estudiantes'!$C:$C,tblMatriculas[[#This Row],[Cédula]],'Base Estudiantes'!$I:$I,tblMatriculas[[#This Row],[Código]])&gt;0,"Sí","No")</f>
        <v>Sí</v>
      </c>
      <c r="Z974" s="23" cm="1">
        <f t="array" ref="Z974">_xlfn.XLOOKUP(tblMatriculas[[#This Row],[Cédula]]&amp;"|"&amp;tblMatriculas[[#This Row],[Código]],tblBase[Documento]&amp;"|"&amp;tblBase[Código grupo],tblBase[Fecha matrícula],"")</f>
        <v>46263</v>
      </c>
    </row>
    <row r="975" spans="1:26" x14ac:dyDescent="0.2">
      <c r="A975" t="s">
        <v>2089</v>
      </c>
      <c r="B975" t="s">
        <v>2090</v>
      </c>
      <c r="C975" t="s">
        <v>13</v>
      </c>
      <c r="D975" t="s">
        <v>2075</v>
      </c>
      <c r="E975" t="s">
        <v>2076</v>
      </c>
      <c r="F975" t="s">
        <v>111</v>
      </c>
      <c r="G975" s="1">
        <v>0.16699999999999998</v>
      </c>
      <c r="H975" t="s">
        <v>229</v>
      </c>
      <c r="I975" t="s">
        <v>1580</v>
      </c>
      <c r="J975" t="s">
        <v>2077</v>
      </c>
      <c r="K975" t="s">
        <v>1715</v>
      </c>
      <c r="L975" s="14">
        <f>IFERROR(VALUE(LEFT(tblMatriculas[[#This Row],[Clases]],FIND("/",tblMatriculas[[#This Row],[Clases]])-1)),"")</f>
        <v>5</v>
      </c>
      <c r="M975" s="14">
        <f>IFERROR(VALUE(MID(tblMatriculas[[#This Row],[Clases]],FIND("/",tblMatriculas[[#This Row],[Clases]])+1,5)),"")</f>
        <v>30</v>
      </c>
      <c r="N9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5" s="14">
        <f>IF(OR(tblMatriculas[[#This Row],[Estado]]&lt;&gt;"activa",tblMatriculas[[#This Row],[Clases dictadas]]=""),"",MAX(0,tblMatriculas[[#This Row],[Clases dictadas]]-tblMatriculas[[#This Row],[Asistidas]]))</f>
        <v>1</v>
      </c>
      <c r="P975" s="1">
        <f>IF(OR(tblMatriculas[[#This Row],[Estado]]&lt;&gt;"activa",tblMatriculas[[#This Row],[Asistidas]]=""),"",tblMatriculas[[#This Row],[Asistencia]])</f>
        <v>0.16699999999999998</v>
      </c>
      <c r="Q975" t="b">
        <f>AND(tblMatriculas[[#This Row],[Estado]]="activa",ISNUMBER(tblMatriculas[[#This Row],[% asistencia]]),NOT(ISNUMBER(SEARCH(pPrueba,tblMatriculas[[#This Row],[Nombre]]))))</f>
        <v>1</v>
      </c>
      <c r="R9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5" s="23" t="str" cm="1">
        <f t="array" ref="S9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5" s="23" t="str" cm="1">
        <f t="array" ref="T9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5" s="14" t="str" cm="1">
        <f t="array" ref="U9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5" t="str" cm="1">
        <f t="array" ref="V9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5" t="str" cm="1">
        <f t="array" ref="W9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5" t="str">
        <f>IF(COUNTIFS('Base Estudiantes'!$C:$C,tblMatriculas[[#This Row],[Cédula]],'Base Estudiantes'!$I:$I,tblMatriculas[[#This Row],[Código]])&gt;0,"Sí","No")</f>
        <v>Sí</v>
      </c>
      <c r="Z975" s="23" cm="1">
        <f t="array" ref="Z975">_xlfn.XLOOKUP(tblMatriculas[[#This Row],[Cédula]]&amp;"|"&amp;tblMatriculas[[#This Row],[Código]],tblBase[Documento]&amp;"|"&amp;tblBase[Código grupo],tblBase[Fecha matrícula],"")</f>
        <v>46263</v>
      </c>
    </row>
    <row r="976" spans="1:26" x14ac:dyDescent="0.2">
      <c r="A976" t="s">
        <v>2091</v>
      </c>
      <c r="B976" t="s">
        <v>2092</v>
      </c>
      <c r="C976" t="s">
        <v>13</v>
      </c>
      <c r="D976" t="s">
        <v>2075</v>
      </c>
      <c r="E976" t="s">
        <v>2076</v>
      </c>
      <c r="F976" t="s">
        <v>111</v>
      </c>
      <c r="G976" s="1">
        <v>3.3000000000000002E-2</v>
      </c>
      <c r="H976" t="s">
        <v>225</v>
      </c>
      <c r="I976" t="s">
        <v>1580</v>
      </c>
      <c r="J976" t="s">
        <v>2077</v>
      </c>
      <c r="K976" t="s">
        <v>1992</v>
      </c>
      <c r="L976" s="14">
        <f>IFERROR(VALUE(LEFT(tblMatriculas[[#This Row],[Clases]],FIND("/",tblMatriculas[[#This Row],[Clases]])-1)),"")</f>
        <v>1</v>
      </c>
      <c r="M976" s="14">
        <f>IFERROR(VALUE(MID(tblMatriculas[[#This Row],[Clases]],FIND("/",tblMatriculas[[#This Row],[Clases]])+1,5)),"")</f>
        <v>30</v>
      </c>
      <c r="N9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6" s="14">
        <f>IF(OR(tblMatriculas[[#This Row],[Estado]]&lt;&gt;"activa",tblMatriculas[[#This Row],[Clases dictadas]]=""),"",MAX(0,tblMatriculas[[#This Row],[Clases dictadas]]-tblMatriculas[[#This Row],[Asistidas]]))</f>
        <v>5</v>
      </c>
      <c r="P976" s="1">
        <f>IF(OR(tblMatriculas[[#This Row],[Estado]]&lt;&gt;"activa",tblMatriculas[[#This Row],[Asistidas]]=""),"",tblMatriculas[[#This Row],[Asistencia]])</f>
        <v>3.3000000000000002E-2</v>
      </c>
      <c r="Q976" t="b">
        <f>AND(tblMatriculas[[#This Row],[Estado]]="activa",ISNUMBER(tblMatriculas[[#This Row],[% asistencia]]),NOT(ISNUMBER(SEARCH(pPrueba,tblMatriculas[[#This Row],[Nombre]]))))</f>
        <v>1</v>
      </c>
      <c r="R9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76" s="23" t="str" cm="1">
        <f t="array" ref="S9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6" s="23" t="str" cm="1">
        <f t="array" ref="T9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6" s="14" t="str" cm="1">
        <f t="array" ref="U9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6" t="str" cm="1">
        <f t="array" ref="V9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6" t="str" cm="1">
        <f t="array" ref="W9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76" t="str">
        <f>IF(COUNTIFS('Base Estudiantes'!$C:$C,tblMatriculas[[#This Row],[Cédula]],'Base Estudiantes'!$I:$I,tblMatriculas[[#This Row],[Código]])&gt;0,"Sí","No")</f>
        <v>Sí</v>
      </c>
      <c r="Z976" s="23" cm="1">
        <f t="array" ref="Z976">_xlfn.XLOOKUP(tblMatriculas[[#This Row],[Cédula]]&amp;"|"&amp;tblMatriculas[[#This Row],[Código]],tblBase[Documento]&amp;"|"&amp;tblBase[Código grupo],tblBase[Fecha matrícula],"")</f>
        <v>46263</v>
      </c>
    </row>
    <row r="977" spans="1:26" x14ac:dyDescent="0.2">
      <c r="A977" t="s">
        <v>2093</v>
      </c>
      <c r="B977" t="s">
        <v>2094</v>
      </c>
      <c r="C977" t="s">
        <v>13</v>
      </c>
      <c r="D977" t="s">
        <v>2075</v>
      </c>
      <c r="E977" t="s">
        <v>2076</v>
      </c>
      <c r="F977" t="s">
        <v>111</v>
      </c>
      <c r="G977" s="1">
        <v>0.2</v>
      </c>
      <c r="H977" t="s">
        <v>232</v>
      </c>
      <c r="I977" t="s">
        <v>1580</v>
      </c>
      <c r="J977" t="s">
        <v>2077</v>
      </c>
      <c r="K977" t="s">
        <v>1992</v>
      </c>
      <c r="L977" s="14">
        <f>IFERROR(VALUE(LEFT(tblMatriculas[[#This Row],[Clases]],FIND("/",tblMatriculas[[#This Row],[Clases]])-1)),"")</f>
        <v>6</v>
      </c>
      <c r="M977" s="14">
        <f>IFERROR(VALUE(MID(tblMatriculas[[#This Row],[Clases]],FIND("/",tblMatriculas[[#This Row],[Clases]])+1,5)),"")</f>
        <v>30</v>
      </c>
      <c r="N9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7" s="14">
        <f>IF(OR(tblMatriculas[[#This Row],[Estado]]&lt;&gt;"activa",tblMatriculas[[#This Row],[Clases dictadas]]=""),"",MAX(0,tblMatriculas[[#This Row],[Clases dictadas]]-tblMatriculas[[#This Row],[Asistidas]]))</f>
        <v>0</v>
      </c>
      <c r="P977" s="1">
        <f>IF(OR(tblMatriculas[[#This Row],[Estado]]&lt;&gt;"activa",tblMatriculas[[#This Row],[Asistidas]]=""),"",tblMatriculas[[#This Row],[Asistencia]])</f>
        <v>0.2</v>
      </c>
      <c r="Q977" t="b">
        <f>AND(tblMatriculas[[#This Row],[Estado]]="activa",ISNUMBER(tblMatriculas[[#This Row],[% asistencia]]),NOT(ISNUMBER(SEARCH(pPrueba,tblMatriculas[[#This Row],[Nombre]]))))</f>
        <v>1</v>
      </c>
      <c r="R9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7" s="23" t="str" cm="1">
        <f t="array" ref="S9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7" s="23" t="str" cm="1">
        <f t="array" ref="T9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7" s="14" t="str" cm="1">
        <f t="array" ref="U9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7" t="str" cm="1">
        <f t="array" ref="V9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7" t="str" cm="1">
        <f t="array" ref="W9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7" t="str">
        <f>IF(COUNTIFS('Base Estudiantes'!$C:$C,tblMatriculas[[#This Row],[Cédula]],'Base Estudiantes'!$I:$I,tblMatriculas[[#This Row],[Código]])&gt;0,"Sí","No")</f>
        <v>Sí</v>
      </c>
      <c r="Z977" s="23" cm="1">
        <f t="array" ref="Z977">_xlfn.XLOOKUP(tblMatriculas[[#This Row],[Cédula]]&amp;"|"&amp;tblMatriculas[[#This Row],[Código]],tblBase[Documento]&amp;"|"&amp;tblBase[Código grupo],tblBase[Fecha matrícula],"")</f>
        <v>46263</v>
      </c>
    </row>
    <row r="978" spans="1:26" x14ac:dyDescent="0.2">
      <c r="A978" t="s">
        <v>2095</v>
      </c>
      <c r="B978" t="s">
        <v>2096</v>
      </c>
      <c r="C978" t="s">
        <v>13</v>
      </c>
      <c r="D978" t="s">
        <v>2075</v>
      </c>
      <c r="E978" t="s">
        <v>2076</v>
      </c>
      <c r="F978" t="s">
        <v>111</v>
      </c>
      <c r="G978" s="1">
        <v>0.2</v>
      </c>
      <c r="H978" t="s">
        <v>232</v>
      </c>
      <c r="I978" t="s">
        <v>1580</v>
      </c>
      <c r="J978" t="s">
        <v>2077</v>
      </c>
      <c r="K978" t="s">
        <v>24</v>
      </c>
      <c r="L978" s="14">
        <f>IFERROR(VALUE(LEFT(tblMatriculas[[#This Row],[Clases]],FIND("/",tblMatriculas[[#This Row],[Clases]])-1)),"")</f>
        <v>6</v>
      </c>
      <c r="M978" s="14">
        <f>IFERROR(VALUE(MID(tblMatriculas[[#This Row],[Clases]],FIND("/",tblMatriculas[[#This Row],[Clases]])+1,5)),"")</f>
        <v>30</v>
      </c>
      <c r="N9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8" s="14">
        <f>IF(OR(tblMatriculas[[#This Row],[Estado]]&lt;&gt;"activa",tblMatriculas[[#This Row],[Clases dictadas]]=""),"",MAX(0,tblMatriculas[[#This Row],[Clases dictadas]]-tblMatriculas[[#This Row],[Asistidas]]))</f>
        <v>0</v>
      </c>
      <c r="P978" s="1">
        <f>IF(OR(tblMatriculas[[#This Row],[Estado]]&lt;&gt;"activa",tblMatriculas[[#This Row],[Asistidas]]=""),"",tblMatriculas[[#This Row],[Asistencia]])</f>
        <v>0.2</v>
      </c>
      <c r="Q978" t="b">
        <f>AND(tblMatriculas[[#This Row],[Estado]]="activa",ISNUMBER(tblMatriculas[[#This Row],[% asistencia]]),NOT(ISNUMBER(SEARCH(pPrueba,tblMatriculas[[#This Row],[Nombre]]))))</f>
        <v>1</v>
      </c>
      <c r="R9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8" s="23" t="str" cm="1">
        <f t="array" ref="S9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8" s="23" t="str" cm="1">
        <f t="array" ref="T9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8" s="14" t="str" cm="1">
        <f t="array" ref="U9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8" t="str" cm="1">
        <f t="array" ref="V9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8" t="str" cm="1">
        <f t="array" ref="W9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8" t="str">
        <f>IF(COUNTIFS('Base Estudiantes'!$C:$C,tblMatriculas[[#This Row],[Cédula]],'Base Estudiantes'!$I:$I,tblMatriculas[[#This Row],[Código]])&gt;0,"Sí","No")</f>
        <v>Sí</v>
      </c>
      <c r="Z978" s="23" cm="1">
        <f t="array" ref="Z978">_xlfn.XLOOKUP(tblMatriculas[[#This Row],[Cédula]]&amp;"|"&amp;tblMatriculas[[#This Row],[Código]],tblBase[Documento]&amp;"|"&amp;tblBase[Código grupo],tblBase[Fecha matrícula],"")</f>
        <v>46263</v>
      </c>
    </row>
    <row r="979" spans="1:26" x14ac:dyDescent="0.2">
      <c r="A979" t="s">
        <v>2097</v>
      </c>
      <c r="B979" t="s">
        <v>2098</v>
      </c>
      <c r="C979" t="s">
        <v>13</v>
      </c>
      <c r="D979" t="s">
        <v>2075</v>
      </c>
      <c r="E979" t="s">
        <v>2076</v>
      </c>
      <c r="F979" t="s">
        <v>111</v>
      </c>
      <c r="G979" s="1">
        <v>0.2</v>
      </c>
      <c r="H979" t="s">
        <v>232</v>
      </c>
      <c r="I979" t="s">
        <v>1580</v>
      </c>
      <c r="J979" t="s">
        <v>2077</v>
      </c>
      <c r="K979" t="s">
        <v>24</v>
      </c>
      <c r="L979" s="14">
        <f>IFERROR(VALUE(LEFT(tblMatriculas[[#This Row],[Clases]],FIND("/",tblMatriculas[[#This Row],[Clases]])-1)),"")</f>
        <v>6</v>
      </c>
      <c r="M979" s="14">
        <f>IFERROR(VALUE(MID(tblMatriculas[[#This Row],[Clases]],FIND("/",tblMatriculas[[#This Row],[Clases]])+1,5)),"")</f>
        <v>30</v>
      </c>
      <c r="N9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79" s="14">
        <f>IF(OR(tblMatriculas[[#This Row],[Estado]]&lt;&gt;"activa",tblMatriculas[[#This Row],[Clases dictadas]]=""),"",MAX(0,tblMatriculas[[#This Row],[Clases dictadas]]-tblMatriculas[[#This Row],[Asistidas]]))</f>
        <v>0</v>
      </c>
      <c r="P979" s="1">
        <f>IF(OR(tblMatriculas[[#This Row],[Estado]]&lt;&gt;"activa",tblMatriculas[[#This Row],[Asistidas]]=""),"",tblMatriculas[[#This Row],[Asistencia]])</f>
        <v>0.2</v>
      </c>
      <c r="Q979" t="b">
        <f>AND(tblMatriculas[[#This Row],[Estado]]="activa",ISNUMBER(tblMatriculas[[#This Row],[% asistencia]]),NOT(ISNUMBER(SEARCH(pPrueba,tblMatriculas[[#This Row],[Nombre]]))))</f>
        <v>1</v>
      </c>
      <c r="R9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79" s="23" t="str" cm="1">
        <f t="array" ref="S9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79" s="23" t="str" cm="1">
        <f t="array" ref="T9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79" s="14" t="str" cm="1">
        <f t="array" ref="U9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79" t="str" cm="1">
        <f t="array" ref="V9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79" t="str" cm="1">
        <f t="array" ref="W9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79" t="str">
        <f>IF(COUNTIFS('Base Estudiantes'!$C:$C,tblMatriculas[[#This Row],[Cédula]],'Base Estudiantes'!$I:$I,tblMatriculas[[#This Row],[Código]])&gt;0,"Sí","No")</f>
        <v>Sí</v>
      </c>
      <c r="Z979" s="23" cm="1">
        <f t="array" ref="Z979">_xlfn.XLOOKUP(tblMatriculas[[#This Row],[Cédula]]&amp;"|"&amp;tblMatriculas[[#This Row],[Código]],tblBase[Documento]&amp;"|"&amp;tblBase[Código grupo],tblBase[Fecha matrícula],"")</f>
        <v>46263</v>
      </c>
    </row>
    <row r="980" spans="1:26" x14ac:dyDescent="0.2">
      <c r="A980" t="s">
        <v>2099</v>
      </c>
      <c r="B980" t="s">
        <v>2100</v>
      </c>
      <c r="C980" t="s">
        <v>13</v>
      </c>
      <c r="D980" t="s">
        <v>2075</v>
      </c>
      <c r="E980" t="s">
        <v>2076</v>
      </c>
      <c r="F980" t="s">
        <v>111</v>
      </c>
      <c r="G980" s="1">
        <v>0.2</v>
      </c>
      <c r="H980" t="s">
        <v>232</v>
      </c>
      <c r="I980" t="s">
        <v>1580</v>
      </c>
      <c r="J980" t="s">
        <v>2077</v>
      </c>
      <c r="K980" t="s">
        <v>24</v>
      </c>
      <c r="L980" s="14">
        <f>IFERROR(VALUE(LEFT(tblMatriculas[[#This Row],[Clases]],FIND("/",tblMatriculas[[#This Row],[Clases]])-1)),"")</f>
        <v>6</v>
      </c>
      <c r="M980" s="14">
        <f>IFERROR(VALUE(MID(tblMatriculas[[#This Row],[Clases]],FIND("/",tblMatriculas[[#This Row],[Clases]])+1,5)),"")</f>
        <v>30</v>
      </c>
      <c r="N9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0" s="14">
        <f>IF(OR(tblMatriculas[[#This Row],[Estado]]&lt;&gt;"activa",tblMatriculas[[#This Row],[Clases dictadas]]=""),"",MAX(0,tblMatriculas[[#This Row],[Clases dictadas]]-tblMatriculas[[#This Row],[Asistidas]]))</f>
        <v>0</v>
      </c>
      <c r="P980" s="1">
        <f>IF(OR(tblMatriculas[[#This Row],[Estado]]&lt;&gt;"activa",tblMatriculas[[#This Row],[Asistidas]]=""),"",tblMatriculas[[#This Row],[Asistencia]])</f>
        <v>0.2</v>
      </c>
      <c r="Q980" t="b">
        <f>AND(tblMatriculas[[#This Row],[Estado]]="activa",ISNUMBER(tblMatriculas[[#This Row],[% asistencia]]),NOT(ISNUMBER(SEARCH(pPrueba,tblMatriculas[[#This Row],[Nombre]]))))</f>
        <v>1</v>
      </c>
      <c r="R9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0" s="23" t="str" cm="1">
        <f t="array" ref="S9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0" s="23" t="str" cm="1">
        <f t="array" ref="T9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0" s="14" t="str" cm="1">
        <f t="array" ref="U9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0" t="str" cm="1">
        <f t="array" ref="V9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0" t="str" cm="1">
        <f t="array" ref="W9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0" t="str">
        <f>IF(COUNTIFS('Base Estudiantes'!$C:$C,tblMatriculas[[#This Row],[Cédula]],'Base Estudiantes'!$I:$I,tblMatriculas[[#This Row],[Código]])&gt;0,"Sí","No")</f>
        <v>Sí</v>
      </c>
      <c r="Z980" s="23" cm="1">
        <f t="array" ref="Z980">_xlfn.XLOOKUP(tblMatriculas[[#This Row],[Cédula]]&amp;"|"&amp;tblMatriculas[[#This Row],[Código]],tblBase[Documento]&amp;"|"&amp;tblBase[Código grupo],tblBase[Fecha matrícula],"")</f>
        <v>46263</v>
      </c>
    </row>
    <row r="981" spans="1:26" x14ac:dyDescent="0.2">
      <c r="A981" t="s">
        <v>2101</v>
      </c>
      <c r="B981" t="s">
        <v>2102</v>
      </c>
      <c r="C981" t="s">
        <v>13</v>
      </c>
      <c r="D981" t="s">
        <v>2075</v>
      </c>
      <c r="E981" t="s">
        <v>2076</v>
      </c>
      <c r="F981" t="s">
        <v>111</v>
      </c>
      <c r="G981" s="1">
        <v>0.2</v>
      </c>
      <c r="H981" t="s">
        <v>232</v>
      </c>
      <c r="I981" t="s">
        <v>1580</v>
      </c>
      <c r="J981" t="s">
        <v>2077</v>
      </c>
      <c r="K981" t="s">
        <v>24</v>
      </c>
      <c r="L981" s="14">
        <f>IFERROR(VALUE(LEFT(tblMatriculas[[#This Row],[Clases]],FIND("/",tblMatriculas[[#This Row],[Clases]])-1)),"")</f>
        <v>6</v>
      </c>
      <c r="M981" s="14">
        <f>IFERROR(VALUE(MID(tblMatriculas[[#This Row],[Clases]],FIND("/",tblMatriculas[[#This Row],[Clases]])+1,5)),"")</f>
        <v>30</v>
      </c>
      <c r="N9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1" s="14">
        <f>IF(OR(tblMatriculas[[#This Row],[Estado]]&lt;&gt;"activa",tblMatriculas[[#This Row],[Clases dictadas]]=""),"",MAX(0,tblMatriculas[[#This Row],[Clases dictadas]]-tblMatriculas[[#This Row],[Asistidas]]))</f>
        <v>0</v>
      </c>
      <c r="P981" s="1">
        <f>IF(OR(tblMatriculas[[#This Row],[Estado]]&lt;&gt;"activa",tblMatriculas[[#This Row],[Asistidas]]=""),"",tblMatriculas[[#This Row],[Asistencia]])</f>
        <v>0.2</v>
      </c>
      <c r="Q981" t="b">
        <f>AND(tblMatriculas[[#This Row],[Estado]]="activa",ISNUMBER(tblMatriculas[[#This Row],[% asistencia]]),NOT(ISNUMBER(SEARCH(pPrueba,tblMatriculas[[#This Row],[Nombre]]))))</f>
        <v>1</v>
      </c>
      <c r="R9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1" s="23" t="str" cm="1">
        <f t="array" ref="S9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1" s="23" t="str" cm="1">
        <f t="array" ref="T9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1" s="14" t="str" cm="1">
        <f t="array" ref="U9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1" t="str" cm="1">
        <f t="array" ref="V9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1" t="str" cm="1">
        <f t="array" ref="W9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1" t="str">
        <f>IF(COUNTIFS('Base Estudiantes'!$C:$C,tblMatriculas[[#This Row],[Cédula]],'Base Estudiantes'!$I:$I,tblMatriculas[[#This Row],[Código]])&gt;0,"Sí","No")</f>
        <v>Sí</v>
      </c>
      <c r="Z981" s="23" cm="1">
        <f t="array" ref="Z981">_xlfn.XLOOKUP(tblMatriculas[[#This Row],[Cédula]]&amp;"|"&amp;tblMatriculas[[#This Row],[Código]],tblBase[Documento]&amp;"|"&amp;tblBase[Código grupo],tblBase[Fecha matrícula],"")</f>
        <v>46263</v>
      </c>
    </row>
    <row r="982" spans="1:26" x14ac:dyDescent="0.2">
      <c r="A982" t="s">
        <v>2103</v>
      </c>
      <c r="B982" t="s">
        <v>2104</v>
      </c>
      <c r="C982" t="s">
        <v>13</v>
      </c>
      <c r="D982" t="s">
        <v>2075</v>
      </c>
      <c r="E982" t="s">
        <v>2076</v>
      </c>
      <c r="F982" t="s">
        <v>111</v>
      </c>
      <c r="G982" s="1">
        <v>0.1</v>
      </c>
      <c r="H982" t="s">
        <v>117</v>
      </c>
      <c r="I982" t="s">
        <v>1580</v>
      </c>
      <c r="J982" t="s">
        <v>2077</v>
      </c>
      <c r="K982" t="s">
        <v>24</v>
      </c>
      <c r="L982" s="14">
        <f>IFERROR(VALUE(LEFT(tblMatriculas[[#This Row],[Clases]],FIND("/",tblMatriculas[[#This Row],[Clases]])-1)),"")</f>
        <v>3</v>
      </c>
      <c r="M982" s="14">
        <f>IFERROR(VALUE(MID(tblMatriculas[[#This Row],[Clases]],FIND("/",tblMatriculas[[#This Row],[Clases]])+1,5)),"")</f>
        <v>30</v>
      </c>
      <c r="N9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2" s="14">
        <f>IF(OR(tblMatriculas[[#This Row],[Estado]]&lt;&gt;"activa",tblMatriculas[[#This Row],[Clases dictadas]]=""),"",MAX(0,tblMatriculas[[#This Row],[Clases dictadas]]-tblMatriculas[[#This Row],[Asistidas]]))</f>
        <v>3</v>
      </c>
      <c r="P982" s="1">
        <f>IF(OR(tblMatriculas[[#This Row],[Estado]]&lt;&gt;"activa",tblMatriculas[[#This Row],[Asistidas]]=""),"",tblMatriculas[[#This Row],[Asistencia]])</f>
        <v>0.1</v>
      </c>
      <c r="Q982" t="b">
        <f>AND(tblMatriculas[[#This Row],[Estado]]="activa",ISNUMBER(tblMatriculas[[#This Row],[% asistencia]]),NOT(ISNUMBER(SEARCH(pPrueba,tblMatriculas[[#This Row],[Nombre]]))))</f>
        <v>1</v>
      </c>
      <c r="R9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2" s="23" t="str" cm="1">
        <f t="array" ref="S9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2" s="23" t="str" cm="1">
        <f t="array" ref="T9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2" s="14" t="str" cm="1">
        <f t="array" ref="U9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2" t="str" cm="1">
        <f t="array" ref="V9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2" t="str" cm="1">
        <f t="array" ref="W9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2" t="str">
        <f>IF(COUNTIFS('Base Estudiantes'!$C:$C,tblMatriculas[[#This Row],[Cédula]],'Base Estudiantes'!$I:$I,tblMatriculas[[#This Row],[Código]])&gt;0,"Sí","No")</f>
        <v>Sí</v>
      </c>
      <c r="Z982" s="23" cm="1">
        <f t="array" ref="Z982">_xlfn.XLOOKUP(tblMatriculas[[#This Row],[Cédula]]&amp;"|"&amp;tblMatriculas[[#This Row],[Código]],tblBase[Documento]&amp;"|"&amp;tblBase[Código grupo],tblBase[Fecha matrícula],"")</f>
        <v>46263</v>
      </c>
    </row>
    <row r="983" spans="1:26" x14ac:dyDescent="0.2">
      <c r="A983" t="s">
        <v>2105</v>
      </c>
      <c r="B983" t="s">
        <v>2106</v>
      </c>
      <c r="C983" t="s">
        <v>13</v>
      </c>
      <c r="D983" t="s">
        <v>2075</v>
      </c>
      <c r="E983" t="s">
        <v>2076</v>
      </c>
      <c r="F983" t="s">
        <v>111</v>
      </c>
      <c r="G983" s="1">
        <v>0.16699999999999998</v>
      </c>
      <c r="H983" t="s">
        <v>229</v>
      </c>
      <c r="I983" t="s">
        <v>1580</v>
      </c>
      <c r="J983" t="s">
        <v>2077</v>
      </c>
      <c r="K983" t="s">
        <v>24</v>
      </c>
      <c r="L983" s="14">
        <f>IFERROR(VALUE(LEFT(tblMatriculas[[#This Row],[Clases]],FIND("/",tblMatriculas[[#This Row],[Clases]])-1)),"")</f>
        <v>5</v>
      </c>
      <c r="M983" s="14">
        <f>IFERROR(VALUE(MID(tblMatriculas[[#This Row],[Clases]],FIND("/",tblMatriculas[[#This Row],[Clases]])+1,5)),"")</f>
        <v>30</v>
      </c>
      <c r="N9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3" s="14">
        <f>IF(OR(tblMatriculas[[#This Row],[Estado]]&lt;&gt;"activa",tblMatriculas[[#This Row],[Clases dictadas]]=""),"",MAX(0,tblMatriculas[[#This Row],[Clases dictadas]]-tblMatriculas[[#This Row],[Asistidas]]))</f>
        <v>1</v>
      </c>
      <c r="P983" s="1">
        <f>IF(OR(tblMatriculas[[#This Row],[Estado]]&lt;&gt;"activa",tblMatriculas[[#This Row],[Asistidas]]=""),"",tblMatriculas[[#This Row],[Asistencia]])</f>
        <v>0.16699999999999998</v>
      </c>
      <c r="Q983" t="b">
        <f>AND(tblMatriculas[[#This Row],[Estado]]="activa",ISNUMBER(tblMatriculas[[#This Row],[% asistencia]]),NOT(ISNUMBER(SEARCH(pPrueba,tblMatriculas[[#This Row],[Nombre]]))))</f>
        <v>1</v>
      </c>
      <c r="R9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3" s="23" t="str" cm="1">
        <f t="array" ref="S9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3" s="23" t="str" cm="1">
        <f t="array" ref="T9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3" s="14" t="str" cm="1">
        <f t="array" ref="U9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3" t="str" cm="1">
        <f t="array" ref="V9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3" t="str" cm="1">
        <f t="array" ref="W9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3" t="str">
        <f>IF(COUNTIFS('Base Estudiantes'!$C:$C,tblMatriculas[[#This Row],[Cédula]],'Base Estudiantes'!$I:$I,tblMatriculas[[#This Row],[Código]])&gt;0,"Sí","No")</f>
        <v>Sí</v>
      </c>
      <c r="Z983" s="23" cm="1">
        <f t="array" ref="Z983">_xlfn.XLOOKUP(tblMatriculas[[#This Row],[Cédula]]&amp;"|"&amp;tblMatriculas[[#This Row],[Código]],tblBase[Documento]&amp;"|"&amp;tblBase[Código grupo],tblBase[Fecha matrícula],"")</f>
        <v>46263</v>
      </c>
    </row>
    <row r="984" spans="1:26" x14ac:dyDescent="0.2">
      <c r="A984" t="s">
        <v>2107</v>
      </c>
      <c r="B984" t="s">
        <v>2108</v>
      </c>
      <c r="C984" t="s">
        <v>13</v>
      </c>
      <c r="D984" t="s">
        <v>2075</v>
      </c>
      <c r="E984" t="s">
        <v>2076</v>
      </c>
      <c r="F984" t="s">
        <v>111</v>
      </c>
      <c r="G984" s="1">
        <v>0.2</v>
      </c>
      <c r="H984" t="s">
        <v>232</v>
      </c>
      <c r="I984" t="s">
        <v>1580</v>
      </c>
      <c r="J984" t="s">
        <v>2077</v>
      </c>
      <c r="K984" t="s">
        <v>24</v>
      </c>
      <c r="L984" s="14">
        <f>IFERROR(VALUE(LEFT(tblMatriculas[[#This Row],[Clases]],FIND("/",tblMatriculas[[#This Row],[Clases]])-1)),"")</f>
        <v>6</v>
      </c>
      <c r="M984" s="14">
        <f>IFERROR(VALUE(MID(tblMatriculas[[#This Row],[Clases]],FIND("/",tblMatriculas[[#This Row],[Clases]])+1,5)),"")</f>
        <v>30</v>
      </c>
      <c r="N9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4" s="14">
        <f>IF(OR(tblMatriculas[[#This Row],[Estado]]&lt;&gt;"activa",tblMatriculas[[#This Row],[Clases dictadas]]=""),"",MAX(0,tblMatriculas[[#This Row],[Clases dictadas]]-tblMatriculas[[#This Row],[Asistidas]]))</f>
        <v>0</v>
      </c>
      <c r="P984" s="1">
        <f>IF(OR(tblMatriculas[[#This Row],[Estado]]&lt;&gt;"activa",tblMatriculas[[#This Row],[Asistidas]]=""),"",tblMatriculas[[#This Row],[Asistencia]])</f>
        <v>0.2</v>
      </c>
      <c r="Q984" t="b">
        <f>AND(tblMatriculas[[#This Row],[Estado]]="activa",ISNUMBER(tblMatriculas[[#This Row],[% asistencia]]),NOT(ISNUMBER(SEARCH(pPrueba,tblMatriculas[[#This Row],[Nombre]]))))</f>
        <v>1</v>
      </c>
      <c r="R9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4" s="23" t="str" cm="1">
        <f t="array" ref="S9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4" s="23" t="str" cm="1">
        <f t="array" ref="T9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4" s="14" t="str" cm="1">
        <f t="array" ref="U9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4" t="str" cm="1">
        <f t="array" ref="V9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4" t="str" cm="1">
        <f t="array" ref="W9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4" t="str">
        <f>IF(COUNTIFS('Base Estudiantes'!$C:$C,tblMatriculas[[#This Row],[Cédula]],'Base Estudiantes'!$I:$I,tblMatriculas[[#This Row],[Código]])&gt;0,"Sí","No")</f>
        <v>Sí</v>
      </c>
      <c r="Z984" s="23" cm="1">
        <f t="array" ref="Z984">_xlfn.XLOOKUP(tblMatriculas[[#This Row],[Cédula]]&amp;"|"&amp;tblMatriculas[[#This Row],[Código]],tblBase[Documento]&amp;"|"&amp;tblBase[Código grupo],tblBase[Fecha matrícula],"")</f>
        <v>46263</v>
      </c>
    </row>
    <row r="985" spans="1:26" x14ac:dyDescent="0.2">
      <c r="A985" t="s">
        <v>2109</v>
      </c>
      <c r="B985" t="s">
        <v>2110</v>
      </c>
      <c r="C985" t="s">
        <v>13</v>
      </c>
      <c r="D985" t="s">
        <v>2075</v>
      </c>
      <c r="E985" t="s">
        <v>2076</v>
      </c>
      <c r="F985" t="s">
        <v>111</v>
      </c>
      <c r="G985" s="1">
        <v>0.2</v>
      </c>
      <c r="H985" t="s">
        <v>232</v>
      </c>
      <c r="I985" t="s">
        <v>1580</v>
      </c>
      <c r="J985" t="s">
        <v>2077</v>
      </c>
      <c r="K985" t="s">
        <v>24</v>
      </c>
      <c r="L985" s="14">
        <f>IFERROR(VALUE(LEFT(tblMatriculas[[#This Row],[Clases]],FIND("/",tblMatriculas[[#This Row],[Clases]])-1)),"")</f>
        <v>6</v>
      </c>
      <c r="M985" s="14">
        <f>IFERROR(VALUE(MID(tblMatriculas[[#This Row],[Clases]],FIND("/",tblMatriculas[[#This Row],[Clases]])+1,5)),"")</f>
        <v>30</v>
      </c>
      <c r="N9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5" s="14">
        <f>IF(OR(tblMatriculas[[#This Row],[Estado]]&lt;&gt;"activa",tblMatriculas[[#This Row],[Clases dictadas]]=""),"",MAX(0,tblMatriculas[[#This Row],[Clases dictadas]]-tblMatriculas[[#This Row],[Asistidas]]))</f>
        <v>0</v>
      </c>
      <c r="P985" s="1">
        <f>IF(OR(tblMatriculas[[#This Row],[Estado]]&lt;&gt;"activa",tblMatriculas[[#This Row],[Asistidas]]=""),"",tblMatriculas[[#This Row],[Asistencia]])</f>
        <v>0.2</v>
      </c>
      <c r="Q985" t="b">
        <f>AND(tblMatriculas[[#This Row],[Estado]]="activa",ISNUMBER(tblMatriculas[[#This Row],[% asistencia]]),NOT(ISNUMBER(SEARCH(pPrueba,tblMatriculas[[#This Row],[Nombre]]))))</f>
        <v>1</v>
      </c>
      <c r="R9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5" s="23" t="str" cm="1">
        <f t="array" ref="S9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5" s="23" t="str" cm="1">
        <f t="array" ref="T9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5" s="14" t="str" cm="1">
        <f t="array" ref="U9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5" t="str" cm="1">
        <f t="array" ref="V9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5" t="str" cm="1">
        <f t="array" ref="W9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5" t="str">
        <f>IF(COUNTIFS('Base Estudiantes'!$C:$C,tblMatriculas[[#This Row],[Cédula]],'Base Estudiantes'!$I:$I,tblMatriculas[[#This Row],[Código]])&gt;0,"Sí","No")</f>
        <v>Sí</v>
      </c>
      <c r="Z985" s="23" cm="1">
        <f t="array" ref="Z985">_xlfn.XLOOKUP(tblMatriculas[[#This Row],[Cédula]]&amp;"|"&amp;tblMatriculas[[#This Row],[Código]],tblBase[Documento]&amp;"|"&amp;tblBase[Código grupo],tblBase[Fecha matrícula],"")</f>
        <v>46263</v>
      </c>
    </row>
    <row r="986" spans="1:26" x14ac:dyDescent="0.2">
      <c r="A986" t="s">
        <v>2111</v>
      </c>
      <c r="B986" t="s">
        <v>2112</v>
      </c>
      <c r="C986" t="s">
        <v>13</v>
      </c>
      <c r="D986" t="s">
        <v>2075</v>
      </c>
      <c r="E986" t="s">
        <v>2076</v>
      </c>
      <c r="F986" t="s">
        <v>111</v>
      </c>
      <c r="G986" s="1">
        <v>0.16699999999999998</v>
      </c>
      <c r="H986" t="s">
        <v>229</v>
      </c>
      <c r="I986" t="s">
        <v>1580</v>
      </c>
      <c r="J986" t="s">
        <v>2077</v>
      </c>
      <c r="K986" t="s">
        <v>24</v>
      </c>
      <c r="L986" s="14">
        <f>IFERROR(VALUE(LEFT(tblMatriculas[[#This Row],[Clases]],FIND("/",tblMatriculas[[#This Row],[Clases]])-1)),"")</f>
        <v>5</v>
      </c>
      <c r="M986" s="14">
        <f>IFERROR(VALUE(MID(tblMatriculas[[#This Row],[Clases]],FIND("/",tblMatriculas[[#This Row],[Clases]])+1,5)),"")</f>
        <v>30</v>
      </c>
      <c r="N9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6" s="14">
        <f>IF(OR(tblMatriculas[[#This Row],[Estado]]&lt;&gt;"activa",tblMatriculas[[#This Row],[Clases dictadas]]=""),"",MAX(0,tblMatriculas[[#This Row],[Clases dictadas]]-tblMatriculas[[#This Row],[Asistidas]]))</f>
        <v>1</v>
      </c>
      <c r="P986" s="1">
        <f>IF(OR(tblMatriculas[[#This Row],[Estado]]&lt;&gt;"activa",tblMatriculas[[#This Row],[Asistidas]]=""),"",tblMatriculas[[#This Row],[Asistencia]])</f>
        <v>0.16699999999999998</v>
      </c>
      <c r="Q986" t="b">
        <f>AND(tblMatriculas[[#This Row],[Estado]]="activa",ISNUMBER(tblMatriculas[[#This Row],[% asistencia]]),NOT(ISNUMBER(SEARCH(pPrueba,tblMatriculas[[#This Row],[Nombre]]))))</f>
        <v>1</v>
      </c>
      <c r="R9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6" s="23" t="str" cm="1">
        <f t="array" ref="S9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6" s="23" t="str" cm="1">
        <f t="array" ref="T9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6" s="14" t="str" cm="1">
        <f t="array" ref="U9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6" t="str" cm="1">
        <f t="array" ref="V9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6" t="str" cm="1">
        <f t="array" ref="W9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6" t="str">
        <f>IF(COUNTIFS('Base Estudiantes'!$C:$C,tblMatriculas[[#This Row],[Cédula]],'Base Estudiantes'!$I:$I,tblMatriculas[[#This Row],[Código]])&gt;0,"Sí","No")</f>
        <v>Sí</v>
      </c>
      <c r="Z986" s="23" cm="1">
        <f t="array" ref="Z986">_xlfn.XLOOKUP(tblMatriculas[[#This Row],[Cédula]]&amp;"|"&amp;tblMatriculas[[#This Row],[Código]],tblBase[Documento]&amp;"|"&amp;tblBase[Código grupo],tblBase[Fecha matrícula],"")</f>
        <v>46263</v>
      </c>
    </row>
    <row r="987" spans="1:26" x14ac:dyDescent="0.2">
      <c r="A987" t="s">
        <v>2113</v>
      </c>
      <c r="B987" t="s">
        <v>2114</v>
      </c>
      <c r="C987" t="s">
        <v>13</v>
      </c>
      <c r="D987" t="s">
        <v>2075</v>
      </c>
      <c r="E987" t="s">
        <v>2076</v>
      </c>
      <c r="F987" t="s">
        <v>111</v>
      </c>
      <c r="G987" s="1">
        <v>6.7000000000000004E-2</v>
      </c>
      <c r="H987" t="s">
        <v>166</v>
      </c>
      <c r="I987" t="s">
        <v>1580</v>
      </c>
      <c r="J987" t="s">
        <v>2077</v>
      </c>
      <c r="K987" t="s">
        <v>24</v>
      </c>
      <c r="L987" s="14">
        <f>IFERROR(VALUE(LEFT(tblMatriculas[[#This Row],[Clases]],FIND("/",tblMatriculas[[#This Row],[Clases]])-1)),"")</f>
        <v>2</v>
      </c>
      <c r="M987" s="14">
        <f>IFERROR(VALUE(MID(tblMatriculas[[#This Row],[Clases]],FIND("/",tblMatriculas[[#This Row],[Clases]])+1,5)),"")</f>
        <v>30</v>
      </c>
      <c r="N9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7" s="14">
        <f>IF(OR(tblMatriculas[[#This Row],[Estado]]&lt;&gt;"activa",tblMatriculas[[#This Row],[Clases dictadas]]=""),"",MAX(0,tblMatriculas[[#This Row],[Clases dictadas]]-tblMatriculas[[#This Row],[Asistidas]]))</f>
        <v>4</v>
      </c>
      <c r="P987" s="1">
        <f>IF(OR(tblMatriculas[[#This Row],[Estado]]&lt;&gt;"activa",tblMatriculas[[#This Row],[Asistidas]]=""),"",tblMatriculas[[#This Row],[Asistencia]])</f>
        <v>6.7000000000000004E-2</v>
      </c>
      <c r="Q987" t="b">
        <f>AND(tblMatriculas[[#This Row],[Estado]]="activa",ISNUMBER(tblMatriculas[[#This Row],[% asistencia]]),NOT(ISNUMBER(SEARCH(pPrueba,tblMatriculas[[#This Row],[Nombre]]))))</f>
        <v>1</v>
      </c>
      <c r="R9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87" s="23" t="str" cm="1">
        <f t="array" ref="S9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7" s="23" t="str" cm="1">
        <f t="array" ref="T9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7" s="14" t="str" cm="1">
        <f t="array" ref="U9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7" t="str" cm="1">
        <f t="array" ref="V9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7" t="str" cm="1">
        <f t="array" ref="W9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87" t="str">
        <f>IF(COUNTIFS('Base Estudiantes'!$C:$C,tblMatriculas[[#This Row],[Cédula]],'Base Estudiantes'!$I:$I,tblMatriculas[[#This Row],[Código]])&gt;0,"Sí","No")</f>
        <v>Sí</v>
      </c>
      <c r="Z987" s="23" cm="1">
        <f t="array" ref="Z987">_xlfn.XLOOKUP(tblMatriculas[[#This Row],[Cédula]]&amp;"|"&amp;tblMatriculas[[#This Row],[Código]],tblBase[Documento]&amp;"|"&amp;tblBase[Código grupo],tblBase[Fecha matrícula],"")</f>
        <v>46263</v>
      </c>
    </row>
    <row r="988" spans="1:26" x14ac:dyDescent="0.2">
      <c r="A988" t="s">
        <v>2115</v>
      </c>
      <c r="B988" t="s">
        <v>2116</v>
      </c>
      <c r="C988" t="s">
        <v>13</v>
      </c>
      <c r="D988" t="s">
        <v>2075</v>
      </c>
      <c r="E988" t="s">
        <v>2076</v>
      </c>
      <c r="F988" t="s">
        <v>111</v>
      </c>
      <c r="G988" s="1">
        <v>3.3000000000000002E-2</v>
      </c>
      <c r="H988" t="s">
        <v>225</v>
      </c>
      <c r="I988" t="s">
        <v>1580</v>
      </c>
      <c r="J988" t="s">
        <v>2077</v>
      </c>
      <c r="K988" t="s">
        <v>24</v>
      </c>
      <c r="L988" s="14">
        <f>IFERROR(VALUE(LEFT(tblMatriculas[[#This Row],[Clases]],FIND("/",tblMatriculas[[#This Row],[Clases]])-1)),"")</f>
        <v>1</v>
      </c>
      <c r="M988" s="14">
        <f>IFERROR(VALUE(MID(tblMatriculas[[#This Row],[Clases]],FIND("/",tblMatriculas[[#This Row],[Clases]])+1,5)),"")</f>
        <v>30</v>
      </c>
      <c r="N9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8" s="14">
        <f>IF(OR(tblMatriculas[[#This Row],[Estado]]&lt;&gt;"activa",tblMatriculas[[#This Row],[Clases dictadas]]=""),"",MAX(0,tblMatriculas[[#This Row],[Clases dictadas]]-tblMatriculas[[#This Row],[Asistidas]]))</f>
        <v>5</v>
      </c>
      <c r="P988" s="1">
        <f>IF(OR(tblMatriculas[[#This Row],[Estado]]&lt;&gt;"activa",tblMatriculas[[#This Row],[Asistidas]]=""),"",tblMatriculas[[#This Row],[Asistencia]])</f>
        <v>3.3000000000000002E-2</v>
      </c>
      <c r="Q988" t="b">
        <f>AND(tblMatriculas[[#This Row],[Estado]]="activa",ISNUMBER(tblMatriculas[[#This Row],[% asistencia]]),NOT(ISNUMBER(SEARCH(pPrueba,tblMatriculas[[#This Row],[Nombre]]))))</f>
        <v>1</v>
      </c>
      <c r="R9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988" s="23" t="str" cm="1">
        <f t="array" ref="S9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8" s="23" t="str" cm="1">
        <f t="array" ref="T9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8" s="14" t="str" cm="1">
        <f t="array" ref="U9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8" t="str" cm="1">
        <f t="array" ref="V9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8" t="str" cm="1">
        <f t="array" ref="W9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9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988" t="str">
        <f>IF(COUNTIFS('Base Estudiantes'!$C:$C,tblMatriculas[[#This Row],[Cédula]],'Base Estudiantes'!$I:$I,tblMatriculas[[#This Row],[Código]])&gt;0,"Sí","No")</f>
        <v>Sí</v>
      </c>
      <c r="Z988" s="23" cm="1">
        <f t="array" ref="Z988">_xlfn.XLOOKUP(tblMatriculas[[#This Row],[Cédula]]&amp;"|"&amp;tblMatriculas[[#This Row],[Código]],tblBase[Documento]&amp;"|"&amp;tblBase[Código grupo],tblBase[Fecha matrícula],"")</f>
        <v>46263</v>
      </c>
    </row>
    <row r="989" spans="1:26" x14ac:dyDescent="0.2">
      <c r="A989" t="s">
        <v>2117</v>
      </c>
      <c r="B989" t="s">
        <v>2118</v>
      </c>
      <c r="C989" t="s">
        <v>13</v>
      </c>
      <c r="D989" t="s">
        <v>2075</v>
      </c>
      <c r="E989" t="s">
        <v>2076</v>
      </c>
      <c r="F989" t="s">
        <v>111</v>
      </c>
      <c r="G989" s="1">
        <v>0.1</v>
      </c>
      <c r="H989" t="s">
        <v>117</v>
      </c>
      <c r="I989" t="s">
        <v>1580</v>
      </c>
      <c r="J989" t="s">
        <v>2077</v>
      </c>
      <c r="K989" t="s">
        <v>24</v>
      </c>
      <c r="L989" s="14">
        <f>IFERROR(VALUE(LEFT(tblMatriculas[[#This Row],[Clases]],FIND("/",tblMatriculas[[#This Row],[Clases]])-1)),"")</f>
        <v>3</v>
      </c>
      <c r="M989" s="14">
        <f>IFERROR(VALUE(MID(tblMatriculas[[#This Row],[Clases]],FIND("/",tblMatriculas[[#This Row],[Clases]])+1,5)),"")</f>
        <v>30</v>
      </c>
      <c r="N9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89" s="14">
        <f>IF(OR(tblMatriculas[[#This Row],[Estado]]&lt;&gt;"activa",tblMatriculas[[#This Row],[Clases dictadas]]=""),"",MAX(0,tblMatriculas[[#This Row],[Clases dictadas]]-tblMatriculas[[#This Row],[Asistidas]]))</f>
        <v>3</v>
      </c>
      <c r="P989" s="1">
        <f>IF(OR(tblMatriculas[[#This Row],[Estado]]&lt;&gt;"activa",tblMatriculas[[#This Row],[Asistidas]]=""),"",tblMatriculas[[#This Row],[Asistencia]])</f>
        <v>0.1</v>
      </c>
      <c r="Q989" t="b">
        <f>AND(tblMatriculas[[#This Row],[Estado]]="activa",ISNUMBER(tblMatriculas[[#This Row],[% asistencia]]),NOT(ISNUMBER(SEARCH(pPrueba,tblMatriculas[[#This Row],[Nombre]]))))</f>
        <v>1</v>
      </c>
      <c r="R9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89" s="23" t="str" cm="1">
        <f t="array" ref="S9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89" s="23" t="str" cm="1">
        <f t="array" ref="T9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89" s="14" t="str" cm="1">
        <f t="array" ref="U9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89" t="str" cm="1">
        <f t="array" ref="V9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89" t="str" cm="1">
        <f t="array" ref="W9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89" t="str">
        <f>IF(COUNTIFS('Base Estudiantes'!$C:$C,tblMatriculas[[#This Row],[Cédula]],'Base Estudiantes'!$I:$I,tblMatriculas[[#This Row],[Código]])&gt;0,"Sí","No")</f>
        <v>Sí</v>
      </c>
      <c r="Z989" s="23" cm="1">
        <f t="array" ref="Z989">_xlfn.XLOOKUP(tblMatriculas[[#This Row],[Cédula]]&amp;"|"&amp;tblMatriculas[[#This Row],[Código]],tblBase[Documento]&amp;"|"&amp;tblBase[Código grupo],tblBase[Fecha matrícula],"")</f>
        <v>46263</v>
      </c>
    </row>
    <row r="990" spans="1:26" x14ac:dyDescent="0.2">
      <c r="A990" t="s">
        <v>2119</v>
      </c>
      <c r="B990" t="s">
        <v>2120</v>
      </c>
      <c r="C990" t="s">
        <v>13</v>
      </c>
      <c r="D990" t="s">
        <v>2075</v>
      </c>
      <c r="E990" t="s">
        <v>2076</v>
      </c>
      <c r="F990" t="s">
        <v>111</v>
      </c>
      <c r="G990" s="1">
        <v>0.2</v>
      </c>
      <c r="H990" t="s">
        <v>232</v>
      </c>
      <c r="I990" t="s">
        <v>1580</v>
      </c>
      <c r="J990" t="s">
        <v>2077</v>
      </c>
      <c r="K990" t="s">
        <v>24</v>
      </c>
      <c r="L990" s="14">
        <f>IFERROR(VALUE(LEFT(tblMatriculas[[#This Row],[Clases]],FIND("/",tblMatriculas[[#This Row],[Clases]])-1)),"")</f>
        <v>6</v>
      </c>
      <c r="M990" s="14">
        <f>IFERROR(VALUE(MID(tblMatriculas[[#This Row],[Clases]],FIND("/",tblMatriculas[[#This Row],[Clases]])+1,5)),"")</f>
        <v>30</v>
      </c>
      <c r="N9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0" s="14">
        <f>IF(OR(tblMatriculas[[#This Row],[Estado]]&lt;&gt;"activa",tblMatriculas[[#This Row],[Clases dictadas]]=""),"",MAX(0,tblMatriculas[[#This Row],[Clases dictadas]]-tblMatriculas[[#This Row],[Asistidas]]))</f>
        <v>0</v>
      </c>
      <c r="P990" s="1">
        <f>IF(OR(tblMatriculas[[#This Row],[Estado]]&lt;&gt;"activa",tblMatriculas[[#This Row],[Asistidas]]=""),"",tblMatriculas[[#This Row],[Asistencia]])</f>
        <v>0.2</v>
      </c>
      <c r="Q990" t="b">
        <f>AND(tblMatriculas[[#This Row],[Estado]]="activa",ISNUMBER(tblMatriculas[[#This Row],[% asistencia]]),NOT(ISNUMBER(SEARCH(pPrueba,tblMatriculas[[#This Row],[Nombre]]))))</f>
        <v>1</v>
      </c>
      <c r="R9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0" s="23" t="str" cm="1">
        <f t="array" ref="S9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0" s="23" t="str" cm="1">
        <f t="array" ref="T9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0" s="14" t="str" cm="1">
        <f t="array" ref="U9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0" t="str" cm="1">
        <f t="array" ref="V9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0" t="str" cm="1">
        <f t="array" ref="W9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0" t="str">
        <f>IF(COUNTIFS('Base Estudiantes'!$C:$C,tblMatriculas[[#This Row],[Cédula]],'Base Estudiantes'!$I:$I,tblMatriculas[[#This Row],[Código]])&gt;0,"Sí","No")</f>
        <v>Sí</v>
      </c>
      <c r="Z990" s="23" cm="1">
        <f t="array" ref="Z990">_xlfn.XLOOKUP(tblMatriculas[[#This Row],[Cédula]]&amp;"|"&amp;tblMatriculas[[#This Row],[Código]],tblBase[Documento]&amp;"|"&amp;tblBase[Código grupo],tblBase[Fecha matrícula],"")</f>
        <v>46263</v>
      </c>
    </row>
    <row r="991" spans="1:26" x14ac:dyDescent="0.2">
      <c r="A991" t="s">
        <v>2121</v>
      </c>
      <c r="B991" t="s">
        <v>2122</v>
      </c>
      <c r="C991" t="s">
        <v>13</v>
      </c>
      <c r="D991" t="s">
        <v>2075</v>
      </c>
      <c r="E991" t="s">
        <v>2076</v>
      </c>
      <c r="F991" t="s">
        <v>111</v>
      </c>
      <c r="G991" s="1">
        <v>0.2</v>
      </c>
      <c r="H991" t="s">
        <v>232</v>
      </c>
      <c r="I991" t="s">
        <v>1580</v>
      </c>
      <c r="J991" t="s">
        <v>2077</v>
      </c>
      <c r="K991" t="s">
        <v>24</v>
      </c>
      <c r="L991" s="14">
        <f>IFERROR(VALUE(LEFT(tblMatriculas[[#This Row],[Clases]],FIND("/",tblMatriculas[[#This Row],[Clases]])-1)),"")</f>
        <v>6</v>
      </c>
      <c r="M991" s="14">
        <f>IFERROR(VALUE(MID(tblMatriculas[[#This Row],[Clases]],FIND("/",tblMatriculas[[#This Row],[Clases]])+1,5)),"")</f>
        <v>30</v>
      </c>
      <c r="N9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1" s="14">
        <f>IF(OR(tblMatriculas[[#This Row],[Estado]]&lt;&gt;"activa",tblMatriculas[[#This Row],[Clases dictadas]]=""),"",MAX(0,tblMatriculas[[#This Row],[Clases dictadas]]-tblMatriculas[[#This Row],[Asistidas]]))</f>
        <v>0</v>
      </c>
      <c r="P991" s="1">
        <f>IF(OR(tblMatriculas[[#This Row],[Estado]]&lt;&gt;"activa",tblMatriculas[[#This Row],[Asistidas]]=""),"",tblMatriculas[[#This Row],[Asistencia]])</f>
        <v>0.2</v>
      </c>
      <c r="Q991" t="b">
        <f>AND(tblMatriculas[[#This Row],[Estado]]="activa",ISNUMBER(tblMatriculas[[#This Row],[% asistencia]]),NOT(ISNUMBER(SEARCH(pPrueba,tblMatriculas[[#This Row],[Nombre]]))))</f>
        <v>1</v>
      </c>
      <c r="R9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1" s="23" t="str" cm="1">
        <f t="array" ref="S9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1" s="23" t="str" cm="1">
        <f t="array" ref="T9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1" s="14" t="str" cm="1">
        <f t="array" ref="U9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1" t="str" cm="1">
        <f t="array" ref="V9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1" t="str" cm="1">
        <f t="array" ref="W9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1" t="str">
        <f>IF(COUNTIFS('Base Estudiantes'!$C:$C,tblMatriculas[[#This Row],[Cédula]],'Base Estudiantes'!$I:$I,tblMatriculas[[#This Row],[Código]])&gt;0,"Sí","No")</f>
        <v>Sí</v>
      </c>
      <c r="Z991" s="23" cm="1">
        <f t="array" ref="Z991">_xlfn.XLOOKUP(tblMatriculas[[#This Row],[Cédula]]&amp;"|"&amp;tblMatriculas[[#This Row],[Código]],tblBase[Documento]&amp;"|"&amp;tblBase[Código grupo],tblBase[Fecha matrícula],"")</f>
        <v>46263</v>
      </c>
    </row>
    <row r="992" spans="1:26" x14ac:dyDescent="0.2">
      <c r="A992" t="s">
        <v>2123</v>
      </c>
      <c r="B992" t="s">
        <v>2124</v>
      </c>
      <c r="C992" t="s">
        <v>13</v>
      </c>
      <c r="D992" t="s">
        <v>2075</v>
      </c>
      <c r="E992" t="s">
        <v>2076</v>
      </c>
      <c r="F992" t="s">
        <v>111</v>
      </c>
      <c r="G992" s="1">
        <v>0.2</v>
      </c>
      <c r="H992" t="s">
        <v>232</v>
      </c>
      <c r="I992" t="s">
        <v>1580</v>
      </c>
      <c r="J992" t="s">
        <v>2077</v>
      </c>
      <c r="K992" t="s">
        <v>24</v>
      </c>
      <c r="L992" s="14">
        <f>IFERROR(VALUE(LEFT(tblMatriculas[[#This Row],[Clases]],FIND("/",tblMatriculas[[#This Row],[Clases]])-1)),"")</f>
        <v>6</v>
      </c>
      <c r="M992" s="14">
        <f>IFERROR(VALUE(MID(tblMatriculas[[#This Row],[Clases]],FIND("/",tblMatriculas[[#This Row],[Clases]])+1,5)),"")</f>
        <v>30</v>
      </c>
      <c r="N9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2" s="14">
        <f>IF(OR(tblMatriculas[[#This Row],[Estado]]&lt;&gt;"activa",tblMatriculas[[#This Row],[Clases dictadas]]=""),"",MAX(0,tblMatriculas[[#This Row],[Clases dictadas]]-tblMatriculas[[#This Row],[Asistidas]]))</f>
        <v>0</v>
      </c>
      <c r="P992" s="1">
        <f>IF(OR(tblMatriculas[[#This Row],[Estado]]&lt;&gt;"activa",tblMatriculas[[#This Row],[Asistidas]]=""),"",tblMatriculas[[#This Row],[Asistencia]])</f>
        <v>0.2</v>
      </c>
      <c r="Q992" t="b">
        <f>AND(tblMatriculas[[#This Row],[Estado]]="activa",ISNUMBER(tblMatriculas[[#This Row],[% asistencia]]),NOT(ISNUMBER(SEARCH(pPrueba,tblMatriculas[[#This Row],[Nombre]]))))</f>
        <v>1</v>
      </c>
      <c r="R9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2" s="23" t="str" cm="1">
        <f t="array" ref="S9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2" s="23" t="str" cm="1">
        <f t="array" ref="T9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2" s="14" t="str" cm="1">
        <f t="array" ref="U9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2" t="str" cm="1">
        <f t="array" ref="V9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2" t="str" cm="1">
        <f t="array" ref="W9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2" t="str">
        <f>IF(COUNTIFS('Base Estudiantes'!$C:$C,tblMatriculas[[#This Row],[Cédula]],'Base Estudiantes'!$I:$I,tblMatriculas[[#This Row],[Código]])&gt;0,"Sí","No")</f>
        <v>Sí</v>
      </c>
      <c r="Z992" s="23" cm="1">
        <f t="array" ref="Z992">_xlfn.XLOOKUP(tblMatriculas[[#This Row],[Cédula]]&amp;"|"&amp;tblMatriculas[[#This Row],[Código]],tblBase[Documento]&amp;"|"&amp;tblBase[Código grupo],tblBase[Fecha matrícula],"")</f>
        <v>46263</v>
      </c>
    </row>
    <row r="993" spans="1:26" x14ac:dyDescent="0.2">
      <c r="A993" t="s">
        <v>2125</v>
      </c>
      <c r="B993" t="s">
        <v>2126</v>
      </c>
      <c r="C993" t="s">
        <v>13</v>
      </c>
      <c r="D993" t="s">
        <v>2075</v>
      </c>
      <c r="E993" t="s">
        <v>2076</v>
      </c>
      <c r="F993" t="s">
        <v>111</v>
      </c>
      <c r="G993" s="1">
        <v>0.1</v>
      </c>
      <c r="H993" t="s">
        <v>117</v>
      </c>
      <c r="I993" t="s">
        <v>1580</v>
      </c>
      <c r="J993" t="s">
        <v>2077</v>
      </c>
      <c r="K993" t="s">
        <v>24</v>
      </c>
      <c r="L993" s="14">
        <f>IFERROR(VALUE(LEFT(tblMatriculas[[#This Row],[Clases]],FIND("/",tblMatriculas[[#This Row],[Clases]])-1)),"")</f>
        <v>3</v>
      </c>
      <c r="M993" s="14">
        <f>IFERROR(VALUE(MID(tblMatriculas[[#This Row],[Clases]],FIND("/",tblMatriculas[[#This Row],[Clases]])+1,5)),"")</f>
        <v>30</v>
      </c>
      <c r="N9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3" s="14">
        <f>IF(OR(tblMatriculas[[#This Row],[Estado]]&lt;&gt;"activa",tblMatriculas[[#This Row],[Clases dictadas]]=""),"",MAX(0,tblMatriculas[[#This Row],[Clases dictadas]]-tblMatriculas[[#This Row],[Asistidas]]))</f>
        <v>3</v>
      </c>
      <c r="P993" s="1">
        <f>IF(OR(tblMatriculas[[#This Row],[Estado]]&lt;&gt;"activa",tblMatriculas[[#This Row],[Asistidas]]=""),"",tblMatriculas[[#This Row],[Asistencia]])</f>
        <v>0.1</v>
      </c>
      <c r="Q993" t="b">
        <f>AND(tblMatriculas[[#This Row],[Estado]]="activa",ISNUMBER(tblMatriculas[[#This Row],[% asistencia]]),NOT(ISNUMBER(SEARCH(pPrueba,tblMatriculas[[#This Row],[Nombre]]))))</f>
        <v>1</v>
      </c>
      <c r="R9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3" s="23" t="str" cm="1">
        <f t="array" ref="S9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3" s="23" t="str" cm="1">
        <f t="array" ref="T9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3" s="14" t="str" cm="1">
        <f t="array" ref="U9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3" t="str" cm="1">
        <f t="array" ref="V9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3" t="str" cm="1">
        <f t="array" ref="W9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3" t="str">
        <f>IF(COUNTIFS('Base Estudiantes'!$C:$C,tblMatriculas[[#This Row],[Cédula]],'Base Estudiantes'!$I:$I,tblMatriculas[[#This Row],[Código]])&gt;0,"Sí","No")</f>
        <v>Sí</v>
      </c>
      <c r="Z993" s="23" cm="1">
        <f t="array" ref="Z993">_xlfn.XLOOKUP(tblMatriculas[[#This Row],[Cédula]]&amp;"|"&amp;tblMatriculas[[#This Row],[Código]],tblBase[Documento]&amp;"|"&amp;tblBase[Código grupo],tblBase[Fecha matrícula],"")</f>
        <v>46263</v>
      </c>
    </row>
    <row r="994" spans="1:26" x14ac:dyDescent="0.2">
      <c r="A994" t="s">
        <v>2127</v>
      </c>
      <c r="B994" t="s">
        <v>2128</v>
      </c>
      <c r="C994" t="s">
        <v>13</v>
      </c>
      <c r="D994" t="s">
        <v>2075</v>
      </c>
      <c r="E994" t="s">
        <v>2076</v>
      </c>
      <c r="F994" t="s">
        <v>111</v>
      </c>
      <c r="G994" s="1">
        <v>6.7000000000000004E-2</v>
      </c>
      <c r="H994" t="s">
        <v>166</v>
      </c>
      <c r="I994" t="s">
        <v>1580</v>
      </c>
      <c r="J994" t="s">
        <v>2077</v>
      </c>
      <c r="K994" t="s">
        <v>24</v>
      </c>
      <c r="L994" s="14">
        <f>IFERROR(VALUE(LEFT(tblMatriculas[[#This Row],[Clases]],FIND("/",tblMatriculas[[#This Row],[Clases]])-1)),"")</f>
        <v>2</v>
      </c>
      <c r="M994" s="14">
        <f>IFERROR(VALUE(MID(tblMatriculas[[#This Row],[Clases]],FIND("/",tblMatriculas[[#This Row],[Clases]])+1,5)),"")</f>
        <v>30</v>
      </c>
      <c r="N9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4" s="14">
        <f>IF(OR(tblMatriculas[[#This Row],[Estado]]&lt;&gt;"activa",tblMatriculas[[#This Row],[Clases dictadas]]=""),"",MAX(0,tblMatriculas[[#This Row],[Clases dictadas]]-tblMatriculas[[#This Row],[Asistidas]]))</f>
        <v>4</v>
      </c>
      <c r="P994" s="1">
        <f>IF(OR(tblMatriculas[[#This Row],[Estado]]&lt;&gt;"activa",tblMatriculas[[#This Row],[Asistidas]]=""),"",tblMatriculas[[#This Row],[Asistencia]])</f>
        <v>6.7000000000000004E-2</v>
      </c>
      <c r="Q994" t="b">
        <f>AND(tblMatriculas[[#This Row],[Estado]]="activa",ISNUMBER(tblMatriculas[[#This Row],[% asistencia]]),NOT(ISNUMBER(SEARCH(pPrueba,tblMatriculas[[#This Row],[Nombre]]))))</f>
        <v>1</v>
      </c>
      <c r="R9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994" s="23" t="str" cm="1">
        <f t="array" ref="S9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4" s="23" t="str" cm="1">
        <f t="array" ref="T9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4" s="14" t="str" cm="1">
        <f t="array" ref="U9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4" t="str" cm="1">
        <f t="array" ref="V9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4" t="str" cm="1">
        <f t="array" ref="W9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9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994" t="str">
        <f>IF(COUNTIFS('Base Estudiantes'!$C:$C,tblMatriculas[[#This Row],[Cédula]],'Base Estudiantes'!$I:$I,tblMatriculas[[#This Row],[Código]])&gt;0,"Sí","No")</f>
        <v>Sí</v>
      </c>
      <c r="Z994" s="23" cm="1">
        <f t="array" ref="Z994">_xlfn.XLOOKUP(tblMatriculas[[#This Row],[Cédula]]&amp;"|"&amp;tblMatriculas[[#This Row],[Código]],tblBase[Documento]&amp;"|"&amp;tblBase[Código grupo],tblBase[Fecha matrícula],"")</f>
        <v>46263</v>
      </c>
    </row>
    <row r="995" spans="1:26" x14ac:dyDescent="0.2">
      <c r="A995" t="s">
        <v>2129</v>
      </c>
      <c r="B995" t="s">
        <v>2130</v>
      </c>
      <c r="C995" t="s">
        <v>13</v>
      </c>
      <c r="D995" t="s">
        <v>2075</v>
      </c>
      <c r="E995" t="s">
        <v>2076</v>
      </c>
      <c r="F995" t="s">
        <v>111</v>
      </c>
      <c r="G995" s="1">
        <v>0.2</v>
      </c>
      <c r="H995" t="s">
        <v>232</v>
      </c>
      <c r="I995" t="s">
        <v>1580</v>
      </c>
      <c r="J995" t="s">
        <v>2077</v>
      </c>
      <c r="K995" t="s">
        <v>24</v>
      </c>
      <c r="L995" s="14">
        <f>IFERROR(VALUE(LEFT(tblMatriculas[[#This Row],[Clases]],FIND("/",tblMatriculas[[#This Row],[Clases]])-1)),"")</f>
        <v>6</v>
      </c>
      <c r="M995" s="14">
        <f>IFERROR(VALUE(MID(tblMatriculas[[#This Row],[Clases]],FIND("/",tblMatriculas[[#This Row],[Clases]])+1,5)),"")</f>
        <v>30</v>
      </c>
      <c r="N9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5" s="14">
        <f>IF(OR(tblMatriculas[[#This Row],[Estado]]&lt;&gt;"activa",tblMatriculas[[#This Row],[Clases dictadas]]=""),"",MAX(0,tblMatriculas[[#This Row],[Clases dictadas]]-tblMatriculas[[#This Row],[Asistidas]]))</f>
        <v>0</v>
      </c>
      <c r="P995" s="1">
        <f>IF(OR(tblMatriculas[[#This Row],[Estado]]&lt;&gt;"activa",tblMatriculas[[#This Row],[Asistidas]]=""),"",tblMatriculas[[#This Row],[Asistencia]])</f>
        <v>0.2</v>
      </c>
      <c r="Q995" t="b">
        <f>AND(tblMatriculas[[#This Row],[Estado]]="activa",ISNUMBER(tblMatriculas[[#This Row],[% asistencia]]),NOT(ISNUMBER(SEARCH(pPrueba,tblMatriculas[[#This Row],[Nombre]]))))</f>
        <v>1</v>
      </c>
      <c r="R9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5" s="23" t="str" cm="1">
        <f t="array" ref="S9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5" s="23" t="str" cm="1">
        <f t="array" ref="T9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5" s="14" t="str" cm="1">
        <f t="array" ref="U9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5" t="str" cm="1">
        <f t="array" ref="V9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5" t="str" cm="1">
        <f t="array" ref="W9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5" t="str">
        <f>IF(COUNTIFS('Base Estudiantes'!$C:$C,tblMatriculas[[#This Row],[Cédula]],'Base Estudiantes'!$I:$I,tblMatriculas[[#This Row],[Código]])&gt;0,"Sí","No")</f>
        <v>Sí</v>
      </c>
      <c r="Z995" s="23" cm="1">
        <f t="array" ref="Z995">_xlfn.XLOOKUP(tblMatriculas[[#This Row],[Cédula]]&amp;"|"&amp;tblMatriculas[[#This Row],[Código]],tblBase[Documento]&amp;"|"&amp;tblBase[Código grupo],tblBase[Fecha matrícula],"")</f>
        <v>46263</v>
      </c>
    </row>
    <row r="996" spans="1:26" x14ac:dyDescent="0.2">
      <c r="A996" t="s">
        <v>2131</v>
      </c>
      <c r="B996" t="s">
        <v>2132</v>
      </c>
      <c r="C996" t="s">
        <v>13</v>
      </c>
      <c r="D996" t="s">
        <v>2075</v>
      </c>
      <c r="E996" t="s">
        <v>2076</v>
      </c>
      <c r="F996" t="s">
        <v>111</v>
      </c>
      <c r="G996" s="1">
        <v>0.2</v>
      </c>
      <c r="H996" t="s">
        <v>232</v>
      </c>
      <c r="I996" t="s">
        <v>1580</v>
      </c>
      <c r="J996" t="s">
        <v>2077</v>
      </c>
      <c r="K996" t="s">
        <v>24</v>
      </c>
      <c r="L996" s="14">
        <f>IFERROR(VALUE(LEFT(tblMatriculas[[#This Row],[Clases]],FIND("/",tblMatriculas[[#This Row],[Clases]])-1)),"")</f>
        <v>6</v>
      </c>
      <c r="M996" s="14">
        <f>IFERROR(VALUE(MID(tblMatriculas[[#This Row],[Clases]],FIND("/",tblMatriculas[[#This Row],[Clases]])+1,5)),"")</f>
        <v>30</v>
      </c>
      <c r="N9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6" s="14">
        <f>IF(OR(tblMatriculas[[#This Row],[Estado]]&lt;&gt;"activa",tblMatriculas[[#This Row],[Clases dictadas]]=""),"",MAX(0,tblMatriculas[[#This Row],[Clases dictadas]]-tblMatriculas[[#This Row],[Asistidas]]))</f>
        <v>0</v>
      </c>
      <c r="P996" s="1">
        <f>IF(OR(tblMatriculas[[#This Row],[Estado]]&lt;&gt;"activa",tblMatriculas[[#This Row],[Asistidas]]=""),"",tblMatriculas[[#This Row],[Asistencia]])</f>
        <v>0.2</v>
      </c>
      <c r="Q996" t="b">
        <f>AND(tblMatriculas[[#This Row],[Estado]]="activa",ISNUMBER(tblMatriculas[[#This Row],[% asistencia]]),NOT(ISNUMBER(SEARCH(pPrueba,tblMatriculas[[#This Row],[Nombre]]))))</f>
        <v>1</v>
      </c>
      <c r="R9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6" s="23" t="str" cm="1">
        <f t="array" ref="S9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6" s="23" t="str" cm="1">
        <f t="array" ref="T9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6" s="14" t="str" cm="1">
        <f t="array" ref="U9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6" t="str" cm="1">
        <f t="array" ref="V9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6" t="str" cm="1">
        <f t="array" ref="W9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6" t="str">
        <f>IF(COUNTIFS('Base Estudiantes'!$C:$C,tblMatriculas[[#This Row],[Cédula]],'Base Estudiantes'!$I:$I,tblMatriculas[[#This Row],[Código]])&gt;0,"Sí","No")</f>
        <v>Sí</v>
      </c>
      <c r="Z996" s="23" cm="1">
        <f t="array" ref="Z996">_xlfn.XLOOKUP(tblMatriculas[[#This Row],[Cédula]]&amp;"|"&amp;tblMatriculas[[#This Row],[Código]],tblBase[Documento]&amp;"|"&amp;tblBase[Código grupo],tblBase[Fecha matrícula],"")</f>
        <v>46263</v>
      </c>
    </row>
    <row r="997" spans="1:26" x14ac:dyDescent="0.2">
      <c r="A997" t="s">
        <v>2133</v>
      </c>
      <c r="B997" t="s">
        <v>2134</v>
      </c>
      <c r="C997" t="s">
        <v>13</v>
      </c>
      <c r="D997" t="s">
        <v>2075</v>
      </c>
      <c r="E997" t="s">
        <v>2076</v>
      </c>
      <c r="F997" t="s">
        <v>111</v>
      </c>
      <c r="G997" s="1">
        <v>0.2</v>
      </c>
      <c r="H997" t="s">
        <v>232</v>
      </c>
      <c r="I997" t="s">
        <v>1580</v>
      </c>
      <c r="J997" t="s">
        <v>2077</v>
      </c>
      <c r="K997" t="s">
        <v>24</v>
      </c>
      <c r="L997" s="14">
        <f>IFERROR(VALUE(LEFT(tblMatriculas[[#This Row],[Clases]],FIND("/",tblMatriculas[[#This Row],[Clases]])-1)),"")</f>
        <v>6</v>
      </c>
      <c r="M997" s="14">
        <f>IFERROR(VALUE(MID(tblMatriculas[[#This Row],[Clases]],FIND("/",tblMatriculas[[#This Row],[Clases]])+1,5)),"")</f>
        <v>30</v>
      </c>
      <c r="N9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7" s="14">
        <f>IF(OR(tblMatriculas[[#This Row],[Estado]]&lt;&gt;"activa",tblMatriculas[[#This Row],[Clases dictadas]]=""),"",MAX(0,tblMatriculas[[#This Row],[Clases dictadas]]-tblMatriculas[[#This Row],[Asistidas]]))</f>
        <v>0</v>
      </c>
      <c r="P997" s="1">
        <f>IF(OR(tblMatriculas[[#This Row],[Estado]]&lt;&gt;"activa",tblMatriculas[[#This Row],[Asistidas]]=""),"",tblMatriculas[[#This Row],[Asistencia]])</f>
        <v>0.2</v>
      </c>
      <c r="Q997" t="b">
        <f>AND(tblMatriculas[[#This Row],[Estado]]="activa",ISNUMBER(tblMatriculas[[#This Row],[% asistencia]]),NOT(ISNUMBER(SEARCH(pPrueba,tblMatriculas[[#This Row],[Nombre]]))))</f>
        <v>1</v>
      </c>
      <c r="R9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7" s="23" t="str" cm="1">
        <f t="array" ref="S9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7" s="23" t="str" cm="1">
        <f t="array" ref="T9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7" s="14" t="str" cm="1">
        <f t="array" ref="U9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7" t="str" cm="1">
        <f t="array" ref="V9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7" t="str" cm="1">
        <f t="array" ref="W9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7" t="str">
        <f>IF(COUNTIFS('Base Estudiantes'!$C:$C,tblMatriculas[[#This Row],[Cédula]],'Base Estudiantes'!$I:$I,tblMatriculas[[#This Row],[Código]])&gt;0,"Sí","No")</f>
        <v>Sí</v>
      </c>
      <c r="Z997" s="23" cm="1">
        <f t="array" ref="Z997">_xlfn.XLOOKUP(tblMatriculas[[#This Row],[Cédula]]&amp;"|"&amp;tblMatriculas[[#This Row],[Código]],tblBase[Documento]&amp;"|"&amp;tblBase[Código grupo],tblBase[Fecha matrícula],"")</f>
        <v>46263</v>
      </c>
    </row>
    <row r="998" spans="1:26" x14ac:dyDescent="0.2">
      <c r="A998" t="s">
        <v>2135</v>
      </c>
      <c r="B998" t="s">
        <v>2136</v>
      </c>
      <c r="C998" t="s">
        <v>13</v>
      </c>
      <c r="D998" t="s">
        <v>2075</v>
      </c>
      <c r="E998" t="s">
        <v>2076</v>
      </c>
      <c r="F998" t="s">
        <v>111</v>
      </c>
      <c r="G998" s="1">
        <v>0.2</v>
      </c>
      <c r="H998" t="s">
        <v>232</v>
      </c>
      <c r="I998" t="s">
        <v>1580</v>
      </c>
      <c r="J998" t="s">
        <v>2077</v>
      </c>
      <c r="K998" t="s">
        <v>24</v>
      </c>
      <c r="L998" s="14">
        <f>IFERROR(VALUE(LEFT(tblMatriculas[[#This Row],[Clases]],FIND("/",tblMatriculas[[#This Row],[Clases]])-1)),"")</f>
        <v>6</v>
      </c>
      <c r="M998" s="14">
        <f>IFERROR(VALUE(MID(tblMatriculas[[#This Row],[Clases]],FIND("/",tblMatriculas[[#This Row],[Clases]])+1,5)),"")</f>
        <v>30</v>
      </c>
      <c r="N9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8" s="14">
        <f>IF(OR(tblMatriculas[[#This Row],[Estado]]&lt;&gt;"activa",tblMatriculas[[#This Row],[Clases dictadas]]=""),"",MAX(0,tblMatriculas[[#This Row],[Clases dictadas]]-tblMatriculas[[#This Row],[Asistidas]]))</f>
        <v>0</v>
      </c>
      <c r="P998" s="1">
        <f>IF(OR(tblMatriculas[[#This Row],[Estado]]&lt;&gt;"activa",tblMatriculas[[#This Row],[Asistidas]]=""),"",tblMatriculas[[#This Row],[Asistencia]])</f>
        <v>0.2</v>
      </c>
      <c r="Q998" t="b">
        <f>AND(tblMatriculas[[#This Row],[Estado]]="activa",ISNUMBER(tblMatriculas[[#This Row],[% asistencia]]),NOT(ISNUMBER(SEARCH(pPrueba,tblMatriculas[[#This Row],[Nombre]]))))</f>
        <v>1</v>
      </c>
      <c r="R9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8" s="23" t="str" cm="1">
        <f t="array" ref="S9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8" s="23" t="str" cm="1">
        <f t="array" ref="T9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8" s="14" t="str" cm="1">
        <f t="array" ref="U9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8" t="str" cm="1">
        <f t="array" ref="V9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8" t="str" cm="1">
        <f t="array" ref="W9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8" t="str">
        <f>IF(COUNTIFS('Base Estudiantes'!$C:$C,tblMatriculas[[#This Row],[Cédula]],'Base Estudiantes'!$I:$I,tblMatriculas[[#This Row],[Código]])&gt;0,"Sí","No")</f>
        <v>Sí</v>
      </c>
      <c r="Z998" s="23" cm="1">
        <f t="array" ref="Z998">_xlfn.XLOOKUP(tblMatriculas[[#This Row],[Cédula]]&amp;"|"&amp;tblMatriculas[[#This Row],[Código]],tblBase[Documento]&amp;"|"&amp;tblBase[Código grupo],tblBase[Fecha matrícula],"")</f>
        <v>46263</v>
      </c>
    </row>
    <row r="999" spans="1:26" x14ac:dyDescent="0.2">
      <c r="A999" t="s">
        <v>2137</v>
      </c>
      <c r="B999" t="s">
        <v>2138</v>
      </c>
      <c r="C999" t="s">
        <v>13</v>
      </c>
      <c r="D999" t="s">
        <v>2075</v>
      </c>
      <c r="E999" t="s">
        <v>2076</v>
      </c>
      <c r="F999" t="s">
        <v>111</v>
      </c>
      <c r="G999" s="1">
        <v>0.16699999999999998</v>
      </c>
      <c r="H999" t="s">
        <v>229</v>
      </c>
      <c r="I999" t="s">
        <v>1580</v>
      </c>
      <c r="J999" t="s">
        <v>2077</v>
      </c>
      <c r="K999" t="s">
        <v>24</v>
      </c>
      <c r="L999" s="14">
        <f>IFERROR(VALUE(LEFT(tblMatriculas[[#This Row],[Clases]],FIND("/",tblMatriculas[[#This Row],[Clases]])-1)),"")</f>
        <v>5</v>
      </c>
      <c r="M999" s="14">
        <f>IFERROR(VALUE(MID(tblMatriculas[[#This Row],[Clases]],FIND("/",tblMatriculas[[#This Row],[Clases]])+1,5)),"")</f>
        <v>30</v>
      </c>
      <c r="N9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999" s="14">
        <f>IF(OR(tblMatriculas[[#This Row],[Estado]]&lt;&gt;"activa",tblMatriculas[[#This Row],[Clases dictadas]]=""),"",MAX(0,tblMatriculas[[#This Row],[Clases dictadas]]-tblMatriculas[[#This Row],[Asistidas]]))</f>
        <v>1</v>
      </c>
      <c r="P999" s="1">
        <f>IF(OR(tblMatriculas[[#This Row],[Estado]]&lt;&gt;"activa",tblMatriculas[[#This Row],[Asistidas]]=""),"",tblMatriculas[[#This Row],[Asistencia]])</f>
        <v>0.16699999999999998</v>
      </c>
      <c r="Q999" t="b">
        <f>AND(tblMatriculas[[#This Row],[Estado]]="activa",ISNUMBER(tblMatriculas[[#This Row],[% asistencia]]),NOT(ISNUMBER(SEARCH(pPrueba,tblMatriculas[[#This Row],[Nombre]]))))</f>
        <v>1</v>
      </c>
      <c r="R9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999" s="23" t="str" cm="1">
        <f t="array" ref="S9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999" s="23" t="str" cm="1">
        <f t="array" ref="T9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999" s="14" t="str" cm="1">
        <f t="array" ref="U9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999" t="str" cm="1">
        <f t="array" ref="V9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999" t="str" cm="1">
        <f t="array" ref="W9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9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999" t="str">
        <f>IF(COUNTIFS('Base Estudiantes'!$C:$C,tblMatriculas[[#This Row],[Cédula]],'Base Estudiantes'!$I:$I,tblMatriculas[[#This Row],[Código]])&gt;0,"Sí","No")</f>
        <v>Sí</v>
      </c>
      <c r="Z999" s="23" cm="1">
        <f t="array" ref="Z999">_xlfn.XLOOKUP(tblMatriculas[[#This Row],[Cédula]]&amp;"|"&amp;tblMatriculas[[#This Row],[Código]],tblBase[Documento]&amp;"|"&amp;tblBase[Código grupo],tblBase[Fecha matrícula],"")</f>
        <v>46263</v>
      </c>
    </row>
    <row r="1000" spans="1:26" x14ac:dyDescent="0.2">
      <c r="A1000" t="s">
        <v>2139</v>
      </c>
      <c r="B1000" t="s">
        <v>2140</v>
      </c>
      <c r="C1000" t="s">
        <v>13</v>
      </c>
      <c r="D1000" t="s">
        <v>2075</v>
      </c>
      <c r="E1000" t="s">
        <v>2076</v>
      </c>
      <c r="F1000" t="s">
        <v>111</v>
      </c>
      <c r="G1000" s="1">
        <v>0.2</v>
      </c>
      <c r="H1000" t="s">
        <v>232</v>
      </c>
      <c r="I1000" t="s">
        <v>1580</v>
      </c>
      <c r="J1000" t="s">
        <v>2077</v>
      </c>
      <c r="K1000" t="s">
        <v>24</v>
      </c>
      <c r="L1000" s="14">
        <f>IFERROR(VALUE(LEFT(tblMatriculas[[#This Row],[Clases]],FIND("/",tblMatriculas[[#This Row],[Clases]])-1)),"")</f>
        <v>6</v>
      </c>
      <c r="M1000" s="14">
        <f>IFERROR(VALUE(MID(tblMatriculas[[#This Row],[Clases]],FIND("/",tblMatriculas[[#This Row],[Clases]])+1,5)),"")</f>
        <v>30</v>
      </c>
      <c r="N10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0" s="14">
        <f>IF(OR(tblMatriculas[[#This Row],[Estado]]&lt;&gt;"activa",tblMatriculas[[#This Row],[Clases dictadas]]=""),"",MAX(0,tblMatriculas[[#This Row],[Clases dictadas]]-tblMatriculas[[#This Row],[Asistidas]]))</f>
        <v>0</v>
      </c>
      <c r="P1000" s="1">
        <f>IF(OR(tblMatriculas[[#This Row],[Estado]]&lt;&gt;"activa",tblMatriculas[[#This Row],[Asistidas]]=""),"",tblMatriculas[[#This Row],[Asistencia]])</f>
        <v>0.2</v>
      </c>
      <c r="Q1000" t="b">
        <f>AND(tblMatriculas[[#This Row],[Estado]]="activa",ISNUMBER(tblMatriculas[[#This Row],[% asistencia]]),NOT(ISNUMBER(SEARCH(pPrueba,tblMatriculas[[#This Row],[Nombre]]))))</f>
        <v>1</v>
      </c>
      <c r="R10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0" s="23" t="str" cm="1">
        <f t="array" ref="S10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0" s="23" t="str" cm="1">
        <f t="array" ref="T10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0" s="14" t="str" cm="1">
        <f t="array" ref="U10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0" t="str" cm="1">
        <f t="array" ref="V10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0" t="str" cm="1">
        <f t="array" ref="W10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0" t="str">
        <f>IF(COUNTIFS('Base Estudiantes'!$C:$C,tblMatriculas[[#This Row],[Cédula]],'Base Estudiantes'!$I:$I,tblMatriculas[[#This Row],[Código]])&gt;0,"Sí","No")</f>
        <v>Sí</v>
      </c>
      <c r="Z1000" s="23" cm="1">
        <f t="array" ref="Z1000">_xlfn.XLOOKUP(tblMatriculas[[#This Row],[Cédula]]&amp;"|"&amp;tblMatriculas[[#This Row],[Código]],tblBase[Documento]&amp;"|"&amp;tblBase[Código grupo],tblBase[Fecha matrícula],"")</f>
        <v>46263</v>
      </c>
    </row>
    <row r="1001" spans="1:26" x14ac:dyDescent="0.2">
      <c r="A1001" t="s">
        <v>2141</v>
      </c>
      <c r="B1001" t="s">
        <v>2142</v>
      </c>
      <c r="C1001" t="s">
        <v>13</v>
      </c>
      <c r="D1001" t="s">
        <v>2075</v>
      </c>
      <c r="E1001" t="s">
        <v>2076</v>
      </c>
      <c r="F1001" t="s">
        <v>111</v>
      </c>
      <c r="G1001" s="1">
        <v>0.2</v>
      </c>
      <c r="H1001" t="s">
        <v>232</v>
      </c>
      <c r="I1001" t="s">
        <v>1580</v>
      </c>
      <c r="J1001" t="s">
        <v>2077</v>
      </c>
      <c r="K1001" t="s">
        <v>24</v>
      </c>
      <c r="L1001" s="14">
        <f>IFERROR(VALUE(LEFT(tblMatriculas[[#This Row],[Clases]],FIND("/",tblMatriculas[[#This Row],[Clases]])-1)),"")</f>
        <v>6</v>
      </c>
      <c r="M1001" s="14">
        <f>IFERROR(VALUE(MID(tblMatriculas[[#This Row],[Clases]],FIND("/",tblMatriculas[[#This Row],[Clases]])+1,5)),"")</f>
        <v>30</v>
      </c>
      <c r="N10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1" s="14">
        <f>IF(OR(tblMatriculas[[#This Row],[Estado]]&lt;&gt;"activa",tblMatriculas[[#This Row],[Clases dictadas]]=""),"",MAX(0,tblMatriculas[[#This Row],[Clases dictadas]]-tblMatriculas[[#This Row],[Asistidas]]))</f>
        <v>0</v>
      </c>
      <c r="P1001" s="1">
        <f>IF(OR(tblMatriculas[[#This Row],[Estado]]&lt;&gt;"activa",tblMatriculas[[#This Row],[Asistidas]]=""),"",tblMatriculas[[#This Row],[Asistencia]])</f>
        <v>0.2</v>
      </c>
      <c r="Q1001" t="b">
        <f>AND(tblMatriculas[[#This Row],[Estado]]="activa",ISNUMBER(tblMatriculas[[#This Row],[% asistencia]]),NOT(ISNUMBER(SEARCH(pPrueba,tblMatriculas[[#This Row],[Nombre]]))))</f>
        <v>1</v>
      </c>
      <c r="R10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1" s="23" t="str" cm="1">
        <f t="array" ref="S10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1" s="23" t="str" cm="1">
        <f t="array" ref="T10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1" s="14" t="str" cm="1">
        <f t="array" ref="U10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1" t="str" cm="1">
        <f t="array" ref="V10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1" t="str" cm="1">
        <f t="array" ref="W10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1" t="str">
        <f>IF(COUNTIFS('Base Estudiantes'!$C:$C,tblMatriculas[[#This Row],[Cédula]],'Base Estudiantes'!$I:$I,tblMatriculas[[#This Row],[Código]])&gt;0,"Sí","No")</f>
        <v>Sí</v>
      </c>
      <c r="Z1001" s="23" cm="1">
        <f t="array" ref="Z1001">_xlfn.XLOOKUP(tblMatriculas[[#This Row],[Cédula]]&amp;"|"&amp;tblMatriculas[[#This Row],[Código]],tblBase[Documento]&amp;"|"&amp;tblBase[Código grupo],tblBase[Fecha matrícula],"")</f>
        <v>46263</v>
      </c>
    </row>
    <row r="1002" spans="1:26" x14ac:dyDescent="0.2">
      <c r="A1002" t="s">
        <v>2143</v>
      </c>
      <c r="B1002" t="s">
        <v>2144</v>
      </c>
      <c r="C1002" t="s">
        <v>13</v>
      </c>
      <c r="D1002" t="s">
        <v>2075</v>
      </c>
      <c r="E1002" t="s">
        <v>2076</v>
      </c>
      <c r="F1002" t="s">
        <v>111</v>
      </c>
      <c r="G1002" s="1">
        <v>3.3000000000000002E-2</v>
      </c>
      <c r="H1002" t="s">
        <v>225</v>
      </c>
      <c r="I1002" t="s">
        <v>1580</v>
      </c>
      <c r="J1002" t="s">
        <v>2077</v>
      </c>
      <c r="K1002" t="s">
        <v>24</v>
      </c>
      <c r="L1002" s="14">
        <f>IFERROR(VALUE(LEFT(tblMatriculas[[#This Row],[Clases]],FIND("/",tblMatriculas[[#This Row],[Clases]])-1)),"")</f>
        <v>1</v>
      </c>
      <c r="M1002" s="14">
        <f>IFERROR(VALUE(MID(tblMatriculas[[#This Row],[Clases]],FIND("/",tblMatriculas[[#This Row],[Clases]])+1,5)),"")</f>
        <v>30</v>
      </c>
      <c r="N10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2" s="14">
        <f>IF(OR(tblMatriculas[[#This Row],[Estado]]&lt;&gt;"activa",tblMatriculas[[#This Row],[Clases dictadas]]=""),"",MAX(0,tblMatriculas[[#This Row],[Clases dictadas]]-tblMatriculas[[#This Row],[Asistidas]]))</f>
        <v>5</v>
      </c>
      <c r="P1002" s="1">
        <f>IF(OR(tblMatriculas[[#This Row],[Estado]]&lt;&gt;"activa",tblMatriculas[[#This Row],[Asistidas]]=""),"",tblMatriculas[[#This Row],[Asistencia]])</f>
        <v>3.3000000000000002E-2</v>
      </c>
      <c r="Q1002" t="b">
        <f>AND(tblMatriculas[[#This Row],[Estado]]="activa",ISNUMBER(tblMatriculas[[#This Row],[% asistencia]]),NOT(ISNUMBER(SEARCH(pPrueba,tblMatriculas[[#This Row],[Nombre]]))))</f>
        <v>1</v>
      </c>
      <c r="R10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02" s="23" t="str" cm="1">
        <f t="array" ref="S10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2" s="23" t="str" cm="1">
        <f t="array" ref="T10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2" s="14" t="str" cm="1">
        <f t="array" ref="U10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2" t="str" cm="1">
        <f t="array" ref="V10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2" t="str" cm="1">
        <f t="array" ref="W10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02" t="str">
        <f>IF(COUNTIFS('Base Estudiantes'!$C:$C,tblMatriculas[[#This Row],[Cédula]],'Base Estudiantes'!$I:$I,tblMatriculas[[#This Row],[Código]])&gt;0,"Sí","No")</f>
        <v>Sí</v>
      </c>
      <c r="Z1002" s="23" cm="1">
        <f t="array" ref="Z1002">_xlfn.XLOOKUP(tblMatriculas[[#This Row],[Cédula]]&amp;"|"&amp;tblMatriculas[[#This Row],[Código]],tblBase[Documento]&amp;"|"&amp;tblBase[Código grupo],tblBase[Fecha matrícula],"")</f>
        <v>46263</v>
      </c>
    </row>
    <row r="1003" spans="1:26" x14ac:dyDescent="0.2">
      <c r="A1003" t="s">
        <v>2145</v>
      </c>
      <c r="B1003" t="s">
        <v>2146</v>
      </c>
      <c r="C1003" t="s">
        <v>13</v>
      </c>
      <c r="D1003" t="s">
        <v>2075</v>
      </c>
      <c r="E1003" t="s">
        <v>2076</v>
      </c>
      <c r="F1003" t="s">
        <v>111</v>
      </c>
      <c r="G1003" s="1">
        <v>0.2</v>
      </c>
      <c r="H1003" t="s">
        <v>232</v>
      </c>
      <c r="I1003" t="s">
        <v>1580</v>
      </c>
      <c r="J1003" t="s">
        <v>2077</v>
      </c>
      <c r="K1003" t="s">
        <v>24</v>
      </c>
      <c r="L1003" s="14">
        <f>IFERROR(VALUE(LEFT(tblMatriculas[[#This Row],[Clases]],FIND("/",tblMatriculas[[#This Row],[Clases]])-1)),"")</f>
        <v>6</v>
      </c>
      <c r="M1003" s="14">
        <f>IFERROR(VALUE(MID(tblMatriculas[[#This Row],[Clases]],FIND("/",tblMatriculas[[#This Row],[Clases]])+1,5)),"")</f>
        <v>30</v>
      </c>
      <c r="N10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3" s="14">
        <f>IF(OR(tblMatriculas[[#This Row],[Estado]]&lt;&gt;"activa",tblMatriculas[[#This Row],[Clases dictadas]]=""),"",MAX(0,tblMatriculas[[#This Row],[Clases dictadas]]-tblMatriculas[[#This Row],[Asistidas]]))</f>
        <v>0</v>
      </c>
      <c r="P1003" s="1">
        <f>IF(OR(tblMatriculas[[#This Row],[Estado]]&lt;&gt;"activa",tblMatriculas[[#This Row],[Asistidas]]=""),"",tblMatriculas[[#This Row],[Asistencia]])</f>
        <v>0.2</v>
      </c>
      <c r="Q1003" t="b">
        <f>AND(tblMatriculas[[#This Row],[Estado]]="activa",ISNUMBER(tblMatriculas[[#This Row],[% asistencia]]),NOT(ISNUMBER(SEARCH(pPrueba,tblMatriculas[[#This Row],[Nombre]]))))</f>
        <v>1</v>
      </c>
      <c r="R10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3" s="23" t="str" cm="1">
        <f t="array" ref="S10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3" s="23" t="str" cm="1">
        <f t="array" ref="T10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3" s="14" t="str" cm="1">
        <f t="array" ref="U10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3" t="str" cm="1">
        <f t="array" ref="V10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3" t="str" cm="1">
        <f t="array" ref="W10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3" t="str">
        <f>IF(COUNTIFS('Base Estudiantes'!$C:$C,tblMatriculas[[#This Row],[Cédula]],'Base Estudiantes'!$I:$I,tblMatriculas[[#This Row],[Código]])&gt;0,"Sí","No")</f>
        <v>Sí</v>
      </c>
      <c r="Z1003" s="23" cm="1">
        <f t="array" ref="Z1003">_xlfn.XLOOKUP(tblMatriculas[[#This Row],[Cédula]]&amp;"|"&amp;tblMatriculas[[#This Row],[Código]],tblBase[Documento]&amp;"|"&amp;tblBase[Código grupo],tblBase[Fecha matrícula],"")</f>
        <v>46263</v>
      </c>
    </row>
    <row r="1004" spans="1:26" x14ac:dyDescent="0.2">
      <c r="A1004" t="s">
        <v>2147</v>
      </c>
      <c r="B1004" t="s">
        <v>2148</v>
      </c>
      <c r="C1004" t="s">
        <v>13</v>
      </c>
      <c r="D1004" t="s">
        <v>2075</v>
      </c>
      <c r="E1004" t="s">
        <v>2076</v>
      </c>
      <c r="F1004" t="s">
        <v>111</v>
      </c>
      <c r="G1004" s="1">
        <v>0.2</v>
      </c>
      <c r="H1004" t="s">
        <v>232</v>
      </c>
      <c r="I1004" t="s">
        <v>1580</v>
      </c>
      <c r="J1004" t="s">
        <v>2077</v>
      </c>
      <c r="K1004" t="s">
        <v>24</v>
      </c>
      <c r="L1004" s="14">
        <f>IFERROR(VALUE(LEFT(tblMatriculas[[#This Row],[Clases]],FIND("/",tblMatriculas[[#This Row],[Clases]])-1)),"")</f>
        <v>6</v>
      </c>
      <c r="M1004" s="14">
        <f>IFERROR(VALUE(MID(tblMatriculas[[#This Row],[Clases]],FIND("/",tblMatriculas[[#This Row],[Clases]])+1,5)),"")</f>
        <v>30</v>
      </c>
      <c r="N10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4" s="14">
        <f>IF(OR(tblMatriculas[[#This Row],[Estado]]&lt;&gt;"activa",tblMatriculas[[#This Row],[Clases dictadas]]=""),"",MAX(0,tblMatriculas[[#This Row],[Clases dictadas]]-tblMatriculas[[#This Row],[Asistidas]]))</f>
        <v>0</v>
      </c>
      <c r="P1004" s="1">
        <f>IF(OR(tblMatriculas[[#This Row],[Estado]]&lt;&gt;"activa",tblMatriculas[[#This Row],[Asistidas]]=""),"",tblMatriculas[[#This Row],[Asistencia]])</f>
        <v>0.2</v>
      </c>
      <c r="Q1004" t="b">
        <f>AND(tblMatriculas[[#This Row],[Estado]]="activa",ISNUMBER(tblMatriculas[[#This Row],[% asistencia]]),NOT(ISNUMBER(SEARCH(pPrueba,tblMatriculas[[#This Row],[Nombre]]))))</f>
        <v>1</v>
      </c>
      <c r="R10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4" s="23" t="str" cm="1">
        <f t="array" ref="S10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4" s="23" t="str" cm="1">
        <f t="array" ref="T10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4" s="14" t="str" cm="1">
        <f t="array" ref="U10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4" t="str" cm="1">
        <f t="array" ref="V10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4" t="str" cm="1">
        <f t="array" ref="W10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4" t="str">
        <f>IF(COUNTIFS('Base Estudiantes'!$C:$C,tblMatriculas[[#This Row],[Cédula]],'Base Estudiantes'!$I:$I,tblMatriculas[[#This Row],[Código]])&gt;0,"Sí","No")</f>
        <v>Sí</v>
      </c>
      <c r="Z1004" s="23" cm="1">
        <f t="array" ref="Z1004">_xlfn.XLOOKUP(tblMatriculas[[#This Row],[Cédula]]&amp;"|"&amp;tblMatriculas[[#This Row],[Código]],tblBase[Documento]&amp;"|"&amp;tblBase[Código grupo],tblBase[Fecha matrícula],"")</f>
        <v>46263</v>
      </c>
    </row>
    <row r="1005" spans="1:26" x14ac:dyDescent="0.2">
      <c r="A1005" t="s">
        <v>2149</v>
      </c>
      <c r="B1005" t="s">
        <v>2150</v>
      </c>
      <c r="C1005" t="s">
        <v>13</v>
      </c>
      <c r="D1005" t="s">
        <v>2075</v>
      </c>
      <c r="E1005" t="s">
        <v>2076</v>
      </c>
      <c r="F1005" t="s">
        <v>111</v>
      </c>
      <c r="G1005" s="1">
        <v>0.2</v>
      </c>
      <c r="H1005" t="s">
        <v>232</v>
      </c>
      <c r="I1005" t="s">
        <v>1580</v>
      </c>
      <c r="J1005" t="s">
        <v>2077</v>
      </c>
      <c r="K1005" t="s">
        <v>24</v>
      </c>
      <c r="L1005" s="14">
        <f>IFERROR(VALUE(LEFT(tblMatriculas[[#This Row],[Clases]],FIND("/",tblMatriculas[[#This Row],[Clases]])-1)),"")</f>
        <v>6</v>
      </c>
      <c r="M1005" s="14">
        <f>IFERROR(VALUE(MID(tblMatriculas[[#This Row],[Clases]],FIND("/",tblMatriculas[[#This Row],[Clases]])+1,5)),"")</f>
        <v>30</v>
      </c>
      <c r="N10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5" s="14">
        <f>IF(OR(tblMatriculas[[#This Row],[Estado]]&lt;&gt;"activa",tblMatriculas[[#This Row],[Clases dictadas]]=""),"",MAX(0,tblMatriculas[[#This Row],[Clases dictadas]]-tblMatriculas[[#This Row],[Asistidas]]))</f>
        <v>0</v>
      </c>
      <c r="P1005" s="1">
        <f>IF(OR(tblMatriculas[[#This Row],[Estado]]&lt;&gt;"activa",tblMatriculas[[#This Row],[Asistidas]]=""),"",tblMatriculas[[#This Row],[Asistencia]])</f>
        <v>0.2</v>
      </c>
      <c r="Q1005" t="b">
        <f>AND(tblMatriculas[[#This Row],[Estado]]="activa",ISNUMBER(tblMatriculas[[#This Row],[% asistencia]]),NOT(ISNUMBER(SEARCH(pPrueba,tblMatriculas[[#This Row],[Nombre]]))))</f>
        <v>1</v>
      </c>
      <c r="R10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5" s="23" t="str" cm="1">
        <f t="array" ref="S10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5" s="23" t="str" cm="1">
        <f t="array" ref="T10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5" s="14" t="str" cm="1">
        <f t="array" ref="U10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5" t="str" cm="1">
        <f t="array" ref="V10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5" t="str" cm="1">
        <f t="array" ref="W10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5" t="str">
        <f>IF(COUNTIFS('Base Estudiantes'!$C:$C,tblMatriculas[[#This Row],[Cédula]],'Base Estudiantes'!$I:$I,tblMatriculas[[#This Row],[Código]])&gt;0,"Sí","No")</f>
        <v>Sí</v>
      </c>
      <c r="Z1005" s="23" cm="1">
        <f t="array" ref="Z1005">_xlfn.XLOOKUP(tblMatriculas[[#This Row],[Cédula]]&amp;"|"&amp;tblMatriculas[[#This Row],[Código]],tblBase[Documento]&amp;"|"&amp;tblBase[Código grupo],tblBase[Fecha matrícula],"")</f>
        <v>46263</v>
      </c>
    </row>
    <row r="1006" spans="1:26" x14ac:dyDescent="0.2">
      <c r="A1006" t="s">
        <v>2151</v>
      </c>
      <c r="B1006" t="s">
        <v>2152</v>
      </c>
      <c r="C1006" t="s">
        <v>13</v>
      </c>
      <c r="D1006" t="s">
        <v>2075</v>
      </c>
      <c r="E1006" t="s">
        <v>2076</v>
      </c>
      <c r="F1006" t="s">
        <v>111</v>
      </c>
      <c r="G1006" s="1">
        <v>0.16699999999999998</v>
      </c>
      <c r="H1006" t="s">
        <v>229</v>
      </c>
      <c r="I1006" t="s">
        <v>1580</v>
      </c>
      <c r="J1006" t="s">
        <v>2077</v>
      </c>
      <c r="K1006" t="s">
        <v>24</v>
      </c>
      <c r="L1006" s="14">
        <f>IFERROR(VALUE(LEFT(tblMatriculas[[#This Row],[Clases]],FIND("/",tblMatriculas[[#This Row],[Clases]])-1)),"")</f>
        <v>5</v>
      </c>
      <c r="M1006" s="14">
        <f>IFERROR(VALUE(MID(tblMatriculas[[#This Row],[Clases]],FIND("/",tblMatriculas[[#This Row],[Clases]])+1,5)),"")</f>
        <v>30</v>
      </c>
      <c r="N10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6" s="14">
        <f>IF(OR(tblMatriculas[[#This Row],[Estado]]&lt;&gt;"activa",tblMatriculas[[#This Row],[Clases dictadas]]=""),"",MAX(0,tblMatriculas[[#This Row],[Clases dictadas]]-tblMatriculas[[#This Row],[Asistidas]]))</f>
        <v>1</v>
      </c>
      <c r="P1006" s="1">
        <f>IF(OR(tblMatriculas[[#This Row],[Estado]]&lt;&gt;"activa",tblMatriculas[[#This Row],[Asistidas]]=""),"",tblMatriculas[[#This Row],[Asistencia]])</f>
        <v>0.16699999999999998</v>
      </c>
      <c r="Q1006" t="b">
        <f>AND(tblMatriculas[[#This Row],[Estado]]="activa",ISNUMBER(tblMatriculas[[#This Row],[% asistencia]]),NOT(ISNUMBER(SEARCH(pPrueba,tblMatriculas[[#This Row],[Nombre]]))))</f>
        <v>1</v>
      </c>
      <c r="R10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6" s="23" t="str" cm="1">
        <f t="array" ref="S10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6" s="23" t="str" cm="1">
        <f t="array" ref="T10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6" s="14" t="str" cm="1">
        <f t="array" ref="U10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6" t="str" cm="1">
        <f t="array" ref="V10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6" t="str" cm="1">
        <f t="array" ref="W10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6" t="str">
        <f>IF(COUNTIFS('Base Estudiantes'!$C:$C,tblMatriculas[[#This Row],[Cédula]],'Base Estudiantes'!$I:$I,tblMatriculas[[#This Row],[Código]])&gt;0,"Sí","No")</f>
        <v>Sí</v>
      </c>
      <c r="Z1006" s="23" cm="1">
        <f t="array" ref="Z1006">_xlfn.XLOOKUP(tblMatriculas[[#This Row],[Cédula]]&amp;"|"&amp;tblMatriculas[[#This Row],[Código]],tblBase[Documento]&amp;"|"&amp;tblBase[Código grupo],tblBase[Fecha matrícula],"")</f>
        <v>46263</v>
      </c>
    </row>
    <row r="1007" spans="1:26" x14ac:dyDescent="0.2">
      <c r="A1007" t="s">
        <v>2153</v>
      </c>
      <c r="B1007" t="s">
        <v>2154</v>
      </c>
      <c r="C1007" t="s">
        <v>13</v>
      </c>
      <c r="D1007" t="s">
        <v>2075</v>
      </c>
      <c r="E1007" t="s">
        <v>2076</v>
      </c>
      <c r="F1007" t="s">
        <v>111</v>
      </c>
      <c r="G1007" s="1">
        <v>0.2</v>
      </c>
      <c r="H1007" t="s">
        <v>232</v>
      </c>
      <c r="I1007" t="s">
        <v>1580</v>
      </c>
      <c r="J1007" t="s">
        <v>2077</v>
      </c>
      <c r="K1007" t="s">
        <v>24</v>
      </c>
      <c r="L1007" s="14">
        <f>IFERROR(VALUE(LEFT(tblMatriculas[[#This Row],[Clases]],FIND("/",tblMatriculas[[#This Row],[Clases]])-1)),"")</f>
        <v>6</v>
      </c>
      <c r="M1007" s="14">
        <f>IFERROR(VALUE(MID(tblMatriculas[[#This Row],[Clases]],FIND("/",tblMatriculas[[#This Row],[Clases]])+1,5)),"")</f>
        <v>30</v>
      </c>
      <c r="N10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7" s="14">
        <f>IF(OR(tblMatriculas[[#This Row],[Estado]]&lt;&gt;"activa",tblMatriculas[[#This Row],[Clases dictadas]]=""),"",MAX(0,tblMatriculas[[#This Row],[Clases dictadas]]-tblMatriculas[[#This Row],[Asistidas]]))</f>
        <v>0</v>
      </c>
      <c r="P1007" s="1">
        <f>IF(OR(tblMatriculas[[#This Row],[Estado]]&lt;&gt;"activa",tblMatriculas[[#This Row],[Asistidas]]=""),"",tblMatriculas[[#This Row],[Asistencia]])</f>
        <v>0.2</v>
      </c>
      <c r="Q1007" t="b">
        <f>AND(tblMatriculas[[#This Row],[Estado]]="activa",ISNUMBER(tblMatriculas[[#This Row],[% asistencia]]),NOT(ISNUMBER(SEARCH(pPrueba,tblMatriculas[[#This Row],[Nombre]]))))</f>
        <v>1</v>
      </c>
      <c r="R10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7" s="23" t="str" cm="1">
        <f t="array" ref="S10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7" s="23" t="str" cm="1">
        <f t="array" ref="T10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7" s="14" t="str" cm="1">
        <f t="array" ref="U10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7" t="str" cm="1">
        <f t="array" ref="V10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7" t="str" cm="1">
        <f t="array" ref="W10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7" t="str">
        <f>IF(COUNTIFS('Base Estudiantes'!$C:$C,tblMatriculas[[#This Row],[Cédula]],'Base Estudiantes'!$I:$I,tblMatriculas[[#This Row],[Código]])&gt;0,"Sí","No")</f>
        <v>Sí</v>
      </c>
      <c r="Z1007" s="23" cm="1">
        <f t="array" ref="Z1007">_xlfn.XLOOKUP(tblMatriculas[[#This Row],[Cédula]]&amp;"|"&amp;tblMatriculas[[#This Row],[Código]],tblBase[Documento]&amp;"|"&amp;tblBase[Código grupo],tblBase[Fecha matrícula],"")</f>
        <v>46263</v>
      </c>
    </row>
    <row r="1008" spans="1:26" x14ac:dyDescent="0.2">
      <c r="A1008" t="s">
        <v>2155</v>
      </c>
      <c r="B1008" t="s">
        <v>2156</v>
      </c>
      <c r="C1008" t="s">
        <v>13</v>
      </c>
      <c r="D1008" t="s">
        <v>2075</v>
      </c>
      <c r="E1008" t="s">
        <v>2076</v>
      </c>
      <c r="F1008" t="s">
        <v>111</v>
      </c>
      <c r="G1008" s="1">
        <v>0</v>
      </c>
      <c r="H1008" t="s">
        <v>254</v>
      </c>
      <c r="I1008" t="s">
        <v>1580</v>
      </c>
      <c r="J1008" t="s">
        <v>2077</v>
      </c>
      <c r="K1008" t="s">
        <v>24</v>
      </c>
      <c r="L1008" s="14">
        <f>IFERROR(VALUE(LEFT(tblMatriculas[[#This Row],[Clases]],FIND("/",tblMatriculas[[#This Row],[Clases]])-1)),"")</f>
        <v>0</v>
      </c>
      <c r="M1008" s="14">
        <f>IFERROR(VALUE(MID(tblMatriculas[[#This Row],[Clases]],FIND("/",tblMatriculas[[#This Row],[Clases]])+1,5)),"")</f>
        <v>30</v>
      </c>
      <c r="N10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8" s="14">
        <f>IF(OR(tblMatriculas[[#This Row],[Estado]]&lt;&gt;"activa",tblMatriculas[[#This Row],[Clases dictadas]]=""),"",MAX(0,tblMatriculas[[#This Row],[Clases dictadas]]-tblMatriculas[[#This Row],[Asistidas]]))</f>
        <v>6</v>
      </c>
      <c r="P1008" s="1">
        <f>IF(OR(tblMatriculas[[#This Row],[Estado]]&lt;&gt;"activa",tblMatriculas[[#This Row],[Asistidas]]=""),"",tblMatriculas[[#This Row],[Asistencia]])</f>
        <v>0</v>
      </c>
      <c r="Q1008" t="b">
        <f>AND(tblMatriculas[[#This Row],[Estado]]="activa",ISNUMBER(tblMatriculas[[#This Row],[% asistencia]]),NOT(ISNUMBER(SEARCH(pPrueba,tblMatriculas[[#This Row],[Nombre]]))))</f>
        <v>1</v>
      </c>
      <c r="R10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08" s="23" t="str" cm="1">
        <f t="array" ref="S10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8" s="23" t="str" cm="1">
        <f t="array" ref="T10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8" s="14" t="str" cm="1">
        <f t="array" ref="U10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8" t="str" cm="1">
        <f t="array" ref="V10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8" t="str" cm="1">
        <f t="array" ref="W10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08" t="str">
        <f>IF(COUNTIFS('Base Estudiantes'!$C:$C,tblMatriculas[[#This Row],[Cédula]],'Base Estudiantes'!$I:$I,tblMatriculas[[#This Row],[Código]])&gt;0,"Sí","No")</f>
        <v>Sí</v>
      </c>
      <c r="Z1008" s="23" cm="1">
        <f t="array" ref="Z1008">_xlfn.XLOOKUP(tblMatriculas[[#This Row],[Cédula]]&amp;"|"&amp;tblMatriculas[[#This Row],[Código]],tblBase[Documento]&amp;"|"&amp;tblBase[Código grupo],tblBase[Fecha matrícula],"")</f>
        <v>46263</v>
      </c>
    </row>
    <row r="1009" spans="1:26" x14ac:dyDescent="0.2">
      <c r="A1009" t="s">
        <v>2157</v>
      </c>
      <c r="B1009" t="s">
        <v>2158</v>
      </c>
      <c r="C1009" t="s">
        <v>13</v>
      </c>
      <c r="D1009" t="s">
        <v>2075</v>
      </c>
      <c r="E1009" t="s">
        <v>2076</v>
      </c>
      <c r="F1009" t="s">
        <v>111</v>
      </c>
      <c r="G1009" s="1">
        <v>0.2</v>
      </c>
      <c r="H1009" t="s">
        <v>232</v>
      </c>
      <c r="I1009" t="s">
        <v>1580</v>
      </c>
      <c r="J1009" t="s">
        <v>2077</v>
      </c>
      <c r="K1009" t="s">
        <v>1788</v>
      </c>
      <c r="L1009" s="14">
        <f>IFERROR(VALUE(LEFT(tblMatriculas[[#This Row],[Clases]],FIND("/",tblMatriculas[[#This Row],[Clases]])-1)),"")</f>
        <v>6</v>
      </c>
      <c r="M1009" s="14">
        <f>IFERROR(VALUE(MID(tblMatriculas[[#This Row],[Clases]],FIND("/",tblMatriculas[[#This Row],[Clases]])+1,5)),"")</f>
        <v>30</v>
      </c>
      <c r="N10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09" s="14">
        <f>IF(OR(tblMatriculas[[#This Row],[Estado]]&lt;&gt;"activa",tblMatriculas[[#This Row],[Clases dictadas]]=""),"",MAX(0,tblMatriculas[[#This Row],[Clases dictadas]]-tblMatriculas[[#This Row],[Asistidas]]))</f>
        <v>0</v>
      </c>
      <c r="P1009" s="1">
        <f>IF(OR(tblMatriculas[[#This Row],[Estado]]&lt;&gt;"activa",tblMatriculas[[#This Row],[Asistidas]]=""),"",tblMatriculas[[#This Row],[Asistencia]])</f>
        <v>0.2</v>
      </c>
      <c r="Q1009" t="b">
        <f>AND(tblMatriculas[[#This Row],[Estado]]="activa",ISNUMBER(tblMatriculas[[#This Row],[% asistencia]]),NOT(ISNUMBER(SEARCH(pPrueba,tblMatriculas[[#This Row],[Nombre]]))))</f>
        <v>1</v>
      </c>
      <c r="R10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09" s="23" t="str" cm="1">
        <f t="array" ref="S10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09" s="23" t="str" cm="1">
        <f t="array" ref="T10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09" s="14" t="str" cm="1">
        <f t="array" ref="U10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09" t="str" cm="1">
        <f t="array" ref="V10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09" t="str" cm="1">
        <f t="array" ref="W10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09" t="str">
        <f>IF(COUNTIFS('Base Estudiantes'!$C:$C,tblMatriculas[[#This Row],[Cédula]],'Base Estudiantes'!$I:$I,tblMatriculas[[#This Row],[Código]])&gt;0,"Sí","No")</f>
        <v>Sí</v>
      </c>
      <c r="Z1009" s="23" cm="1">
        <f t="array" ref="Z1009">_xlfn.XLOOKUP(tblMatriculas[[#This Row],[Cédula]]&amp;"|"&amp;tblMatriculas[[#This Row],[Código]],tblBase[Documento]&amp;"|"&amp;tblBase[Código grupo],tblBase[Fecha matrícula],"")</f>
        <v>46263</v>
      </c>
    </row>
    <row r="1010" spans="1:26" x14ac:dyDescent="0.2">
      <c r="A1010" t="s">
        <v>2159</v>
      </c>
      <c r="B1010" t="s">
        <v>2160</v>
      </c>
      <c r="C1010" t="s">
        <v>13</v>
      </c>
      <c r="D1010" t="s">
        <v>2075</v>
      </c>
      <c r="E1010" t="s">
        <v>2076</v>
      </c>
      <c r="F1010" t="s">
        <v>111</v>
      </c>
      <c r="G1010" s="1">
        <v>3.3000000000000002E-2</v>
      </c>
      <c r="H1010" t="s">
        <v>225</v>
      </c>
      <c r="I1010" t="s">
        <v>1580</v>
      </c>
      <c r="J1010" t="s">
        <v>2077</v>
      </c>
      <c r="K1010" t="s">
        <v>1710</v>
      </c>
      <c r="L1010" s="14">
        <f>IFERROR(VALUE(LEFT(tblMatriculas[[#This Row],[Clases]],FIND("/",tblMatriculas[[#This Row],[Clases]])-1)),"")</f>
        <v>1</v>
      </c>
      <c r="M1010" s="14">
        <f>IFERROR(VALUE(MID(tblMatriculas[[#This Row],[Clases]],FIND("/",tblMatriculas[[#This Row],[Clases]])+1,5)),"")</f>
        <v>30</v>
      </c>
      <c r="N10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0" s="14">
        <f>IF(OR(tblMatriculas[[#This Row],[Estado]]&lt;&gt;"activa",tblMatriculas[[#This Row],[Clases dictadas]]=""),"",MAX(0,tblMatriculas[[#This Row],[Clases dictadas]]-tblMatriculas[[#This Row],[Asistidas]]))</f>
        <v>5</v>
      </c>
      <c r="P1010" s="1">
        <f>IF(OR(tblMatriculas[[#This Row],[Estado]]&lt;&gt;"activa",tblMatriculas[[#This Row],[Asistidas]]=""),"",tblMatriculas[[#This Row],[Asistencia]])</f>
        <v>3.3000000000000002E-2</v>
      </c>
      <c r="Q1010" t="b">
        <f>AND(tblMatriculas[[#This Row],[Estado]]="activa",ISNUMBER(tblMatriculas[[#This Row],[% asistencia]]),NOT(ISNUMBER(SEARCH(pPrueba,tblMatriculas[[#This Row],[Nombre]]))))</f>
        <v>1</v>
      </c>
      <c r="R10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10" s="23" t="str" cm="1">
        <f t="array" ref="S10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0" s="23" t="str" cm="1">
        <f t="array" ref="T10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0" s="14" t="str" cm="1">
        <f t="array" ref="U10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0" t="str" cm="1">
        <f t="array" ref="V10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0" t="str" cm="1">
        <f t="array" ref="W10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10" t="str">
        <f>IF(COUNTIFS('Base Estudiantes'!$C:$C,tblMatriculas[[#This Row],[Cédula]],'Base Estudiantes'!$I:$I,tblMatriculas[[#This Row],[Código]])&gt;0,"Sí","No")</f>
        <v>Sí</v>
      </c>
      <c r="Z1010" s="23" cm="1">
        <f t="array" ref="Z1010">_xlfn.XLOOKUP(tblMatriculas[[#This Row],[Cédula]]&amp;"|"&amp;tblMatriculas[[#This Row],[Código]],tblBase[Documento]&amp;"|"&amp;tblBase[Código grupo],tblBase[Fecha matrícula],"")</f>
        <v>46263</v>
      </c>
    </row>
    <row r="1011" spans="1:26" x14ac:dyDescent="0.2">
      <c r="A1011" t="s">
        <v>2161</v>
      </c>
      <c r="B1011" t="s">
        <v>2162</v>
      </c>
      <c r="C1011" t="s">
        <v>13</v>
      </c>
      <c r="D1011" t="s">
        <v>2075</v>
      </c>
      <c r="E1011" t="s">
        <v>2076</v>
      </c>
      <c r="F1011" t="s">
        <v>111</v>
      </c>
      <c r="G1011" s="1">
        <v>0.1</v>
      </c>
      <c r="H1011" t="s">
        <v>117</v>
      </c>
      <c r="I1011" t="s">
        <v>1580</v>
      </c>
      <c r="J1011" t="s">
        <v>2077</v>
      </c>
      <c r="K1011" t="s">
        <v>24</v>
      </c>
      <c r="L1011" s="14">
        <f>IFERROR(VALUE(LEFT(tblMatriculas[[#This Row],[Clases]],FIND("/",tblMatriculas[[#This Row],[Clases]])-1)),"")</f>
        <v>3</v>
      </c>
      <c r="M1011" s="14">
        <f>IFERROR(VALUE(MID(tblMatriculas[[#This Row],[Clases]],FIND("/",tblMatriculas[[#This Row],[Clases]])+1,5)),"")</f>
        <v>30</v>
      </c>
      <c r="N10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1" s="14">
        <f>IF(OR(tblMatriculas[[#This Row],[Estado]]&lt;&gt;"activa",tblMatriculas[[#This Row],[Clases dictadas]]=""),"",MAX(0,tblMatriculas[[#This Row],[Clases dictadas]]-tblMatriculas[[#This Row],[Asistidas]]))</f>
        <v>3</v>
      </c>
      <c r="P1011" s="1">
        <f>IF(OR(tblMatriculas[[#This Row],[Estado]]&lt;&gt;"activa",tblMatriculas[[#This Row],[Asistidas]]=""),"",tblMatriculas[[#This Row],[Asistencia]])</f>
        <v>0.1</v>
      </c>
      <c r="Q1011" t="b">
        <f>AND(tblMatriculas[[#This Row],[Estado]]="activa",ISNUMBER(tblMatriculas[[#This Row],[% asistencia]]),NOT(ISNUMBER(SEARCH(pPrueba,tblMatriculas[[#This Row],[Nombre]]))))</f>
        <v>1</v>
      </c>
      <c r="R10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1" s="23" t="str" cm="1">
        <f t="array" ref="S10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1" s="23" t="str" cm="1">
        <f t="array" ref="T10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1" s="14" t="str" cm="1">
        <f t="array" ref="U10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1" t="str" cm="1">
        <f t="array" ref="V10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1" t="str" cm="1">
        <f t="array" ref="W10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1" t="str">
        <f>IF(COUNTIFS('Base Estudiantes'!$C:$C,tblMatriculas[[#This Row],[Cédula]],'Base Estudiantes'!$I:$I,tblMatriculas[[#This Row],[Código]])&gt;0,"Sí","No")</f>
        <v>Sí</v>
      </c>
      <c r="Z1011" s="23" cm="1">
        <f t="array" ref="Z1011">_xlfn.XLOOKUP(tblMatriculas[[#This Row],[Cédula]]&amp;"|"&amp;tblMatriculas[[#This Row],[Código]],tblBase[Documento]&amp;"|"&amp;tblBase[Código grupo],tblBase[Fecha matrícula],"")</f>
        <v>46272</v>
      </c>
    </row>
    <row r="1012" spans="1:26" x14ac:dyDescent="0.2">
      <c r="A1012" t="s">
        <v>2163</v>
      </c>
      <c r="B1012" t="s">
        <v>2164</v>
      </c>
      <c r="C1012" t="s">
        <v>13</v>
      </c>
      <c r="D1012" t="s">
        <v>2075</v>
      </c>
      <c r="E1012" t="s">
        <v>2076</v>
      </c>
      <c r="F1012" t="s">
        <v>111</v>
      </c>
      <c r="G1012" s="1">
        <v>0.2</v>
      </c>
      <c r="H1012" t="s">
        <v>232</v>
      </c>
      <c r="I1012" t="s">
        <v>1580</v>
      </c>
      <c r="J1012" t="s">
        <v>2077</v>
      </c>
      <c r="K1012" t="s">
        <v>24</v>
      </c>
      <c r="L1012" s="14">
        <f>IFERROR(VALUE(LEFT(tblMatriculas[[#This Row],[Clases]],FIND("/",tblMatriculas[[#This Row],[Clases]])-1)),"")</f>
        <v>6</v>
      </c>
      <c r="M1012" s="14">
        <f>IFERROR(VALUE(MID(tblMatriculas[[#This Row],[Clases]],FIND("/",tblMatriculas[[#This Row],[Clases]])+1,5)),"")</f>
        <v>30</v>
      </c>
      <c r="N10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2" s="14">
        <f>IF(OR(tblMatriculas[[#This Row],[Estado]]&lt;&gt;"activa",tblMatriculas[[#This Row],[Clases dictadas]]=""),"",MAX(0,tblMatriculas[[#This Row],[Clases dictadas]]-tblMatriculas[[#This Row],[Asistidas]]))</f>
        <v>0</v>
      </c>
      <c r="P1012" s="1">
        <f>IF(OR(tblMatriculas[[#This Row],[Estado]]&lt;&gt;"activa",tblMatriculas[[#This Row],[Asistidas]]=""),"",tblMatriculas[[#This Row],[Asistencia]])</f>
        <v>0.2</v>
      </c>
      <c r="Q1012" t="b">
        <f>AND(tblMatriculas[[#This Row],[Estado]]="activa",ISNUMBER(tblMatriculas[[#This Row],[% asistencia]]),NOT(ISNUMBER(SEARCH(pPrueba,tblMatriculas[[#This Row],[Nombre]]))))</f>
        <v>1</v>
      </c>
      <c r="R10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2" s="23" t="str" cm="1">
        <f t="array" ref="S10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2" s="23" t="str" cm="1">
        <f t="array" ref="T10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2" s="14" t="str" cm="1">
        <f t="array" ref="U10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2" t="str" cm="1">
        <f t="array" ref="V10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2" t="str" cm="1">
        <f t="array" ref="W10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2" t="str">
        <f>IF(COUNTIFS('Base Estudiantes'!$C:$C,tblMatriculas[[#This Row],[Cédula]],'Base Estudiantes'!$I:$I,tblMatriculas[[#This Row],[Código]])&gt;0,"Sí","No")</f>
        <v>Sí</v>
      </c>
      <c r="Z1012" s="23" cm="1">
        <f t="array" ref="Z1012">_xlfn.XLOOKUP(tblMatriculas[[#This Row],[Cédula]]&amp;"|"&amp;tblMatriculas[[#This Row],[Código]],tblBase[Documento]&amp;"|"&amp;tblBase[Código grupo],tblBase[Fecha matrícula],"")</f>
        <v>46273</v>
      </c>
    </row>
    <row r="1013" spans="1:26" x14ac:dyDescent="0.2">
      <c r="A1013" t="s">
        <v>144</v>
      </c>
      <c r="B1013" t="s">
        <v>145</v>
      </c>
      <c r="C1013" t="s">
        <v>13</v>
      </c>
      <c r="D1013" t="s">
        <v>2075</v>
      </c>
      <c r="E1013" t="s">
        <v>2076</v>
      </c>
      <c r="F1013" t="s">
        <v>111</v>
      </c>
      <c r="G1013" s="1">
        <v>0.13300000000000001</v>
      </c>
      <c r="H1013" t="s">
        <v>112</v>
      </c>
      <c r="I1013" t="s">
        <v>1580</v>
      </c>
      <c r="J1013" t="s">
        <v>2077</v>
      </c>
      <c r="K1013" t="s">
        <v>24</v>
      </c>
      <c r="L1013" s="14">
        <f>IFERROR(VALUE(LEFT(tblMatriculas[[#This Row],[Clases]],FIND("/",tblMatriculas[[#This Row],[Clases]])-1)),"")</f>
        <v>4</v>
      </c>
      <c r="M1013" s="14">
        <f>IFERROR(VALUE(MID(tblMatriculas[[#This Row],[Clases]],FIND("/",tblMatriculas[[#This Row],[Clases]])+1,5)),"")</f>
        <v>30</v>
      </c>
      <c r="N10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3" s="14">
        <f>IF(OR(tblMatriculas[[#This Row],[Estado]]&lt;&gt;"activa",tblMatriculas[[#This Row],[Clases dictadas]]=""),"",MAX(0,tblMatriculas[[#This Row],[Clases dictadas]]-tblMatriculas[[#This Row],[Asistidas]]))</f>
        <v>2</v>
      </c>
      <c r="P1013" s="1">
        <f>IF(OR(tblMatriculas[[#This Row],[Estado]]&lt;&gt;"activa",tblMatriculas[[#This Row],[Asistidas]]=""),"",tblMatriculas[[#This Row],[Asistencia]])</f>
        <v>0.13300000000000001</v>
      </c>
      <c r="Q1013" t="b">
        <f>AND(tblMatriculas[[#This Row],[Estado]]="activa",ISNUMBER(tblMatriculas[[#This Row],[% asistencia]]),NOT(ISNUMBER(SEARCH(pPrueba,tblMatriculas[[#This Row],[Nombre]]))))</f>
        <v>1</v>
      </c>
      <c r="R10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3" s="23" t="str" cm="1">
        <f t="array" ref="S10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3" s="23" t="str" cm="1">
        <f t="array" ref="T10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3" s="14" t="str" cm="1">
        <f t="array" ref="U10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3" t="str" cm="1">
        <f t="array" ref="V10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3" t="str" cm="1">
        <f t="array" ref="W10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3" t="str">
        <f>IF(COUNTIFS('Base Estudiantes'!$C:$C,tblMatriculas[[#This Row],[Cédula]],'Base Estudiantes'!$I:$I,tblMatriculas[[#This Row],[Código]])&gt;0,"Sí","No")</f>
        <v>Sí</v>
      </c>
      <c r="Z1013" s="23" cm="1">
        <f t="array" ref="Z1013">_xlfn.XLOOKUP(tblMatriculas[[#This Row],[Cédula]]&amp;"|"&amp;tblMatriculas[[#This Row],[Código]],tblBase[Documento]&amp;"|"&amp;tblBase[Código grupo],tblBase[Fecha matrícula],"")</f>
        <v>46273</v>
      </c>
    </row>
    <row r="1014" spans="1:26" x14ac:dyDescent="0.2">
      <c r="A1014" t="s">
        <v>305</v>
      </c>
      <c r="B1014" t="s">
        <v>306</v>
      </c>
      <c r="C1014" t="s">
        <v>13</v>
      </c>
      <c r="D1014" t="s">
        <v>2075</v>
      </c>
      <c r="E1014" t="s">
        <v>2076</v>
      </c>
      <c r="F1014" t="s">
        <v>111</v>
      </c>
      <c r="G1014" s="1">
        <v>0.16699999999999998</v>
      </c>
      <c r="H1014" t="s">
        <v>229</v>
      </c>
      <c r="I1014" t="s">
        <v>1580</v>
      </c>
      <c r="J1014" t="s">
        <v>2077</v>
      </c>
      <c r="K1014" t="s">
        <v>24</v>
      </c>
      <c r="L1014" s="14">
        <f>IFERROR(VALUE(LEFT(tblMatriculas[[#This Row],[Clases]],FIND("/",tblMatriculas[[#This Row],[Clases]])-1)),"")</f>
        <v>5</v>
      </c>
      <c r="M1014" s="14">
        <f>IFERROR(VALUE(MID(tblMatriculas[[#This Row],[Clases]],FIND("/",tblMatriculas[[#This Row],[Clases]])+1,5)),"")</f>
        <v>30</v>
      </c>
      <c r="N10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4" s="14">
        <f>IF(OR(tblMatriculas[[#This Row],[Estado]]&lt;&gt;"activa",tblMatriculas[[#This Row],[Clases dictadas]]=""),"",MAX(0,tblMatriculas[[#This Row],[Clases dictadas]]-tblMatriculas[[#This Row],[Asistidas]]))</f>
        <v>1</v>
      </c>
      <c r="P1014" s="1">
        <f>IF(OR(tblMatriculas[[#This Row],[Estado]]&lt;&gt;"activa",tblMatriculas[[#This Row],[Asistidas]]=""),"",tblMatriculas[[#This Row],[Asistencia]])</f>
        <v>0.16699999999999998</v>
      </c>
      <c r="Q1014" t="b">
        <f>AND(tblMatriculas[[#This Row],[Estado]]="activa",ISNUMBER(tblMatriculas[[#This Row],[% asistencia]]),NOT(ISNUMBER(SEARCH(pPrueba,tblMatriculas[[#This Row],[Nombre]]))))</f>
        <v>1</v>
      </c>
      <c r="R10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4" s="23" t="str" cm="1">
        <f t="array" ref="S10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4" s="23" t="str" cm="1">
        <f t="array" ref="T10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4" s="14" t="str" cm="1">
        <f t="array" ref="U10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4" t="str" cm="1">
        <f t="array" ref="V10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4" t="str" cm="1">
        <f t="array" ref="W10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4" t="str">
        <f>IF(COUNTIFS('Base Estudiantes'!$C:$C,tblMatriculas[[#This Row],[Cédula]],'Base Estudiantes'!$I:$I,tblMatriculas[[#This Row],[Código]])&gt;0,"Sí","No")</f>
        <v>Sí</v>
      </c>
      <c r="Z1014" s="23" cm="1">
        <f t="array" ref="Z1014">_xlfn.XLOOKUP(tblMatriculas[[#This Row],[Cédula]]&amp;"|"&amp;tblMatriculas[[#This Row],[Código]],tblBase[Documento]&amp;"|"&amp;tblBase[Código grupo],tblBase[Fecha matrícula],"")</f>
        <v>46273</v>
      </c>
    </row>
    <row r="1015" spans="1:26" x14ac:dyDescent="0.2">
      <c r="A1015" t="s">
        <v>2165</v>
      </c>
      <c r="B1015" t="s">
        <v>2166</v>
      </c>
      <c r="C1015" t="s">
        <v>49</v>
      </c>
      <c r="D1015" t="s">
        <v>2075</v>
      </c>
      <c r="E1015" t="s">
        <v>2076</v>
      </c>
      <c r="F1015" t="s">
        <v>111</v>
      </c>
      <c r="G1015" s="1">
        <v>3.3000000000000002E-2</v>
      </c>
      <c r="H1015" t="s">
        <v>225</v>
      </c>
      <c r="I1015" t="s">
        <v>1580</v>
      </c>
      <c r="J1015" t="s">
        <v>2077</v>
      </c>
      <c r="K1015" t="s">
        <v>24</v>
      </c>
      <c r="L1015" s="14">
        <f>IFERROR(VALUE(LEFT(tblMatriculas[[#This Row],[Clases]],FIND("/",tblMatriculas[[#This Row],[Clases]])-1)),"")</f>
        <v>1</v>
      </c>
      <c r="M1015" s="14">
        <f>IFERROR(VALUE(MID(tblMatriculas[[#This Row],[Clases]],FIND("/",tblMatriculas[[#This Row],[Clases]])+1,5)),"")</f>
        <v>30</v>
      </c>
      <c r="N10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5" s="14" t="str">
        <f>IF(OR(tblMatriculas[[#This Row],[Estado]]&lt;&gt;"activa",tblMatriculas[[#This Row],[Clases dictadas]]=""),"",MAX(0,tblMatriculas[[#This Row],[Clases dictadas]]-tblMatriculas[[#This Row],[Asistidas]]))</f>
        <v/>
      </c>
      <c r="P1015" s="1" t="str">
        <f>IF(OR(tblMatriculas[[#This Row],[Estado]]&lt;&gt;"activa",tblMatriculas[[#This Row],[Asistidas]]=""),"",tblMatriculas[[#This Row],[Asistencia]])</f>
        <v/>
      </c>
      <c r="Q1015" t="b">
        <f>AND(tblMatriculas[[#This Row],[Estado]]="activa",ISNUMBER(tblMatriculas[[#This Row],[% asistencia]]),NOT(ISNUMBER(SEARCH(pPrueba,tblMatriculas[[#This Row],[Nombre]]))))</f>
        <v>0</v>
      </c>
      <c r="R10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015" s="23" t="str" cm="1">
        <f t="array" ref="S10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5" s="23" t="str" cm="1">
        <f t="array" ref="T10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5" s="14" t="str" cm="1">
        <f t="array" ref="U10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5" t="str" cm="1">
        <f t="array" ref="V10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5" t="str" cm="1">
        <f t="array" ref="W10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5" t="str">
        <f>IF(COUNTIFS('Base Estudiantes'!$C:$C,tblMatriculas[[#This Row],[Cédula]],'Base Estudiantes'!$I:$I,tblMatriculas[[#This Row],[Código]])&gt;0,"Sí","No")</f>
        <v>No</v>
      </c>
      <c r="Z1015" s="23" t="str" cm="1">
        <f t="array" ref="Z1015">_xlfn.XLOOKUP(tblMatriculas[[#This Row],[Cédula]]&amp;"|"&amp;tblMatriculas[[#This Row],[Código]],tblBase[Documento]&amp;"|"&amp;tblBase[Código grupo],tblBase[Fecha matrícula],"")</f>
        <v/>
      </c>
    </row>
    <row r="1016" spans="1:26" x14ac:dyDescent="0.2">
      <c r="A1016" t="s">
        <v>936</v>
      </c>
      <c r="B1016" t="s">
        <v>937</v>
      </c>
      <c r="C1016" t="s">
        <v>13</v>
      </c>
      <c r="D1016" t="s">
        <v>2075</v>
      </c>
      <c r="E1016" t="s">
        <v>2076</v>
      </c>
      <c r="F1016" t="s">
        <v>111</v>
      </c>
      <c r="G1016" s="1">
        <v>0.13300000000000001</v>
      </c>
      <c r="H1016" t="s">
        <v>112</v>
      </c>
      <c r="I1016" t="s">
        <v>1580</v>
      </c>
      <c r="J1016" t="s">
        <v>2077</v>
      </c>
      <c r="K1016" t="s">
        <v>24</v>
      </c>
      <c r="L1016" s="14">
        <f>IFERROR(VALUE(LEFT(tblMatriculas[[#This Row],[Clases]],FIND("/",tblMatriculas[[#This Row],[Clases]])-1)),"")</f>
        <v>4</v>
      </c>
      <c r="M1016" s="14">
        <f>IFERROR(VALUE(MID(tblMatriculas[[#This Row],[Clases]],FIND("/",tblMatriculas[[#This Row],[Clases]])+1,5)),"")</f>
        <v>30</v>
      </c>
      <c r="N10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6" s="14">
        <f>IF(OR(tblMatriculas[[#This Row],[Estado]]&lt;&gt;"activa",tblMatriculas[[#This Row],[Clases dictadas]]=""),"",MAX(0,tblMatriculas[[#This Row],[Clases dictadas]]-tblMatriculas[[#This Row],[Asistidas]]))</f>
        <v>2</v>
      </c>
      <c r="P1016" s="1">
        <f>IF(OR(tblMatriculas[[#This Row],[Estado]]&lt;&gt;"activa",tblMatriculas[[#This Row],[Asistidas]]=""),"",tblMatriculas[[#This Row],[Asistencia]])</f>
        <v>0.13300000000000001</v>
      </c>
      <c r="Q1016" t="b">
        <f>AND(tblMatriculas[[#This Row],[Estado]]="activa",ISNUMBER(tblMatriculas[[#This Row],[% asistencia]]),NOT(ISNUMBER(SEARCH(pPrueba,tblMatriculas[[#This Row],[Nombre]]))))</f>
        <v>1</v>
      </c>
      <c r="R10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6" s="23" t="str" cm="1">
        <f t="array" ref="S10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6" s="23" t="str" cm="1">
        <f t="array" ref="T10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6" s="14" t="str" cm="1">
        <f t="array" ref="U10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6" t="str" cm="1">
        <f t="array" ref="V10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6" t="str" cm="1">
        <f t="array" ref="W10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6" t="str">
        <f>IF(COUNTIFS('Base Estudiantes'!$C:$C,tblMatriculas[[#This Row],[Cédula]],'Base Estudiantes'!$I:$I,tblMatriculas[[#This Row],[Código]])&gt;0,"Sí","No")</f>
        <v>Sí</v>
      </c>
      <c r="Z1016" s="23" cm="1">
        <f t="array" ref="Z1016">_xlfn.XLOOKUP(tblMatriculas[[#This Row],[Cédula]]&amp;"|"&amp;tblMatriculas[[#This Row],[Código]],tblBase[Documento]&amp;"|"&amp;tblBase[Código grupo],tblBase[Fecha matrícula],"")</f>
        <v>46276</v>
      </c>
    </row>
    <row r="1017" spans="1:26" x14ac:dyDescent="0.2">
      <c r="A1017" t="s">
        <v>2167</v>
      </c>
      <c r="B1017" t="s">
        <v>2168</v>
      </c>
      <c r="C1017" t="s">
        <v>13</v>
      </c>
      <c r="D1017" t="s">
        <v>2169</v>
      </c>
      <c r="E1017" t="s">
        <v>2170</v>
      </c>
      <c r="F1017" t="s">
        <v>111</v>
      </c>
      <c r="G1017" s="1">
        <v>0.2</v>
      </c>
      <c r="H1017" t="s">
        <v>232</v>
      </c>
      <c r="I1017" t="s">
        <v>1580</v>
      </c>
      <c r="J1017" t="s">
        <v>1077</v>
      </c>
      <c r="K1017" t="s">
        <v>1582</v>
      </c>
      <c r="L1017" s="14">
        <f>IFERROR(VALUE(LEFT(tblMatriculas[[#This Row],[Clases]],FIND("/",tblMatriculas[[#This Row],[Clases]])-1)),"")</f>
        <v>6</v>
      </c>
      <c r="M1017" s="14">
        <f>IFERROR(VALUE(MID(tblMatriculas[[#This Row],[Clases]],FIND("/",tblMatriculas[[#This Row],[Clases]])+1,5)),"")</f>
        <v>30</v>
      </c>
      <c r="N10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7" s="14">
        <f>IF(OR(tblMatriculas[[#This Row],[Estado]]&lt;&gt;"activa",tblMatriculas[[#This Row],[Clases dictadas]]=""),"",MAX(0,tblMatriculas[[#This Row],[Clases dictadas]]-tblMatriculas[[#This Row],[Asistidas]]))</f>
        <v>0</v>
      </c>
      <c r="P1017" s="1">
        <f>IF(OR(tblMatriculas[[#This Row],[Estado]]&lt;&gt;"activa",tblMatriculas[[#This Row],[Asistidas]]=""),"",tblMatriculas[[#This Row],[Asistencia]])</f>
        <v>0.2</v>
      </c>
      <c r="Q1017" t="b">
        <f>AND(tblMatriculas[[#This Row],[Estado]]="activa",ISNUMBER(tblMatriculas[[#This Row],[% asistencia]]),NOT(ISNUMBER(SEARCH(pPrueba,tblMatriculas[[#This Row],[Nombre]]))))</f>
        <v>1</v>
      </c>
      <c r="R10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7" s="23" t="str" cm="1">
        <f t="array" ref="S10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7" s="23" t="str" cm="1">
        <f t="array" ref="T10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7" s="14" t="str" cm="1">
        <f t="array" ref="U10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7" t="str" cm="1">
        <f t="array" ref="V10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7" t="str" cm="1">
        <f t="array" ref="W10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7" t="str">
        <f>IF(COUNTIFS('Base Estudiantes'!$C:$C,tblMatriculas[[#This Row],[Cédula]],'Base Estudiantes'!$I:$I,tblMatriculas[[#This Row],[Código]])&gt;0,"Sí","No")</f>
        <v>Sí</v>
      </c>
      <c r="Z1017" s="23" cm="1">
        <f t="array" ref="Z1017">_xlfn.XLOOKUP(tblMatriculas[[#This Row],[Cédula]]&amp;"|"&amp;tblMatriculas[[#This Row],[Código]],tblBase[Documento]&amp;"|"&amp;tblBase[Código grupo],tblBase[Fecha matrícula],"")</f>
        <v>46263</v>
      </c>
    </row>
    <row r="1018" spans="1:26" x14ac:dyDescent="0.2">
      <c r="A1018" t="s">
        <v>2171</v>
      </c>
      <c r="B1018" t="s">
        <v>2172</v>
      </c>
      <c r="C1018" t="s">
        <v>13</v>
      </c>
      <c r="D1018" t="s">
        <v>2169</v>
      </c>
      <c r="E1018" t="s">
        <v>2170</v>
      </c>
      <c r="F1018" t="s">
        <v>111</v>
      </c>
      <c r="G1018" s="1">
        <v>0.13300000000000001</v>
      </c>
      <c r="H1018" t="s">
        <v>2173</v>
      </c>
      <c r="I1018" t="s">
        <v>1580</v>
      </c>
      <c r="J1018" t="s">
        <v>1077</v>
      </c>
      <c r="K1018" t="s">
        <v>1778</v>
      </c>
      <c r="L1018" s="14">
        <f>IFERROR(VALUE(LEFT(tblMatriculas[[#This Row],[Clases]],FIND("/",tblMatriculas[[#This Row],[Clases]])-1)),"")</f>
        <v>8</v>
      </c>
      <c r="M1018" s="14">
        <f>IFERROR(VALUE(MID(tblMatriculas[[#This Row],[Clases]],FIND("/",tblMatriculas[[#This Row],[Clases]])+1,5)),"")</f>
        <v>60</v>
      </c>
      <c r="N10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018" s="14">
        <f>IF(OR(tblMatriculas[[#This Row],[Estado]]&lt;&gt;"activa",tblMatriculas[[#This Row],[Clases dictadas]]=""),"",MAX(0,tblMatriculas[[#This Row],[Clases dictadas]]-tblMatriculas[[#This Row],[Asistidas]]))</f>
        <v>3</v>
      </c>
      <c r="P1018" s="1">
        <f>IF(OR(tblMatriculas[[#This Row],[Estado]]&lt;&gt;"activa",tblMatriculas[[#This Row],[Asistidas]]=""),"",tblMatriculas[[#This Row],[Asistencia]])</f>
        <v>0.13300000000000001</v>
      </c>
      <c r="Q1018" t="b">
        <f>AND(tblMatriculas[[#This Row],[Estado]]="activa",ISNUMBER(tblMatriculas[[#This Row],[% asistencia]]),NOT(ISNUMBER(SEARCH(pPrueba,tblMatriculas[[#This Row],[Nombre]]))))</f>
        <v>1</v>
      </c>
      <c r="R10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8" s="23" t="str" cm="1">
        <f t="array" ref="S10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8" s="23" t="str" cm="1">
        <f t="array" ref="T10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8" s="14" t="str" cm="1">
        <f t="array" ref="U10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8" t="str" cm="1">
        <f t="array" ref="V10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8" t="str" cm="1">
        <f t="array" ref="W10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8" t="str">
        <f>IF(COUNTIFS('Base Estudiantes'!$C:$C,tblMatriculas[[#This Row],[Cédula]],'Base Estudiantes'!$I:$I,tblMatriculas[[#This Row],[Código]])&gt;0,"Sí","No")</f>
        <v>Sí</v>
      </c>
      <c r="Z1018" s="23" cm="1">
        <f t="array" ref="Z1018">_xlfn.XLOOKUP(tblMatriculas[[#This Row],[Cédula]]&amp;"|"&amp;tblMatriculas[[#This Row],[Código]],tblBase[Documento]&amp;"|"&amp;tblBase[Código grupo],tblBase[Fecha matrícula],"")</f>
        <v>46263</v>
      </c>
    </row>
    <row r="1019" spans="1:26" x14ac:dyDescent="0.2">
      <c r="A1019" t="s">
        <v>2174</v>
      </c>
      <c r="B1019" t="s">
        <v>2175</v>
      </c>
      <c r="C1019" t="s">
        <v>13</v>
      </c>
      <c r="D1019" t="s">
        <v>2169</v>
      </c>
      <c r="E1019" t="s">
        <v>2170</v>
      </c>
      <c r="F1019" t="s">
        <v>111</v>
      </c>
      <c r="G1019" s="1">
        <v>0.2</v>
      </c>
      <c r="H1019" t="s">
        <v>232</v>
      </c>
      <c r="I1019" t="s">
        <v>1580</v>
      </c>
      <c r="J1019" t="s">
        <v>1077</v>
      </c>
      <c r="K1019" t="s">
        <v>1864</v>
      </c>
      <c r="L1019" s="14">
        <f>IFERROR(VALUE(LEFT(tblMatriculas[[#This Row],[Clases]],FIND("/",tblMatriculas[[#This Row],[Clases]])-1)),"")</f>
        <v>6</v>
      </c>
      <c r="M1019" s="14">
        <f>IFERROR(VALUE(MID(tblMatriculas[[#This Row],[Clases]],FIND("/",tblMatriculas[[#This Row],[Clases]])+1,5)),"")</f>
        <v>30</v>
      </c>
      <c r="N10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19" s="14">
        <f>IF(OR(tblMatriculas[[#This Row],[Estado]]&lt;&gt;"activa",tblMatriculas[[#This Row],[Clases dictadas]]=""),"",MAX(0,tblMatriculas[[#This Row],[Clases dictadas]]-tblMatriculas[[#This Row],[Asistidas]]))</f>
        <v>0</v>
      </c>
      <c r="P1019" s="1">
        <f>IF(OR(tblMatriculas[[#This Row],[Estado]]&lt;&gt;"activa",tblMatriculas[[#This Row],[Asistidas]]=""),"",tblMatriculas[[#This Row],[Asistencia]])</f>
        <v>0.2</v>
      </c>
      <c r="Q1019" t="b">
        <f>AND(tblMatriculas[[#This Row],[Estado]]="activa",ISNUMBER(tblMatriculas[[#This Row],[% asistencia]]),NOT(ISNUMBER(SEARCH(pPrueba,tblMatriculas[[#This Row],[Nombre]]))))</f>
        <v>1</v>
      </c>
      <c r="R10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19" s="23" t="str" cm="1">
        <f t="array" ref="S10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19" s="23" t="str" cm="1">
        <f t="array" ref="T10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19" s="14" t="str" cm="1">
        <f t="array" ref="U10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19" t="str" cm="1">
        <f t="array" ref="V10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19" t="str" cm="1">
        <f t="array" ref="W10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19" t="str">
        <f>IF(COUNTIFS('Base Estudiantes'!$C:$C,tblMatriculas[[#This Row],[Cédula]],'Base Estudiantes'!$I:$I,tblMatriculas[[#This Row],[Código]])&gt;0,"Sí","No")</f>
        <v>Sí</v>
      </c>
      <c r="Z1019" s="23" cm="1">
        <f t="array" ref="Z1019">_xlfn.XLOOKUP(tblMatriculas[[#This Row],[Cédula]]&amp;"|"&amp;tblMatriculas[[#This Row],[Código]],tblBase[Documento]&amp;"|"&amp;tblBase[Código grupo],tblBase[Fecha matrícula],"")</f>
        <v>46263</v>
      </c>
    </row>
    <row r="1020" spans="1:26" x14ac:dyDescent="0.2">
      <c r="A1020" t="s">
        <v>2176</v>
      </c>
      <c r="B1020" t="s">
        <v>2177</v>
      </c>
      <c r="C1020" t="s">
        <v>13</v>
      </c>
      <c r="D1020" t="s">
        <v>2169</v>
      </c>
      <c r="E1020" t="s">
        <v>2170</v>
      </c>
      <c r="F1020" t="s">
        <v>111</v>
      </c>
      <c r="G1020" s="1">
        <v>0.2</v>
      </c>
      <c r="H1020" t="s">
        <v>232</v>
      </c>
      <c r="I1020" t="s">
        <v>1580</v>
      </c>
      <c r="J1020" t="s">
        <v>1077</v>
      </c>
      <c r="K1020" t="s">
        <v>1864</v>
      </c>
      <c r="L1020" s="14">
        <f>IFERROR(VALUE(LEFT(tblMatriculas[[#This Row],[Clases]],FIND("/",tblMatriculas[[#This Row],[Clases]])-1)),"")</f>
        <v>6</v>
      </c>
      <c r="M1020" s="14">
        <f>IFERROR(VALUE(MID(tblMatriculas[[#This Row],[Clases]],FIND("/",tblMatriculas[[#This Row],[Clases]])+1,5)),"")</f>
        <v>30</v>
      </c>
      <c r="N10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0" s="14">
        <f>IF(OR(tblMatriculas[[#This Row],[Estado]]&lt;&gt;"activa",tblMatriculas[[#This Row],[Clases dictadas]]=""),"",MAX(0,tblMatriculas[[#This Row],[Clases dictadas]]-tblMatriculas[[#This Row],[Asistidas]]))</f>
        <v>0</v>
      </c>
      <c r="P1020" s="1">
        <f>IF(OR(tblMatriculas[[#This Row],[Estado]]&lt;&gt;"activa",tblMatriculas[[#This Row],[Asistidas]]=""),"",tblMatriculas[[#This Row],[Asistencia]])</f>
        <v>0.2</v>
      </c>
      <c r="Q1020" t="b">
        <f>AND(tblMatriculas[[#This Row],[Estado]]="activa",ISNUMBER(tblMatriculas[[#This Row],[% asistencia]]),NOT(ISNUMBER(SEARCH(pPrueba,tblMatriculas[[#This Row],[Nombre]]))))</f>
        <v>1</v>
      </c>
      <c r="R10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0" s="23" t="str" cm="1">
        <f t="array" ref="S10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0" s="23" t="str" cm="1">
        <f t="array" ref="T10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0" s="14" t="str" cm="1">
        <f t="array" ref="U10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0" t="str" cm="1">
        <f t="array" ref="V10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0" t="str" cm="1">
        <f t="array" ref="W10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0" t="str">
        <f>IF(COUNTIFS('Base Estudiantes'!$C:$C,tblMatriculas[[#This Row],[Cédula]],'Base Estudiantes'!$I:$I,tblMatriculas[[#This Row],[Código]])&gt;0,"Sí","No")</f>
        <v>Sí</v>
      </c>
      <c r="Z1020" s="23" cm="1">
        <f t="array" ref="Z1020">_xlfn.XLOOKUP(tblMatriculas[[#This Row],[Cédula]]&amp;"|"&amp;tblMatriculas[[#This Row],[Código]],tblBase[Documento]&amp;"|"&amp;tblBase[Código grupo],tblBase[Fecha matrícula],"")</f>
        <v>46263</v>
      </c>
    </row>
    <row r="1021" spans="1:26" x14ac:dyDescent="0.2">
      <c r="A1021" t="s">
        <v>2178</v>
      </c>
      <c r="B1021" t="s">
        <v>2179</v>
      </c>
      <c r="C1021" t="s">
        <v>13</v>
      </c>
      <c r="D1021" t="s">
        <v>2169</v>
      </c>
      <c r="E1021" t="s">
        <v>2170</v>
      </c>
      <c r="F1021" t="s">
        <v>111</v>
      </c>
      <c r="G1021" s="1">
        <v>0.13300000000000001</v>
      </c>
      <c r="H1021" t="s">
        <v>112</v>
      </c>
      <c r="I1021" t="s">
        <v>1580</v>
      </c>
      <c r="J1021" t="s">
        <v>1077</v>
      </c>
      <c r="K1021" t="s">
        <v>1715</v>
      </c>
      <c r="L1021" s="14">
        <f>IFERROR(VALUE(LEFT(tblMatriculas[[#This Row],[Clases]],FIND("/",tblMatriculas[[#This Row],[Clases]])-1)),"")</f>
        <v>4</v>
      </c>
      <c r="M1021" s="14">
        <f>IFERROR(VALUE(MID(tblMatriculas[[#This Row],[Clases]],FIND("/",tblMatriculas[[#This Row],[Clases]])+1,5)),"")</f>
        <v>30</v>
      </c>
      <c r="N10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1" s="14">
        <f>IF(OR(tblMatriculas[[#This Row],[Estado]]&lt;&gt;"activa",tblMatriculas[[#This Row],[Clases dictadas]]=""),"",MAX(0,tblMatriculas[[#This Row],[Clases dictadas]]-tblMatriculas[[#This Row],[Asistidas]]))</f>
        <v>2</v>
      </c>
      <c r="P1021" s="1">
        <f>IF(OR(tblMatriculas[[#This Row],[Estado]]&lt;&gt;"activa",tblMatriculas[[#This Row],[Asistidas]]=""),"",tblMatriculas[[#This Row],[Asistencia]])</f>
        <v>0.13300000000000001</v>
      </c>
      <c r="Q1021" t="b">
        <f>AND(tblMatriculas[[#This Row],[Estado]]="activa",ISNUMBER(tblMatriculas[[#This Row],[% asistencia]]),NOT(ISNUMBER(SEARCH(pPrueba,tblMatriculas[[#This Row],[Nombre]]))))</f>
        <v>1</v>
      </c>
      <c r="R10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1" s="23" t="str" cm="1">
        <f t="array" ref="S10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1" s="23" t="str" cm="1">
        <f t="array" ref="T10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1" s="14" t="str" cm="1">
        <f t="array" ref="U10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1" t="str" cm="1">
        <f t="array" ref="V10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1" t="str" cm="1">
        <f t="array" ref="W10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1" t="str">
        <f>IF(COUNTIFS('Base Estudiantes'!$C:$C,tblMatriculas[[#This Row],[Cédula]],'Base Estudiantes'!$I:$I,tblMatriculas[[#This Row],[Código]])&gt;0,"Sí","No")</f>
        <v>Sí</v>
      </c>
      <c r="Z1021" s="23" cm="1">
        <f t="array" ref="Z1021">_xlfn.XLOOKUP(tblMatriculas[[#This Row],[Cédula]]&amp;"|"&amp;tblMatriculas[[#This Row],[Código]],tblBase[Documento]&amp;"|"&amp;tblBase[Código grupo],tblBase[Fecha matrícula],"")</f>
        <v>46263</v>
      </c>
    </row>
    <row r="1022" spans="1:26" x14ac:dyDescent="0.2">
      <c r="A1022" t="s">
        <v>2180</v>
      </c>
      <c r="B1022" t="s">
        <v>2181</v>
      </c>
      <c r="C1022" t="s">
        <v>13</v>
      </c>
      <c r="D1022" t="s">
        <v>2169</v>
      </c>
      <c r="E1022" t="s">
        <v>2170</v>
      </c>
      <c r="F1022" t="s">
        <v>111</v>
      </c>
      <c r="G1022" s="1">
        <v>0.2</v>
      </c>
      <c r="H1022" t="s">
        <v>232</v>
      </c>
      <c r="I1022" t="s">
        <v>1580</v>
      </c>
      <c r="J1022" t="s">
        <v>1077</v>
      </c>
      <c r="K1022" t="s">
        <v>1715</v>
      </c>
      <c r="L1022" s="14">
        <f>IFERROR(VALUE(LEFT(tblMatriculas[[#This Row],[Clases]],FIND("/",tblMatriculas[[#This Row],[Clases]])-1)),"")</f>
        <v>6</v>
      </c>
      <c r="M1022" s="14">
        <f>IFERROR(VALUE(MID(tblMatriculas[[#This Row],[Clases]],FIND("/",tblMatriculas[[#This Row],[Clases]])+1,5)),"")</f>
        <v>30</v>
      </c>
      <c r="N10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2" s="14">
        <f>IF(OR(tblMatriculas[[#This Row],[Estado]]&lt;&gt;"activa",tblMatriculas[[#This Row],[Clases dictadas]]=""),"",MAX(0,tblMatriculas[[#This Row],[Clases dictadas]]-tblMatriculas[[#This Row],[Asistidas]]))</f>
        <v>0</v>
      </c>
      <c r="P1022" s="1">
        <f>IF(OR(tblMatriculas[[#This Row],[Estado]]&lt;&gt;"activa",tblMatriculas[[#This Row],[Asistidas]]=""),"",tblMatriculas[[#This Row],[Asistencia]])</f>
        <v>0.2</v>
      </c>
      <c r="Q1022" t="b">
        <f>AND(tblMatriculas[[#This Row],[Estado]]="activa",ISNUMBER(tblMatriculas[[#This Row],[% asistencia]]),NOT(ISNUMBER(SEARCH(pPrueba,tblMatriculas[[#This Row],[Nombre]]))))</f>
        <v>1</v>
      </c>
      <c r="R10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2" s="23" t="str" cm="1">
        <f t="array" ref="S10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2" s="23" t="str" cm="1">
        <f t="array" ref="T10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2" s="14" t="str" cm="1">
        <f t="array" ref="U10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2" t="str" cm="1">
        <f t="array" ref="V10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2" t="str" cm="1">
        <f t="array" ref="W10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2" t="str">
        <f>IF(COUNTIFS('Base Estudiantes'!$C:$C,tblMatriculas[[#This Row],[Cédula]],'Base Estudiantes'!$I:$I,tblMatriculas[[#This Row],[Código]])&gt;0,"Sí","No")</f>
        <v>Sí</v>
      </c>
      <c r="Z1022" s="23" cm="1">
        <f t="array" ref="Z1022">_xlfn.XLOOKUP(tblMatriculas[[#This Row],[Cédula]]&amp;"|"&amp;tblMatriculas[[#This Row],[Código]],tblBase[Documento]&amp;"|"&amp;tblBase[Código grupo],tblBase[Fecha matrícula],"")</f>
        <v>46263</v>
      </c>
    </row>
    <row r="1023" spans="1:26" x14ac:dyDescent="0.2">
      <c r="A1023" t="s">
        <v>2182</v>
      </c>
      <c r="B1023" t="s">
        <v>2183</v>
      </c>
      <c r="C1023" t="s">
        <v>13</v>
      </c>
      <c r="D1023" t="s">
        <v>2169</v>
      </c>
      <c r="E1023" t="s">
        <v>2170</v>
      </c>
      <c r="F1023" t="s">
        <v>111</v>
      </c>
      <c r="G1023" s="1">
        <v>0.2</v>
      </c>
      <c r="H1023" t="s">
        <v>232</v>
      </c>
      <c r="I1023" t="s">
        <v>1580</v>
      </c>
      <c r="J1023" t="s">
        <v>1077</v>
      </c>
      <c r="K1023" t="s">
        <v>1992</v>
      </c>
      <c r="L1023" s="14">
        <f>IFERROR(VALUE(LEFT(tblMatriculas[[#This Row],[Clases]],FIND("/",tblMatriculas[[#This Row],[Clases]])-1)),"")</f>
        <v>6</v>
      </c>
      <c r="M1023" s="14">
        <f>IFERROR(VALUE(MID(tblMatriculas[[#This Row],[Clases]],FIND("/",tblMatriculas[[#This Row],[Clases]])+1,5)),"")</f>
        <v>30</v>
      </c>
      <c r="N10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3" s="14">
        <f>IF(OR(tblMatriculas[[#This Row],[Estado]]&lt;&gt;"activa",tblMatriculas[[#This Row],[Clases dictadas]]=""),"",MAX(0,tblMatriculas[[#This Row],[Clases dictadas]]-tblMatriculas[[#This Row],[Asistidas]]))</f>
        <v>0</v>
      </c>
      <c r="P1023" s="1">
        <f>IF(OR(tblMatriculas[[#This Row],[Estado]]&lt;&gt;"activa",tblMatriculas[[#This Row],[Asistidas]]=""),"",tblMatriculas[[#This Row],[Asistencia]])</f>
        <v>0.2</v>
      </c>
      <c r="Q1023" t="b">
        <f>AND(tblMatriculas[[#This Row],[Estado]]="activa",ISNUMBER(tblMatriculas[[#This Row],[% asistencia]]),NOT(ISNUMBER(SEARCH(pPrueba,tblMatriculas[[#This Row],[Nombre]]))))</f>
        <v>1</v>
      </c>
      <c r="R10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3" s="23" t="str" cm="1">
        <f t="array" ref="S10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3" s="23" t="str" cm="1">
        <f t="array" ref="T10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3" s="14" t="str" cm="1">
        <f t="array" ref="U10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3" t="str" cm="1">
        <f t="array" ref="V10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3" t="str" cm="1">
        <f t="array" ref="W10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3" t="str">
        <f>IF(COUNTIFS('Base Estudiantes'!$C:$C,tblMatriculas[[#This Row],[Cédula]],'Base Estudiantes'!$I:$I,tblMatriculas[[#This Row],[Código]])&gt;0,"Sí","No")</f>
        <v>Sí</v>
      </c>
      <c r="Z1023" s="23" cm="1">
        <f t="array" ref="Z1023">_xlfn.XLOOKUP(tblMatriculas[[#This Row],[Cédula]]&amp;"|"&amp;tblMatriculas[[#This Row],[Código]],tblBase[Documento]&amp;"|"&amp;tblBase[Código grupo],tblBase[Fecha matrícula],"")</f>
        <v>46263</v>
      </c>
    </row>
    <row r="1024" spans="1:26" x14ac:dyDescent="0.2">
      <c r="A1024" t="s">
        <v>2184</v>
      </c>
      <c r="B1024" t="s">
        <v>2185</v>
      </c>
      <c r="C1024" t="s">
        <v>13</v>
      </c>
      <c r="D1024" t="s">
        <v>2169</v>
      </c>
      <c r="E1024" t="s">
        <v>2170</v>
      </c>
      <c r="F1024" t="s">
        <v>111</v>
      </c>
      <c r="G1024" s="1">
        <v>0.1</v>
      </c>
      <c r="H1024" t="s">
        <v>380</v>
      </c>
      <c r="I1024" t="s">
        <v>1580</v>
      </c>
      <c r="J1024" t="s">
        <v>1077</v>
      </c>
      <c r="K1024" t="s">
        <v>1992</v>
      </c>
      <c r="L1024" s="14">
        <f>IFERROR(VALUE(LEFT(tblMatriculas[[#This Row],[Clases]],FIND("/",tblMatriculas[[#This Row],[Clases]])-1)),"")</f>
        <v>6</v>
      </c>
      <c r="M1024" s="14">
        <f>IFERROR(VALUE(MID(tblMatriculas[[#This Row],[Clases]],FIND("/",tblMatriculas[[#This Row],[Clases]])+1,5)),"")</f>
        <v>60</v>
      </c>
      <c r="N10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024" s="14">
        <f>IF(OR(tblMatriculas[[#This Row],[Estado]]&lt;&gt;"activa",tblMatriculas[[#This Row],[Clases dictadas]]=""),"",MAX(0,tblMatriculas[[#This Row],[Clases dictadas]]-tblMatriculas[[#This Row],[Asistidas]]))</f>
        <v>5</v>
      </c>
      <c r="P1024" s="1">
        <f>IF(OR(tblMatriculas[[#This Row],[Estado]]&lt;&gt;"activa",tblMatriculas[[#This Row],[Asistidas]]=""),"",tblMatriculas[[#This Row],[Asistencia]])</f>
        <v>0.1</v>
      </c>
      <c r="Q1024" t="b">
        <f>AND(tblMatriculas[[#This Row],[Estado]]="activa",ISNUMBER(tblMatriculas[[#This Row],[% asistencia]]),NOT(ISNUMBER(SEARCH(pPrueba,tblMatriculas[[#This Row],[Nombre]]))))</f>
        <v>1</v>
      </c>
      <c r="R10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4" s="23" t="str" cm="1">
        <f t="array" ref="S10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4" s="23" t="str" cm="1">
        <f t="array" ref="T10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4" s="14" t="str" cm="1">
        <f t="array" ref="U10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4" t="str" cm="1">
        <f t="array" ref="V10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4" t="str" cm="1">
        <f t="array" ref="W10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4" t="str">
        <f>IF(COUNTIFS('Base Estudiantes'!$C:$C,tblMatriculas[[#This Row],[Cédula]],'Base Estudiantes'!$I:$I,tblMatriculas[[#This Row],[Código]])&gt;0,"Sí","No")</f>
        <v>Sí</v>
      </c>
      <c r="Z1024" s="23" cm="1">
        <f t="array" ref="Z1024">_xlfn.XLOOKUP(tblMatriculas[[#This Row],[Cédula]]&amp;"|"&amp;tblMatriculas[[#This Row],[Código]],tblBase[Documento]&amp;"|"&amp;tblBase[Código grupo],tblBase[Fecha matrícula],"")</f>
        <v>46263</v>
      </c>
    </row>
    <row r="1025" spans="1:26" x14ac:dyDescent="0.2">
      <c r="A1025" t="s">
        <v>2186</v>
      </c>
      <c r="B1025" t="s">
        <v>2187</v>
      </c>
      <c r="C1025" t="s">
        <v>13</v>
      </c>
      <c r="D1025" t="s">
        <v>2169</v>
      </c>
      <c r="E1025" t="s">
        <v>2170</v>
      </c>
      <c r="F1025" t="s">
        <v>111</v>
      </c>
      <c r="G1025" s="1">
        <v>0.2</v>
      </c>
      <c r="H1025" t="s">
        <v>232</v>
      </c>
      <c r="I1025" t="s">
        <v>1580</v>
      </c>
      <c r="J1025" t="s">
        <v>1077</v>
      </c>
      <c r="K1025" t="s">
        <v>2188</v>
      </c>
      <c r="L1025" s="14">
        <f>IFERROR(VALUE(LEFT(tblMatriculas[[#This Row],[Clases]],FIND("/",tblMatriculas[[#This Row],[Clases]])-1)),"")</f>
        <v>6</v>
      </c>
      <c r="M1025" s="14">
        <f>IFERROR(VALUE(MID(tblMatriculas[[#This Row],[Clases]],FIND("/",tblMatriculas[[#This Row],[Clases]])+1,5)),"")</f>
        <v>30</v>
      </c>
      <c r="N10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5" s="14">
        <f>IF(OR(tblMatriculas[[#This Row],[Estado]]&lt;&gt;"activa",tblMatriculas[[#This Row],[Clases dictadas]]=""),"",MAX(0,tblMatriculas[[#This Row],[Clases dictadas]]-tblMatriculas[[#This Row],[Asistidas]]))</f>
        <v>0</v>
      </c>
      <c r="P1025" s="1">
        <f>IF(OR(tblMatriculas[[#This Row],[Estado]]&lt;&gt;"activa",tblMatriculas[[#This Row],[Asistidas]]=""),"",tblMatriculas[[#This Row],[Asistencia]])</f>
        <v>0.2</v>
      </c>
      <c r="Q1025" t="b">
        <f>AND(tblMatriculas[[#This Row],[Estado]]="activa",ISNUMBER(tblMatriculas[[#This Row],[% asistencia]]),NOT(ISNUMBER(SEARCH(pPrueba,tblMatriculas[[#This Row],[Nombre]]))))</f>
        <v>1</v>
      </c>
      <c r="R10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5" s="23" t="str" cm="1">
        <f t="array" ref="S10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5" s="23" t="str" cm="1">
        <f t="array" ref="T10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5" s="14" t="str" cm="1">
        <f t="array" ref="U10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5" t="str" cm="1">
        <f t="array" ref="V10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5" t="str" cm="1">
        <f t="array" ref="W10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5" t="str">
        <f>IF(COUNTIFS('Base Estudiantes'!$C:$C,tblMatriculas[[#This Row],[Cédula]],'Base Estudiantes'!$I:$I,tblMatriculas[[#This Row],[Código]])&gt;0,"Sí","No")</f>
        <v>Sí</v>
      </c>
      <c r="Z1025" s="23" cm="1">
        <f t="array" ref="Z1025">_xlfn.XLOOKUP(tblMatriculas[[#This Row],[Cédula]]&amp;"|"&amp;tblMatriculas[[#This Row],[Código]],tblBase[Documento]&amp;"|"&amp;tblBase[Código grupo],tblBase[Fecha matrícula],"")</f>
        <v>46263</v>
      </c>
    </row>
    <row r="1026" spans="1:26" x14ac:dyDescent="0.2">
      <c r="A1026" t="s">
        <v>2189</v>
      </c>
      <c r="B1026" t="s">
        <v>2190</v>
      </c>
      <c r="C1026" t="s">
        <v>13</v>
      </c>
      <c r="D1026" t="s">
        <v>2169</v>
      </c>
      <c r="E1026" t="s">
        <v>2170</v>
      </c>
      <c r="F1026" t="s">
        <v>111</v>
      </c>
      <c r="G1026" s="1">
        <v>0.2</v>
      </c>
      <c r="H1026" t="s">
        <v>232</v>
      </c>
      <c r="I1026" t="s">
        <v>1580</v>
      </c>
      <c r="J1026" t="s">
        <v>1077</v>
      </c>
      <c r="K1026" t="s">
        <v>24</v>
      </c>
      <c r="L1026" s="14">
        <f>IFERROR(VALUE(LEFT(tblMatriculas[[#This Row],[Clases]],FIND("/",tblMatriculas[[#This Row],[Clases]])-1)),"")</f>
        <v>6</v>
      </c>
      <c r="M1026" s="14">
        <f>IFERROR(VALUE(MID(tblMatriculas[[#This Row],[Clases]],FIND("/",tblMatriculas[[#This Row],[Clases]])+1,5)),"")</f>
        <v>30</v>
      </c>
      <c r="N10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6" s="14">
        <f>IF(OR(tblMatriculas[[#This Row],[Estado]]&lt;&gt;"activa",tblMatriculas[[#This Row],[Clases dictadas]]=""),"",MAX(0,tblMatriculas[[#This Row],[Clases dictadas]]-tblMatriculas[[#This Row],[Asistidas]]))</f>
        <v>0</v>
      </c>
      <c r="P1026" s="1">
        <f>IF(OR(tblMatriculas[[#This Row],[Estado]]&lt;&gt;"activa",tblMatriculas[[#This Row],[Asistidas]]=""),"",tblMatriculas[[#This Row],[Asistencia]])</f>
        <v>0.2</v>
      </c>
      <c r="Q1026" t="b">
        <f>AND(tblMatriculas[[#This Row],[Estado]]="activa",ISNUMBER(tblMatriculas[[#This Row],[% asistencia]]),NOT(ISNUMBER(SEARCH(pPrueba,tblMatriculas[[#This Row],[Nombre]]))))</f>
        <v>1</v>
      </c>
      <c r="R10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6" s="23" t="str" cm="1">
        <f t="array" ref="S10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6" s="23" t="str" cm="1">
        <f t="array" ref="T10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6" s="14" t="str" cm="1">
        <f t="array" ref="U10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6" t="str" cm="1">
        <f t="array" ref="V10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6" t="str" cm="1">
        <f t="array" ref="W10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6" t="str">
        <f>IF(COUNTIFS('Base Estudiantes'!$C:$C,tblMatriculas[[#This Row],[Cédula]],'Base Estudiantes'!$I:$I,tblMatriculas[[#This Row],[Código]])&gt;0,"Sí","No")</f>
        <v>Sí</v>
      </c>
      <c r="Z1026" s="23" cm="1">
        <f t="array" ref="Z1026">_xlfn.XLOOKUP(tblMatriculas[[#This Row],[Cédula]]&amp;"|"&amp;tblMatriculas[[#This Row],[Código]],tblBase[Documento]&amp;"|"&amp;tblBase[Código grupo],tblBase[Fecha matrícula],"")</f>
        <v>46263</v>
      </c>
    </row>
    <row r="1027" spans="1:26" x14ac:dyDescent="0.2">
      <c r="A1027" t="s">
        <v>1291</v>
      </c>
      <c r="B1027" t="s">
        <v>1292</v>
      </c>
      <c r="C1027" t="s">
        <v>49</v>
      </c>
      <c r="D1027" t="s">
        <v>2169</v>
      </c>
      <c r="E1027" t="s">
        <v>2170</v>
      </c>
      <c r="F1027" t="s">
        <v>111</v>
      </c>
      <c r="G1027" s="1">
        <v>0.11699999999999999</v>
      </c>
      <c r="H1027" t="s">
        <v>2191</v>
      </c>
      <c r="I1027" t="s">
        <v>1580</v>
      </c>
      <c r="J1027" t="s">
        <v>1077</v>
      </c>
      <c r="K1027" t="s">
        <v>24</v>
      </c>
      <c r="L1027" s="14">
        <f>IFERROR(VALUE(LEFT(tblMatriculas[[#This Row],[Clases]],FIND("/",tblMatriculas[[#This Row],[Clases]])-1)),"")</f>
        <v>7</v>
      </c>
      <c r="M1027" s="14">
        <f>IFERROR(VALUE(MID(tblMatriculas[[#This Row],[Clases]],FIND("/",tblMatriculas[[#This Row],[Clases]])+1,5)),"")</f>
        <v>60</v>
      </c>
      <c r="N10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12</v>
      </c>
      <c r="O1027" s="14" t="str">
        <f>IF(OR(tblMatriculas[[#This Row],[Estado]]&lt;&gt;"activa",tblMatriculas[[#This Row],[Clases dictadas]]=""),"",MAX(0,tblMatriculas[[#This Row],[Clases dictadas]]-tblMatriculas[[#This Row],[Asistidas]]))</f>
        <v/>
      </c>
      <c r="P1027" s="1" t="str">
        <f>IF(OR(tblMatriculas[[#This Row],[Estado]]&lt;&gt;"activa",tblMatriculas[[#This Row],[Asistidas]]=""),"",tblMatriculas[[#This Row],[Asistencia]])</f>
        <v/>
      </c>
      <c r="Q1027" t="b">
        <f>AND(tblMatriculas[[#This Row],[Estado]]="activa",ISNUMBER(tblMatriculas[[#This Row],[% asistencia]]),NOT(ISNUMBER(SEARCH(pPrueba,tblMatriculas[[#This Row],[Nombre]]))))</f>
        <v>0</v>
      </c>
      <c r="R10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027" s="23" t="str" cm="1">
        <f t="array" ref="S10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7" s="23" t="str" cm="1">
        <f t="array" ref="T10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7" s="14" t="str" cm="1">
        <f t="array" ref="U10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7" t="str" cm="1">
        <f t="array" ref="V10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7" t="str" cm="1">
        <f t="array" ref="W10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7" t="str">
        <f>IF(COUNTIFS('Base Estudiantes'!$C:$C,tblMatriculas[[#This Row],[Cédula]],'Base Estudiantes'!$I:$I,tblMatriculas[[#This Row],[Código]])&gt;0,"Sí","No")</f>
        <v>No</v>
      </c>
      <c r="Z1027" s="23" t="str" cm="1">
        <f t="array" ref="Z1027">_xlfn.XLOOKUP(tblMatriculas[[#This Row],[Cédula]]&amp;"|"&amp;tblMatriculas[[#This Row],[Código]],tblBase[Documento]&amp;"|"&amp;tblBase[Código grupo],tblBase[Fecha matrícula],"")</f>
        <v/>
      </c>
    </row>
    <row r="1028" spans="1:26" x14ac:dyDescent="0.2">
      <c r="A1028" t="s">
        <v>2192</v>
      </c>
      <c r="B1028" t="s">
        <v>2193</v>
      </c>
      <c r="C1028" t="s">
        <v>13</v>
      </c>
      <c r="D1028" t="s">
        <v>2169</v>
      </c>
      <c r="E1028" t="s">
        <v>2170</v>
      </c>
      <c r="F1028" t="s">
        <v>111</v>
      </c>
      <c r="G1028" s="1">
        <v>0.2</v>
      </c>
      <c r="H1028" t="s">
        <v>232</v>
      </c>
      <c r="I1028" t="s">
        <v>1580</v>
      </c>
      <c r="J1028" t="s">
        <v>1077</v>
      </c>
      <c r="K1028" t="s">
        <v>24</v>
      </c>
      <c r="L1028" s="14">
        <f>IFERROR(VALUE(LEFT(tblMatriculas[[#This Row],[Clases]],FIND("/",tblMatriculas[[#This Row],[Clases]])-1)),"")</f>
        <v>6</v>
      </c>
      <c r="M1028" s="14">
        <f>IFERROR(VALUE(MID(tblMatriculas[[#This Row],[Clases]],FIND("/",tblMatriculas[[#This Row],[Clases]])+1,5)),"")</f>
        <v>30</v>
      </c>
      <c r="N10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8" s="14">
        <f>IF(OR(tblMatriculas[[#This Row],[Estado]]&lt;&gt;"activa",tblMatriculas[[#This Row],[Clases dictadas]]=""),"",MAX(0,tblMatriculas[[#This Row],[Clases dictadas]]-tblMatriculas[[#This Row],[Asistidas]]))</f>
        <v>0</v>
      </c>
      <c r="P1028" s="1">
        <f>IF(OR(tblMatriculas[[#This Row],[Estado]]&lt;&gt;"activa",tblMatriculas[[#This Row],[Asistidas]]=""),"",tblMatriculas[[#This Row],[Asistencia]])</f>
        <v>0.2</v>
      </c>
      <c r="Q1028" t="b">
        <f>AND(tblMatriculas[[#This Row],[Estado]]="activa",ISNUMBER(tblMatriculas[[#This Row],[% asistencia]]),NOT(ISNUMBER(SEARCH(pPrueba,tblMatriculas[[#This Row],[Nombre]]))))</f>
        <v>1</v>
      </c>
      <c r="R10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8" s="23" t="str" cm="1">
        <f t="array" ref="S10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8" s="23" t="str" cm="1">
        <f t="array" ref="T10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8" s="14" t="str" cm="1">
        <f t="array" ref="U10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8" t="str" cm="1">
        <f t="array" ref="V10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8" t="str" cm="1">
        <f t="array" ref="W10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8" t="str">
        <f>IF(COUNTIFS('Base Estudiantes'!$C:$C,tblMatriculas[[#This Row],[Cédula]],'Base Estudiantes'!$I:$I,tblMatriculas[[#This Row],[Código]])&gt;0,"Sí","No")</f>
        <v>Sí</v>
      </c>
      <c r="Z1028" s="23" cm="1">
        <f t="array" ref="Z1028">_xlfn.XLOOKUP(tblMatriculas[[#This Row],[Cédula]]&amp;"|"&amp;tblMatriculas[[#This Row],[Código]],tblBase[Documento]&amp;"|"&amp;tblBase[Código grupo],tblBase[Fecha matrícula],"")</f>
        <v>46263</v>
      </c>
    </row>
    <row r="1029" spans="1:26" x14ac:dyDescent="0.2">
      <c r="A1029" t="s">
        <v>2194</v>
      </c>
      <c r="B1029" t="s">
        <v>2195</v>
      </c>
      <c r="C1029" t="s">
        <v>13</v>
      </c>
      <c r="D1029" t="s">
        <v>2169</v>
      </c>
      <c r="E1029" t="s">
        <v>2170</v>
      </c>
      <c r="F1029" t="s">
        <v>111</v>
      </c>
      <c r="G1029" s="1">
        <v>0.16699999999999998</v>
      </c>
      <c r="H1029" t="s">
        <v>229</v>
      </c>
      <c r="I1029" t="s">
        <v>1580</v>
      </c>
      <c r="J1029" t="s">
        <v>1077</v>
      </c>
      <c r="K1029" t="s">
        <v>24</v>
      </c>
      <c r="L1029" s="14">
        <f>IFERROR(VALUE(LEFT(tblMatriculas[[#This Row],[Clases]],FIND("/",tblMatriculas[[#This Row],[Clases]])-1)),"")</f>
        <v>5</v>
      </c>
      <c r="M1029" s="14">
        <f>IFERROR(VALUE(MID(tblMatriculas[[#This Row],[Clases]],FIND("/",tblMatriculas[[#This Row],[Clases]])+1,5)),"")</f>
        <v>30</v>
      </c>
      <c r="N10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29" s="14">
        <f>IF(OR(tblMatriculas[[#This Row],[Estado]]&lt;&gt;"activa",tblMatriculas[[#This Row],[Clases dictadas]]=""),"",MAX(0,tblMatriculas[[#This Row],[Clases dictadas]]-tblMatriculas[[#This Row],[Asistidas]]))</f>
        <v>1</v>
      </c>
      <c r="P1029" s="1">
        <f>IF(OR(tblMatriculas[[#This Row],[Estado]]&lt;&gt;"activa",tblMatriculas[[#This Row],[Asistidas]]=""),"",tblMatriculas[[#This Row],[Asistencia]])</f>
        <v>0.16699999999999998</v>
      </c>
      <c r="Q1029" t="b">
        <f>AND(tblMatriculas[[#This Row],[Estado]]="activa",ISNUMBER(tblMatriculas[[#This Row],[% asistencia]]),NOT(ISNUMBER(SEARCH(pPrueba,tblMatriculas[[#This Row],[Nombre]]))))</f>
        <v>1</v>
      </c>
      <c r="R10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29" s="23" t="str" cm="1">
        <f t="array" ref="S10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29" s="23" t="str" cm="1">
        <f t="array" ref="T10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29" s="14" t="str" cm="1">
        <f t="array" ref="U10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29" t="str" cm="1">
        <f t="array" ref="V10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29" t="str" cm="1">
        <f t="array" ref="W10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29" t="str">
        <f>IF(COUNTIFS('Base Estudiantes'!$C:$C,tblMatriculas[[#This Row],[Cédula]],'Base Estudiantes'!$I:$I,tblMatriculas[[#This Row],[Código]])&gt;0,"Sí","No")</f>
        <v>Sí</v>
      </c>
      <c r="Z1029" s="23" cm="1">
        <f t="array" ref="Z1029">_xlfn.XLOOKUP(tblMatriculas[[#This Row],[Cédula]]&amp;"|"&amp;tblMatriculas[[#This Row],[Código]],tblBase[Documento]&amp;"|"&amp;tblBase[Código grupo],tblBase[Fecha matrícula],"")</f>
        <v>46263</v>
      </c>
    </row>
    <row r="1030" spans="1:26" x14ac:dyDescent="0.2">
      <c r="A1030" t="s">
        <v>2196</v>
      </c>
      <c r="B1030" t="s">
        <v>2197</v>
      </c>
      <c r="C1030" t="s">
        <v>13</v>
      </c>
      <c r="D1030" t="s">
        <v>2169</v>
      </c>
      <c r="E1030" t="s">
        <v>2170</v>
      </c>
      <c r="F1030" t="s">
        <v>111</v>
      </c>
      <c r="G1030" s="1">
        <v>0.16699999999999998</v>
      </c>
      <c r="H1030" t="s">
        <v>229</v>
      </c>
      <c r="I1030" t="s">
        <v>1580</v>
      </c>
      <c r="J1030" t="s">
        <v>1077</v>
      </c>
      <c r="K1030" t="s">
        <v>24</v>
      </c>
      <c r="L1030" s="14">
        <f>IFERROR(VALUE(LEFT(tblMatriculas[[#This Row],[Clases]],FIND("/",tblMatriculas[[#This Row],[Clases]])-1)),"")</f>
        <v>5</v>
      </c>
      <c r="M1030" s="14">
        <f>IFERROR(VALUE(MID(tblMatriculas[[#This Row],[Clases]],FIND("/",tblMatriculas[[#This Row],[Clases]])+1,5)),"")</f>
        <v>30</v>
      </c>
      <c r="N10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0" s="14">
        <f>IF(OR(tblMatriculas[[#This Row],[Estado]]&lt;&gt;"activa",tblMatriculas[[#This Row],[Clases dictadas]]=""),"",MAX(0,tblMatriculas[[#This Row],[Clases dictadas]]-tblMatriculas[[#This Row],[Asistidas]]))</f>
        <v>1</v>
      </c>
      <c r="P1030" s="1">
        <f>IF(OR(tblMatriculas[[#This Row],[Estado]]&lt;&gt;"activa",tblMatriculas[[#This Row],[Asistidas]]=""),"",tblMatriculas[[#This Row],[Asistencia]])</f>
        <v>0.16699999999999998</v>
      </c>
      <c r="Q1030" t="b">
        <f>AND(tblMatriculas[[#This Row],[Estado]]="activa",ISNUMBER(tblMatriculas[[#This Row],[% asistencia]]),NOT(ISNUMBER(SEARCH(pPrueba,tblMatriculas[[#This Row],[Nombre]]))))</f>
        <v>1</v>
      </c>
      <c r="R10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0" s="23" t="str" cm="1">
        <f t="array" ref="S10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0" s="23" t="str" cm="1">
        <f t="array" ref="T10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0" s="14" t="str" cm="1">
        <f t="array" ref="U10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0" t="str" cm="1">
        <f t="array" ref="V10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0" t="str" cm="1">
        <f t="array" ref="W10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0" t="str">
        <f>IF(COUNTIFS('Base Estudiantes'!$C:$C,tblMatriculas[[#This Row],[Cédula]],'Base Estudiantes'!$I:$I,tblMatriculas[[#This Row],[Código]])&gt;0,"Sí","No")</f>
        <v>Sí</v>
      </c>
      <c r="Z1030" s="23" cm="1">
        <f t="array" ref="Z1030">_xlfn.XLOOKUP(tblMatriculas[[#This Row],[Cédula]]&amp;"|"&amp;tblMatriculas[[#This Row],[Código]],tblBase[Documento]&amp;"|"&amp;tblBase[Código grupo],tblBase[Fecha matrícula],"")</f>
        <v>46263</v>
      </c>
    </row>
    <row r="1031" spans="1:26" x14ac:dyDescent="0.2">
      <c r="A1031" t="s">
        <v>2198</v>
      </c>
      <c r="B1031" t="s">
        <v>2199</v>
      </c>
      <c r="C1031" t="s">
        <v>13</v>
      </c>
      <c r="D1031" t="s">
        <v>2169</v>
      </c>
      <c r="E1031" t="s">
        <v>2170</v>
      </c>
      <c r="F1031" t="s">
        <v>111</v>
      </c>
      <c r="G1031" s="1">
        <v>0.16699999999999998</v>
      </c>
      <c r="H1031" t="s">
        <v>229</v>
      </c>
      <c r="I1031" t="s">
        <v>1580</v>
      </c>
      <c r="J1031" t="s">
        <v>1077</v>
      </c>
      <c r="K1031" t="s">
        <v>24</v>
      </c>
      <c r="L1031" s="14">
        <f>IFERROR(VALUE(LEFT(tblMatriculas[[#This Row],[Clases]],FIND("/",tblMatriculas[[#This Row],[Clases]])-1)),"")</f>
        <v>5</v>
      </c>
      <c r="M1031" s="14">
        <f>IFERROR(VALUE(MID(tblMatriculas[[#This Row],[Clases]],FIND("/",tblMatriculas[[#This Row],[Clases]])+1,5)),"")</f>
        <v>30</v>
      </c>
      <c r="N10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1" s="14">
        <f>IF(OR(tblMatriculas[[#This Row],[Estado]]&lt;&gt;"activa",tblMatriculas[[#This Row],[Clases dictadas]]=""),"",MAX(0,tblMatriculas[[#This Row],[Clases dictadas]]-tblMatriculas[[#This Row],[Asistidas]]))</f>
        <v>1</v>
      </c>
      <c r="P1031" s="1">
        <f>IF(OR(tblMatriculas[[#This Row],[Estado]]&lt;&gt;"activa",tblMatriculas[[#This Row],[Asistidas]]=""),"",tblMatriculas[[#This Row],[Asistencia]])</f>
        <v>0.16699999999999998</v>
      </c>
      <c r="Q1031" t="b">
        <f>AND(tblMatriculas[[#This Row],[Estado]]="activa",ISNUMBER(tblMatriculas[[#This Row],[% asistencia]]),NOT(ISNUMBER(SEARCH(pPrueba,tblMatriculas[[#This Row],[Nombre]]))))</f>
        <v>1</v>
      </c>
      <c r="R10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1" s="23" t="str" cm="1">
        <f t="array" ref="S10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1" s="23" t="str" cm="1">
        <f t="array" ref="T10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1" s="14" t="str" cm="1">
        <f t="array" ref="U10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1" t="str" cm="1">
        <f t="array" ref="V10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1" t="str" cm="1">
        <f t="array" ref="W10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1" t="str">
        <f>IF(COUNTIFS('Base Estudiantes'!$C:$C,tblMatriculas[[#This Row],[Cédula]],'Base Estudiantes'!$I:$I,tblMatriculas[[#This Row],[Código]])&gt;0,"Sí","No")</f>
        <v>Sí</v>
      </c>
      <c r="Z1031" s="23" cm="1">
        <f t="array" ref="Z1031">_xlfn.XLOOKUP(tblMatriculas[[#This Row],[Cédula]]&amp;"|"&amp;tblMatriculas[[#This Row],[Código]],tblBase[Documento]&amp;"|"&amp;tblBase[Código grupo],tblBase[Fecha matrícula],"")</f>
        <v>46263</v>
      </c>
    </row>
    <row r="1032" spans="1:26" x14ac:dyDescent="0.2">
      <c r="A1032" t="s">
        <v>2200</v>
      </c>
      <c r="B1032" t="s">
        <v>2201</v>
      </c>
      <c r="C1032" t="s">
        <v>13</v>
      </c>
      <c r="D1032" t="s">
        <v>2169</v>
      </c>
      <c r="E1032" t="s">
        <v>2170</v>
      </c>
      <c r="F1032" t="s">
        <v>111</v>
      </c>
      <c r="G1032" s="1">
        <v>6.7000000000000004E-2</v>
      </c>
      <c r="H1032" t="s">
        <v>166</v>
      </c>
      <c r="I1032" t="s">
        <v>1580</v>
      </c>
      <c r="J1032" t="s">
        <v>1077</v>
      </c>
      <c r="K1032" t="s">
        <v>24</v>
      </c>
      <c r="L1032" s="14">
        <f>IFERROR(VALUE(LEFT(tblMatriculas[[#This Row],[Clases]],FIND("/",tblMatriculas[[#This Row],[Clases]])-1)),"")</f>
        <v>2</v>
      </c>
      <c r="M1032" s="14">
        <f>IFERROR(VALUE(MID(tblMatriculas[[#This Row],[Clases]],FIND("/",tblMatriculas[[#This Row],[Clases]])+1,5)),"")</f>
        <v>30</v>
      </c>
      <c r="N10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2" s="14">
        <f>IF(OR(tblMatriculas[[#This Row],[Estado]]&lt;&gt;"activa",tblMatriculas[[#This Row],[Clases dictadas]]=""),"",MAX(0,tblMatriculas[[#This Row],[Clases dictadas]]-tblMatriculas[[#This Row],[Asistidas]]))</f>
        <v>4</v>
      </c>
      <c r="P1032" s="1">
        <f>IF(OR(tblMatriculas[[#This Row],[Estado]]&lt;&gt;"activa",tblMatriculas[[#This Row],[Asistidas]]=""),"",tblMatriculas[[#This Row],[Asistencia]])</f>
        <v>6.7000000000000004E-2</v>
      </c>
      <c r="Q1032" t="b">
        <f>AND(tblMatriculas[[#This Row],[Estado]]="activa",ISNUMBER(tblMatriculas[[#This Row],[% asistencia]]),NOT(ISNUMBER(SEARCH(pPrueba,tblMatriculas[[#This Row],[Nombre]]))))</f>
        <v>1</v>
      </c>
      <c r="R10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32" s="23" t="str" cm="1">
        <f t="array" ref="S10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2" s="23" t="str" cm="1">
        <f t="array" ref="T10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2" s="14" t="str" cm="1">
        <f t="array" ref="U10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2" t="str" cm="1">
        <f t="array" ref="V10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2" t="str" cm="1">
        <f t="array" ref="W10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32" t="str">
        <f>IF(COUNTIFS('Base Estudiantes'!$C:$C,tblMatriculas[[#This Row],[Cédula]],'Base Estudiantes'!$I:$I,tblMatriculas[[#This Row],[Código]])&gt;0,"Sí","No")</f>
        <v>Sí</v>
      </c>
      <c r="Z1032" s="23" cm="1">
        <f t="array" ref="Z1032">_xlfn.XLOOKUP(tblMatriculas[[#This Row],[Cédula]]&amp;"|"&amp;tblMatriculas[[#This Row],[Código]],tblBase[Documento]&amp;"|"&amp;tblBase[Código grupo],tblBase[Fecha matrícula],"")</f>
        <v>46263</v>
      </c>
    </row>
    <row r="1033" spans="1:26" x14ac:dyDescent="0.2">
      <c r="A1033" t="s">
        <v>2202</v>
      </c>
      <c r="B1033" t="s">
        <v>2203</v>
      </c>
      <c r="C1033" t="s">
        <v>13</v>
      </c>
      <c r="D1033" t="s">
        <v>2169</v>
      </c>
      <c r="E1033" t="s">
        <v>2170</v>
      </c>
      <c r="F1033" t="s">
        <v>111</v>
      </c>
      <c r="G1033" s="1">
        <v>0.2</v>
      </c>
      <c r="H1033" t="s">
        <v>232</v>
      </c>
      <c r="I1033" t="s">
        <v>1580</v>
      </c>
      <c r="J1033" t="s">
        <v>1077</v>
      </c>
      <c r="K1033" t="s">
        <v>24</v>
      </c>
      <c r="L1033" s="14">
        <f>IFERROR(VALUE(LEFT(tblMatriculas[[#This Row],[Clases]],FIND("/",tblMatriculas[[#This Row],[Clases]])-1)),"")</f>
        <v>6</v>
      </c>
      <c r="M1033" s="14">
        <f>IFERROR(VALUE(MID(tblMatriculas[[#This Row],[Clases]],FIND("/",tblMatriculas[[#This Row],[Clases]])+1,5)),"")</f>
        <v>30</v>
      </c>
      <c r="N10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3" s="14">
        <f>IF(OR(tblMatriculas[[#This Row],[Estado]]&lt;&gt;"activa",tblMatriculas[[#This Row],[Clases dictadas]]=""),"",MAX(0,tblMatriculas[[#This Row],[Clases dictadas]]-tblMatriculas[[#This Row],[Asistidas]]))</f>
        <v>0</v>
      </c>
      <c r="P1033" s="1">
        <f>IF(OR(tblMatriculas[[#This Row],[Estado]]&lt;&gt;"activa",tblMatriculas[[#This Row],[Asistidas]]=""),"",tblMatriculas[[#This Row],[Asistencia]])</f>
        <v>0.2</v>
      </c>
      <c r="Q1033" t="b">
        <f>AND(tblMatriculas[[#This Row],[Estado]]="activa",ISNUMBER(tblMatriculas[[#This Row],[% asistencia]]),NOT(ISNUMBER(SEARCH(pPrueba,tblMatriculas[[#This Row],[Nombre]]))))</f>
        <v>1</v>
      </c>
      <c r="R10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3" s="23" t="str" cm="1">
        <f t="array" ref="S10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3" s="23" t="str" cm="1">
        <f t="array" ref="T10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3" s="14" t="str" cm="1">
        <f t="array" ref="U10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3" t="str" cm="1">
        <f t="array" ref="V10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3" t="str" cm="1">
        <f t="array" ref="W10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3" t="str">
        <f>IF(COUNTIFS('Base Estudiantes'!$C:$C,tblMatriculas[[#This Row],[Cédula]],'Base Estudiantes'!$I:$I,tblMatriculas[[#This Row],[Código]])&gt;0,"Sí","No")</f>
        <v>Sí</v>
      </c>
      <c r="Z1033" s="23" cm="1">
        <f t="array" ref="Z1033">_xlfn.XLOOKUP(tblMatriculas[[#This Row],[Cédula]]&amp;"|"&amp;tblMatriculas[[#This Row],[Código]],tblBase[Documento]&amp;"|"&amp;tblBase[Código grupo],tblBase[Fecha matrícula],"")</f>
        <v>46263</v>
      </c>
    </row>
    <row r="1034" spans="1:26" x14ac:dyDescent="0.2">
      <c r="A1034" t="s">
        <v>2204</v>
      </c>
      <c r="B1034" t="s">
        <v>2205</v>
      </c>
      <c r="C1034" t="s">
        <v>13</v>
      </c>
      <c r="D1034" t="s">
        <v>2169</v>
      </c>
      <c r="E1034" t="s">
        <v>2170</v>
      </c>
      <c r="F1034" t="s">
        <v>111</v>
      </c>
      <c r="G1034" s="1">
        <v>0</v>
      </c>
      <c r="H1034" t="s">
        <v>254</v>
      </c>
      <c r="I1034" t="s">
        <v>1580</v>
      </c>
      <c r="J1034" t="s">
        <v>1077</v>
      </c>
      <c r="K1034" t="s">
        <v>24</v>
      </c>
      <c r="L1034" s="14">
        <f>IFERROR(VALUE(LEFT(tblMatriculas[[#This Row],[Clases]],FIND("/",tblMatriculas[[#This Row],[Clases]])-1)),"")</f>
        <v>0</v>
      </c>
      <c r="M1034" s="14">
        <f>IFERROR(VALUE(MID(tblMatriculas[[#This Row],[Clases]],FIND("/",tblMatriculas[[#This Row],[Clases]])+1,5)),"")</f>
        <v>30</v>
      </c>
      <c r="N10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4" s="14">
        <f>IF(OR(tblMatriculas[[#This Row],[Estado]]&lt;&gt;"activa",tblMatriculas[[#This Row],[Clases dictadas]]=""),"",MAX(0,tblMatriculas[[#This Row],[Clases dictadas]]-tblMatriculas[[#This Row],[Asistidas]]))</f>
        <v>6</v>
      </c>
      <c r="P1034" s="1">
        <f>IF(OR(tblMatriculas[[#This Row],[Estado]]&lt;&gt;"activa",tblMatriculas[[#This Row],[Asistidas]]=""),"",tblMatriculas[[#This Row],[Asistencia]])</f>
        <v>0</v>
      </c>
      <c r="Q1034" t="b">
        <f>AND(tblMatriculas[[#This Row],[Estado]]="activa",ISNUMBER(tblMatriculas[[#This Row],[% asistencia]]),NOT(ISNUMBER(SEARCH(pPrueba,tblMatriculas[[#This Row],[Nombre]]))))</f>
        <v>1</v>
      </c>
      <c r="R10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34" s="23" t="str" cm="1">
        <f t="array" ref="S10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4" s="23" t="str" cm="1">
        <f t="array" ref="T10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4" s="14" t="str" cm="1">
        <f t="array" ref="U10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4" t="str" cm="1">
        <f t="array" ref="V10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4" t="str" cm="1">
        <f t="array" ref="W10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34" t="str">
        <f>IF(COUNTIFS('Base Estudiantes'!$C:$C,tblMatriculas[[#This Row],[Cédula]],'Base Estudiantes'!$I:$I,tblMatriculas[[#This Row],[Código]])&gt;0,"Sí","No")</f>
        <v>Sí</v>
      </c>
      <c r="Z1034" s="23" cm="1">
        <f t="array" ref="Z1034">_xlfn.XLOOKUP(tblMatriculas[[#This Row],[Cédula]]&amp;"|"&amp;tblMatriculas[[#This Row],[Código]],tblBase[Documento]&amp;"|"&amp;tblBase[Código grupo],tblBase[Fecha matrícula],"")</f>
        <v>46263</v>
      </c>
    </row>
    <row r="1035" spans="1:26" x14ac:dyDescent="0.2">
      <c r="A1035" t="s">
        <v>2206</v>
      </c>
      <c r="B1035" t="s">
        <v>2207</v>
      </c>
      <c r="C1035" t="s">
        <v>13</v>
      </c>
      <c r="D1035" t="s">
        <v>2169</v>
      </c>
      <c r="E1035" t="s">
        <v>2170</v>
      </c>
      <c r="F1035" t="s">
        <v>111</v>
      </c>
      <c r="G1035" s="1">
        <v>0.2</v>
      </c>
      <c r="H1035" t="s">
        <v>232</v>
      </c>
      <c r="I1035" t="s">
        <v>1580</v>
      </c>
      <c r="J1035" t="s">
        <v>1077</v>
      </c>
      <c r="K1035" t="s">
        <v>24</v>
      </c>
      <c r="L1035" s="14">
        <f>IFERROR(VALUE(LEFT(tblMatriculas[[#This Row],[Clases]],FIND("/",tblMatriculas[[#This Row],[Clases]])-1)),"")</f>
        <v>6</v>
      </c>
      <c r="M1035" s="14">
        <f>IFERROR(VALUE(MID(tblMatriculas[[#This Row],[Clases]],FIND("/",tblMatriculas[[#This Row],[Clases]])+1,5)),"")</f>
        <v>30</v>
      </c>
      <c r="N10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5" s="14">
        <f>IF(OR(tblMatriculas[[#This Row],[Estado]]&lt;&gt;"activa",tblMatriculas[[#This Row],[Clases dictadas]]=""),"",MAX(0,tblMatriculas[[#This Row],[Clases dictadas]]-tblMatriculas[[#This Row],[Asistidas]]))</f>
        <v>0</v>
      </c>
      <c r="P1035" s="1">
        <f>IF(OR(tblMatriculas[[#This Row],[Estado]]&lt;&gt;"activa",tblMatriculas[[#This Row],[Asistidas]]=""),"",tblMatriculas[[#This Row],[Asistencia]])</f>
        <v>0.2</v>
      </c>
      <c r="Q1035" t="b">
        <f>AND(tblMatriculas[[#This Row],[Estado]]="activa",ISNUMBER(tblMatriculas[[#This Row],[% asistencia]]),NOT(ISNUMBER(SEARCH(pPrueba,tblMatriculas[[#This Row],[Nombre]]))))</f>
        <v>1</v>
      </c>
      <c r="R10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5" s="23" t="str" cm="1">
        <f t="array" ref="S10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5" s="23" t="str" cm="1">
        <f t="array" ref="T10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5" s="14" t="str" cm="1">
        <f t="array" ref="U10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5" t="str" cm="1">
        <f t="array" ref="V10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5" t="str" cm="1">
        <f t="array" ref="W10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5" t="str">
        <f>IF(COUNTIFS('Base Estudiantes'!$C:$C,tblMatriculas[[#This Row],[Cédula]],'Base Estudiantes'!$I:$I,tblMatriculas[[#This Row],[Código]])&gt;0,"Sí","No")</f>
        <v>Sí</v>
      </c>
      <c r="Z1035" s="23" cm="1">
        <f t="array" ref="Z1035">_xlfn.XLOOKUP(tblMatriculas[[#This Row],[Cédula]]&amp;"|"&amp;tblMatriculas[[#This Row],[Código]],tblBase[Documento]&amp;"|"&amp;tblBase[Código grupo],tblBase[Fecha matrícula],"")</f>
        <v>46263</v>
      </c>
    </row>
    <row r="1036" spans="1:26" x14ac:dyDescent="0.2">
      <c r="A1036" t="s">
        <v>2208</v>
      </c>
      <c r="B1036" t="s">
        <v>2209</v>
      </c>
      <c r="C1036" t="s">
        <v>13</v>
      </c>
      <c r="D1036" t="s">
        <v>2169</v>
      </c>
      <c r="E1036" t="s">
        <v>2170</v>
      </c>
      <c r="F1036" t="s">
        <v>111</v>
      </c>
      <c r="G1036" s="1">
        <v>0.2</v>
      </c>
      <c r="H1036" t="s">
        <v>232</v>
      </c>
      <c r="I1036" t="s">
        <v>1580</v>
      </c>
      <c r="J1036" t="s">
        <v>1077</v>
      </c>
      <c r="K1036" t="s">
        <v>24</v>
      </c>
      <c r="L1036" s="14">
        <f>IFERROR(VALUE(LEFT(tblMatriculas[[#This Row],[Clases]],FIND("/",tblMatriculas[[#This Row],[Clases]])-1)),"")</f>
        <v>6</v>
      </c>
      <c r="M1036" s="14">
        <f>IFERROR(VALUE(MID(tblMatriculas[[#This Row],[Clases]],FIND("/",tblMatriculas[[#This Row],[Clases]])+1,5)),"")</f>
        <v>30</v>
      </c>
      <c r="N10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6" s="14">
        <f>IF(OR(tblMatriculas[[#This Row],[Estado]]&lt;&gt;"activa",tblMatriculas[[#This Row],[Clases dictadas]]=""),"",MAX(0,tblMatriculas[[#This Row],[Clases dictadas]]-tblMatriculas[[#This Row],[Asistidas]]))</f>
        <v>0</v>
      </c>
      <c r="P1036" s="1">
        <f>IF(OR(tblMatriculas[[#This Row],[Estado]]&lt;&gt;"activa",tblMatriculas[[#This Row],[Asistidas]]=""),"",tblMatriculas[[#This Row],[Asistencia]])</f>
        <v>0.2</v>
      </c>
      <c r="Q1036" t="b">
        <f>AND(tblMatriculas[[#This Row],[Estado]]="activa",ISNUMBER(tblMatriculas[[#This Row],[% asistencia]]),NOT(ISNUMBER(SEARCH(pPrueba,tblMatriculas[[#This Row],[Nombre]]))))</f>
        <v>1</v>
      </c>
      <c r="R10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6" s="23" t="str" cm="1">
        <f t="array" ref="S10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6" s="23" t="str" cm="1">
        <f t="array" ref="T10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6" s="14" t="str" cm="1">
        <f t="array" ref="U10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6" t="str" cm="1">
        <f t="array" ref="V10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6" t="str" cm="1">
        <f t="array" ref="W10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6" t="str">
        <f>IF(COUNTIFS('Base Estudiantes'!$C:$C,tblMatriculas[[#This Row],[Cédula]],'Base Estudiantes'!$I:$I,tblMatriculas[[#This Row],[Código]])&gt;0,"Sí","No")</f>
        <v>Sí</v>
      </c>
      <c r="Z1036" s="23" cm="1">
        <f t="array" ref="Z1036">_xlfn.XLOOKUP(tblMatriculas[[#This Row],[Cédula]]&amp;"|"&amp;tblMatriculas[[#This Row],[Código]],tblBase[Documento]&amp;"|"&amp;tblBase[Código grupo],tblBase[Fecha matrícula],"")</f>
        <v>46263</v>
      </c>
    </row>
    <row r="1037" spans="1:26" x14ac:dyDescent="0.2">
      <c r="A1037" t="s">
        <v>2210</v>
      </c>
      <c r="B1037" t="s">
        <v>2211</v>
      </c>
      <c r="C1037" t="s">
        <v>13</v>
      </c>
      <c r="D1037" t="s">
        <v>2169</v>
      </c>
      <c r="E1037" t="s">
        <v>2170</v>
      </c>
      <c r="F1037" t="s">
        <v>111</v>
      </c>
      <c r="G1037" s="1">
        <v>0.2</v>
      </c>
      <c r="H1037" t="s">
        <v>232</v>
      </c>
      <c r="I1037" t="s">
        <v>1580</v>
      </c>
      <c r="J1037" t="s">
        <v>1077</v>
      </c>
      <c r="K1037" t="s">
        <v>24</v>
      </c>
      <c r="L1037" s="14">
        <f>IFERROR(VALUE(LEFT(tblMatriculas[[#This Row],[Clases]],FIND("/",tblMatriculas[[#This Row],[Clases]])-1)),"")</f>
        <v>6</v>
      </c>
      <c r="M1037" s="14">
        <f>IFERROR(VALUE(MID(tblMatriculas[[#This Row],[Clases]],FIND("/",tblMatriculas[[#This Row],[Clases]])+1,5)),"")</f>
        <v>30</v>
      </c>
      <c r="N10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7" s="14">
        <f>IF(OR(tblMatriculas[[#This Row],[Estado]]&lt;&gt;"activa",tblMatriculas[[#This Row],[Clases dictadas]]=""),"",MAX(0,tblMatriculas[[#This Row],[Clases dictadas]]-tblMatriculas[[#This Row],[Asistidas]]))</f>
        <v>0</v>
      </c>
      <c r="P1037" s="1">
        <f>IF(OR(tblMatriculas[[#This Row],[Estado]]&lt;&gt;"activa",tblMatriculas[[#This Row],[Asistidas]]=""),"",tblMatriculas[[#This Row],[Asistencia]])</f>
        <v>0.2</v>
      </c>
      <c r="Q1037" t="b">
        <f>AND(tblMatriculas[[#This Row],[Estado]]="activa",ISNUMBER(tblMatriculas[[#This Row],[% asistencia]]),NOT(ISNUMBER(SEARCH(pPrueba,tblMatriculas[[#This Row],[Nombre]]))))</f>
        <v>1</v>
      </c>
      <c r="R10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7" s="23" t="str" cm="1">
        <f t="array" ref="S10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7" s="23" t="str" cm="1">
        <f t="array" ref="T10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7" s="14" t="str" cm="1">
        <f t="array" ref="U10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7" t="str" cm="1">
        <f t="array" ref="V10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7" t="str" cm="1">
        <f t="array" ref="W10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7" t="str">
        <f>IF(COUNTIFS('Base Estudiantes'!$C:$C,tblMatriculas[[#This Row],[Cédula]],'Base Estudiantes'!$I:$I,tblMatriculas[[#This Row],[Código]])&gt;0,"Sí","No")</f>
        <v>Sí</v>
      </c>
      <c r="Z1037" s="23" cm="1">
        <f t="array" ref="Z1037">_xlfn.XLOOKUP(tblMatriculas[[#This Row],[Cédula]]&amp;"|"&amp;tblMatriculas[[#This Row],[Código]],tblBase[Documento]&amp;"|"&amp;tblBase[Código grupo],tblBase[Fecha matrícula],"")</f>
        <v>46263</v>
      </c>
    </row>
    <row r="1038" spans="1:26" x14ac:dyDescent="0.2">
      <c r="A1038" t="s">
        <v>2212</v>
      </c>
      <c r="B1038" t="s">
        <v>2213</v>
      </c>
      <c r="C1038" t="s">
        <v>13</v>
      </c>
      <c r="D1038" t="s">
        <v>2169</v>
      </c>
      <c r="E1038" t="s">
        <v>2170</v>
      </c>
      <c r="F1038" t="s">
        <v>111</v>
      </c>
      <c r="G1038" s="1">
        <v>0.2</v>
      </c>
      <c r="H1038" t="s">
        <v>232</v>
      </c>
      <c r="I1038" t="s">
        <v>1580</v>
      </c>
      <c r="J1038" t="s">
        <v>1077</v>
      </c>
      <c r="K1038" t="s">
        <v>24</v>
      </c>
      <c r="L1038" s="14">
        <f>IFERROR(VALUE(LEFT(tblMatriculas[[#This Row],[Clases]],FIND("/",tblMatriculas[[#This Row],[Clases]])-1)),"")</f>
        <v>6</v>
      </c>
      <c r="M1038" s="14">
        <f>IFERROR(VALUE(MID(tblMatriculas[[#This Row],[Clases]],FIND("/",tblMatriculas[[#This Row],[Clases]])+1,5)),"")</f>
        <v>30</v>
      </c>
      <c r="N10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38" s="14">
        <f>IF(OR(tblMatriculas[[#This Row],[Estado]]&lt;&gt;"activa",tblMatriculas[[#This Row],[Clases dictadas]]=""),"",MAX(0,tblMatriculas[[#This Row],[Clases dictadas]]-tblMatriculas[[#This Row],[Asistidas]]))</f>
        <v>0</v>
      </c>
      <c r="P1038" s="1">
        <f>IF(OR(tblMatriculas[[#This Row],[Estado]]&lt;&gt;"activa",tblMatriculas[[#This Row],[Asistidas]]=""),"",tblMatriculas[[#This Row],[Asistencia]])</f>
        <v>0.2</v>
      </c>
      <c r="Q1038" t="b">
        <f>AND(tblMatriculas[[#This Row],[Estado]]="activa",ISNUMBER(tblMatriculas[[#This Row],[% asistencia]]),NOT(ISNUMBER(SEARCH(pPrueba,tblMatriculas[[#This Row],[Nombre]]))))</f>
        <v>1</v>
      </c>
      <c r="R10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38" s="23" t="str" cm="1">
        <f t="array" ref="S10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8" s="23" t="str" cm="1">
        <f t="array" ref="T10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8" s="14" t="str" cm="1">
        <f t="array" ref="U10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8" t="str" cm="1">
        <f t="array" ref="V10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8" t="str" cm="1">
        <f t="array" ref="W10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8" t="str">
        <f>IF(COUNTIFS('Base Estudiantes'!$C:$C,tblMatriculas[[#This Row],[Cédula]],'Base Estudiantes'!$I:$I,tblMatriculas[[#This Row],[Código]])&gt;0,"Sí","No")</f>
        <v>Sí</v>
      </c>
      <c r="Z1038" s="23" cm="1">
        <f t="array" ref="Z1038">_xlfn.XLOOKUP(tblMatriculas[[#This Row],[Cédula]]&amp;"|"&amp;tblMatriculas[[#This Row],[Código]],tblBase[Documento]&amp;"|"&amp;tblBase[Código grupo],tblBase[Fecha matrícula],"")</f>
        <v>46263</v>
      </c>
    </row>
    <row r="1039" spans="1:26" x14ac:dyDescent="0.2">
      <c r="A1039" t="s">
        <v>2070</v>
      </c>
      <c r="B1039" t="s">
        <v>2071</v>
      </c>
      <c r="C1039" t="s">
        <v>49</v>
      </c>
      <c r="D1039" t="s">
        <v>2169</v>
      </c>
      <c r="E1039" t="s">
        <v>2170</v>
      </c>
      <c r="F1039" t="s">
        <v>111</v>
      </c>
      <c r="G1039" s="1">
        <v>6.7000000000000004E-2</v>
      </c>
      <c r="H1039" t="s">
        <v>2072</v>
      </c>
      <c r="I1039" t="s">
        <v>1580</v>
      </c>
      <c r="J1039" t="s">
        <v>1077</v>
      </c>
      <c r="K1039" t="s">
        <v>24</v>
      </c>
      <c r="L1039" s="14">
        <f>IFERROR(VALUE(LEFT(tblMatriculas[[#This Row],[Clases]],FIND("/",tblMatriculas[[#This Row],[Clases]])-1)),"")</f>
        <v>4</v>
      </c>
      <c r="M1039" s="14">
        <f>IFERROR(VALUE(MID(tblMatriculas[[#This Row],[Clases]],FIND("/",tblMatriculas[[#This Row],[Clases]])+1,5)),"")</f>
        <v>60</v>
      </c>
      <c r="N10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12</v>
      </c>
      <c r="O1039" s="14" t="str">
        <f>IF(OR(tblMatriculas[[#This Row],[Estado]]&lt;&gt;"activa",tblMatriculas[[#This Row],[Clases dictadas]]=""),"",MAX(0,tblMatriculas[[#This Row],[Clases dictadas]]-tblMatriculas[[#This Row],[Asistidas]]))</f>
        <v/>
      </c>
      <c r="P1039" s="1" t="str">
        <f>IF(OR(tblMatriculas[[#This Row],[Estado]]&lt;&gt;"activa",tblMatriculas[[#This Row],[Asistidas]]=""),"",tblMatriculas[[#This Row],[Asistencia]])</f>
        <v/>
      </c>
      <c r="Q1039" t="b">
        <f>AND(tblMatriculas[[#This Row],[Estado]]="activa",ISNUMBER(tblMatriculas[[#This Row],[% asistencia]]),NOT(ISNUMBER(SEARCH(pPrueba,tblMatriculas[[#This Row],[Nombre]]))))</f>
        <v>0</v>
      </c>
      <c r="R10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039" s="23" t="str" cm="1">
        <f t="array" ref="S10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39" s="23" t="str" cm="1">
        <f t="array" ref="T10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39" s="14" t="str" cm="1">
        <f t="array" ref="U10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39" t="str" cm="1">
        <f t="array" ref="V10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39" t="str" cm="1">
        <f t="array" ref="W10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39" t="str">
        <f>IF(COUNTIFS('Base Estudiantes'!$C:$C,tblMatriculas[[#This Row],[Cédula]],'Base Estudiantes'!$I:$I,tblMatriculas[[#This Row],[Código]])&gt;0,"Sí","No")</f>
        <v>No</v>
      </c>
      <c r="Z1039" s="23" t="str" cm="1">
        <f t="array" ref="Z1039">_xlfn.XLOOKUP(tblMatriculas[[#This Row],[Cédula]]&amp;"|"&amp;tblMatriculas[[#This Row],[Código]],tblBase[Documento]&amp;"|"&amp;tblBase[Código grupo],tblBase[Fecha matrícula],"")</f>
        <v/>
      </c>
    </row>
    <row r="1040" spans="1:26" x14ac:dyDescent="0.2">
      <c r="A1040" t="s">
        <v>2214</v>
      </c>
      <c r="B1040" t="s">
        <v>2215</v>
      </c>
      <c r="C1040" t="s">
        <v>13</v>
      </c>
      <c r="D1040" t="s">
        <v>2169</v>
      </c>
      <c r="E1040" t="s">
        <v>2170</v>
      </c>
      <c r="F1040" t="s">
        <v>111</v>
      </c>
      <c r="G1040" s="1">
        <v>0.2</v>
      </c>
      <c r="H1040" t="s">
        <v>232</v>
      </c>
      <c r="I1040" t="s">
        <v>1580</v>
      </c>
      <c r="J1040" t="s">
        <v>1077</v>
      </c>
      <c r="K1040" t="s">
        <v>24</v>
      </c>
      <c r="L1040" s="14">
        <f>IFERROR(VALUE(LEFT(tblMatriculas[[#This Row],[Clases]],FIND("/",tblMatriculas[[#This Row],[Clases]])-1)),"")</f>
        <v>6</v>
      </c>
      <c r="M1040" s="14">
        <f>IFERROR(VALUE(MID(tblMatriculas[[#This Row],[Clases]],FIND("/",tblMatriculas[[#This Row],[Clases]])+1,5)),"")</f>
        <v>30</v>
      </c>
      <c r="N10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0" s="14">
        <f>IF(OR(tblMatriculas[[#This Row],[Estado]]&lt;&gt;"activa",tblMatriculas[[#This Row],[Clases dictadas]]=""),"",MAX(0,tblMatriculas[[#This Row],[Clases dictadas]]-tblMatriculas[[#This Row],[Asistidas]]))</f>
        <v>0</v>
      </c>
      <c r="P1040" s="1">
        <f>IF(OR(tblMatriculas[[#This Row],[Estado]]&lt;&gt;"activa",tblMatriculas[[#This Row],[Asistidas]]=""),"",tblMatriculas[[#This Row],[Asistencia]])</f>
        <v>0.2</v>
      </c>
      <c r="Q1040" t="b">
        <f>AND(tblMatriculas[[#This Row],[Estado]]="activa",ISNUMBER(tblMatriculas[[#This Row],[% asistencia]]),NOT(ISNUMBER(SEARCH(pPrueba,tblMatriculas[[#This Row],[Nombre]]))))</f>
        <v>1</v>
      </c>
      <c r="R10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0" s="23" t="str" cm="1">
        <f t="array" ref="S10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0" s="23" t="str" cm="1">
        <f t="array" ref="T10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0" s="14" t="str" cm="1">
        <f t="array" ref="U10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0" t="str" cm="1">
        <f t="array" ref="V10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0" t="str" cm="1">
        <f t="array" ref="W10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0" t="str">
        <f>IF(COUNTIFS('Base Estudiantes'!$C:$C,tblMatriculas[[#This Row],[Cédula]],'Base Estudiantes'!$I:$I,tblMatriculas[[#This Row],[Código]])&gt;0,"Sí","No")</f>
        <v>Sí</v>
      </c>
      <c r="Z1040" s="23" cm="1">
        <f t="array" ref="Z1040">_xlfn.XLOOKUP(tblMatriculas[[#This Row],[Cédula]]&amp;"|"&amp;tblMatriculas[[#This Row],[Código]],tblBase[Documento]&amp;"|"&amp;tblBase[Código grupo],tblBase[Fecha matrícula],"")</f>
        <v>46263</v>
      </c>
    </row>
    <row r="1041" spans="1:26" x14ac:dyDescent="0.2">
      <c r="A1041" t="s">
        <v>2216</v>
      </c>
      <c r="B1041" t="s">
        <v>2217</v>
      </c>
      <c r="C1041" t="s">
        <v>13</v>
      </c>
      <c r="D1041" t="s">
        <v>2169</v>
      </c>
      <c r="E1041" t="s">
        <v>2170</v>
      </c>
      <c r="F1041" t="s">
        <v>111</v>
      </c>
      <c r="G1041" s="1">
        <v>0.2</v>
      </c>
      <c r="H1041" t="s">
        <v>232</v>
      </c>
      <c r="I1041" t="s">
        <v>1580</v>
      </c>
      <c r="J1041" t="s">
        <v>1077</v>
      </c>
      <c r="K1041" t="s">
        <v>24</v>
      </c>
      <c r="L1041" s="14">
        <f>IFERROR(VALUE(LEFT(tblMatriculas[[#This Row],[Clases]],FIND("/",tblMatriculas[[#This Row],[Clases]])-1)),"")</f>
        <v>6</v>
      </c>
      <c r="M1041" s="14">
        <f>IFERROR(VALUE(MID(tblMatriculas[[#This Row],[Clases]],FIND("/",tblMatriculas[[#This Row],[Clases]])+1,5)),"")</f>
        <v>30</v>
      </c>
      <c r="N10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1" s="14">
        <f>IF(OR(tblMatriculas[[#This Row],[Estado]]&lt;&gt;"activa",tblMatriculas[[#This Row],[Clases dictadas]]=""),"",MAX(0,tblMatriculas[[#This Row],[Clases dictadas]]-tblMatriculas[[#This Row],[Asistidas]]))</f>
        <v>0</v>
      </c>
      <c r="P1041" s="1">
        <f>IF(OR(tblMatriculas[[#This Row],[Estado]]&lt;&gt;"activa",tblMatriculas[[#This Row],[Asistidas]]=""),"",tblMatriculas[[#This Row],[Asistencia]])</f>
        <v>0.2</v>
      </c>
      <c r="Q1041" t="b">
        <f>AND(tblMatriculas[[#This Row],[Estado]]="activa",ISNUMBER(tblMatriculas[[#This Row],[% asistencia]]),NOT(ISNUMBER(SEARCH(pPrueba,tblMatriculas[[#This Row],[Nombre]]))))</f>
        <v>1</v>
      </c>
      <c r="R10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1" s="23" t="str" cm="1">
        <f t="array" ref="S10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1" s="23" t="str" cm="1">
        <f t="array" ref="T10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1" s="14" t="str" cm="1">
        <f t="array" ref="U10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1" t="str" cm="1">
        <f t="array" ref="V10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1" t="str" cm="1">
        <f t="array" ref="W10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1" t="str">
        <f>IF(COUNTIFS('Base Estudiantes'!$C:$C,tblMatriculas[[#This Row],[Cédula]],'Base Estudiantes'!$I:$I,tblMatriculas[[#This Row],[Código]])&gt;0,"Sí","No")</f>
        <v>Sí</v>
      </c>
      <c r="Z1041" s="23" cm="1">
        <f t="array" ref="Z1041">_xlfn.XLOOKUP(tblMatriculas[[#This Row],[Cédula]]&amp;"|"&amp;tblMatriculas[[#This Row],[Código]],tblBase[Documento]&amp;"|"&amp;tblBase[Código grupo],tblBase[Fecha matrícula],"")</f>
        <v>46263</v>
      </c>
    </row>
    <row r="1042" spans="1:26" x14ac:dyDescent="0.2">
      <c r="A1042" t="s">
        <v>2218</v>
      </c>
      <c r="B1042" t="s">
        <v>2219</v>
      </c>
      <c r="C1042" t="s">
        <v>13</v>
      </c>
      <c r="D1042" t="s">
        <v>2169</v>
      </c>
      <c r="E1042" t="s">
        <v>2170</v>
      </c>
      <c r="F1042" t="s">
        <v>111</v>
      </c>
      <c r="G1042" s="1">
        <v>0.2</v>
      </c>
      <c r="H1042" t="s">
        <v>232</v>
      </c>
      <c r="I1042" t="s">
        <v>1580</v>
      </c>
      <c r="J1042" t="s">
        <v>1077</v>
      </c>
      <c r="K1042" t="s">
        <v>24</v>
      </c>
      <c r="L1042" s="14">
        <f>IFERROR(VALUE(LEFT(tblMatriculas[[#This Row],[Clases]],FIND("/",tblMatriculas[[#This Row],[Clases]])-1)),"")</f>
        <v>6</v>
      </c>
      <c r="M1042" s="14">
        <f>IFERROR(VALUE(MID(tblMatriculas[[#This Row],[Clases]],FIND("/",tblMatriculas[[#This Row],[Clases]])+1,5)),"")</f>
        <v>30</v>
      </c>
      <c r="N10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2" s="14">
        <f>IF(OR(tblMatriculas[[#This Row],[Estado]]&lt;&gt;"activa",tblMatriculas[[#This Row],[Clases dictadas]]=""),"",MAX(0,tblMatriculas[[#This Row],[Clases dictadas]]-tblMatriculas[[#This Row],[Asistidas]]))</f>
        <v>0</v>
      </c>
      <c r="P1042" s="1">
        <f>IF(OR(tblMatriculas[[#This Row],[Estado]]&lt;&gt;"activa",tblMatriculas[[#This Row],[Asistidas]]=""),"",tblMatriculas[[#This Row],[Asistencia]])</f>
        <v>0.2</v>
      </c>
      <c r="Q1042" t="b">
        <f>AND(tblMatriculas[[#This Row],[Estado]]="activa",ISNUMBER(tblMatriculas[[#This Row],[% asistencia]]),NOT(ISNUMBER(SEARCH(pPrueba,tblMatriculas[[#This Row],[Nombre]]))))</f>
        <v>1</v>
      </c>
      <c r="R10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2" s="23" t="str" cm="1">
        <f t="array" ref="S10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2" s="23" t="str" cm="1">
        <f t="array" ref="T10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2" s="14" t="str" cm="1">
        <f t="array" ref="U10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2" t="str" cm="1">
        <f t="array" ref="V10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2" t="str" cm="1">
        <f t="array" ref="W10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2" t="str">
        <f>IF(COUNTIFS('Base Estudiantes'!$C:$C,tblMatriculas[[#This Row],[Cédula]],'Base Estudiantes'!$I:$I,tblMatriculas[[#This Row],[Código]])&gt;0,"Sí","No")</f>
        <v>Sí</v>
      </c>
      <c r="Z1042" s="23" cm="1">
        <f t="array" ref="Z1042">_xlfn.XLOOKUP(tblMatriculas[[#This Row],[Cédula]]&amp;"|"&amp;tblMatriculas[[#This Row],[Código]],tblBase[Documento]&amp;"|"&amp;tblBase[Código grupo],tblBase[Fecha matrícula],"")</f>
        <v>46263</v>
      </c>
    </row>
    <row r="1043" spans="1:26" x14ac:dyDescent="0.2">
      <c r="A1043" t="s">
        <v>2220</v>
      </c>
      <c r="B1043" t="s">
        <v>2221</v>
      </c>
      <c r="C1043" t="s">
        <v>13</v>
      </c>
      <c r="D1043" t="s">
        <v>2169</v>
      </c>
      <c r="E1043" t="s">
        <v>2170</v>
      </c>
      <c r="F1043" t="s">
        <v>111</v>
      </c>
      <c r="G1043" s="1">
        <v>0.16699999999999998</v>
      </c>
      <c r="H1043" t="s">
        <v>229</v>
      </c>
      <c r="I1043" t="s">
        <v>1580</v>
      </c>
      <c r="J1043" t="s">
        <v>1077</v>
      </c>
      <c r="K1043" t="s">
        <v>24</v>
      </c>
      <c r="L1043" s="14">
        <f>IFERROR(VALUE(LEFT(tblMatriculas[[#This Row],[Clases]],FIND("/",tblMatriculas[[#This Row],[Clases]])-1)),"")</f>
        <v>5</v>
      </c>
      <c r="M1043" s="14">
        <f>IFERROR(VALUE(MID(tblMatriculas[[#This Row],[Clases]],FIND("/",tblMatriculas[[#This Row],[Clases]])+1,5)),"")</f>
        <v>30</v>
      </c>
      <c r="N10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3" s="14">
        <f>IF(OR(tblMatriculas[[#This Row],[Estado]]&lt;&gt;"activa",tblMatriculas[[#This Row],[Clases dictadas]]=""),"",MAX(0,tblMatriculas[[#This Row],[Clases dictadas]]-tblMatriculas[[#This Row],[Asistidas]]))</f>
        <v>1</v>
      </c>
      <c r="P1043" s="1">
        <f>IF(OR(tblMatriculas[[#This Row],[Estado]]&lt;&gt;"activa",tblMatriculas[[#This Row],[Asistidas]]=""),"",tblMatriculas[[#This Row],[Asistencia]])</f>
        <v>0.16699999999999998</v>
      </c>
      <c r="Q1043" t="b">
        <f>AND(tblMatriculas[[#This Row],[Estado]]="activa",ISNUMBER(tblMatriculas[[#This Row],[% asistencia]]),NOT(ISNUMBER(SEARCH(pPrueba,tblMatriculas[[#This Row],[Nombre]]))))</f>
        <v>1</v>
      </c>
      <c r="R10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3" s="23" t="str" cm="1">
        <f t="array" ref="S10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3" s="23" t="str" cm="1">
        <f t="array" ref="T10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3" s="14" t="str" cm="1">
        <f t="array" ref="U10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3" t="str" cm="1">
        <f t="array" ref="V10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3" t="str" cm="1">
        <f t="array" ref="W10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3" t="str">
        <f>IF(COUNTIFS('Base Estudiantes'!$C:$C,tblMatriculas[[#This Row],[Cédula]],'Base Estudiantes'!$I:$I,tblMatriculas[[#This Row],[Código]])&gt;0,"Sí","No")</f>
        <v>Sí</v>
      </c>
      <c r="Z1043" s="23" cm="1">
        <f t="array" ref="Z1043">_xlfn.XLOOKUP(tblMatriculas[[#This Row],[Cédula]]&amp;"|"&amp;tblMatriculas[[#This Row],[Código]],tblBase[Documento]&amp;"|"&amp;tblBase[Código grupo],tblBase[Fecha matrícula],"")</f>
        <v>46263</v>
      </c>
    </row>
    <row r="1044" spans="1:26" x14ac:dyDescent="0.2">
      <c r="A1044" t="s">
        <v>2222</v>
      </c>
      <c r="B1044" t="s">
        <v>2223</v>
      </c>
      <c r="C1044" t="s">
        <v>13</v>
      </c>
      <c r="D1044" t="s">
        <v>2169</v>
      </c>
      <c r="E1044" t="s">
        <v>2170</v>
      </c>
      <c r="F1044" t="s">
        <v>111</v>
      </c>
      <c r="G1044" s="1">
        <v>0.2</v>
      </c>
      <c r="H1044" t="s">
        <v>232</v>
      </c>
      <c r="I1044" t="s">
        <v>1580</v>
      </c>
      <c r="J1044" t="s">
        <v>1077</v>
      </c>
      <c r="K1044" t="s">
        <v>24</v>
      </c>
      <c r="L1044" s="14">
        <f>IFERROR(VALUE(LEFT(tblMatriculas[[#This Row],[Clases]],FIND("/",tblMatriculas[[#This Row],[Clases]])-1)),"")</f>
        <v>6</v>
      </c>
      <c r="M1044" s="14">
        <f>IFERROR(VALUE(MID(tblMatriculas[[#This Row],[Clases]],FIND("/",tblMatriculas[[#This Row],[Clases]])+1,5)),"")</f>
        <v>30</v>
      </c>
      <c r="N10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4" s="14">
        <f>IF(OR(tblMatriculas[[#This Row],[Estado]]&lt;&gt;"activa",tblMatriculas[[#This Row],[Clases dictadas]]=""),"",MAX(0,tblMatriculas[[#This Row],[Clases dictadas]]-tblMatriculas[[#This Row],[Asistidas]]))</f>
        <v>0</v>
      </c>
      <c r="P1044" s="1">
        <f>IF(OR(tblMatriculas[[#This Row],[Estado]]&lt;&gt;"activa",tblMatriculas[[#This Row],[Asistidas]]=""),"",tblMatriculas[[#This Row],[Asistencia]])</f>
        <v>0.2</v>
      </c>
      <c r="Q1044" t="b">
        <f>AND(tblMatriculas[[#This Row],[Estado]]="activa",ISNUMBER(tblMatriculas[[#This Row],[% asistencia]]),NOT(ISNUMBER(SEARCH(pPrueba,tblMatriculas[[#This Row],[Nombre]]))))</f>
        <v>1</v>
      </c>
      <c r="R10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4" s="23" t="str" cm="1">
        <f t="array" ref="S10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4" s="23" t="str" cm="1">
        <f t="array" ref="T10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4" s="14" t="str" cm="1">
        <f t="array" ref="U10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4" t="str" cm="1">
        <f t="array" ref="V10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4" t="str" cm="1">
        <f t="array" ref="W10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4" t="str">
        <f>IF(COUNTIFS('Base Estudiantes'!$C:$C,tblMatriculas[[#This Row],[Cédula]],'Base Estudiantes'!$I:$I,tblMatriculas[[#This Row],[Código]])&gt;0,"Sí","No")</f>
        <v>Sí</v>
      </c>
      <c r="Z1044" s="23" cm="1">
        <f t="array" ref="Z1044">_xlfn.XLOOKUP(tblMatriculas[[#This Row],[Cédula]]&amp;"|"&amp;tblMatriculas[[#This Row],[Código]],tblBase[Documento]&amp;"|"&amp;tblBase[Código grupo],tblBase[Fecha matrícula],"")</f>
        <v>46263</v>
      </c>
    </row>
    <row r="1045" spans="1:26" x14ac:dyDescent="0.2">
      <c r="A1045" t="s">
        <v>2224</v>
      </c>
      <c r="B1045" t="s">
        <v>2225</v>
      </c>
      <c r="C1045" t="s">
        <v>13</v>
      </c>
      <c r="D1045" t="s">
        <v>2169</v>
      </c>
      <c r="E1045" t="s">
        <v>2170</v>
      </c>
      <c r="F1045" t="s">
        <v>111</v>
      </c>
      <c r="G1045" s="1">
        <v>0.2</v>
      </c>
      <c r="H1045" t="s">
        <v>232</v>
      </c>
      <c r="I1045" t="s">
        <v>1580</v>
      </c>
      <c r="J1045" t="s">
        <v>1077</v>
      </c>
      <c r="K1045" t="s">
        <v>24</v>
      </c>
      <c r="L1045" s="14">
        <f>IFERROR(VALUE(LEFT(tblMatriculas[[#This Row],[Clases]],FIND("/",tblMatriculas[[#This Row],[Clases]])-1)),"")</f>
        <v>6</v>
      </c>
      <c r="M1045" s="14">
        <f>IFERROR(VALUE(MID(tblMatriculas[[#This Row],[Clases]],FIND("/",tblMatriculas[[#This Row],[Clases]])+1,5)),"")</f>
        <v>30</v>
      </c>
      <c r="N10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5" s="14">
        <f>IF(OR(tblMatriculas[[#This Row],[Estado]]&lt;&gt;"activa",tblMatriculas[[#This Row],[Clases dictadas]]=""),"",MAX(0,tblMatriculas[[#This Row],[Clases dictadas]]-tblMatriculas[[#This Row],[Asistidas]]))</f>
        <v>0</v>
      </c>
      <c r="P1045" s="1">
        <f>IF(OR(tblMatriculas[[#This Row],[Estado]]&lt;&gt;"activa",tblMatriculas[[#This Row],[Asistidas]]=""),"",tblMatriculas[[#This Row],[Asistencia]])</f>
        <v>0.2</v>
      </c>
      <c r="Q1045" t="b">
        <f>AND(tblMatriculas[[#This Row],[Estado]]="activa",ISNUMBER(tblMatriculas[[#This Row],[% asistencia]]),NOT(ISNUMBER(SEARCH(pPrueba,tblMatriculas[[#This Row],[Nombre]]))))</f>
        <v>1</v>
      </c>
      <c r="R10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5" s="23" t="str" cm="1">
        <f t="array" ref="S10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5" s="23" t="str" cm="1">
        <f t="array" ref="T10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5" s="14" t="str" cm="1">
        <f t="array" ref="U10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5" t="str" cm="1">
        <f t="array" ref="V10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5" t="str" cm="1">
        <f t="array" ref="W10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5" t="str">
        <f>IF(COUNTIFS('Base Estudiantes'!$C:$C,tblMatriculas[[#This Row],[Cédula]],'Base Estudiantes'!$I:$I,tblMatriculas[[#This Row],[Código]])&gt;0,"Sí","No")</f>
        <v>Sí</v>
      </c>
      <c r="Z1045" s="23" cm="1">
        <f t="array" ref="Z1045">_xlfn.XLOOKUP(tblMatriculas[[#This Row],[Cédula]]&amp;"|"&amp;tblMatriculas[[#This Row],[Código]],tblBase[Documento]&amp;"|"&amp;tblBase[Código grupo],tblBase[Fecha matrícula],"")</f>
        <v>46263</v>
      </c>
    </row>
    <row r="1046" spans="1:26" x14ac:dyDescent="0.2">
      <c r="A1046" t="s">
        <v>2226</v>
      </c>
      <c r="B1046" t="s">
        <v>2227</v>
      </c>
      <c r="C1046" t="s">
        <v>13</v>
      </c>
      <c r="D1046" t="s">
        <v>2169</v>
      </c>
      <c r="E1046" t="s">
        <v>2170</v>
      </c>
      <c r="F1046" t="s">
        <v>111</v>
      </c>
      <c r="G1046" s="1">
        <v>8.3000000000000004E-2</v>
      </c>
      <c r="H1046" t="s">
        <v>1867</v>
      </c>
      <c r="I1046" t="s">
        <v>1580</v>
      </c>
      <c r="J1046" t="s">
        <v>1077</v>
      </c>
      <c r="K1046" t="s">
        <v>1992</v>
      </c>
      <c r="L1046" s="14">
        <f>IFERROR(VALUE(LEFT(tblMatriculas[[#This Row],[Clases]],FIND("/",tblMatriculas[[#This Row],[Clases]])-1)),"")</f>
        <v>5</v>
      </c>
      <c r="M1046" s="14">
        <f>IFERROR(VALUE(MID(tblMatriculas[[#This Row],[Clases]],FIND("/",tblMatriculas[[#This Row],[Clases]])+1,5)),"")</f>
        <v>60</v>
      </c>
      <c r="N10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046" s="14">
        <f>IF(OR(tblMatriculas[[#This Row],[Estado]]&lt;&gt;"activa",tblMatriculas[[#This Row],[Clases dictadas]]=""),"",MAX(0,tblMatriculas[[#This Row],[Clases dictadas]]-tblMatriculas[[#This Row],[Asistidas]]))</f>
        <v>6</v>
      </c>
      <c r="P1046" s="1">
        <f>IF(OR(tblMatriculas[[#This Row],[Estado]]&lt;&gt;"activa",tblMatriculas[[#This Row],[Asistidas]]=""),"",tblMatriculas[[#This Row],[Asistencia]])</f>
        <v>8.3000000000000004E-2</v>
      </c>
      <c r="Q1046" t="b">
        <f>AND(tblMatriculas[[#This Row],[Estado]]="activa",ISNUMBER(tblMatriculas[[#This Row],[% asistencia]]),NOT(ISNUMBER(SEARCH(pPrueba,tblMatriculas[[#This Row],[Nombre]]))))</f>
        <v>1</v>
      </c>
      <c r="R10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6" s="23" t="str" cm="1">
        <f t="array" ref="S10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6" s="23" t="str" cm="1">
        <f t="array" ref="T10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6" s="14" t="str" cm="1">
        <f t="array" ref="U10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6" t="str" cm="1">
        <f t="array" ref="V10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6" t="str" cm="1">
        <f t="array" ref="W10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6" t="str">
        <f>IF(COUNTIFS('Base Estudiantes'!$C:$C,tblMatriculas[[#This Row],[Cédula]],'Base Estudiantes'!$I:$I,tblMatriculas[[#This Row],[Código]])&gt;0,"Sí","No")</f>
        <v>Sí</v>
      </c>
      <c r="Z1046" s="23" cm="1">
        <f t="array" ref="Z1046">_xlfn.XLOOKUP(tblMatriculas[[#This Row],[Cédula]]&amp;"|"&amp;tblMatriculas[[#This Row],[Código]],tblBase[Documento]&amp;"|"&amp;tblBase[Código grupo],tblBase[Fecha matrícula],"")</f>
        <v>46263</v>
      </c>
    </row>
    <row r="1047" spans="1:26" x14ac:dyDescent="0.2">
      <c r="A1047" t="s">
        <v>2228</v>
      </c>
      <c r="B1047" t="s">
        <v>2229</v>
      </c>
      <c r="C1047" t="s">
        <v>13</v>
      </c>
      <c r="D1047" t="s">
        <v>2169</v>
      </c>
      <c r="E1047" t="s">
        <v>2170</v>
      </c>
      <c r="F1047" t="s">
        <v>111</v>
      </c>
      <c r="G1047" s="1">
        <v>0.2</v>
      </c>
      <c r="H1047" t="s">
        <v>232</v>
      </c>
      <c r="I1047" t="s">
        <v>1580</v>
      </c>
      <c r="J1047" t="s">
        <v>1077</v>
      </c>
      <c r="K1047" t="s">
        <v>24</v>
      </c>
      <c r="L1047" s="14">
        <f>IFERROR(VALUE(LEFT(tblMatriculas[[#This Row],[Clases]],FIND("/",tblMatriculas[[#This Row],[Clases]])-1)),"")</f>
        <v>6</v>
      </c>
      <c r="M1047" s="14">
        <f>IFERROR(VALUE(MID(tblMatriculas[[#This Row],[Clases]],FIND("/",tblMatriculas[[#This Row],[Clases]])+1,5)),"")</f>
        <v>30</v>
      </c>
      <c r="N10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7" s="14">
        <f>IF(OR(tblMatriculas[[#This Row],[Estado]]&lt;&gt;"activa",tblMatriculas[[#This Row],[Clases dictadas]]=""),"",MAX(0,tblMatriculas[[#This Row],[Clases dictadas]]-tblMatriculas[[#This Row],[Asistidas]]))</f>
        <v>0</v>
      </c>
      <c r="P1047" s="1">
        <f>IF(OR(tblMatriculas[[#This Row],[Estado]]&lt;&gt;"activa",tblMatriculas[[#This Row],[Asistidas]]=""),"",tblMatriculas[[#This Row],[Asistencia]])</f>
        <v>0.2</v>
      </c>
      <c r="Q1047" t="b">
        <f>AND(tblMatriculas[[#This Row],[Estado]]="activa",ISNUMBER(tblMatriculas[[#This Row],[% asistencia]]),NOT(ISNUMBER(SEARCH(pPrueba,tblMatriculas[[#This Row],[Nombre]]))))</f>
        <v>1</v>
      </c>
      <c r="R10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7" s="23" t="str" cm="1">
        <f t="array" ref="S10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7" s="23" t="str" cm="1">
        <f t="array" ref="T10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7" s="14" t="str" cm="1">
        <f t="array" ref="U10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7" t="str" cm="1">
        <f t="array" ref="V10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7" t="str" cm="1">
        <f t="array" ref="W10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7" t="str">
        <f>IF(COUNTIFS('Base Estudiantes'!$C:$C,tblMatriculas[[#This Row],[Cédula]],'Base Estudiantes'!$I:$I,tblMatriculas[[#This Row],[Código]])&gt;0,"Sí","No")</f>
        <v>Sí</v>
      </c>
      <c r="Z1047" s="23" cm="1">
        <f t="array" ref="Z1047">_xlfn.XLOOKUP(tblMatriculas[[#This Row],[Cédula]]&amp;"|"&amp;tblMatriculas[[#This Row],[Código]],tblBase[Documento]&amp;"|"&amp;tblBase[Código grupo],tblBase[Fecha matrícula],"")</f>
        <v>46263</v>
      </c>
    </row>
    <row r="1048" spans="1:26" x14ac:dyDescent="0.2">
      <c r="A1048" t="s">
        <v>2230</v>
      </c>
      <c r="B1048" t="s">
        <v>2231</v>
      </c>
      <c r="C1048" t="s">
        <v>13</v>
      </c>
      <c r="D1048" t="s">
        <v>2169</v>
      </c>
      <c r="E1048" t="s">
        <v>2170</v>
      </c>
      <c r="F1048" t="s">
        <v>111</v>
      </c>
      <c r="G1048" s="1">
        <v>0.2</v>
      </c>
      <c r="H1048" t="s">
        <v>232</v>
      </c>
      <c r="I1048" t="s">
        <v>1580</v>
      </c>
      <c r="J1048" t="s">
        <v>1077</v>
      </c>
      <c r="K1048" t="s">
        <v>24</v>
      </c>
      <c r="L1048" s="14">
        <f>IFERROR(VALUE(LEFT(tblMatriculas[[#This Row],[Clases]],FIND("/",tblMatriculas[[#This Row],[Clases]])-1)),"")</f>
        <v>6</v>
      </c>
      <c r="M1048" s="14">
        <f>IFERROR(VALUE(MID(tblMatriculas[[#This Row],[Clases]],FIND("/",tblMatriculas[[#This Row],[Clases]])+1,5)),"")</f>
        <v>30</v>
      </c>
      <c r="N10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8" s="14">
        <f>IF(OR(tblMatriculas[[#This Row],[Estado]]&lt;&gt;"activa",tblMatriculas[[#This Row],[Clases dictadas]]=""),"",MAX(0,tblMatriculas[[#This Row],[Clases dictadas]]-tblMatriculas[[#This Row],[Asistidas]]))</f>
        <v>0</v>
      </c>
      <c r="P1048" s="1">
        <f>IF(OR(tblMatriculas[[#This Row],[Estado]]&lt;&gt;"activa",tblMatriculas[[#This Row],[Asistidas]]=""),"",tblMatriculas[[#This Row],[Asistencia]])</f>
        <v>0.2</v>
      </c>
      <c r="Q1048" t="b">
        <f>AND(tblMatriculas[[#This Row],[Estado]]="activa",ISNUMBER(tblMatriculas[[#This Row],[% asistencia]]),NOT(ISNUMBER(SEARCH(pPrueba,tblMatriculas[[#This Row],[Nombre]]))))</f>
        <v>1</v>
      </c>
      <c r="R10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8" s="23" t="str" cm="1">
        <f t="array" ref="S10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8" s="23" t="str" cm="1">
        <f t="array" ref="T10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8" s="14" t="str" cm="1">
        <f t="array" ref="U10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8" t="str" cm="1">
        <f t="array" ref="V10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8" t="str" cm="1">
        <f t="array" ref="W10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8" t="str">
        <f>IF(COUNTIFS('Base Estudiantes'!$C:$C,tblMatriculas[[#This Row],[Cédula]],'Base Estudiantes'!$I:$I,tblMatriculas[[#This Row],[Código]])&gt;0,"Sí","No")</f>
        <v>Sí</v>
      </c>
      <c r="Z1048" s="23" cm="1">
        <f t="array" ref="Z1048">_xlfn.XLOOKUP(tblMatriculas[[#This Row],[Cédula]]&amp;"|"&amp;tblMatriculas[[#This Row],[Código]],tblBase[Documento]&amp;"|"&amp;tblBase[Código grupo],tblBase[Fecha matrícula],"")</f>
        <v>46263</v>
      </c>
    </row>
    <row r="1049" spans="1:26" x14ac:dyDescent="0.2">
      <c r="A1049" t="s">
        <v>2232</v>
      </c>
      <c r="B1049" t="s">
        <v>2233</v>
      </c>
      <c r="C1049" t="s">
        <v>13</v>
      </c>
      <c r="D1049" t="s">
        <v>2169</v>
      </c>
      <c r="E1049" t="s">
        <v>2170</v>
      </c>
      <c r="F1049" t="s">
        <v>111</v>
      </c>
      <c r="G1049" s="1">
        <v>0.2</v>
      </c>
      <c r="H1049" t="s">
        <v>232</v>
      </c>
      <c r="I1049" t="s">
        <v>1580</v>
      </c>
      <c r="J1049" t="s">
        <v>1077</v>
      </c>
      <c r="K1049" t="s">
        <v>24</v>
      </c>
      <c r="L1049" s="14">
        <f>IFERROR(VALUE(LEFT(tblMatriculas[[#This Row],[Clases]],FIND("/",tblMatriculas[[#This Row],[Clases]])-1)),"")</f>
        <v>6</v>
      </c>
      <c r="M1049" s="14">
        <f>IFERROR(VALUE(MID(tblMatriculas[[#This Row],[Clases]],FIND("/",tblMatriculas[[#This Row],[Clases]])+1,5)),"")</f>
        <v>30</v>
      </c>
      <c r="N10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49" s="14">
        <f>IF(OR(tblMatriculas[[#This Row],[Estado]]&lt;&gt;"activa",tblMatriculas[[#This Row],[Clases dictadas]]=""),"",MAX(0,tblMatriculas[[#This Row],[Clases dictadas]]-tblMatriculas[[#This Row],[Asistidas]]))</f>
        <v>0</v>
      </c>
      <c r="P1049" s="1">
        <f>IF(OR(tblMatriculas[[#This Row],[Estado]]&lt;&gt;"activa",tblMatriculas[[#This Row],[Asistidas]]=""),"",tblMatriculas[[#This Row],[Asistencia]])</f>
        <v>0.2</v>
      </c>
      <c r="Q1049" t="b">
        <f>AND(tblMatriculas[[#This Row],[Estado]]="activa",ISNUMBER(tblMatriculas[[#This Row],[% asistencia]]),NOT(ISNUMBER(SEARCH(pPrueba,tblMatriculas[[#This Row],[Nombre]]))))</f>
        <v>1</v>
      </c>
      <c r="R10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49" s="23" t="str" cm="1">
        <f t="array" ref="S10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49" s="23" t="str" cm="1">
        <f t="array" ref="T10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49" s="14" t="str" cm="1">
        <f t="array" ref="U10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49" t="str" cm="1">
        <f t="array" ref="V10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49" t="str" cm="1">
        <f t="array" ref="W10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49" t="str">
        <f>IF(COUNTIFS('Base Estudiantes'!$C:$C,tblMatriculas[[#This Row],[Cédula]],'Base Estudiantes'!$I:$I,tblMatriculas[[#This Row],[Código]])&gt;0,"Sí","No")</f>
        <v>Sí</v>
      </c>
      <c r="Z1049" s="23" cm="1">
        <f t="array" ref="Z1049">_xlfn.XLOOKUP(tblMatriculas[[#This Row],[Cédula]]&amp;"|"&amp;tblMatriculas[[#This Row],[Código]],tblBase[Documento]&amp;"|"&amp;tblBase[Código grupo],tblBase[Fecha matrícula],"")</f>
        <v>46263</v>
      </c>
    </row>
    <row r="1050" spans="1:26" x14ac:dyDescent="0.2">
      <c r="A1050" t="s">
        <v>2234</v>
      </c>
      <c r="B1050" t="s">
        <v>2235</v>
      </c>
      <c r="C1050" t="s">
        <v>13</v>
      </c>
      <c r="D1050" t="s">
        <v>2169</v>
      </c>
      <c r="E1050" t="s">
        <v>2170</v>
      </c>
      <c r="F1050" t="s">
        <v>111</v>
      </c>
      <c r="G1050" s="1">
        <v>6.7000000000000004E-2</v>
      </c>
      <c r="H1050" t="s">
        <v>166</v>
      </c>
      <c r="I1050" t="s">
        <v>1580</v>
      </c>
      <c r="J1050" t="s">
        <v>1077</v>
      </c>
      <c r="K1050" t="s">
        <v>24</v>
      </c>
      <c r="L1050" s="14">
        <f>IFERROR(VALUE(LEFT(tblMatriculas[[#This Row],[Clases]],FIND("/",tblMatriculas[[#This Row],[Clases]])-1)),"")</f>
        <v>2</v>
      </c>
      <c r="M1050" s="14">
        <f>IFERROR(VALUE(MID(tblMatriculas[[#This Row],[Clases]],FIND("/",tblMatriculas[[#This Row],[Clases]])+1,5)),"")</f>
        <v>30</v>
      </c>
      <c r="N10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0" s="14">
        <f>IF(OR(tblMatriculas[[#This Row],[Estado]]&lt;&gt;"activa",tblMatriculas[[#This Row],[Clases dictadas]]=""),"",MAX(0,tblMatriculas[[#This Row],[Clases dictadas]]-tblMatriculas[[#This Row],[Asistidas]]))</f>
        <v>4</v>
      </c>
      <c r="P1050" s="1">
        <f>IF(OR(tblMatriculas[[#This Row],[Estado]]&lt;&gt;"activa",tblMatriculas[[#This Row],[Asistidas]]=""),"",tblMatriculas[[#This Row],[Asistencia]])</f>
        <v>6.7000000000000004E-2</v>
      </c>
      <c r="Q1050" t="b">
        <f>AND(tblMatriculas[[#This Row],[Estado]]="activa",ISNUMBER(tblMatriculas[[#This Row],[% asistencia]]),NOT(ISNUMBER(SEARCH(pPrueba,tblMatriculas[[#This Row],[Nombre]]))))</f>
        <v>1</v>
      </c>
      <c r="R10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50" s="23" t="str" cm="1">
        <f t="array" ref="S10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0" s="23" t="str" cm="1">
        <f t="array" ref="T10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0" s="14" t="str" cm="1">
        <f t="array" ref="U10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0" t="str" cm="1">
        <f t="array" ref="V10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0" t="str" cm="1">
        <f t="array" ref="W10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50" t="str">
        <f>IF(COUNTIFS('Base Estudiantes'!$C:$C,tblMatriculas[[#This Row],[Cédula]],'Base Estudiantes'!$I:$I,tblMatriculas[[#This Row],[Código]])&gt;0,"Sí","No")</f>
        <v>Sí</v>
      </c>
      <c r="Z1050" s="23" cm="1">
        <f t="array" ref="Z1050">_xlfn.XLOOKUP(tblMatriculas[[#This Row],[Cédula]]&amp;"|"&amp;tblMatriculas[[#This Row],[Código]],tblBase[Documento]&amp;"|"&amp;tblBase[Código grupo],tblBase[Fecha matrícula],"")</f>
        <v>46263</v>
      </c>
    </row>
    <row r="1051" spans="1:26" x14ac:dyDescent="0.2">
      <c r="A1051" t="s">
        <v>2236</v>
      </c>
      <c r="B1051" t="s">
        <v>2237</v>
      </c>
      <c r="C1051" t="s">
        <v>13</v>
      </c>
      <c r="D1051" t="s">
        <v>2169</v>
      </c>
      <c r="E1051" t="s">
        <v>2170</v>
      </c>
      <c r="F1051" t="s">
        <v>111</v>
      </c>
      <c r="G1051" s="1">
        <v>0.2</v>
      </c>
      <c r="H1051" t="s">
        <v>232</v>
      </c>
      <c r="I1051" t="s">
        <v>1580</v>
      </c>
      <c r="J1051" t="s">
        <v>1077</v>
      </c>
      <c r="K1051" t="s">
        <v>24</v>
      </c>
      <c r="L1051" s="14">
        <f>IFERROR(VALUE(LEFT(tblMatriculas[[#This Row],[Clases]],FIND("/",tblMatriculas[[#This Row],[Clases]])-1)),"")</f>
        <v>6</v>
      </c>
      <c r="M1051" s="14">
        <f>IFERROR(VALUE(MID(tblMatriculas[[#This Row],[Clases]],FIND("/",tblMatriculas[[#This Row],[Clases]])+1,5)),"")</f>
        <v>30</v>
      </c>
      <c r="N10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1" s="14">
        <f>IF(OR(tblMatriculas[[#This Row],[Estado]]&lt;&gt;"activa",tblMatriculas[[#This Row],[Clases dictadas]]=""),"",MAX(0,tblMatriculas[[#This Row],[Clases dictadas]]-tblMatriculas[[#This Row],[Asistidas]]))</f>
        <v>0</v>
      </c>
      <c r="P1051" s="1">
        <f>IF(OR(tblMatriculas[[#This Row],[Estado]]&lt;&gt;"activa",tblMatriculas[[#This Row],[Asistidas]]=""),"",tblMatriculas[[#This Row],[Asistencia]])</f>
        <v>0.2</v>
      </c>
      <c r="Q1051" t="b">
        <f>AND(tblMatriculas[[#This Row],[Estado]]="activa",ISNUMBER(tblMatriculas[[#This Row],[% asistencia]]),NOT(ISNUMBER(SEARCH(pPrueba,tblMatriculas[[#This Row],[Nombre]]))))</f>
        <v>1</v>
      </c>
      <c r="R10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1" s="23" t="str" cm="1">
        <f t="array" ref="S10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1" s="23" t="str" cm="1">
        <f t="array" ref="T10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1" s="14" t="str" cm="1">
        <f t="array" ref="U10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1" t="str" cm="1">
        <f t="array" ref="V10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1" t="str" cm="1">
        <f t="array" ref="W10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1" t="str">
        <f>IF(COUNTIFS('Base Estudiantes'!$C:$C,tblMatriculas[[#This Row],[Cédula]],'Base Estudiantes'!$I:$I,tblMatriculas[[#This Row],[Código]])&gt;0,"Sí","No")</f>
        <v>Sí</v>
      </c>
      <c r="Z1051" s="23" cm="1">
        <f t="array" ref="Z1051">_xlfn.XLOOKUP(tblMatriculas[[#This Row],[Cédula]]&amp;"|"&amp;tblMatriculas[[#This Row],[Código]],tblBase[Documento]&amp;"|"&amp;tblBase[Código grupo],tblBase[Fecha matrícula],"")</f>
        <v>46263</v>
      </c>
    </row>
    <row r="1052" spans="1:26" x14ac:dyDescent="0.2">
      <c r="A1052" t="s">
        <v>2238</v>
      </c>
      <c r="B1052" t="s">
        <v>2239</v>
      </c>
      <c r="C1052" t="s">
        <v>13</v>
      </c>
      <c r="D1052" t="s">
        <v>2169</v>
      </c>
      <c r="E1052" t="s">
        <v>2170</v>
      </c>
      <c r="F1052" t="s">
        <v>111</v>
      </c>
      <c r="G1052" s="1">
        <v>0.2</v>
      </c>
      <c r="H1052" t="s">
        <v>232</v>
      </c>
      <c r="I1052" t="s">
        <v>1580</v>
      </c>
      <c r="J1052" t="s">
        <v>1077</v>
      </c>
      <c r="K1052" t="s">
        <v>24</v>
      </c>
      <c r="L1052" s="14">
        <f>IFERROR(VALUE(LEFT(tblMatriculas[[#This Row],[Clases]],FIND("/",tblMatriculas[[#This Row],[Clases]])-1)),"")</f>
        <v>6</v>
      </c>
      <c r="M1052" s="14">
        <f>IFERROR(VALUE(MID(tblMatriculas[[#This Row],[Clases]],FIND("/",tblMatriculas[[#This Row],[Clases]])+1,5)),"")</f>
        <v>30</v>
      </c>
      <c r="N10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2" s="14">
        <f>IF(OR(tblMatriculas[[#This Row],[Estado]]&lt;&gt;"activa",tblMatriculas[[#This Row],[Clases dictadas]]=""),"",MAX(0,tblMatriculas[[#This Row],[Clases dictadas]]-tblMatriculas[[#This Row],[Asistidas]]))</f>
        <v>0</v>
      </c>
      <c r="P1052" s="1">
        <f>IF(OR(tblMatriculas[[#This Row],[Estado]]&lt;&gt;"activa",tblMatriculas[[#This Row],[Asistidas]]=""),"",tblMatriculas[[#This Row],[Asistencia]])</f>
        <v>0.2</v>
      </c>
      <c r="Q1052" t="b">
        <f>AND(tblMatriculas[[#This Row],[Estado]]="activa",ISNUMBER(tblMatriculas[[#This Row],[% asistencia]]),NOT(ISNUMBER(SEARCH(pPrueba,tblMatriculas[[#This Row],[Nombre]]))))</f>
        <v>1</v>
      </c>
      <c r="R10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2" s="23" t="str" cm="1">
        <f t="array" ref="S10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2" s="23" t="str" cm="1">
        <f t="array" ref="T10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2" s="14" t="str" cm="1">
        <f t="array" ref="U10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2" t="str" cm="1">
        <f t="array" ref="V10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2" t="str" cm="1">
        <f t="array" ref="W10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2" t="str">
        <f>IF(COUNTIFS('Base Estudiantes'!$C:$C,tblMatriculas[[#This Row],[Cédula]],'Base Estudiantes'!$I:$I,tblMatriculas[[#This Row],[Código]])&gt;0,"Sí","No")</f>
        <v>Sí</v>
      </c>
      <c r="Z1052" s="23" cm="1">
        <f t="array" ref="Z1052">_xlfn.XLOOKUP(tblMatriculas[[#This Row],[Cédula]]&amp;"|"&amp;tblMatriculas[[#This Row],[Código]],tblBase[Documento]&amp;"|"&amp;tblBase[Código grupo],tblBase[Fecha matrícula],"")</f>
        <v>46263</v>
      </c>
    </row>
    <row r="1053" spans="1:26" x14ac:dyDescent="0.2">
      <c r="A1053" t="s">
        <v>2240</v>
      </c>
      <c r="B1053" t="s">
        <v>2241</v>
      </c>
      <c r="C1053" t="s">
        <v>13</v>
      </c>
      <c r="D1053" t="s">
        <v>2169</v>
      </c>
      <c r="E1053" t="s">
        <v>2170</v>
      </c>
      <c r="F1053" t="s">
        <v>111</v>
      </c>
      <c r="G1053" s="1">
        <v>0.2</v>
      </c>
      <c r="H1053" t="s">
        <v>232</v>
      </c>
      <c r="I1053" t="s">
        <v>1580</v>
      </c>
      <c r="J1053" t="s">
        <v>1077</v>
      </c>
      <c r="K1053" t="s">
        <v>24</v>
      </c>
      <c r="L1053" s="14">
        <f>IFERROR(VALUE(LEFT(tblMatriculas[[#This Row],[Clases]],FIND("/",tblMatriculas[[#This Row],[Clases]])-1)),"")</f>
        <v>6</v>
      </c>
      <c r="M1053" s="14">
        <f>IFERROR(VALUE(MID(tblMatriculas[[#This Row],[Clases]],FIND("/",tblMatriculas[[#This Row],[Clases]])+1,5)),"")</f>
        <v>30</v>
      </c>
      <c r="N10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3" s="14">
        <f>IF(OR(tblMatriculas[[#This Row],[Estado]]&lt;&gt;"activa",tblMatriculas[[#This Row],[Clases dictadas]]=""),"",MAX(0,tblMatriculas[[#This Row],[Clases dictadas]]-tblMatriculas[[#This Row],[Asistidas]]))</f>
        <v>0</v>
      </c>
      <c r="P1053" s="1">
        <f>IF(OR(tblMatriculas[[#This Row],[Estado]]&lt;&gt;"activa",tblMatriculas[[#This Row],[Asistidas]]=""),"",tblMatriculas[[#This Row],[Asistencia]])</f>
        <v>0.2</v>
      </c>
      <c r="Q1053" t="b">
        <f>AND(tblMatriculas[[#This Row],[Estado]]="activa",ISNUMBER(tblMatriculas[[#This Row],[% asistencia]]),NOT(ISNUMBER(SEARCH(pPrueba,tblMatriculas[[#This Row],[Nombre]]))))</f>
        <v>1</v>
      </c>
      <c r="R10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3" s="23" t="str" cm="1">
        <f t="array" ref="S10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3" s="23" t="str" cm="1">
        <f t="array" ref="T10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3" s="14" t="str" cm="1">
        <f t="array" ref="U10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3" t="str" cm="1">
        <f t="array" ref="V10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3" t="str" cm="1">
        <f t="array" ref="W10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3" t="str">
        <f>IF(COUNTIFS('Base Estudiantes'!$C:$C,tblMatriculas[[#This Row],[Cédula]],'Base Estudiantes'!$I:$I,tblMatriculas[[#This Row],[Código]])&gt;0,"Sí","No")</f>
        <v>Sí</v>
      </c>
      <c r="Z1053" s="23" cm="1">
        <f t="array" ref="Z1053">_xlfn.XLOOKUP(tblMatriculas[[#This Row],[Cédula]]&amp;"|"&amp;tblMatriculas[[#This Row],[Código]],tblBase[Documento]&amp;"|"&amp;tblBase[Código grupo],tblBase[Fecha matrícula],"")</f>
        <v>46263</v>
      </c>
    </row>
    <row r="1054" spans="1:26" x14ac:dyDescent="0.2">
      <c r="A1054" t="s">
        <v>2242</v>
      </c>
      <c r="B1054" t="s">
        <v>2243</v>
      </c>
      <c r="C1054" t="s">
        <v>13</v>
      </c>
      <c r="D1054" t="s">
        <v>2169</v>
      </c>
      <c r="E1054" t="s">
        <v>2170</v>
      </c>
      <c r="F1054" t="s">
        <v>111</v>
      </c>
      <c r="G1054" s="1">
        <v>0.13300000000000001</v>
      </c>
      <c r="H1054" t="s">
        <v>112</v>
      </c>
      <c r="I1054" t="s">
        <v>1580</v>
      </c>
      <c r="J1054" t="s">
        <v>1077</v>
      </c>
      <c r="K1054" t="s">
        <v>24</v>
      </c>
      <c r="L1054" s="14">
        <f>IFERROR(VALUE(LEFT(tblMatriculas[[#This Row],[Clases]],FIND("/",tblMatriculas[[#This Row],[Clases]])-1)),"")</f>
        <v>4</v>
      </c>
      <c r="M1054" s="14">
        <f>IFERROR(VALUE(MID(tblMatriculas[[#This Row],[Clases]],FIND("/",tblMatriculas[[#This Row],[Clases]])+1,5)),"")</f>
        <v>30</v>
      </c>
      <c r="N10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4" s="14">
        <f>IF(OR(tblMatriculas[[#This Row],[Estado]]&lt;&gt;"activa",tblMatriculas[[#This Row],[Clases dictadas]]=""),"",MAX(0,tblMatriculas[[#This Row],[Clases dictadas]]-tblMatriculas[[#This Row],[Asistidas]]))</f>
        <v>2</v>
      </c>
      <c r="P1054" s="1">
        <f>IF(OR(tblMatriculas[[#This Row],[Estado]]&lt;&gt;"activa",tblMatriculas[[#This Row],[Asistidas]]=""),"",tblMatriculas[[#This Row],[Asistencia]])</f>
        <v>0.13300000000000001</v>
      </c>
      <c r="Q1054" t="b">
        <f>AND(tblMatriculas[[#This Row],[Estado]]="activa",ISNUMBER(tblMatriculas[[#This Row],[% asistencia]]),NOT(ISNUMBER(SEARCH(pPrueba,tblMatriculas[[#This Row],[Nombre]]))))</f>
        <v>1</v>
      </c>
      <c r="R10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4" s="23" t="str" cm="1">
        <f t="array" ref="S10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4" s="23" t="str" cm="1">
        <f t="array" ref="T10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4" s="14" t="str" cm="1">
        <f t="array" ref="U10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4" t="str" cm="1">
        <f t="array" ref="V10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4" t="str" cm="1">
        <f t="array" ref="W10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4" t="str">
        <f>IF(COUNTIFS('Base Estudiantes'!$C:$C,tblMatriculas[[#This Row],[Cédula]],'Base Estudiantes'!$I:$I,tblMatriculas[[#This Row],[Código]])&gt;0,"Sí","No")</f>
        <v>Sí</v>
      </c>
      <c r="Z1054" s="23" cm="1">
        <f t="array" ref="Z1054">_xlfn.XLOOKUP(tblMatriculas[[#This Row],[Cédula]]&amp;"|"&amp;tblMatriculas[[#This Row],[Código]],tblBase[Documento]&amp;"|"&amp;tblBase[Código grupo],tblBase[Fecha matrícula],"")</f>
        <v>46263</v>
      </c>
    </row>
    <row r="1055" spans="1:26" x14ac:dyDescent="0.2">
      <c r="A1055" t="s">
        <v>2244</v>
      </c>
      <c r="B1055" t="s">
        <v>2245</v>
      </c>
      <c r="C1055" t="s">
        <v>13</v>
      </c>
      <c r="D1055" t="s">
        <v>2169</v>
      </c>
      <c r="E1055" t="s">
        <v>2170</v>
      </c>
      <c r="F1055" t="s">
        <v>111</v>
      </c>
      <c r="G1055" s="1">
        <v>0.2</v>
      </c>
      <c r="H1055" t="s">
        <v>232</v>
      </c>
      <c r="I1055" t="s">
        <v>1580</v>
      </c>
      <c r="J1055" t="s">
        <v>1077</v>
      </c>
      <c r="K1055" t="s">
        <v>1999</v>
      </c>
      <c r="L1055" s="14">
        <f>IFERROR(VALUE(LEFT(tblMatriculas[[#This Row],[Clases]],FIND("/",tblMatriculas[[#This Row],[Clases]])-1)),"")</f>
        <v>6</v>
      </c>
      <c r="M1055" s="14">
        <f>IFERROR(VALUE(MID(tblMatriculas[[#This Row],[Clases]],FIND("/",tblMatriculas[[#This Row],[Clases]])+1,5)),"")</f>
        <v>30</v>
      </c>
      <c r="N10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5" s="14">
        <f>IF(OR(tblMatriculas[[#This Row],[Estado]]&lt;&gt;"activa",tblMatriculas[[#This Row],[Clases dictadas]]=""),"",MAX(0,tblMatriculas[[#This Row],[Clases dictadas]]-tblMatriculas[[#This Row],[Asistidas]]))</f>
        <v>0</v>
      </c>
      <c r="P1055" s="1">
        <f>IF(OR(tblMatriculas[[#This Row],[Estado]]&lt;&gt;"activa",tblMatriculas[[#This Row],[Asistidas]]=""),"",tblMatriculas[[#This Row],[Asistencia]])</f>
        <v>0.2</v>
      </c>
      <c r="Q1055" t="b">
        <f>AND(tblMatriculas[[#This Row],[Estado]]="activa",ISNUMBER(tblMatriculas[[#This Row],[% asistencia]]),NOT(ISNUMBER(SEARCH(pPrueba,tblMatriculas[[#This Row],[Nombre]]))))</f>
        <v>1</v>
      </c>
      <c r="R10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5" s="23" t="str" cm="1">
        <f t="array" ref="S10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5" s="23" t="str" cm="1">
        <f t="array" ref="T10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5" s="14" t="str" cm="1">
        <f t="array" ref="U10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5" t="str" cm="1">
        <f t="array" ref="V10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5" t="str" cm="1">
        <f t="array" ref="W10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5" t="str">
        <f>IF(COUNTIFS('Base Estudiantes'!$C:$C,tblMatriculas[[#This Row],[Cédula]],'Base Estudiantes'!$I:$I,tblMatriculas[[#This Row],[Código]])&gt;0,"Sí","No")</f>
        <v>Sí</v>
      </c>
      <c r="Z1055" s="23" cm="1">
        <f t="array" ref="Z1055">_xlfn.XLOOKUP(tblMatriculas[[#This Row],[Cédula]]&amp;"|"&amp;tblMatriculas[[#This Row],[Código]],tblBase[Documento]&amp;"|"&amp;tblBase[Código grupo],tblBase[Fecha matrícula],"")</f>
        <v>46263</v>
      </c>
    </row>
    <row r="1056" spans="1:26" x14ac:dyDescent="0.2">
      <c r="A1056" t="s">
        <v>2246</v>
      </c>
      <c r="B1056" t="s">
        <v>2247</v>
      </c>
      <c r="C1056" t="s">
        <v>13</v>
      </c>
      <c r="D1056" t="s">
        <v>2169</v>
      </c>
      <c r="E1056" t="s">
        <v>2170</v>
      </c>
      <c r="F1056" t="s">
        <v>111</v>
      </c>
      <c r="G1056" s="1">
        <v>3.3000000000000002E-2</v>
      </c>
      <c r="H1056" t="s">
        <v>225</v>
      </c>
      <c r="I1056" t="s">
        <v>1580</v>
      </c>
      <c r="J1056" t="s">
        <v>1077</v>
      </c>
      <c r="K1056" t="s">
        <v>1999</v>
      </c>
      <c r="L1056" s="14">
        <f>IFERROR(VALUE(LEFT(tblMatriculas[[#This Row],[Clases]],FIND("/",tblMatriculas[[#This Row],[Clases]])-1)),"")</f>
        <v>1</v>
      </c>
      <c r="M1056" s="14">
        <f>IFERROR(VALUE(MID(tblMatriculas[[#This Row],[Clases]],FIND("/",tblMatriculas[[#This Row],[Clases]])+1,5)),"")</f>
        <v>30</v>
      </c>
      <c r="N10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6" s="14">
        <f>IF(OR(tblMatriculas[[#This Row],[Estado]]&lt;&gt;"activa",tblMatriculas[[#This Row],[Clases dictadas]]=""),"",MAX(0,tblMatriculas[[#This Row],[Clases dictadas]]-tblMatriculas[[#This Row],[Asistidas]]))</f>
        <v>5</v>
      </c>
      <c r="P1056" s="1">
        <f>IF(OR(tblMatriculas[[#This Row],[Estado]]&lt;&gt;"activa",tblMatriculas[[#This Row],[Asistidas]]=""),"",tblMatriculas[[#This Row],[Asistencia]])</f>
        <v>3.3000000000000002E-2</v>
      </c>
      <c r="Q1056" t="b">
        <f>AND(tblMatriculas[[#This Row],[Estado]]="activa",ISNUMBER(tblMatriculas[[#This Row],[% asistencia]]),NOT(ISNUMBER(SEARCH(pPrueba,tblMatriculas[[#This Row],[Nombre]]))))</f>
        <v>1</v>
      </c>
      <c r="R10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56" s="23" t="str" cm="1">
        <f t="array" ref="S10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6" s="23" t="str" cm="1">
        <f t="array" ref="T10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6" s="14" t="str" cm="1">
        <f t="array" ref="U10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6" t="str" cm="1">
        <f t="array" ref="V10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6" t="str" cm="1">
        <f t="array" ref="W10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56" t="str">
        <f>IF(COUNTIFS('Base Estudiantes'!$C:$C,tblMatriculas[[#This Row],[Cédula]],'Base Estudiantes'!$I:$I,tblMatriculas[[#This Row],[Código]])&gt;0,"Sí","No")</f>
        <v>No</v>
      </c>
      <c r="Z1056" s="23" t="str" cm="1">
        <f t="array" ref="Z1056">_xlfn.XLOOKUP(tblMatriculas[[#This Row],[Cédula]]&amp;"|"&amp;tblMatriculas[[#This Row],[Código]],tblBase[Documento]&amp;"|"&amp;tblBase[Código grupo],tblBase[Fecha matrícula],"")</f>
        <v/>
      </c>
    </row>
    <row r="1057" spans="1:26" x14ac:dyDescent="0.2">
      <c r="A1057" t="s">
        <v>2248</v>
      </c>
      <c r="B1057" t="s">
        <v>2249</v>
      </c>
      <c r="C1057" t="s">
        <v>13</v>
      </c>
      <c r="D1057" t="s">
        <v>2169</v>
      </c>
      <c r="E1057" t="s">
        <v>2170</v>
      </c>
      <c r="F1057" t="s">
        <v>111</v>
      </c>
      <c r="G1057" s="1">
        <v>0.2</v>
      </c>
      <c r="H1057" t="s">
        <v>232</v>
      </c>
      <c r="I1057" t="s">
        <v>1580</v>
      </c>
      <c r="J1057" t="s">
        <v>1077</v>
      </c>
      <c r="K1057" t="s">
        <v>1989</v>
      </c>
      <c r="L1057" s="14">
        <f>IFERROR(VALUE(LEFT(tblMatriculas[[#This Row],[Clases]],FIND("/",tblMatriculas[[#This Row],[Clases]])-1)),"")</f>
        <v>6</v>
      </c>
      <c r="M1057" s="14">
        <f>IFERROR(VALUE(MID(tblMatriculas[[#This Row],[Clases]],FIND("/",tblMatriculas[[#This Row],[Clases]])+1,5)),"")</f>
        <v>30</v>
      </c>
      <c r="N10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7" s="14">
        <f>IF(OR(tblMatriculas[[#This Row],[Estado]]&lt;&gt;"activa",tblMatriculas[[#This Row],[Clases dictadas]]=""),"",MAX(0,tblMatriculas[[#This Row],[Clases dictadas]]-tblMatriculas[[#This Row],[Asistidas]]))</f>
        <v>0</v>
      </c>
      <c r="P1057" s="1">
        <f>IF(OR(tblMatriculas[[#This Row],[Estado]]&lt;&gt;"activa",tblMatriculas[[#This Row],[Asistidas]]=""),"",tblMatriculas[[#This Row],[Asistencia]])</f>
        <v>0.2</v>
      </c>
      <c r="Q1057" t="b">
        <f>AND(tblMatriculas[[#This Row],[Estado]]="activa",ISNUMBER(tblMatriculas[[#This Row],[% asistencia]]),NOT(ISNUMBER(SEARCH(pPrueba,tblMatriculas[[#This Row],[Nombre]]))))</f>
        <v>1</v>
      </c>
      <c r="R10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7" s="23" t="str" cm="1">
        <f t="array" ref="S10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7" s="23" t="str" cm="1">
        <f t="array" ref="T10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7" s="14" t="str" cm="1">
        <f t="array" ref="U10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7" t="str" cm="1">
        <f t="array" ref="V10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7" t="str" cm="1">
        <f t="array" ref="W10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7" t="str">
        <f>IF(COUNTIFS('Base Estudiantes'!$C:$C,tblMatriculas[[#This Row],[Cédula]],'Base Estudiantes'!$I:$I,tblMatriculas[[#This Row],[Código]])&gt;0,"Sí","No")</f>
        <v>Sí</v>
      </c>
      <c r="Z1057" s="23" cm="1">
        <f t="array" ref="Z1057">_xlfn.XLOOKUP(tblMatriculas[[#This Row],[Cédula]]&amp;"|"&amp;tblMatriculas[[#This Row],[Código]],tblBase[Documento]&amp;"|"&amp;tblBase[Código grupo],tblBase[Fecha matrícula],"")</f>
        <v>46263</v>
      </c>
    </row>
    <row r="1058" spans="1:26" x14ac:dyDescent="0.2">
      <c r="A1058" t="s">
        <v>2250</v>
      </c>
      <c r="B1058" t="s">
        <v>2251</v>
      </c>
      <c r="C1058" t="s">
        <v>13</v>
      </c>
      <c r="D1058" t="s">
        <v>2169</v>
      </c>
      <c r="E1058" t="s">
        <v>2170</v>
      </c>
      <c r="F1058" t="s">
        <v>111</v>
      </c>
      <c r="G1058" s="1">
        <v>0.2</v>
      </c>
      <c r="H1058" t="s">
        <v>232</v>
      </c>
      <c r="I1058" t="s">
        <v>1580</v>
      </c>
      <c r="J1058" t="s">
        <v>1077</v>
      </c>
      <c r="K1058" t="s">
        <v>1788</v>
      </c>
      <c r="L1058" s="14">
        <f>IFERROR(VALUE(LEFT(tblMatriculas[[#This Row],[Clases]],FIND("/",tblMatriculas[[#This Row],[Clases]])-1)),"")</f>
        <v>6</v>
      </c>
      <c r="M1058" s="14">
        <f>IFERROR(VALUE(MID(tblMatriculas[[#This Row],[Clases]],FIND("/",tblMatriculas[[#This Row],[Clases]])+1,5)),"")</f>
        <v>30</v>
      </c>
      <c r="N10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8" s="14">
        <f>IF(OR(tblMatriculas[[#This Row],[Estado]]&lt;&gt;"activa",tblMatriculas[[#This Row],[Clases dictadas]]=""),"",MAX(0,tblMatriculas[[#This Row],[Clases dictadas]]-tblMatriculas[[#This Row],[Asistidas]]))</f>
        <v>0</v>
      </c>
      <c r="P1058" s="1">
        <f>IF(OR(tblMatriculas[[#This Row],[Estado]]&lt;&gt;"activa",tblMatriculas[[#This Row],[Asistidas]]=""),"",tblMatriculas[[#This Row],[Asistencia]])</f>
        <v>0.2</v>
      </c>
      <c r="Q1058" t="b">
        <f>AND(tblMatriculas[[#This Row],[Estado]]="activa",ISNUMBER(tblMatriculas[[#This Row],[% asistencia]]),NOT(ISNUMBER(SEARCH(pPrueba,tblMatriculas[[#This Row],[Nombre]]))))</f>
        <v>1</v>
      </c>
      <c r="R10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8" s="23" t="str" cm="1">
        <f t="array" ref="S10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8" s="23" t="str" cm="1">
        <f t="array" ref="T10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8" s="14" t="str" cm="1">
        <f t="array" ref="U10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8" t="str" cm="1">
        <f t="array" ref="V10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8" t="str" cm="1">
        <f t="array" ref="W10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8" t="str">
        <f>IF(COUNTIFS('Base Estudiantes'!$C:$C,tblMatriculas[[#This Row],[Cédula]],'Base Estudiantes'!$I:$I,tblMatriculas[[#This Row],[Código]])&gt;0,"Sí","No")</f>
        <v>Sí</v>
      </c>
      <c r="Z1058" s="23" cm="1">
        <f t="array" ref="Z1058">_xlfn.XLOOKUP(tblMatriculas[[#This Row],[Cédula]]&amp;"|"&amp;tblMatriculas[[#This Row],[Código]],tblBase[Documento]&amp;"|"&amp;tblBase[Código grupo],tblBase[Fecha matrícula],"")</f>
        <v>46263</v>
      </c>
    </row>
    <row r="1059" spans="1:26" x14ac:dyDescent="0.2">
      <c r="A1059" t="s">
        <v>2252</v>
      </c>
      <c r="B1059" t="s">
        <v>2253</v>
      </c>
      <c r="C1059" t="s">
        <v>13</v>
      </c>
      <c r="D1059" t="s">
        <v>2169</v>
      </c>
      <c r="E1059" t="s">
        <v>2170</v>
      </c>
      <c r="F1059" t="s">
        <v>111</v>
      </c>
      <c r="G1059" s="1">
        <v>0.2</v>
      </c>
      <c r="H1059" t="s">
        <v>232</v>
      </c>
      <c r="I1059" t="s">
        <v>1580</v>
      </c>
      <c r="J1059" t="s">
        <v>1077</v>
      </c>
      <c r="K1059" t="s">
        <v>1590</v>
      </c>
      <c r="L1059" s="14">
        <f>IFERROR(VALUE(LEFT(tblMatriculas[[#This Row],[Clases]],FIND("/",tblMatriculas[[#This Row],[Clases]])-1)),"")</f>
        <v>6</v>
      </c>
      <c r="M1059" s="14">
        <f>IFERROR(VALUE(MID(tblMatriculas[[#This Row],[Clases]],FIND("/",tblMatriculas[[#This Row],[Clases]])+1,5)),"")</f>
        <v>30</v>
      </c>
      <c r="N10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59" s="14">
        <f>IF(OR(tblMatriculas[[#This Row],[Estado]]&lt;&gt;"activa",tblMatriculas[[#This Row],[Clases dictadas]]=""),"",MAX(0,tblMatriculas[[#This Row],[Clases dictadas]]-tblMatriculas[[#This Row],[Asistidas]]))</f>
        <v>0</v>
      </c>
      <c r="P1059" s="1">
        <f>IF(OR(tblMatriculas[[#This Row],[Estado]]&lt;&gt;"activa",tblMatriculas[[#This Row],[Asistidas]]=""),"",tblMatriculas[[#This Row],[Asistencia]])</f>
        <v>0.2</v>
      </c>
      <c r="Q1059" t="b">
        <f>AND(tblMatriculas[[#This Row],[Estado]]="activa",ISNUMBER(tblMatriculas[[#This Row],[% asistencia]]),NOT(ISNUMBER(SEARCH(pPrueba,tblMatriculas[[#This Row],[Nombre]]))))</f>
        <v>1</v>
      </c>
      <c r="R10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59" s="23" t="str" cm="1">
        <f t="array" ref="S10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59" s="23" t="str" cm="1">
        <f t="array" ref="T10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59" s="14" t="str" cm="1">
        <f t="array" ref="U10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59" t="str" cm="1">
        <f t="array" ref="V10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59" t="str" cm="1">
        <f t="array" ref="W10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59" t="str">
        <f>IF(COUNTIFS('Base Estudiantes'!$C:$C,tblMatriculas[[#This Row],[Cédula]],'Base Estudiantes'!$I:$I,tblMatriculas[[#This Row],[Código]])&gt;0,"Sí","No")</f>
        <v>Sí</v>
      </c>
      <c r="Z1059" s="23" cm="1">
        <f t="array" ref="Z1059">_xlfn.XLOOKUP(tblMatriculas[[#This Row],[Cédula]]&amp;"|"&amp;tblMatriculas[[#This Row],[Código]],tblBase[Documento]&amp;"|"&amp;tblBase[Código grupo],tblBase[Fecha matrícula],"")</f>
        <v>46263</v>
      </c>
    </row>
    <row r="1060" spans="1:26" x14ac:dyDescent="0.2">
      <c r="A1060" t="s">
        <v>2254</v>
      </c>
      <c r="B1060" t="s">
        <v>2255</v>
      </c>
      <c r="C1060" t="s">
        <v>13</v>
      </c>
      <c r="D1060" t="s">
        <v>2169</v>
      </c>
      <c r="E1060" t="s">
        <v>2170</v>
      </c>
      <c r="F1060" t="s">
        <v>111</v>
      </c>
      <c r="G1060" s="1">
        <v>0.11699999999999999</v>
      </c>
      <c r="H1060" t="s">
        <v>2191</v>
      </c>
      <c r="I1060" t="s">
        <v>1580</v>
      </c>
      <c r="J1060" t="s">
        <v>1077</v>
      </c>
      <c r="K1060" t="s">
        <v>24</v>
      </c>
      <c r="L1060" s="14">
        <f>IFERROR(VALUE(LEFT(tblMatriculas[[#This Row],[Clases]],FIND("/",tblMatriculas[[#This Row],[Clases]])-1)),"")</f>
        <v>7</v>
      </c>
      <c r="M1060" s="14">
        <f>IFERROR(VALUE(MID(tblMatriculas[[#This Row],[Clases]],FIND("/",tblMatriculas[[#This Row],[Clases]])+1,5)),"")</f>
        <v>60</v>
      </c>
      <c r="N10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12</v>
      </c>
      <c r="O1060" s="14">
        <f>IF(OR(tblMatriculas[[#This Row],[Estado]]&lt;&gt;"activa",tblMatriculas[[#This Row],[Clases dictadas]]=""),"",MAX(0,tblMatriculas[[#This Row],[Clases dictadas]]-tblMatriculas[[#This Row],[Asistidas]]))</f>
        <v>5</v>
      </c>
      <c r="P1060" s="1">
        <f>IF(OR(tblMatriculas[[#This Row],[Estado]]&lt;&gt;"activa",tblMatriculas[[#This Row],[Asistidas]]=""),"",tblMatriculas[[#This Row],[Asistencia]])</f>
        <v>0.11699999999999999</v>
      </c>
      <c r="Q1060" t="b">
        <f>AND(tblMatriculas[[#This Row],[Estado]]="activa",ISNUMBER(tblMatriculas[[#This Row],[% asistencia]]),NOT(ISNUMBER(SEARCH(pPrueba,tblMatriculas[[#This Row],[Nombre]]))))</f>
        <v>1</v>
      </c>
      <c r="R10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0" s="23" t="str" cm="1">
        <f t="array" ref="S10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0" s="23" t="str" cm="1">
        <f t="array" ref="T10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0" s="14" t="str" cm="1">
        <f t="array" ref="U10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0" t="str" cm="1">
        <f t="array" ref="V10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0" t="str" cm="1">
        <f t="array" ref="W10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0" t="str">
        <f>IF(COUNTIFS('Base Estudiantes'!$C:$C,tblMatriculas[[#This Row],[Cédula]],'Base Estudiantes'!$I:$I,tblMatriculas[[#This Row],[Código]])&gt;0,"Sí","No")</f>
        <v>Sí</v>
      </c>
      <c r="Z1060" s="23" cm="1">
        <f t="array" ref="Z1060">_xlfn.XLOOKUP(tblMatriculas[[#This Row],[Cédula]]&amp;"|"&amp;tblMatriculas[[#This Row],[Código]],tblBase[Documento]&amp;"|"&amp;tblBase[Código grupo],tblBase[Fecha matrícula],"")</f>
        <v>46274</v>
      </c>
    </row>
    <row r="1061" spans="1:26" x14ac:dyDescent="0.2">
      <c r="A1061" t="s">
        <v>2256</v>
      </c>
      <c r="B1061" t="s">
        <v>2257</v>
      </c>
      <c r="C1061" t="s">
        <v>13</v>
      </c>
      <c r="D1061" t="s">
        <v>2258</v>
      </c>
      <c r="E1061" t="s">
        <v>2259</v>
      </c>
      <c r="F1061" t="s">
        <v>111</v>
      </c>
      <c r="G1061" s="1">
        <v>6.7000000000000004E-2</v>
      </c>
      <c r="H1061" t="s">
        <v>166</v>
      </c>
      <c r="I1061" t="s">
        <v>1580</v>
      </c>
      <c r="J1061" t="s">
        <v>2260</v>
      </c>
      <c r="K1061" t="s">
        <v>1864</v>
      </c>
      <c r="L1061" s="14">
        <f>IFERROR(VALUE(LEFT(tblMatriculas[[#This Row],[Clases]],FIND("/",tblMatriculas[[#This Row],[Clases]])-1)),"")</f>
        <v>2</v>
      </c>
      <c r="M1061" s="14">
        <f>IFERROR(VALUE(MID(tblMatriculas[[#This Row],[Clases]],FIND("/",tblMatriculas[[#This Row],[Clases]])+1,5)),"")</f>
        <v>30</v>
      </c>
      <c r="N10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1" s="14">
        <f>IF(OR(tblMatriculas[[#This Row],[Estado]]&lt;&gt;"activa",tblMatriculas[[#This Row],[Clases dictadas]]=""),"",MAX(0,tblMatriculas[[#This Row],[Clases dictadas]]-tblMatriculas[[#This Row],[Asistidas]]))</f>
        <v>1</v>
      </c>
      <c r="P1061" s="1">
        <f>IF(OR(tblMatriculas[[#This Row],[Estado]]&lt;&gt;"activa",tblMatriculas[[#This Row],[Asistidas]]=""),"",tblMatriculas[[#This Row],[Asistencia]])</f>
        <v>6.7000000000000004E-2</v>
      </c>
      <c r="Q1061" t="b">
        <f>AND(tblMatriculas[[#This Row],[Estado]]="activa",ISNUMBER(tblMatriculas[[#This Row],[% asistencia]]),NOT(ISNUMBER(SEARCH(pPrueba,tblMatriculas[[#This Row],[Nombre]]))))</f>
        <v>1</v>
      </c>
      <c r="R10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61" s="23" t="str" cm="1">
        <f t="array" ref="S10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1" s="23" t="str" cm="1">
        <f t="array" ref="T10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1" s="14" t="str" cm="1">
        <f t="array" ref="U10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1" t="str" cm="1">
        <f t="array" ref="V10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1" t="str" cm="1">
        <f t="array" ref="W10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61" t="str">
        <f>IF(COUNTIFS('Base Estudiantes'!$C:$C,tblMatriculas[[#This Row],[Cédula]],'Base Estudiantes'!$I:$I,tblMatriculas[[#This Row],[Código]])&gt;0,"Sí","No")</f>
        <v>Sí</v>
      </c>
      <c r="Z1061" s="23" cm="1">
        <f t="array" ref="Z1061">_xlfn.XLOOKUP(tblMatriculas[[#This Row],[Cédula]]&amp;"|"&amp;tblMatriculas[[#This Row],[Código]],tblBase[Documento]&amp;"|"&amp;tblBase[Código grupo],tblBase[Fecha matrícula],"")</f>
        <v>46263</v>
      </c>
    </row>
    <row r="1062" spans="1:26" x14ac:dyDescent="0.2">
      <c r="A1062" t="s">
        <v>2261</v>
      </c>
      <c r="B1062" t="s">
        <v>2262</v>
      </c>
      <c r="C1062" t="s">
        <v>13</v>
      </c>
      <c r="D1062" t="s">
        <v>2258</v>
      </c>
      <c r="E1062" t="s">
        <v>2259</v>
      </c>
      <c r="F1062" t="s">
        <v>111</v>
      </c>
      <c r="G1062" s="1">
        <v>0.1</v>
      </c>
      <c r="H1062" t="s">
        <v>117</v>
      </c>
      <c r="I1062" t="s">
        <v>1580</v>
      </c>
      <c r="J1062" t="s">
        <v>2260</v>
      </c>
      <c r="K1062" t="s">
        <v>1992</v>
      </c>
      <c r="L1062" s="14">
        <f>IFERROR(VALUE(LEFT(tblMatriculas[[#This Row],[Clases]],FIND("/",tblMatriculas[[#This Row],[Clases]])-1)),"")</f>
        <v>3</v>
      </c>
      <c r="M1062" s="14">
        <f>IFERROR(VALUE(MID(tblMatriculas[[#This Row],[Clases]],FIND("/",tblMatriculas[[#This Row],[Clases]])+1,5)),"")</f>
        <v>30</v>
      </c>
      <c r="N10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2" s="14">
        <f>IF(OR(tblMatriculas[[#This Row],[Estado]]&lt;&gt;"activa",tblMatriculas[[#This Row],[Clases dictadas]]=""),"",MAX(0,tblMatriculas[[#This Row],[Clases dictadas]]-tblMatriculas[[#This Row],[Asistidas]]))</f>
        <v>0</v>
      </c>
      <c r="P1062" s="1">
        <f>IF(OR(tblMatriculas[[#This Row],[Estado]]&lt;&gt;"activa",tblMatriculas[[#This Row],[Asistidas]]=""),"",tblMatriculas[[#This Row],[Asistencia]])</f>
        <v>0.1</v>
      </c>
      <c r="Q1062" t="b">
        <f>AND(tblMatriculas[[#This Row],[Estado]]="activa",ISNUMBER(tblMatriculas[[#This Row],[% asistencia]]),NOT(ISNUMBER(SEARCH(pPrueba,tblMatriculas[[#This Row],[Nombre]]))))</f>
        <v>1</v>
      </c>
      <c r="R10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2" s="23" t="str" cm="1">
        <f t="array" ref="S10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2" s="23" t="str" cm="1">
        <f t="array" ref="T10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2" s="14" t="str" cm="1">
        <f t="array" ref="U10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2" t="str" cm="1">
        <f t="array" ref="V10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2" t="str" cm="1">
        <f t="array" ref="W10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2" t="str">
        <f>IF(COUNTIFS('Base Estudiantes'!$C:$C,tblMatriculas[[#This Row],[Cédula]],'Base Estudiantes'!$I:$I,tblMatriculas[[#This Row],[Código]])&gt;0,"Sí","No")</f>
        <v>Sí</v>
      </c>
      <c r="Z1062" s="23" cm="1">
        <f t="array" ref="Z1062">_xlfn.XLOOKUP(tblMatriculas[[#This Row],[Cédula]]&amp;"|"&amp;tblMatriculas[[#This Row],[Código]],tblBase[Documento]&amp;"|"&amp;tblBase[Código grupo],tblBase[Fecha matrícula],"")</f>
        <v>46263</v>
      </c>
    </row>
    <row r="1063" spans="1:26" x14ac:dyDescent="0.2">
      <c r="A1063" t="s">
        <v>2263</v>
      </c>
      <c r="B1063" t="s">
        <v>2264</v>
      </c>
      <c r="C1063" t="s">
        <v>13</v>
      </c>
      <c r="D1063" t="s">
        <v>2258</v>
      </c>
      <c r="E1063" t="s">
        <v>2259</v>
      </c>
      <c r="F1063" t="s">
        <v>111</v>
      </c>
      <c r="G1063" s="1">
        <v>0.1</v>
      </c>
      <c r="H1063" t="s">
        <v>117</v>
      </c>
      <c r="I1063" t="s">
        <v>1580</v>
      </c>
      <c r="J1063" t="s">
        <v>2260</v>
      </c>
      <c r="K1063" t="s">
        <v>1992</v>
      </c>
      <c r="L1063" s="14">
        <f>IFERROR(VALUE(LEFT(tblMatriculas[[#This Row],[Clases]],FIND("/",tblMatriculas[[#This Row],[Clases]])-1)),"")</f>
        <v>3</v>
      </c>
      <c r="M1063" s="14">
        <f>IFERROR(VALUE(MID(tblMatriculas[[#This Row],[Clases]],FIND("/",tblMatriculas[[#This Row],[Clases]])+1,5)),"")</f>
        <v>30</v>
      </c>
      <c r="N10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3" s="14">
        <f>IF(OR(tblMatriculas[[#This Row],[Estado]]&lt;&gt;"activa",tblMatriculas[[#This Row],[Clases dictadas]]=""),"",MAX(0,tblMatriculas[[#This Row],[Clases dictadas]]-tblMatriculas[[#This Row],[Asistidas]]))</f>
        <v>0</v>
      </c>
      <c r="P1063" s="1">
        <f>IF(OR(tblMatriculas[[#This Row],[Estado]]&lt;&gt;"activa",tblMatriculas[[#This Row],[Asistidas]]=""),"",tblMatriculas[[#This Row],[Asistencia]])</f>
        <v>0.1</v>
      </c>
      <c r="Q1063" t="b">
        <f>AND(tblMatriculas[[#This Row],[Estado]]="activa",ISNUMBER(tblMatriculas[[#This Row],[% asistencia]]),NOT(ISNUMBER(SEARCH(pPrueba,tblMatriculas[[#This Row],[Nombre]]))))</f>
        <v>1</v>
      </c>
      <c r="R10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3" s="23" t="str" cm="1">
        <f t="array" ref="S10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3" s="23" t="str" cm="1">
        <f t="array" ref="T10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3" s="14" t="str" cm="1">
        <f t="array" ref="U10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3" t="str" cm="1">
        <f t="array" ref="V10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3" t="str" cm="1">
        <f t="array" ref="W10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3" t="str">
        <f>IF(COUNTIFS('Base Estudiantes'!$C:$C,tblMatriculas[[#This Row],[Cédula]],'Base Estudiantes'!$I:$I,tblMatriculas[[#This Row],[Código]])&gt;0,"Sí","No")</f>
        <v>Sí</v>
      </c>
      <c r="Z1063" s="23" cm="1">
        <f t="array" ref="Z1063">_xlfn.XLOOKUP(tblMatriculas[[#This Row],[Cédula]]&amp;"|"&amp;tblMatriculas[[#This Row],[Código]],tblBase[Documento]&amp;"|"&amp;tblBase[Código grupo],tblBase[Fecha matrícula],"")</f>
        <v>46263</v>
      </c>
    </row>
    <row r="1064" spans="1:26" x14ac:dyDescent="0.2">
      <c r="A1064" t="s">
        <v>2265</v>
      </c>
      <c r="B1064" t="s">
        <v>2266</v>
      </c>
      <c r="C1064" t="s">
        <v>13</v>
      </c>
      <c r="D1064" t="s">
        <v>2258</v>
      </c>
      <c r="E1064" t="s">
        <v>2259</v>
      </c>
      <c r="F1064" t="s">
        <v>111</v>
      </c>
      <c r="G1064" s="1">
        <v>0.1</v>
      </c>
      <c r="H1064" t="s">
        <v>117</v>
      </c>
      <c r="I1064" t="s">
        <v>1580</v>
      </c>
      <c r="J1064" t="s">
        <v>2260</v>
      </c>
      <c r="K1064" t="s">
        <v>1992</v>
      </c>
      <c r="L1064" s="14">
        <f>IFERROR(VALUE(LEFT(tblMatriculas[[#This Row],[Clases]],FIND("/",tblMatriculas[[#This Row],[Clases]])-1)),"")</f>
        <v>3</v>
      </c>
      <c r="M1064" s="14">
        <f>IFERROR(VALUE(MID(tblMatriculas[[#This Row],[Clases]],FIND("/",tblMatriculas[[#This Row],[Clases]])+1,5)),"")</f>
        <v>30</v>
      </c>
      <c r="N10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4" s="14">
        <f>IF(OR(tblMatriculas[[#This Row],[Estado]]&lt;&gt;"activa",tblMatriculas[[#This Row],[Clases dictadas]]=""),"",MAX(0,tblMatriculas[[#This Row],[Clases dictadas]]-tblMatriculas[[#This Row],[Asistidas]]))</f>
        <v>0</v>
      </c>
      <c r="P1064" s="1">
        <f>IF(OR(tblMatriculas[[#This Row],[Estado]]&lt;&gt;"activa",tblMatriculas[[#This Row],[Asistidas]]=""),"",tblMatriculas[[#This Row],[Asistencia]])</f>
        <v>0.1</v>
      </c>
      <c r="Q1064" t="b">
        <f>AND(tblMatriculas[[#This Row],[Estado]]="activa",ISNUMBER(tblMatriculas[[#This Row],[% asistencia]]),NOT(ISNUMBER(SEARCH(pPrueba,tblMatriculas[[#This Row],[Nombre]]))))</f>
        <v>1</v>
      </c>
      <c r="R10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4" s="23" t="str" cm="1">
        <f t="array" ref="S10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4" s="23" t="str" cm="1">
        <f t="array" ref="T10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4" s="14" t="str" cm="1">
        <f t="array" ref="U10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4" t="str" cm="1">
        <f t="array" ref="V10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4" t="str" cm="1">
        <f t="array" ref="W10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4" t="str">
        <f>IF(COUNTIFS('Base Estudiantes'!$C:$C,tblMatriculas[[#This Row],[Cédula]],'Base Estudiantes'!$I:$I,tblMatriculas[[#This Row],[Código]])&gt;0,"Sí","No")</f>
        <v>Sí</v>
      </c>
      <c r="Z1064" s="23" cm="1">
        <f t="array" ref="Z1064">_xlfn.XLOOKUP(tblMatriculas[[#This Row],[Cédula]]&amp;"|"&amp;tblMatriculas[[#This Row],[Código]],tblBase[Documento]&amp;"|"&amp;tblBase[Código grupo],tblBase[Fecha matrícula],"")</f>
        <v>46263</v>
      </c>
    </row>
    <row r="1065" spans="1:26" x14ac:dyDescent="0.2">
      <c r="A1065" t="s">
        <v>2267</v>
      </c>
      <c r="B1065" t="s">
        <v>2268</v>
      </c>
      <c r="C1065" t="s">
        <v>13</v>
      </c>
      <c r="D1065" t="s">
        <v>2258</v>
      </c>
      <c r="E1065" t="s">
        <v>2259</v>
      </c>
      <c r="F1065" t="s">
        <v>111</v>
      </c>
      <c r="G1065" s="1">
        <v>0</v>
      </c>
      <c r="H1065" t="s">
        <v>254</v>
      </c>
      <c r="I1065" t="s">
        <v>1580</v>
      </c>
      <c r="J1065" t="s">
        <v>2260</v>
      </c>
      <c r="K1065" t="s">
        <v>1992</v>
      </c>
      <c r="L1065" s="14">
        <f>IFERROR(VALUE(LEFT(tblMatriculas[[#This Row],[Clases]],FIND("/",tblMatriculas[[#This Row],[Clases]])-1)),"")</f>
        <v>0</v>
      </c>
      <c r="M1065" s="14">
        <f>IFERROR(VALUE(MID(tblMatriculas[[#This Row],[Clases]],FIND("/",tblMatriculas[[#This Row],[Clases]])+1,5)),"")</f>
        <v>30</v>
      </c>
      <c r="N10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5" s="14">
        <f>IF(OR(tblMatriculas[[#This Row],[Estado]]&lt;&gt;"activa",tblMatriculas[[#This Row],[Clases dictadas]]=""),"",MAX(0,tblMatriculas[[#This Row],[Clases dictadas]]-tblMatriculas[[#This Row],[Asistidas]]))</f>
        <v>3</v>
      </c>
      <c r="P1065" s="1">
        <f>IF(OR(tblMatriculas[[#This Row],[Estado]]&lt;&gt;"activa",tblMatriculas[[#This Row],[Asistidas]]=""),"",tblMatriculas[[#This Row],[Asistencia]])</f>
        <v>0</v>
      </c>
      <c r="Q1065" t="b">
        <f>AND(tblMatriculas[[#This Row],[Estado]]="activa",ISNUMBER(tblMatriculas[[#This Row],[% asistencia]]),NOT(ISNUMBER(SEARCH(pPrueba,tblMatriculas[[#This Row],[Nombre]]))))</f>
        <v>1</v>
      </c>
      <c r="R10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65" s="23" t="str" cm="1">
        <f t="array" ref="S10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5" s="23" t="str" cm="1">
        <f t="array" ref="T10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5" s="14" t="str" cm="1">
        <f t="array" ref="U10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5" t="str" cm="1">
        <f t="array" ref="V10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5" t="str" cm="1">
        <f t="array" ref="W10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65" t="str">
        <f>IF(COUNTIFS('Base Estudiantes'!$C:$C,tblMatriculas[[#This Row],[Cédula]],'Base Estudiantes'!$I:$I,tblMatriculas[[#This Row],[Código]])&gt;0,"Sí","No")</f>
        <v>No</v>
      </c>
      <c r="Z1065" s="23" t="str" cm="1">
        <f t="array" ref="Z1065">_xlfn.XLOOKUP(tblMatriculas[[#This Row],[Cédula]]&amp;"|"&amp;tblMatriculas[[#This Row],[Código]],tblBase[Documento]&amp;"|"&amp;tblBase[Código grupo],tblBase[Fecha matrícula],"")</f>
        <v/>
      </c>
    </row>
    <row r="1066" spans="1:26" x14ac:dyDescent="0.2">
      <c r="A1066" t="s">
        <v>2269</v>
      </c>
      <c r="B1066" t="s">
        <v>2270</v>
      </c>
      <c r="C1066" t="s">
        <v>13</v>
      </c>
      <c r="D1066" t="s">
        <v>2258</v>
      </c>
      <c r="E1066" t="s">
        <v>2259</v>
      </c>
      <c r="F1066" t="s">
        <v>111</v>
      </c>
      <c r="G1066" s="1">
        <v>3.3000000000000002E-2</v>
      </c>
      <c r="H1066" t="s">
        <v>225</v>
      </c>
      <c r="I1066" t="s">
        <v>1580</v>
      </c>
      <c r="J1066" t="s">
        <v>2260</v>
      </c>
      <c r="K1066" t="s">
        <v>24</v>
      </c>
      <c r="L1066" s="14">
        <f>IFERROR(VALUE(LEFT(tblMatriculas[[#This Row],[Clases]],FIND("/",tblMatriculas[[#This Row],[Clases]])-1)),"")</f>
        <v>1</v>
      </c>
      <c r="M1066" s="14">
        <f>IFERROR(VALUE(MID(tblMatriculas[[#This Row],[Clases]],FIND("/",tblMatriculas[[#This Row],[Clases]])+1,5)),"")</f>
        <v>30</v>
      </c>
      <c r="N10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6" s="14">
        <f>IF(OR(tblMatriculas[[#This Row],[Estado]]&lt;&gt;"activa",tblMatriculas[[#This Row],[Clases dictadas]]=""),"",MAX(0,tblMatriculas[[#This Row],[Clases dictadas]]-tblMatriculas[[#This Row],[Asistidas]]))</f>
        <v>2</v>
      </c>
      <c r="P1066" s="1">
        <f>IF(OR(tblMatriculas[[#This Row],[Estado]]&lt;&gt;"activa",tblMatriculas[[#This Row],[Asistidas]]=""),"",tblMatriculas[[#This Row],[Asistencia]])</f>
        <v>3.3000000000000002E-2</v>
      </c>
      <c r="Q1066" t="b">
        <f>AND(tblMatriculas[[#This Row],[Estado]]="activa",ISNUMBER(tblMatriculas[[#This Row],[% asistencia]]),NOT(ISNUMBER(SEARCH(pPrueba,tblMatriculas[[#This Row],[Nombre]]))))</f>
        <v>1</v>
      </c>
      <c r="R10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66" s="23" t="str" cm="1">
        <f t="array" ref="S10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6" s="23" t="str" cm="1">
        <f t="array" ref="T10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6" s="14" t="str" cm="1">
        <f t="array" ref="U10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6" t="str" cm="1">
        <f t="array" ref="V10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6" t="str" cm="1">
        <f t="array" ref="W10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66" t="str">
        <f>IF(COUNTIFS('Base Estudiantes'!$C:$C,tblMatriculas[[#This Row],[Cédula]],'Base Estudiantes'!$I:$I,tblMatriculas[[#This Row],[Código]])&gt;0,"Sí","No")</f>
        <v>Sí</v>
      </c>
      <c r="Z1066" s="23" cm="1">
        <f t="array" ref="Z1066">_xlfn.XLOOKUP(tblMatriculas[[#This Row],[Cédula]]&amp;"|"&amp;tblMatriculas[[#This Row],[Código]],tblBase[Documento]&amp;"|"&amp;tblBase[Código grupo],tblBase[Fecha matrícula],"")</f>
        <v>46263</v>
      </c>
    </row>
    <row r="1067" spans="1:26" x14ac:dyDescent="0.2">
      <c r="A1067" t="s">
        <v>2271</v>
      </c>
      <c r="B1067" t="s">
        <v>2272</v>
      </c>
      <c r="C1067" t="s">
        <v>49</v>
      </c>
      <c r="D1067" t="s">
        <v>2258</v>
      </c>
      <c r="E1067" t="s">
        <v>2259</v>
      </c>
      <c r="F1067" t="s">
        <v>111</v>
      </c>
      <c r="G1067" s="1">
        <v>0</v>
      </c>
      <c r="H1067" t="s">
        <v>254</v>
      </c>
      <c r="I1067" t="s">
        <v>1580</v>
      </c>
      <c r="J1067" t="s">
        <v>2260</v>
      </c>
      <c r="K1067" t="s">
        <v>24</v>
      </c>
      <c r="L1067" s="14">
        <f>IFERROR(VALUE(LEFT(tblMatriculas[[#This Row],[Clases]],FIND("/",tblMatriculas[[#This Row],[Clases]])-1)),"")</f>
        <v>0</v>
      </c>
      <c r="M1067" s="14">
        <f>IFERROR(VALUE(MID(tblMatriculas[[#This Row],[Clases]],FIND("/",tblMatriculas[[#This Row],[Clases]])+1,5)),"")</f>
        <v>30</v>
      </c>
      <c r="N10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7" s="14" t="str">
        <f>IF(OR(tblMatriculas[[#This Row],[Estado]]&lt;&gt;"activa",tblMatriculas[[#This Row],[Clases dictadas]]=""),"",MAX(0,tblMatriculas[[#This Row],[Clases dictadas]]-tblMatriculas[[#This Row],[Asistidas]]))</f>
        <v/>
      </c>
      <c r="P1067" s="1" t="str">
        <f>IF(OR(tblMatriculas[[#This Row],[Estado]]&lt;&gt;"activa",tblMatriculas[[#This Row],[Asistidas]]=""),"",tblMatriculas[[#This Row],[Asistencia]])</f>
        <v/>
      </c>
      <c r="Q1067" t="b">
        <f>AND(tblMatriculas[[#This Row],[Estado]]="activa",ISNUMBER(tblMatriculas[[#This Row],[% asistencia]]),NOT(ISNUMBER(SEARCH(pPrueba,tblMatriculas[[#This Row],[Nombre]]))))</f>
        <v>0</v>
      </c>
      <c r="R10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067" s="23" t="str" cm="1">
        <f t="array" ref="S10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7" s="23" t="str" cm="1">
        <f t="array" ref="T10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7" s="14" t="str" cm="1">
        <f t="array" ref="U10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7" t="str" cm="1">
        <f t="array" ref="V10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7" t="str" cm="1">
        <f t="array" ref="W10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7" t="str">
        <f>IF(COUNTIFS('Base Estudiantes'!$C:$C,tblMatriculas[[#This Row],[Cédula]],'Base Estudiantes'!$I:$I,tblMatriculas[[#This Row],[Código]])&gt;0,"Sí","No")</f>
        <v>No</v>
      </c>
      <c r="Z1067" s="23" t="str" cm="1">
        <f t="array" ref="Z1067">_xlfn.XLOOKUP(tblMatriculas[[#This Row],[Cédula]]&amp;"|"&amp;tblMatriculas[[#This Row],[Código]],tblBase[Documento]&amp;"|"&amp;tblBase[Código grupo],tblBase[Fecha matrícula],"")</f>
        <v/>
      </c>
    </row>
    <row r="1068" spans="1:26" x14ac:dyDescent="0.2">
      <c r="A1068" t="s">
        <v>2273</v>
      </c>
      <c r="B1068" t="s">
        <v>2274</v>
      </c>
      <c r="C1068" t="s">
        <v>13</v>
      </c>
      <c r="D1068" t="s">
        <v>2258</v>
      </c>
      <c r="E1068" t="s">
        <v>2259</v>
      </c>
      <c r="F1068" t="s">
        <v>111</v>
      </c>
      <c r="G1068" s="1">
        <v>0.1</v>
      </c>
      <c r="H1068" t="s">
        <v>117</v>
      </c>
      <c r="I1068" t="s">
        <v>1580</v>
      </c>
      <c r="J1068" t="s">
        <v>2260</v>
      </c>
      <c r="K1068" t="s">
        <v>24</v>
      </c>
      <c r="L1068" s="14">
        <f>IFERROR(VALUE(LEFT(tblMatriculas[[#This Row],[Clases]],FIND("/",tblMatriculas[[#This Row],[Clases]])-1)),"")</f>
        <v>3</v>
      </c>
      <c r="M1068" s="14">
        <f>IFERROR(VALUE(MID(tblMatriculas[[#This Row],[Clases]],FIND("/",tblMatriculas[[#This Row],[Clases]])+1,5)),"")</f>
        <v>30</v>
      </c>
      <c r="N10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8" s="14">
        <f>IF(OR(tblMatriculas[[#This Row],[Estado]]&lt;&gt;"activa",tblMatriculas[[#This Row],[Clases dictadas]]=""),"",MAX(0,tblMatriculas[[#This Row],[Clases dictadas]]-tblMatriculas[[#This Row],[Asistidas]]))</f>
        <v>0</v>
      </c>
      <c r="P1068" s="1">
        <f>IF(OR(tblMatriculas[[#This Row],[Estado]]&lt;&gt;"activa",tblMatriculas[[#This Row],[Asistidas]]=""),"",tblMatriculas[[#This Row],[Asistencia]])</f>
        <v>0.1</v>
      </c>
      <c r="Q1068" t="b">
        <f>AND(tblMatriculas[[#This Row],[Estado]]="activa",ISNUMBER(tblMatriculas[[#This Row],[% asistencia]]),NOT(ISNUMBER(SEARCH(pPrueba,tblMatriculas[[#This Row],[Nombre]]))))</f>
        <v>1</v>
      </c>
      <c r="R10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8" s="23" t="str" cm="1">
        <f t="array" ref="S10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8" s="23" t="str" cm="1">
        <f t="array" ref="T10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8" s="14" t="str" cm="1">
        <f t="array" ref="U10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8" t="str" cm="1">
        <f t="array" ref="V10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8" t="str" cm="1">
        <f t="array" ref="W10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8" t="str">
        <f>IF(COUNTIFS('Base Estudiantes'!$C:$C,tblMatriculas[[#This Row],[Cédula]],'Base Estudiantes'!$I:$I,tblMatriculas[[#This Row],[Código]])&gt;0,"Sí","No")</f>
        <v>Sí</v>
      </c>
      <c r="Z1068" s="23" cm="1">
        <f t="array" ref="Z1068">_xlfn.XLOOKUP(tblMatriculas[[#This Row],[Cédula]]&amp;"|"&amp;tblMatriculas[[#This Row],[Código]],tblBase[Documento]&amp;"|"&amp;tblBase[Código grupo],tblBase[Fecha matrícula],"")</f>
        <v>46263</v>
      </c>
    </row>
    <row r="1069" spans="1:26" x14ac:dyDescent="0.2">
      <c r="A1069" t="s">
        <v>2275</v>
      </c>
      <c r="B1069" t="s">
        <v>2276</v>
      </c>
      <c r="C1069" t="s">
        <v>13</v>
      </c>
      <c r="D1069" t="s">
        <v>2258</v>
      </c>
      <c r="E1069" t="s">
        <v>2259</v>
      </c>
      <c r="F1069" t="s">
        <v>111</v>
      </c>
      <c r="G1069" s="1">
        <v>0.1</v>
      </c>
      <c r="H1069" t="s">
        <v>117</v>
      </c>
      <c r="I1069" t="s">
        <v>1580</v>
      </c>
      <c r="J1069" t="s">
        <v>2260</v>
      </c>
      <c r="K1069" t="s">
        <v>24</v>
      </c>
      <c r="L1069" s="14">
        <f>IFERROR(VALUE(LEFT(tblMatriculas[[#This Row],[Clases]],FIND("/",tblMatriculas[[#This Row],[Clases]])-1)),"")</f>
        <v>3</v>
      </c>
      <c r="M1069" s="14">
        <f>IFERROR(VALUE(MID(tblMatriculas[[#This Row],[Clases]],FIND("/",tblMatriculas[[#This Row],[Clases]])+1,5)),"")</f>
        <v>30</v>
      </c>
      <c r="N10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69" s="14">
        <f>IF(OR(tblMatriculas[[#This Row],[Estado]]&lt;&gt;"activa",tblMatriculas[[#This Row],[Clases dictadas]]=""),"",MAX(0,tblMatriculas[[#This Row],[Clases dictadas]]-tblMatriculas[[#This Row],[Asistidas]]))</f>
        <v>0</v>
      </c>
      <c r="P1069" s="1">
        <f>IF(OR(tblMatriculas[[#This Row],[Estado]]&lt;&gt;"activa",tblMatriculas[[#This Row],[Asistidas]]=""),"",tblMatriculas[[#This Row],[Asistencia]])</f>
        <v>0.1</v>
      </c>
      <c r="Q1069" t="b">
        <f>AND(tblMatriculas[[#This Row],[Estado]]="activa",ISNUMBER(tblMatriculas[[#This Row],[% asistencia]]),NOT(ISNUMBER(SEARCH(pPrueba,tblMatriculas[[#This Row],[Nombre]]))))</f>
        <v>1</v>
      </c>
      <c r="R10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69" s="23" t="str" cm="1">
        <f t="array" ref="S10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69" s="23" t="str" cm="1">
        <f t="array" ref="T10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69" s="14" t="str" cm="1">
        <f t="array" ref="U10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69" t="str" cm="1">
        <f t="array" ref="V10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69" t="str" cm="1">
        <f t="array" ref="W10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69" t="str">
        <f>IF(COUNTIFS('Base Estudiantes'!$C:$C,tblMatriculas[[#This Row],[Cédula]],'Base Estudiantes'!$I:$I,tblMatriculas[[#This Row],[Código]])&gt;0,"Sí","No")</f>
        <v>Sí</v>
      </c>
      <c r="Z1069" s="23" cm="1">
        <f t="array" ref="Z1069">_xlfn.XLOOKUP(tblMatriculas[[#This Row],[Cédula]]&amp;"|"&amp;tblMatriculas[[#This Row],[Código]],tblBase[Documento]&amp;"|"&amp;tblBase[Código grupo],tblBase[Fecha matrícula],"")</f>
        <v>46263</v>
      </c>
    </row>
    <row r="1070" spans="1:26" x14ac:dyDescent="0.2">
      <c r="A1070" t="s">
        <v>2277</v>
      </c>
      <c r="B1070" t="s">
        <v>2278</v>
      </c>
      <c r="C1070" t="s">
        <v>13</v>
      </c>
      <c r="D1070" t="s">
        <v>2258</v>
      </c>
      <c r="E1070" t="s">
        <v>2259</v>
      </c>
      <c r="F1070" t="s">
        <v>111</v>
      </c>
      <c r="G1070" s="1">
        <v>0.1</v>
      </c>
      <c r="H1070" t="s">
        <v>117</v>
      </c>
      <c r="I1070" t="s">
        <v>1580</v>
      </c>
      <c r="J1070" t="s">
        <v>2260</v>
      </c>
      <c r="K1070" t="s">
        <v>24</v>
      </c>
      <c r="L1070" s="14">
        <f>IFERROR(VALUE(LEFT(tblMatriculas[[#This Row],[Clases]],FIND("/",tblMatriculas[[#This Row],[Clases]])-1)),"")</f>
        <v>3</v>
      </c>
      <c r="M1070" s="14">
        <f>IFERROR(VALUE(MID(tblMatriculas[[#This Row],[Clases]],FIND("/",tblMatriculas[[#This Row],[Clases]])+1,5)),"")</f>
        <v>30</v>
      </c>
      <c r="N10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0" s="14">
        <f>IF(OR(tblMatriculas[[#This Row],[Estado]]&lt;&gt;"activa",tblMatriculas[[#This Row],[Clases dictadas]]=""),"",MAX(0,tblMatriculas[[#This Row],[Clases dictadas]]-tblMatriculas[[#This Row],[Asistidas]]))</f>
        <v>0</v>
      </c>
      <c r="P1070" s="1">
        <f>IF(OR(tblMatriculas[[#This Row],[Estado]]&lt;&gt;"activa",tblMatriculas[[#This Row],[Asistidas]]=""),"",tblMatriculas[[#This Row],[Asistencia]])</f>
        <v>0.1</v>
      </c>
      <c r="Q1070" t="b">
        <f>AND(tblMatriculas[[#This Row],[Estado]]="activa",ISNUMBER(tblMatriculas[[#This Row],[% asistencia]]),NOT(ISNUMBER(SEARCH(pPrueba,tblMatriculas[[#This Row],[Nombre]]))))</f>
        <v>1</v>
      </c>
      <c r="R10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70" s="23" t="str" cm="1">
        <f t="array" ref="S10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0" s="23" t="str" cm="1">
        <f t="array" ref="T10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0" s="14" t="str" cm="1">
        <f t="array" ref="U10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0" t="str" cm="1">
        <f t="array" ref="V10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0" t="str" cm="1">
        <f t="array" ref="W10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70" t="str">
        <f>IF(COUNTIFS('Base Estudiantes'!$C:$C,tblMatriculas[[#This Row],[Cédula]],'Base Estudiantes'!$I:$I,tblMatriculas[[#This Row],[Código]])&gt;0,"Sí","No")</f>
        <v>Sí</v>
      </c>
      <c r="Z1070" s="23" cm="1">
        <f t="array" ref="Z1070">_xlfn.XLOOKUP(tblMatriculas[[#This Row],[Cédula]]&amp;"|"&amp;tblMatriculas[[#This Row],[Código]],tblBase[Documento]&amp;"|"&amp;tblBase[Código grupo],tblBase[Fecha matrícula],"")</f>
        <v>46263</v>
      </c>
    </row>
    <row r="1071" spans="1:26" x14ac:dyDescent="0.2">
      <c r="A1071" t="s">
        <v>2279</v>
      </c>
      <c r="B1071" t="s">
        <v>2280</v>
      </c>
      <c r="C1071" t="s">
        <v>13</v>
      </c>
      <c r="D1071" t="s">
        <v>2258</v>
      </c>
      <c r="E1071" t="s">
        <v>2259</v>
      </c>
      <c r="F1071" t="s">
        <v>111</v>
      </c>
      <c r="G1071" s="1">
        <v>3.3000000000000002E-2</v>
      </c>
      <c r="H1071" t="s">
        <v>225</v>
      </c>
      <c r="I1071" t="s">
        <v>1580</v>
      </c>
      <c r="J1071" t="s">
        <v>2260</v>
      </c>
      <c r="K1071" t="s">
        <v>24</v>
      </c>
      <c r="L1071" s="14">
        <f>IFERROR(VALUE(LEFT(tblMatriculas[[#This Row],[Clases]],FIND("/",tblMatriculas[[#This Row],[Clases]])-1)),"")</f>
        <v>1</v>
      </c>
      <c r="M1071" s="14">
        <f>IFERROR(VALUE(MID(tblMatriculas[[#This Row],[Clases]],FIND("/",tblMatriculas[[#This Row],[Clases]])+1,5)),"")</f>
        <v>30</v>
      </c>
      <c r="N10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1" s="14">
        <f>IF(OR(tblMatriculas[[#This Row],[Estado]]&lt;&gt;"activa",tblMatriculas[[#This Row],[Clases dictadas]]=""),"",MAX(0,tblMatriculas[[#This Row],[Clases dictadas]]-tblMatriculas[[#This Row],[Asistidas]]))</f>
        <v>2</v>
      </c>
      <c r="P1071" s="1">
        <f>IF(OR(tblMatriculas[[#This Row],[Estado]]&lt;&gt;"activa",tblMatriculas[[#This Row],[Asistidas]]=""),"",tblMatriculas[[#This Row],[Asistencia]])</f>
        <v>3.3000000000000002E-2</v>
      </c>
      <c r="Q1071" t="b">
        <f>AND(tblMatriculas[[#This Row],[Estado]]="activa",ISNUMBER(tblMatriculas[[#This Row],[% asistencia]]),NOT(ISNUMBER(SEARCH(pPrueba,tblMatriculas[[#This Row],[Nombre]]))))</f>
        <v>1</v>
      </c>
      <c r="R10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71" s="23" t="str" cm="1">
        <f t="array" ref="S10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1" s="23" t="str" cm="1">
        <f t="array" ref="T10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1" s="14" t="str" cm="1">
        <f t="array" ref="U10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1" t="str" cm="1">
        <f t="array" ref="V10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1" t="str" cm="1">
        <f t="array" ref="W10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71" t="str">
        <f>IF(COUNTIFS('Base Estudiantes'!$C:$C,tblMatriculas[[#This Row],[Cédula]],'Base Estudiantes'!$I:$I,tblMatriculas[[#This Row],[Código]])&gt;0,"Sí","No")</f>
        <v>Sí</v>
      </c>
      <c r="Z1071" s="23" cm="1">
        <f t="array" ref="Z1071">_xlfn.XLOOKUP(tblMatriculas[[#This Row],[Cédula]]&amp;"|"&amp;tblMatriculas[[#This Row],[Código]],tblBase[Documento]&amp;"|"&amp;tblBase[Código grupo],tblBase[Fecha matrícula],"")</f>
        <v>46263</v>
      </c>
    </row>
    <row r="1072" spans="1:26" x14ac:dyDescent="0.2">
      <c r="A1072" t="s">
        <v>2281</v>
      </c>
      <c r="B1072" t="s">
        <v>2282</v>
      </c>
      <c r="C1072" t="s">
        <v>13</v>
      </c>
      <c r="D1072" t="s">
        <v>2258</v>
      </c>
      <c r="E1072" t="s">
        <v>2259</v>
      </c>
      <c r="F1072" t="s">
        <v>111</v>
      </c>
      <c r="G1072" s="1">
        <v>0.1</v>
      </c>
      <c r="H1072" t="s">
        <v>117</v>
      </c>
      <c r="I1072" t="s">
        <v>1580</v>
      </c>
      <c r="J1072" t="s">
        <v>2260</v>
      </c>
      <c r="K1072" t="s">
        <v>24</v>
      </c>
      <c r="L1072" s="14">
        <f>IFERROR(VALUE(LEFT(tblMatriculas[[#This Row],[Clases]],FIND("/",tblMatriculas[[#This Row],[Clases]])-1)),"")</f>
        <v>3</v>
      </c>
      <c r="M1072" s="14">
        <f>IFERROR(VALUE(MID(tblMatriculas[[#This Row],[Clases]],FIND("/",tblMatriculas[[#This Row],[Clases]])+1,5)),"")</f>
        <v>30</v>
      </c>
      <c r="N10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2" s="14">
        <f>IF(OR(tblMatriculas[[#This Row],[Estado]]&lt;&gt;"activa",tblMatriculas[[#This Row],[Clases dictadas]]=""),"",MAX(0,tblMatriculas[[#This Row],[Clases dictadas]]-tblMatriculas[[#This Row],[Asistidas]]))</f>
        <v>0</v>
      </c>
      <c r="P1072" s="1">
        <f>IF(OR(tblMatriculas[[#This Row],[Estado]]&lt;&gt;"activa",tblMatriculas[[#This Row],[Asistidas]]=""),"",tblMatriculas[[#This Row],[Asistencia]])</f>
        <v>0.1</v>
      </c>
      <c r="Q1072" t="b">
        <f>AND(tblMatriculas[[#This Row],[Estado]]="activa",ISNUMBER(tblMatriculas[[#This Row],[% asistencia]]),NOT(ISNUMBER(SEARCH(pPrueba,tblMatriculas[[#This Row],[Nombre]]))))</f>
        <v>1</v>
      </c>
      <c r="R10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72" s="23" t="str" cm="1">
        <f t="array" ref="S10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2" s="23" t="str" cm="1">
        <f t="array" ref="T10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2" s="14" t="str" cm="1">
        <f t="array" ref="U10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2" t="str" cm="1">
        <f t="array" ref="V10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2" t="str" cm="1">
        <f t="array" ref="W10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72" t="str">
        <f>IF(COUNTIFS('Base Estudiantes'!$C:$C,tblMatriculas[[#This Row],[Cédula]],'Base Estudiantes'!$I:$I,tblMatriculas[[#This Row],[Código]])&gt;0,"Sí","No")</f>
        <v>Sí</v>
      </c>
      <c r="Z1072" s="23" cm="1">
        <f t="array" ref="Z1072">_xlfn.XLOOKUP(tblMatriculas[[#This Row],[Cédula]]&amp;"|"&amp;tblMatriculas[[#This Row],[Código]],tblBase[Documento]&amp;"|"&amp;tblBase[Código grupo],tblBase[Fecha matrícula],"")</f>
        <v>46263</v>
      </c>
    </row>
    <row r="1073" spans="1:26" x14ac:dyDescent="0.2">
      <c r="A1073" t="s">
        <v>2283</v>
      </c>
      <c r="B1073" t="s">
        <v>2284</v>
      </c>
      <c r="C1073" t="s">
        <v>13</v>
      </c>
      <c r="D1073" t="s">
        <v>2258</v>
      </c>
      <c r="E1073" t="s">
        <v>2259</v>
      </c>
      <c r="F1073" t="s">
        <v>111</v>
      </c>
      <c r="G1073" s="1">
        <v>0</v>
      </c>
      <c r="H1073" t="s">
        <v>254</v>
      </c>
      <c r="I1073" t="s">
        <v>1580</v>
      </c>
      <c r="J1073" t="s">
        <v>2260</v>
      </c>
      <c r="K1073" t="s">
        <v>24</v>
      </c>
      <c r="L1073" s="14">
        <f>IFERROR(VALUE(LEFT(tblMatriculas[[#This Row],[Clases]],FIND("/",tblMatriculas[[#This Row],[Clases]])-1)),"")</f>
        <v>0</v>
      </c>
      <c r="M1073" s="14">
        <f>IFERROR(VALUE(MID(tblMatriculas[[#This Row],[Clases]],FIND("/",tblMatriculas[[#This Row],[Clases]])+1,5)),"")</f>
        <v>30</v>
      </c>
      <c r="N10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3" s="14">
        <f>IF(OR(tblMatriculas[[#This Row],[Estado]]&lt;&gt;"activa",tblMatriculas[[#This Row],[Clases dictadas]]=""),"",MAX(0,tblMatriculas[[#This Row],[Clases dictadas]]-tblMatriculas[[#This Row],[Asistidas]]))</f>
        <v>3</v>
      </c>
      <c r="P1073" s="1">
        <f>IF(OR(tblMatriculas[[#This Row],[Estado]]&lt;&gt;"activa",tblMatriculas[[#This Row],[Asistidas]]=""),"",tblMatriculas[[#This Row],[Asistencia]])</f>
        <v>0</v>
      </c>
      <c r="Q1073" t="b">
        <f>AND(tblMatriculas[[#This Row],[Estado]]="activa",ISNUMBER(tblMatriculas[[#This Row],[% asistencia]]),NOT(ISNUMBER(SEARCH(pPrueba,tblMatriculas[[#This Row],[Nombre]]))))</f>
        <v>1</v>
      </c>
      <c r="R10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73" s="23" t="str" cm="1">
        <f t="array" ref="S10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3" s="23" t="str" cm="1">
        <f t="array" ref="T10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3" s="14" t="str" cm="1">
        <f t="array" ref="U10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3" t="str" cm="1">
        <f t="array" ref="V10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3" t="str" cm="1">
        <f t="array" ref="W10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73" t="str">
        <f>IF(COUNTIFS('Base Estudiantes'!$C:$C,tblMatriculas[[#This Row],[Cédula]],'Base Estudiantes'!$I:$I,tblMatriculas[[#This Row],[Código]])&gt;0,"Sí","No")</f>
        <v>Sí</v>
      </c>
      <c r="Z1073" s="23" cm="1">
        <f t="array" ref="Z1073">_xlfn.XLOOKUP(tblMatriculas[[#This Row],[Cédula]]&amp;"|"&amp;tblMatriculas[[#This Row],[Código]],tblBase[Documento]&amp;"|"&amp;tblBase[Código grupo],tblBase[Fecha matrícula],"")</f>
        <v>46263</v>
      </c>
    </row>
    <row r="1074" spans="1:26" x14ac:dyDescent="0.2">
      <c r="A1074" t="s">
        <v>2285</v>
      </c>
      <c r="B1074" t="s">
        <v>2286</v>
      </c>
      <c r="C1074" t="s">
        <v>13</v>
      </c>
      <c r="D1074" t="s">
        <v>2258</v>
      </c>
      <c r="E1074" t="s">
        <v>2259</v>
      </c>
      <c r="F1074" t="s">
        <v>111</v>
      </c>
      <c r="G1074" s="1">
        <v>6.7000000000000004E-2</v>
      </c>
      <c r="H1074" t="s">
        <v>166</v>
      </c>
      <c r="I1074" t="s">
        <v>1580</v>
      </c>
      <c r="J1074" t="s">
        <v>2260</v>
      </c>
      <c r="K1074" t="s">
        <v>24</v>
      </c>
      <c r="L1074" s="14">
        <f>IFERROR(VALUE(LEFT(tblMatriculas[[#This Row],[Clases]],FIND("/",tblMatriculas[[#This Row],[Clases]])-1)),"")</f>
        <v>2</v>
      </c>
      <c r="M1074" s="14">
        <f>IFERROR(VALUE(MID(tblMatriculas[[#This Row],[Clases]],FIND("/",tblMatriculas[[#This Row],[Clases]])+1,5)),"")</f>
        <v>30</v>
      </c>
      <c r="N10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4" s="14">
        <f>IF(OR(tblMatriculas[[#This Row],[Estado]]&lt;&gt;"activa",tblMatriculas[[#This Row],[Clases dictadas]]=""),"",MAX(0,tblMatriculas[[#This Row],[Clases dictadas]]-tblMatriculas[[#This Row],[Asistidas]]))</f>
        <v>1</v>
      </c>
      <c r="P1074" s="1">
        <f>IF(OR(tblMatriculas[[#This Row],[Estado]]&lt;&gt;"activa",tblMatriculas[[#This Row],[Asistidas]]=""),"",tblMatriculas[[#This Row],[Asistencia]])</f>
        <v>6.7000000000000004E-2</v>
      </c>
      <c r="Q1074" t="b">
        <f>AND(tblMatriculas[[#This Row],[Estado]]="activa",ISNUMBER(tblMatriculas[[#This Row],[% asistencia]]),NOT(ISNUMBER(SEARCH(pPrueba,tblMatriculas[[#This Row],[Nombre]]))))</f>
        <v>1</v>
      </c>
      <c r="R10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74" s="23" t="str" cm="1">
        <f t="array" ref="S10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4" s="23" t="str" cm="1">
        <f t="array" ref="T10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4" s="14" t="str" cm="1">
        <f t="array" ref="U10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4" t="str" cm="1">
        <f t="array" ref="V10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4" t="str" cm="1">
        <f t="array" ref="W10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74" t="str">
        <f>IF(COUNTIFS('Base Estudiantes'!$C:$C,tblMatriculas[[#This Row],[Cédula]],'Base Estudiantes'!$I:$I,tblMatriculas[[#This Row],[Código]])&gt;0,"Sí","No")</f>
        <v>Sí</v>
      </c>
      <c r="Z1074" s="23" cm="1">
        <f t="array" ref="Z1074">_xlfn.XLOOKUP(tblMatriculas[[#This Row],[Cédula]]&amp;"|"&amp;tblMatriculas[[#This Row],[Código]],tblBase[Documento]&amp;"|"&amp;tblBase[Código grupo],tblBase[Fecha matrícula],"")</f>
        <v>46263</v>
      </c>
    </row>
    <row r="1075" spans="1:26" x14ac:dyDescent="0.2">
      <c r="A1075" t="s">
        <v>2287</v>
      </c>
      <c r="B1075" t="s">
        <v>2288</v>
      </c>
      <c r="C1075" t="s">
        <v>13</v>
      </c>
      <c r="D1075" t="s">
        <v>2258</v>
      </c>
      <c r="E1075" t="s">
        <v>2259</v>
      </c>
      <c r="F1075" t="s">
        <v>111</v>
      </c>
      <c r="G1075" s="1">
        <v>0</v>
      </c>
      <c r="H1075" t="s">
        <v>254</v>
      </c>
      <c r="I1075" t="s">
        <v>1580</v>
      </c>
      <c r="J1075" t="s">
        <v>2260</v>
      </c>
      <c r="K1075" t="s">
        <v>24</v>
      </c>
      <c r="L1075" s="14">
        <f>IFERROR(VALUE(LEFT(tblMatriculas[[#This Row],[Clases]],FIND("/",tblMatriculas[[#This Row],[Clases]])-1)),"")</f>
        <v>0</v>
      </c>
      <c r="M1075" s="14">
        <f>IFERROR(VALUE(MID(tblMatriculas[[#This Row],[Clases]],FIND("/",tblMatriculas[[#This Row],[Clases]])+1,5)),"")</f>
        <v>30</v>
      </c>
      <c r="N10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5" s="14">
        <f>IF(OR(tblMatriculas[[#This Row],[Estado]]&lt;&gt;"activa",tblMatriculas[[#This Row],[Clases dictadas]]=""),"",MAX(0,tblMatriculas[[#This Row],[Clases dictadas]]-tblMatriculas[[#This Row],[Asistidas]]))</f>
        <v>3</v>
      </c>
      <c r="P1075" s="1">
        <f>IF(OR(tblMatriculas[[#This Row],[Estado]]&lt;&gt;"activa",tblMatriculas[[#This Row],[Asistidas]]=""),"",tblMatriculas[[#This Row],[Asistencia]])</f>
        <v>0</v>
      </c>
      <c r="Q1075" t="b">
        <f>AND(tblMatriculas[[#This Row],[Estado]]="activa",ISNUMBER(tblMatriculas[[#This Row],[% asistencia]]),NOT(ISNUMBER(SEARCH(pPrueba,tblMatriculas[[#This Row],[Nombre]]))))</f>
        <v>1</v>
      </c>
      <c r="R10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75" s="23" t="str" cm="1">
        <f t="array" ref="S10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5" s="23" t="str" cm="1">
        <f t="array" ref="T10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5" s="14" t="str" cm="1">
        <f t="array" ref="U10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5" t="str" cm="1">
        <f t="array" ref="V10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5" t="str" cm="1">
        <f t="array" ref="W10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75" t="str">
        <f>IF(COUNTIFS('Base Estudiantes'!$C:$C,tblMatriculas[[#This Row],[Cédula]],'Base Estudiantes'!$I:$I,tblMatriculas[[#This Row],[Código]])&gt;0,"Sí","No")</f>
        <v>Sí</v>
      </c>
      <c r="Z1075" s="23" cm="1">
        <f t="array" ref="Z1075">_xlfn.XLOOKUP(tblMatriculas[[#This Row],[Cédula]]&amp;"|"&amp;tblMatriculas[[#This Row],[Código]],tblBase[Documento]&amp;"|"&amp;tblBase[Código grupo],tblBase[Fecha matrícula],"")</f>
        <v>46263</v>
      </c>
    </row>
    <row r="1076" spans="1:26" x14ac:dyDescent="0.2">
      <c r="A1076" t="s">
        <v>2289</v>
      </c>
      <c r="B1076" t="s">
        <v>2290</v>
      </c>
      <c r="C1076" t="s">
        <v>13</v>
      </c>
      <c r="D1076" t="s">
        <v>2258</v>
      </c>
      <c r="E1076" t="s">
        <v>2259</v>
      </c>
      <c r="F1076" t="s">
        <v>111</v>
      </c>
      <c r="G1076" s="1">
        <v>0.1</v>
      </c>
      <c r="H1076" t="s">
        <v>117</v>
      </c>
      <c r="I1076" t="s">
        <v>1580</v>
      </c>
      <c r="J1076" t="s">
        <v>2260</v>
      </c>
      <c r="K1076" t="s">
        <v>24</v>
      </c>
      <c r="L1076" s="14">
        <f>IFERROR(VALUE(LEFT(tblMatriculas[[#This Row],[Clases]],FIND("/",tblMatriculas[[#This Row],[Clases]])-1)),"")</f>
        <v>3</v>
      </c>
      <c r="M1076" s="14">
        <f>IFERROR(VALUE(MID(tblMatriculas[[#This Row],[Clases]],FIND("/",tblMatriculas[[#This Row],[Clases]])+1,5)),"")</f>
        <v>30</v>
      </c>
      <c r="N10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6" s="14">
        <f>IF(OR(tblMatriculas[[#This Row],[Estado]]&lt;&gt;"activa",tblMatriculas[[#This Row],[Clases dictadas]]=""),"",MAX(0,tblMatriculas[[#This Row],[Clases dictadas]]-tblMatriculas[[#This Row],[Asistidas]]))</f>
        <v>0</v>
      </c>
      <c r="P1076" s="1">
        <f>IF(OR(tblMatriculas[[#This Row],[Estado]]&lt;&gt;"activa",tblMatriculas[[#This Row],[Asistidas]]=""),"",tblMatriculas[[#This Row],[Asistencia]])</f>
        <v>0.1</v>
      </c>
      <c r="Q1076" t="b">
        <f>AND(tblMatriculas[[#This Row],[Estado]]="activa",ISNUMBER(tblMatriculas[[#This Row],[% asistencia]]),NOT(ISNUMBER(SEARCH(pPrueba,tblMatriculas[[#This Row],[Nombre]]))))</f>
        <v>1</v>
      </c>
      <c r="R10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76" s="23" t="str" cm="1">
        <f t="array" ref="S10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6" s="23" t="str" cm="1">
        <f t="array" ref="T10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6" s="14" t="str" cm="1">
        <f t="array" ref="U10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6" t="str" cm="1">
        <f t="array" ref="V10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6" t="str" cm="1">
        <f t="array" ref="W10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76" t="str">
        <f>IF(COUNTIFS('Base Estudiantes'!$C:$C,tblMatriculas[[#This Row],[Cédula]],'Base Estudiantes'!$I:$I,tblMatriculas[[#This Row],[Código]])&gt;0,"Sí","No")</f>
        <v>Sí</v>
      </c>
      <c r="Z1076" s="23" cm="1">
        <f t="array" ref="Z1076">_xlfn.XLOOKUP(tblMatriculas[[#This Row],[Cédula]]&amp;"|"&amp;tblMatriculas[[#This Row],[Código]],tblBase[Documento]&amp;"|"&amp;tblBase[Código grupo],tblBase[Fecha matrícula],"")</f>
        <v>46263</v>
      </c>
    </row>
    <row r="1077" spans="1:26" x14ac:dyDescent="0.2">
      <c r="A1077" t="s">
        <v>2291</v>
      </c>
      <c r="B1077" t="s">
        <v>2292</v>
      </c>
      <c r="C1077" t="s">
        <v>13</v>
      </c>
      <c r="D1077" t="s">
        <v>2258</v>
      </c>
      <c r="E1077" t="s">
        <v>2259</v>
      </c>
      <c r="F1077" t="s">
        <v>111</v>
      </c>
      <c r="G1077" s="1">
        <v>0.1</v>
      </c>
      <c r="H1077" t="s">
        <v>117</v>
      </c>
      <c r="I1077" t="s">
        <v>1580</v>
      </c>
      <c r="J1077" t="s">
        <v>2260</v>
      </c>
      <c r="K1077" t="s">
        <v>24</v>
      </c>
      <c r="L1077" s="14">
        <f>IFERROR(VALUE(LEFT(tblMatriculas[[#This Row],[Clases]],FIND("/",tblMatriculas[[#This Row],[Clases]])-1)),"")</f>
        <v>3</v>
      </c>
      <c r="M1077" s="14">
        <f>IFERROR(VALUE(MID(tblMatriculas[[#This Row],[Clases]],FIND("/",tblMatriculas[[#This Row],[Clases]])+1,5)),"")</f>
        <v>30</v>
      </c>
      <c r="N10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7" s="14">
        <f>IF(OR(tblMatriculas[[#This Row],[Estado]]&lt;&gt;"activa",tblMatriculas[[#This Row],[Clases dictadas]]=""),"",MAX(0,tblMatriculas[[#This Row],[Clases dictadas]]-tblMatriculas[[#This Row],[Asistidas]]))</f>
        <v>0</v>
      </c>
      <c r="P1077" s="1">
        <f>IF(OR(tblMatriculas[[#This Row],[Estado]]&lt;&gt;"activa",tblMatriculas[[#This Row],[Asistidas]]=""),"",tblMatriculas[[#This Row],[Asistencia]])</f>
        <v>0.1</v>
      </c>
      <c r="Q1077" t="b">
        <f>AND(tblMatriculas[[#This Row],[Estado]]="activa",ISNUMBER(tblMatriculas[[#This Row],[% asistencia]]),NOT(ISNUMBER(SEARCH(pPrueba,tblMatriculas[[#This Row],[Nombre]]))))</f>
        <v>1</v>
      </c>
      <c r="R10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77" s="23" t="str" cm="1">
        <f t="array" ref="S10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7" s="23" t="str" cm="1">
        <f t="array" ref="T10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7" s="14" t="str" cm="1">
        <f t="array" ref="U10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7" t="str" cm="1">
        <f t="array" ref="V10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7" t="str" cm="1">
        <f t="array" ref="W10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77" t="str">
        <f>IF(COUNTIFS('Base Estudiantes'!$C:$C,tblMatriculas[[#This Row],[Cédula]],'Base Estudiantes'!$I:$I,tblMatriculas[[#This Row],[Código]])&gt;0,"Sí","No")</f>
        <v>Sí</v>
      </c>
      <c r="Z1077" s="23" cm="1">
        <f t="array" ref="Z1077">_xlfn.XLOOKUP(tblMatriculas[[#This Row],[Cédula]]&amp;"|"&amp;tblMatriculas[[#This Row],[Código]],tblBase[Documento]&amp;"|"&amp;tblBase[Código grupo],tblBase[Fecha matrícula],"")</f>
        <v>46263</v>
      </c>
    </row>
    <row r="1078" spans="1:26" x14ac:dyDescent="0.2">
      <c r="A1078" t="s">
        <v>2293</v>
      </c>
      <c r="B1078" t="s">
        <v>2294</v>
      </c>
      <c r="C1078" t="s">
        <v>13</v>
      </c>
      <c r="D1078" t="s">
        <v>2258</v>
      </c>
      <c r="E1078" t="s">
        <v>2259</v>
      </c>
      <c r="F1078" t="s">
        <v>111</v>
      </c>
      <c r="G1078" s="1">
        <v>6.7000000000000004E-2</v>
      </c>
      <c r="H1078" t="s">
        <v>166</v>
      </c>
      <c r="I1078" t="s">
        <v>1580</v>
      </c>
      <c r="J1078" t="s">
        <v>2260</v>
      </c>
      <c r="K1078" t="s">
        <v>24</v>
      </c>
      <c r="L1078" s="14">
        <f>IFERROR(VALUE(LEFT(tblMatriculas[[#This Row],[Clases]],FIND("/",tblMatriculas[[#This Row],[Clases]])-1)),"")</f>
        <v>2</v>
      </c>
      <c r="M1078" s="14">
        <f>IFERROR(VALUE(MID(tblMatriculas[[#This Row],[Clases]],FIND("/",tblMatriculas[[#This Row],[Clases]])+1,5)),"")</f>
        <v>30</v>
      </c>
      <c r="N10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8" s="14">
        <f>IF(OR(tblMatriculas[[#This Row],[Estado]]&lt;&gt;"activa",tblMatriculas[[#This Row],[Clases dictadas]]=""),"",MAX(0,tblMatriculas[[#This Row],[Clases dictadas]]-tblMatriculas[[#This Row],[Asistidas]]))</f>
        <v>1</v>
      </c>
      <c r="P1078" s="1">
        <f>IF(OR(tblMatriculas[[#This Row],[Estado]]&lt;&gt;"activa",tblMatriculas[[#This Row],[Asistidas]]=""),"",tblMatriculas[[#This Row],[Asistencia]])</f>
        <v>6.7000000000000004E-2</v>
      </c>
      <c r="Q1078" t="b">
        <f>AND(tblMatriculas[[#This Row],[Estado]]="activa",ISNUMBER(tblMatriculas[[#This Row],[% asistencia]]),NOT(ISNUMBER(SEARCH(pPrueba,tblMatriculas[[#This Row],[Nombre]]))))</f>
        <v>1</v>
      </c>
      <c r="R10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78" s="23" t="str" cm="1">
        <f t="array" ref="S10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8" s="23" t="str" cm="1">
        <f t="array" ref="T10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8" s="14" t="str" cm="1">
        <f t="array" ref="U10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8" t="str" cm="1">
        <f t="array" ref="V10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8" t="str" cm="1">
        <f t="array" ref="W10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78" t="str">
        <f>IF(COUNTIFS('Base Estudiantes'!$C:$C,tblMatriculas[[#This Row],[Cédula]],'Base Estudiantes'!$I:$I,tblMatriculas[[#This Row],[Código]])&gt;0,"Sí","No")</f>
        <v>Sí</v>
      </c>
      <c r="Z1078" s="23" cm="1">
        <f t="array" ref="Z1078">_xlfn.XLOOKUP(tblMatriculas[[#This Row],[Cédula]]&amp;"|"&amp;tblMatriculas[[#This Row],[Código]],tblBase[Documento]&amp;"|"&amp;tblBase[Código grupo],tblBase[Fecha matrícula],"")</f>
        <v>46263</v>
      </c>
    </row>
    <row r="1079" spans="1:26" x14ac:dyDescent="0.2">
      <c r="A1079" t="s">
        <v>2295</v>
      </c>
      <c r="B1079" t="s">
        <v>2296</v>
      </c>
      <c r="C1079" t="s">
        <v>13</v>
      </c>
      <c r="D1079" t="s">
        <v>2258</v>
      </c>
      <c r="E1079" t="s">
        <v>2259</v>
      </c>
      <c r="F1079" t="s">
        <v>111</v>
      </c>
      <c r="G1079" s="1">
        <v>3.3000000000000002E-2</v>
      </c>
      <c r="H1079" t="s">
        <v>225</v>
      </c>
      <c r="I1079" t="s">
        <v>1580</v>
      </c>
      <c r="J1079" t="s">
        <v>2260</v>
      </c>
      <c r="K1079" t="s">
        <v>24</v>
      </c>
      <c r="L1079" s="14">
        <f>IFERROR(VALUE(LEFT(tblMatriculas[[#This Row],[Clases]],FIND("/",tblMatriculas[[#This Row],[Clases]])-1)),"")</f>
        <v>1</v>
      </c>
      <c r="M1079" s="14">
        <f>IFERROR(VALUE(MID(tblMatriculas[[#This Row],[Clases]],FIND("/",tblMatriculas[[#This Row],[Clases]])+1,5)),"")</f>
        <v>30</v>
      </c>
      <c r="N10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79" s="14">
        <f>IF(OR(tblMatriculas[[#This Row],[Estado]]&lt;&gt;"activa",tblMatriculas[[#This Row],[Clases dictadas]]=""),"",MAX(0,tblMatriculas[[#This Row],[Clases dictadas]]-tblMatriculas[[#This Row],[Asistidas]]))</f>
        <v>2</v>
      </c>
      <c r="P1079" s="1">
        <f>IF(OR(tblMatriculas[[#This Row],[Estado]]&lt;&gt;"activa",tblMatriculas[[#This Row],[Asistidas]]=""),"",tblMatriculas[[#This Row],[Asistencia]])</f>
        <v>3.3000000000000002E-2</v>
      </c>
      <c r="Q1079" t="b">
        <f>AND(tblMatriculas[[#This Row],[Estado]]="activa",ISNUMBER(tblMatriculas[[#This Row],[% asistencia]]),NOT(ISNUMBER(SEARCH(pPrueba,tblMatriculas[[#This Row],[Nombre]]))))</f>
        <v>1</v>
      </c>
      <c r="R10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79" s="23" t="str" cm="1">
        <f t="array" ref="S10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79" s="23" t="str" cm="1">
        <f t="array" ref="T10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79" s="14" t="str" cm="1">
        <f t="array" ref="U10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79" t="str" cm="1">
        <f t="array" ref="V10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79" t="str" cm="1">
        <f t="array" ref="W10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79" t="str">
        <f>IF(COUNTIFS('Base Estudiantes'!$C:$C,tblMatriculas[[#This Row],[Cédula]],'Base Estudiantes'!$I:$I,tblMatriculas[[#This Row],[Código]])&gt;0,"Sí","No")</f>
        <v>Sí</v>
      </c>
      <c r="Z1079" s="23" cm="1">
        <f t="array" ref="Z1079">_xlfn.XLOOKUP(tblMatriculas[[#This Row],[Cédula]]&amp;"|"&amp;tblMatriculas[[#This Row],[Código]],tblBase[Documento]&amp;"|"&amp;tblBase[Código grupo],tblBase[Fecha matrícula],"")</f>
        <v>46263</v>
      </c>
    </row>
    <row r="1080" spans="1:26" x14ac:dyDescent="0.2">
      <c r="A1080" t="s">
        <v>2297</v>
      </c>
      <c r="B1080" t="s">
        <v>2298</v>
      </c>
      <c r="C1080" t="s">
        <v>13</v>
      </c>
      <c r="D1080" t="s">
        <v>2258</v>
      </c>
      <c r="E1080" t="s">
        <v>2259</v>
      </c>
      <c r="F1080" t="s">
        <v>111</v>
      </c>
      <c r="G1080" s="1">
        <v>6.7000000000000004E-2</v>
      </c>
      <c r="H1080" t="s">
        <v>166</v>
      </c>
      <c r="I1080" t="s">
        <v>1580</v>
      </c>
      <c r="J1080" t="s">
        <v>2260</v>
      </c>
      <c r="K1080" t="s">
        <v>24</v>
      </c>
      <c r="L1080" s="14">
        <f>IFERROR(VALUE(LEFT(tblMatriculas[[#This Row],[Clases]],FIND("/",tblMatriculas[[#This Row],[Clases]])-1)),"")</f>
        <v>2</v>
      </c>
      <c r="M1080" s="14">
        <f>IFERROR(VALUE(MID(tblMatriculas[[#This Row],[Clases]],FIND("/",tblMatriculas[[#This Row],[Clases]])+1,5)),"")</f>
        <v>30</v>
      </c>
      <c r="N10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0" s="14">
        <f>IF(OR(tblMatriculas[[#This Row],[Estado]]&lt;&gt;"activa",tblMatriculas[[#This Row],[Clases dictadas]]=""),"",MAX(0,tblMatriculas[[#This Row],[Clases dictadas]]-tblMatriculas[[#This Row],[Asistidas]]))</f>
        <v>1</v>
      </c>
      <c r="P1080" s="1">
        <f>IF(OR(tblMatriculas[[#This Row],[Estado]]&lt;&gt;"activa",tblMatriculas[[#This Row],[Asistidas]]=""),"",tblMatriculas[[#This Row],[Asistencia]])</f>
        <v>6.7000000000000004E-2</v>
      </c>
      <c r="Q1080" t="b">
        <f>AND(tblMatriculas[[#This Row],[Estado]]="activa",ISNUMBER(tblMatriculas[[#This Row],[% asistencia]]),NOT(ISNUMBER(SEARCH(pPrueba,tblMatriculas[[#This Row],[Nombre]]))))</f>
        <v>1</v>
      </c>
      <c r="R10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80" s="23" t="str" cm="1">
        <f t="array" ref="S10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0" s="23" t="str" cm="1">
        <f t="array" ref="T10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0" s="14" t="str" cm="1">
        <f t="array" ref="U10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0" t="str" cm="1">
        <f t="array" ref="V10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0" t="str" cm="1">
        <f t="array" ref="W10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80" t="str">
        <f>IF(COUNTIFS('Base Estudiantes'!$C:$C,tblMatriculas[[#This Row],[Cédula]],'Base Estudiantes'!$I:$I,tblMatriculas[[#This Row],[Código]])&gt;0,"Sí","No")</f>
        <v>Sí</v>
      </c>
      <c r="Z1080" s="23" cm="1">
        <f t="array" ref="Z1080">_xlfn.XLOOKUP(tblMatriculas[[#This Row],[Cédula]]&amp;"|"&amp;tblMatriculas[[#This Row],[Código]],tblBase[Documento]&amp;"|"&amp;tblBase[Código grupo],tblBase[Fecha matrícula],"")</f>
        <v>46263</v>
      </c>
    </row>
    <row r="1081" spans="1:26" x14ac:dyDescent="0.2">
      <c r="A1081" t="s">
        <v>2299</v>
      </c>
      <c r="B1081" t="s">
        <v>2300</v>
      </c>
      <c r="C1081" t="s">
        <v>13</v>
      </c>
      <c r="D1081" t="s">
        <v>2258</v>
      </c>
      <c r="E1081" t="s">
        <v>2259</v>
      </c>
      <c r="F1081" t="s">
        <v>111</v>
      </c>
      <c r="G1081" s="1">
        <v>6.7000000000000004E-2</v>
      </c>
      <c r="H1081" t="s">
        <v>166</v>
      </c>
      <c r="I1081" t="s">
        <v>1580</v>
      </c>
      <c r="J1081" t="s">
        <v>2260</v>
      </c>
      <c r="K1081" t="s">
        <v>24</v>
      </c>
      <c r="L1081" s="14">
        <f>IFERROR(VALUE(LEFT(tblMatriculas[[#This Row],[Clases]],FIND("/",tblMatriculas[[#This Row],[Clases]])-1)),"")</f>
        <v>2</v>
      </c>
      <c r="M1081" s="14">
        <f>IFERROR(VALUE(MID(tblMatriculas[[#This Row],[Clases]],FIND("/",tblMatriculas[[#This Row],[Clases]])+1,5)),"")</f>
        <v>30</v>
      </c>
      <c r="N10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1" s="14">
        <f>IF(OR(tblMatriculas[[#This Row],[Estado]]&lt;&gt;"activa",tblMatriculas[[#This Row],[Clases dictadas]]=""),"",MAX(0,tblMatriculas[[#This Row],[Clases dictadas]]-tblMatriculas[[#This Row],[Asistidas]]))</f>
        <v>1</v>
      </c>
      <c r="P1081" s="1">
        <f>IF(OR(tblMatriculas[[#This Row],[Estado]]&lt;&gt;"activa",tblMatriculas[[#This Row],[Asistidas]]=""),"",tblMatriculas[[#This Row],[Asistencia]])</f>
        <v>6.7000000000000004E-2</v>
      </c>
      <c r="Q1081" t="b">
        <f>AND(tblMatriculas[[#This Row],[Estado]]="activa",ISNUMBER(tblMatriculas[[#This Row],[% asistencia]]),NOT(ISNUMBER(SEARCH(pPrueba,tblMatriculas[[#This Row],[Nombre]]))))</f>
        <v>1</v>
      </c>
      <c r="R10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81" s="23" t="str" cm="1">
        <f t="array" ref="S10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1" s="23" t="str" cm="1">
        <f t="array" ref="T10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1" s="14" t="str" cm="1">
        <f t="array" ref="U10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1" t="str" cm="1">
        <f t="array" ref="V10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1" t="str" cm="1">
        <f t="array" ref="W10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81" t="str">
        <f>IF(COUNTIFS('Base Estudiantes'!$C:$C,tblMatriculas[[#This Row],[Cédula]],'Base Estudiantes'!$I:$I,tblMatriculas[[#This Row],[Código]])&gt;0,"Sí","No")</f>
        <v>Sí</v>
      </c>
      <c r="Z1081" s="23" cm="1">
        <f t="array" ref="Z1081">_xlfn.XLOOKUP(tblMatriculas[[#This Row],[Cédula]]&amp;"|"&amp;tblMatriculas[[#This Row],[Código]],tblBase[Documento]&amp;"|"&amp;tblBase[Código grupo],tblBase[Fecha matrícula],"")</f>
        <v>46263</v>
      </c>
    </row>
    <row r="1082" spans="1:26" x14ac:dyDescent="0.2">
      <c r="A1082" t="s">
        <v>2301</v>
      </c>
      <c r="B1082" t="s">
        <v>2302</v>
      </c>
      <c r="C1082" t="s">
        <v>13</v>
      </c>
      <c r="D1082" t="s">
        <v>2258</v>
      </c>
      <c r="E1082" t="s">
        <v>2259</v>
      </c>
      <c r="F1082" t="s">
        <v>111</v>
      </c>
      <c r="G1082" s="1">
        <v>6.7000000000000004E-2</v>
      </c>
      <c r="H1082" t="s">
        <v>166</v>
      </c>
      <c r="I1082" t="s">
        <v>1580</v>
      </c>
      <c r="J1082" t="s">
        <v>2260</v>
      </c>
      <c r="K1082" t="s">
        <v>24</v>
      </c>
      <c r="L1082" s="14">
        <f>IFERROR(VALUE(LEFT(tblMatriculas[[#This Row],[Clases]],FIND("/",tblMatriculas[[#This Row],[Clases]])-1)),"")</f>
        <v>2</v>
      </c>
      <c r="M1082" s="14">
        <f>IFERROR(VALUE(MID(tblMatriculas[[#This Row],[Clases]],FIND("/",tblMatriculas[[#This Row],[Clases]])+1,5)),"")</f>
        <v>30</v>
      </c>
      <c r="N10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2" s="14">
        <f>IF(OR(tblMatriculas[[#This Row],[Estado]]&lt;&gt;"activa",tblMatriculas[[#This Row],[Clases dictadas]]=""),"",MAX(0,tblMatriculas[[#This Row],[Clases dictadas]]-tblMatriculas[[#This Row],[Asistidas]]))</f>
        <v>1</v>
      </c>
      <c r="P1082" s="1">
        <f>IF(OR(tblMatriculas[[#This Row],[Estado]]&lt;&gt;"activa",tblMatriculas[[#This Row],[Asistidas]]=""),"",tblMatriculas[[#This Row],[Asistencia]])</f>
        <v>6.7000000000000004E-2</v>
      </c>
      <c r="Q1082" t="b">
        <f>AND(tblMatriculas[[#This Row],[Estado]]="activa",ISNUMBER(tblMatriculas[[#This Row],[% asistencia]]),NOT(ISNUMBER(SEARCH(pPrueba,tblMatriculas[[#This Row],[Nombre]]))))</f>
        <v>1</v>
      </c>
      <c r="R10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82" s="23" t="str" cm="1">
        <f t="array" ref="S10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2" s="23" t="str" cm="1">
        <f t="array" ref="T10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2" s="14" t="str" cm="1">
        <f t="array" ref="U10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2" t="str" cm="1">
        <f t="array" ref="V10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2" t="str" cm="1">
        <f t="array" ref="W10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82" t="str">
        <f>IF(COUNTIFS('Base Estudiantes'!$C:$C,tblMatriculas[[#This Row],[Cédula]],'Base Estudiantes'!$I:$I,tblMatriculas[[#This Row],[Código]])&gt;0,"Sí","No")</f>
        <v>Sí</v>
      </c>
      <c r="Z1082" s="23" cm="1">
        <f t="array" ref="Z1082">_xlfn.XLOOKUP(tblMatriculas[[#This Row],[Cédula]]&amp;"|"&amp;tblMatriculas[[#This Row],[Código]],tblBase[Documento]&amp;"|"&amp;tblBase[Código grupo],tblBase[Fecha matrícula],"")</f>
        <v>46263</v>
      </c>
    </row>
    <row r="1083" spans="1:26" x14ac:dyDescent="0.2">
      <c r="A1083" t="s">
        <v>2303</v>
      </c>
      <c r="B1083" t="s">
        <v>2304</v>
      </c>
      <c r="C1083" t="s">
        <v>13</v>
      </c>
      <c r="D1083" t="s">
        <v>2258</v>
      </c>
      <c r="E1083" t="s">
        <v>2259</v>
      </c>
      <c r="F1083" t="s">
        <v>111</v>
      </c>
      <c r="G1083" s="1">
        <v>3.3000000000000002E-2</v>
      </c>
      <c r="H1083" t="s">
        <v>225</v>
      </c>
      <c r="I1083" t="s">
        <v>1580</v>
      </c>
      <c r="J1083" t="s">
        <v>2260</v>
      </c>
      <c r="K1083" t="s">
        <v>24</v>
      </c>
      <c r="L1083" s="14">
        <f>IFERROR(VALUE(LEFT(tblMatriculas[[#This Row],[Clases]],FIND("/",tblMatriculas[[#This Row],[Clases]])-1)),"")</f>
        <v>1</v>
      </c>
      <c r="M1083" s="14">
        <f>IFERROR(VALUE(MID(tblMatriculas[[#This Row],[Clases]],FIND("/",tblMatriculas[[#This Row],[Clases]])+1,5)),"")</f>
        <v>30</v>
      </c>
      <c r="N10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3" s="14">
        <f>IF(OR(tblMatriculas[[#This Row],[Estado]]&lt;&gt;"activa",tblMatriculas[[#This Row],[Clases dictadas]]=""),"",MAX(0,tblMatriculas[[#This Row],[Clases dictadas]]-tblMatriculas[[#This Row],[Asistidas]]))</f>
        <v>2</v>
      </c>
      <c r="P1083" s="1">
        <f>IF(OR(tblMatriculas[[#This Row],[Estado]]&lt;&gt;"activa",tblMatriculas[[#This Row],[Asistidas]]=""),"",tblMatriculas[[#This Row],[Asistencia]])</f>
        <v>3.3000000000000002E-2</v>
      </c>
      <c r="Q1083" t="b">
        <f>AND(tblMatriculas[[#This Row],[Estado]]="activa",ISNUMBER(tblMatriculas[[#This Row],[% asistencia]]),NOT(ISNUMBER(SEARCH(pPrueba,tblMatriculas[[#This Row],[Nombre]]))))</f>
        <v>1</v>
      </c>
      <c r="R10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83" s="23" t="str" cm="1">
        <f t="array" ref="S10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3" s="23" t="str" cm="1">
        <f t="array" ref="T10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3" s="14" t="str" cm="1">
        <f t="array" ref="U10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3" t="str" cm="1">
        <f t="array" ref="V10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3" t="str" cm="1">
        <f t="array" ref="W10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83" t="str">
        <f>IF(COUNTIFS('Base Estudiantes'!$C:$C,tblMatriculas[[#This Row],[Cédula]],'Base Estudiantes'!$I:$I,tblMatriculas[[#This Row],[Código]])&gt;0,"Sí","No")</f>
        <v>Sí</v>
      </c>
      <c r="Z1083" s="23" cm="1">
        <f t="array" ref="Z1083">_xlfn.XLOOKUP(tblMatriculas[[#This Row],[Cédula]]&amp;"|"&amp;tblMatriculas[[#This Row],[Código]],tblBase[Documento]&amp;"|"&amp;tblBase[Código grupo],tblBase[Fecha matrícula],"")</f>
        <v>46263</v>
      </c>
    </row>
    <row r="1084" spans="1:26" x14ac:dyDescent="0.2">
      <c r="A1084" t="s">
        <v>2254</v>
      </c>
      <c r="B1084" t="s">
        <v>2255</v>
      </c>
      <c r="C1084" t="s">
        <v>49</v>
      </c>
      <c r="D1084" t="s">
        <v>2258</v>
      </c>
      <c r="E1084" t="s">
        <v>2259</v>
      </c>
      <c r="F1084" t="s">
        <v>111</v>
      </c>
      <c r="G1084" s="1">
        <v>0.11699999999999999</v>
      </c>
      <c r="H1084" t="s">
        <v>2191</v>
      </c>
      <c r="I1084" t="s">
        <v>1580</v>
      </c>
      <c r="J1084" t="s">
        <v>2260</v>
      </c>
      <c r="K1084" t="s">
        <v>24</v>
      </c>
      <c r="L1084" s="14">
        <f>IFERROR(VALUE(LEFT(tblMatriculas[[#This Row],[Clases]],FIND("/",tblMatriculas[[#This Row],[Clases]])-1)),"")</f>
        <v>7</v>
      </c>
      <c r="M1084" s="14">
        <f>IFERROR(VALUE(MID(tblMatriculas[[#This Row],[Clases]],FIND("/",tblMatriculas[[#This Row],[Clases]])+1,5)),"")</f>
        <v>60</v>
      </c>
      <c r="N10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084" s="14" t="str">
        <f>IF(OR(tblMatriculas[[#This Row],[Estado]]&lt;&gt;"activa",tblMatriculas[[#This Row],[Clases dictadas]]=""),"",MAX(0,tblMatriculas[[#This Row],[Clases dictadas]]-tblMatriculas[[#This Row],[Asistidas]]))</f>
        <v/>
      </c>
      <c r="P1084" s="1" t="str">
        <f>IF(OR(tblMatriculas[[#This Row],[Estado]]&lt;&gt;"activa",tblMatriculas[[#This Row],[Asistidas]]=""),"",tblMatriculas[[#This Row],[Asistencia]])</f>
        <v/>
      </c>
      <c r="Q1084" t="b">
        <f>AND(tblMatriculas[[#This Row],[Estado]]="activa",ISNUMBER(tblMatriculas[[#This Row],[% asistencia]]),NOT(ISNUMBER(SEARCH(pPrueba,tblMatriculas[[#This Row],[Nombre]]))))</f>
        <v>0</v>
      </c>
      <c r="R10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084" s="23" t="str" cm="1">
        <f t="array" ref="S10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4" s="23" t="str" cm="1">
        <f t="array" ref="T10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4" s="14" t="str" cm="1">
        <f t="array" ref="U10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4" t="str" cm="1">
        <f t="array" ref="V10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4" t="str" cm="1">
        <f t="array" ref="W10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84" t="str">
        <f>IF(COUNTIFS('Base Estudiantes'!$C:$C,tblMatriculas[[#This Row],[Cédula]],'Base Estudiantes'!$I:$I,tblMatriculas[[#This Row],[Código]])&gt;0,"Sí","No")</f>
        <v>No</v>
      </c>
      <c r="Z1084" s="23" t="str" cm="1">
        <f t="array" ref="Z1084">_xlfn.XLOOKUP(tblMatriculas[[#This Row],[Cédula]]&amp;"|"&amp;tblMatriculas[[#This Row],[Código]],tblBase[Documento]&amp;"|"&amp;tblBase[Código grupo],tblBase[Fecha matrícula],"")</f>
        <v/>
      </c>
    </row>
    <row r="1085" spans="1:26" x14ac:dyDescent="0.2">
      <c r="A1085" t="s">
        <v>2305</v>
      </c>
      <c r="B1085" t="s">
        <v>2306</v>
      </c>
      <c r="C1085" t="s">
        <v>13</v>
      </c>
      <c r="D1085" t="s">
        <v>2258</v>
      </c>
      <c r="E1085" t="s">
        <v>2259</v>
      </c>
      <c r="F1085" t="s">
        <v>111</v>
      </c>
      <c r="G1085" s="1">
        <v>6.7000000000000004E-2</v>
      </c>
      <c r="H1085" t="s">
        <v>166</v>
      </c>
      <c r="I1085" t="s">
        <v>1580</v>
      </c>
      <c r="J1085" t="s">
        <v>2260</v>
      </c>
      <c r="K1085" t="s">
        <v>24</v>
      </c>
      <c r="L1085" s="14">
        <f>IFERROR(VALUE(LEFT(tblMatriculas[[#This Row],[Clases]],FIND("/",tblMatriculas[[#This Row],[Clases]])-1)),"")</f>
        <v>2</v>
      </c>
      <c r="M1085" s="14">
        <f>IFERROR(VALUE(MID(tblMatriculas[[#This Row],[Clases]],FIND("/",tblMatriculas[[#This Row],[Clases]])+1,5)),"")</f>
        <v>30</v>
      </c>
      <c r="N10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5" s="14">
        <f>IF(OR(tblMatriculas[[#This Row],[Estado]]&lt;&gt;"activa",tblMatriculas[[#This Row],[Clases dictadas]]=""),"",MAX(0,tblMatriculas[[#This Row],[Clases dictadas]]-tblMatriculas[[#This Row],[Asistidas]]))</f>
        <v>1</v>
      </c>
      <c r="P1085" s="1">
        <f>IF(OR(tblMatriculas[[#This Row],[Estado]]&lt;&gt;"activa",tblMatriculas[[#This Row],[Asistidas]]=""),"",tblMatriculas[[#This Row],[Asistencia]])</f>
        <v>6.7000000000000004E-2</v>
      </c>
      <c r="Q1085" t="b">
        <f>AND(tblMatriculas[[#This Row],[Estado]]="activa",ISNUMBER(tblMatriculas[[#This Row],[% asistencia]]),NOT(ISNUMBER(SEARCH(pPrueba,tblMatriculas[[#This Row],[Nombre]]))))</f>
        <v>1</v>
      </c>
      <c r="R10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85" s="23" t="str" cm="1">
        <f t="array" ref="S10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5" s="23" t="str" cm="1">
        <f t="array" ref="T10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5" s="14" t="str" cm="1">
        <f t="array" ref="U10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5" t="str" cm="1">
        <f t="array" ref="V10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5" t="str" cm="1">
        <f t="array" ref="W10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85" t="str">
        <f>IF(COUNTIFS('Base Estudiantes'!$C:$C,tblMatriculas[[#This Row],[Cédula]],'Base Estudiantes'!$I:$I,tblMatriculas[[#This Row],[Código]])&gt;0,"Sí","No")</f>
        <v>Sí</v>
      </c>
      <c r="Z1085" s="23" cm="1">
        <f t="array" ref="Z1085">_xlfn.XLOOKUP(tblMatriculas[[#This Row],[Cédula]]&amp;"|"&amp;tblMatriculas[[#This Row],[Código]],tblBase[Documento]&amp;"|"&amp;tblBase[Código grupo],tblBase[Fecha matrícula],"")</f>
        <v>46263</v>
      </c>
    </row>
    <row r="1086" spans="1:26" x14ac:dyDescent="0.2">
      <c r="A1086" t="s">
        <v>2307</v>
      </c>
      <c r="B1086" t="s">
        <v>2308</v>
      </c>
      <c r="C1086" t="s">
        <v>13</v>
      </c>
      <c r="D1086" t="s">
        <v>2258</v>
      </c>
      <c r="E1086" t="s">
        <v>2259</v>
      </c>
      <c r="F1086" t="s">
        <v>111</v>
      </c>
      <c r="G1086" s="1">
        <v>0</v>
      </c>
      <c r="H1086" t="s">
        <v>254</v>
      </c>
      <c r="I1086" t="s">
        <v>1580</v>
      </c>
      <c r="J1086" t="s">
        <v>2260</v>
      </c>
      <c r="K1086" t="s">
        <v>24</v>
      </c>
      <c r="L1086" s="14">
        <f>IFERROR(VALUE(LEFT(tblMatriculas[[#This Row],[Clases]],FIND("/",tblMatriculas[[#This Row],[Clases]])-1)),"")</f>
        <v>0</v>
      </c>
      <c r="M1086" s="14">
        <f>IFERROR(VALUE(MID(tblMatriculas[[#This Row],[Clases]],FIND("/",tblMatriculas[[#This Row],[Clases]])+1,5)),"")</f>
        <v>30</v>
      </c>
      <c r="N10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6" s="14">
        <f>IF(OR(tblMatriculas[[#This Row],[Estado]]&lt;&gt;"activa",tblMatriculas[[#This Row],[Clases dictadas]]=""),"",MAX(0,tblMatriculas[[#This Row],[Clases dictadas]]-tblMatriculas[[#This Row],[Asistidas]]))</f>
        <v>3</v>
      </c>
      <c r="P1086" s="1">
        <f>IF(OR(tblMatriculas[[#This Row],[Estado]]&lt;&gt;"activa",tblMatriculas[[#This Row],[Asistidas]]=""),"",tblMatriculas[[#This Row],[Asistencia]])</f>
        <v>0</v>
      </c>
      <c r="Q1086" t="b">
        <f>AND(tblMatriculas[[#This Row],[Estado]]="activa",ISNUMBER(tblMatriculas[[#This Row],[% asistencia]]),NOT(ISNUMBER(SEARCH(pPrueba,tblMatriculas[[#This Row],[Nombre]]))))</f>
        <v>1</v>
      </c>
      <c r="R10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86" s="23" t="str" cm="1">
        <f t="array" ref="S10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6" s="23" t="str" cm="1">
        <f t="array" ref="T10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6" s="14" t="str" cm="1">
        <f t="array" ref="U10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6" t="str" cm="1">
        <f t="array" ref="V10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6" t="str" cm="1">
        <f t="array" ref="W10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86" t="str">
        <f>IF(COUNTIFS('Base Estudiantes'!$C:$C,tblMatriculas[[#This Row],[Cédula]],'Base Estudiantes'!$I:$I,tblMatriculas[[#This Row],[Código]])&gt;0,"Sí","No")</f>
        <v>Sí</v>
      </c>
      <c r="Z1086" s="23" cm="1">
        <f t="array" ref="Z1086">_xlfn.XLOOKUP(tblMatriculas[[#This Row],[Cédula]]&amp;"|"&amp;tblMatriculas[[#This Row],[Código]],tblBase[Documento]&amp;"|"&amp;tblBase[Código grupo],tblBase[Fecha matrícula],"")</f>
        <v>46263</v>
      </c>
    </row>
    <row r="1087" spans="1:26" x14ac:dyDescent="0.2">
      <c r="A1087" t="s">
        <v>2309</v>
      </c>
      <c r="B1087" t="s">
        <v>2310</v>
      </c>
      <c r="C1087" t="s">
        <v>13</v>
      </c>
      <c r="D1087" t="s">
        <v>2258</v>
      </c>
      <c r="E1087" t="s">
        <v>2259</v>
      </c>
      <c r="F1087" t="s">
        <v>111</v>
      </c>
      <c r="G1087" s="1">
        <v>6.7000000000000004E-2</v>
      </c>
      <c r="H1087" t="s">
        <v>166</v>
      </c>
      <c r="I1087" t="s">
        <v>1580</v>
      </c>
      <c r="J1087" t="s">
        <v>2260</v>
      </c>
      <c r="K1087" t="s">
        <v>24</v>
      </c>
      <c r="L1087" s="14">
        <f>IFERROR(VALUE(LEFT(tblMatriculas[[#This Row],[Clases]],FIND("/",tblMatriculas[[#This Row],[Clases]])-1)),"")</f>
        <v>2</v>
      </c>
      <c r="M1087" s="14">
        <f>IFERROR(VALUE(MID(tblMatriculas[[#This Row],[Clases]],FIND("/",tblMatriculas[[#This Row],[Clases]])+1,5)),"")</f>
        <v>30</v>
      </c>
      <c r="N10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7" s="14">
        <f>IF(OR(tblMatriculas[[#This Row],[Estado]]&lt;&gt;"activa",tblMatriculas[[#This Row],[Clases dictadas]]=""),"",MAX(0,tblMatriculas[[#This Row],[Clases dictadas]]-tblMatriculas[[#This Row],[Asistidas]]))</f>
        <v>1</v>
      </c>
      <c r="P1087" s="1">
        <f>IF(OR(tblMatriculas[[#This Row],[Estado]]&lt;&gt;"activa",tblMatriculas[[#This Row],[Asistidas]]=""),"",tblMatriculas[[#This Row],[Asistencia]])</f>
        <v>6.7000000000000004E-2</v>
      </c>
      <c r="Q1087" t="b">
        <f>AND(tblMatriculas[[#This Row],[Estado]]="activa",ISNUMBER(tblMatriculas[[#This Row],[% asistencia]]),NOT(ISNUMBER(SEARCH(pPrueba,tblMatriculas[[#This Row],[Nombre]]))))</f>
        <v>1</v>
      </c>
      <c r="R10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87" s="23" t="str" cm="1">
        <f t="array" ref="S10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7" s="23" t="str" cm="1">
        <f t="array" ref="T10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7" s="14" t="str" cm="1">
        <f t="array" ref="U10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7" t="str" cm="1">
        <f t="array" ref="V10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7" t="str" cm="1">
        <f t="array" ref="W10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87" t="str">
        <f>IF(COUNTIFS('Base Estudiantes'!$C:$C,tblMatriculas[[#This Row],[Cédula]],'Base Estudiantes'!$I:$I,tblMatriculas[[#This Row],[Código]])&gt;0,"Sí","No")</f>
        <v>Sí</v>
      </c>
      <c r="Z1087" s="23" cm="1">
        <f t="array" ref="Z1087">_xlfn.XLOOKUP(tblMatriculas[[#This Row],[Cédula]]&amp;"|"&amp;tblMatriculas[[#This Row],[Código]],tblBase[Documento]&amp;"|"&amp;tblBase[Código grupo],tblBase[Fecha matrícula],"")</f>
        <v>46263</v>
      </c>
    </row>
    <row r="1088" spans="1:26" x14ac:dyDescent="0.2">
      <c r="A1088" t="s">
        <v>2311</v>
      </c>
      <c r="B1088" t="s">
        <v>2312</v>
      </c>
      <c r="C1088" t="s">
        <v>13</v>
      </c>
      <c r="D1088" t="s">
        <v>2258</v>
      </c>
      <c r="E1088" t="s">
        <v>2259</v>
      </c>
      <c r="F1088" t="s">
        <v>111</v>
      </c>
      <c r="G1088" s="1">
        <v>0.1</v>
      </c>
      <c r="H1088" t="s">
        <v>117</v>
      </c>
      <c r="I1088" t="s">
        <v>1580</v>
      </c>
      <c r="J1088" t="s">
        <v>2260</v>
      </c>
      <c r="K1088" t="s">
        <v>24</v>
      </c>
      <c r="L1088" s="14">
        <f>IFERROR(VALUE(LEFT(tblMatriculas[[#This Row],[Clases]],FIND("/",tblMatriculas[[#This Row],[Clases]])-1)),"")</f>
        <v>3</v>
      </c>
      <c r="M1088" s="14">
        <f>IFERROR(VALUE(MID(tblMatriculas[[#This Row],[Clases]],FIND("/",tblMatriculas[[#This Row],[Clases]])+1,5)),"")</f>
        <v>30</v>
      </c>
      <c r="N10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8" s="14">
        <f>IF(OR(tblMatriculas[[#This Row],[Estado]]&lt;&gt;"activa",tblMatriculas[[#This Row],[Clases dictadas]]=""),"",MAX(0,tblMatriculas[[#This Row],[Clases dictadas]]-tblMatriculas[[#This Row],[Asistidas]]))</f>
        <v>0</v>
      </c>
      <c r="P1088" s="1">
        <f>IF(OR(tblMatriculas[[#This Row],[Estado]]&lt;&gt;"activa",tblMatriculas[[#This Row],[Asistidas]]=""),"",tblMatriculas[[#This Row],[Asistencia]])</f>
        <v>0.1</v>
      </c>
      <c r="Q1088" t="b">
        <f>AND(tblMatriculas[[#This Row],[Estado]]="activa",ISNUMBER(tblMatriculas[[#This Row],[% asistencia]]),NOT(ISNUMBER(SEARCH(pPrueba,tblMatriculas[[#This Row],[Nombre]]))))</f>
        <v>1</v>
      </c>
      <c r="R10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88" s="23" t="str" cm="1">
        <f t="array" ref="S10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8" s="23" t="str" cm="1">
        <f t="array" ref="T10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8" s="14" t="str" cm="1">
        <f t="array" ref="U10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8" t="str" cm="1">
        <f t="array" ref="V10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8" t="str" cm="1">
        <f t="array" ref="W10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88" t="str">
        <f>IF(COUNTIFS('Base Estudiantes'!$C:$C,tblMatriculas[[#This Row],[Cédula]],'Base Estudiantes'!$I:$I,tblMatriculas[[#This Row],[Código]])&gt;0,"Sí","No")</f>
        <v>Sí</v>
      </c>
      <c r="Z1088" s="23" cm="1">
        <f t="array" ref="Z1088">_xlfn.XLOOKUP(tblMatriculas[[#This Row],[Cédula]]&amp;"|"&amp;tblMatriculas[[#This Row],[Código]],tblBase[Documento]&amp;"|"&amp;tblBase[Código grupo],tblBase[Fecha matrícula],"")</f>
        <v>46263</v>
      </c>
    </row>
    <row r="1089" spans="1:26" x14ac:dyDescent="0.2">
      <c r="A1089" t="s">
        <v>2313</v>
      </c>
      <c r="B1089" t="s">
        <v>2314</v>
      </c>
      <c r="C1089" t="s">
        <v>13</v>
      </c>
      <c r="D1089" t="s">
        <v>2258</v>
      </c>
      <c r="E1089" t="s">
        <v>2259</v>
      </c>
      <c r="F1089" t="s">
        <v>111</v>
      </c>
      <c r="G1089" s="1">
        <v>0.1</v>
      </c>
      <c r="H1089" t="s">
        <v>117</v>
      </c>
      <c r="I1089" t="s">
        <v>1580</v>
      </c>
      <c r="J1089" t="s">
        <v>2260</v>
      </c>
      <c r="K1089" t="s">
        <v>24</v>
      </c>
      <c r="L1089" s="14">
        <f>IFERROR(VALUE(LEFT(tblMatriculas[[#This Row],[Clases]],FIND("/",tblMatriculas[[#This Row],[Clases]])-1)),"")</f>
        <v>3</v>
      </c>
      <c r="M1089" s="14">
        <f>IFERROR(VALUE(MID(tblMatriculas[[#This Row],[Clases]],FIND("/",tblMatriculas[[#This Row],[Clases]])+1,5)),"")</f>
        <v>30</v>
      </c>
      <c r="N10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89" s="14">
        <f>IF(OR(tblMatriculas[[#This Row],[Estado]]&lt;&gt;"activa",tblMatriculas[[#This Row],[Clases dictadas]]=""),"",MAX(0,tblMatriculas[[#This Row],[Clases dictadas]]-tblMatriculas[[#This Row],[Asistidas]]))</f>
        <v>0</v>
      </c>
      <c r="P1089" s="1">
        <f>IF(OR(tblMatriculas[[#This Row],[Estado]]&lt;&gt;"activa",tblMatriculas[[#This Row],[Asistidas]]=""),"",tblMatriculas[[#This Row],[Asistencia]])</f>
        <v>0.1</v>
      </c>
      <c r="Q1089" t="b">
        <f>AND(tblMatriculas[[#This Row],[Estado]]="activa",ISNUMBER(tblMatriculas[[#This Row],[% asistencia]]),NOT(ISNUMBER(SEARCH(pPrueba,tblMatriculas[[#This Row],[Nombre]]))))</f>
        <v>1</v>
      </c>
      <c r="R10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89" s="23" t="str" cm="1">
        <f t="array" ref="S10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89" s="23" t="str" cm="1">
        <f t="array" ref="T10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89" s="14" t="str" cm="1">
        <f t="array" ref="U10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89" t="str" cm="1">
        <f t="array" ref="V10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89" t="str" cm="1">
        <f t="array" ref="W10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89" t="str">
        <f>IF(COUNTIFS('Base Estudiantes'!$C:$C,tblMatriculas[[#This Row],[Cédula]],'Base Estudiantes'!$I:$I,tblMatriculas[[#This Row],[Código]])&gt;0,"Sí","No")</f>
        <v>Sí</v>
      </c>
      <c r="Z1089" s="23" cm="1">
        <f t="array" ref="Z1089">_xlfn.XLOOKUP(tblMatriculas[[#This Row],[Cédula]]&amp;"|"&amp;tblMatriculas[[#This Row],[Código]],tblBase[Documento]&amp;"|"&amp;tblBase[Código grupo],tblBase[Fecha matrícula],"")</f>
        <v>46263</v>
      </c>
    </row>
    <row r="1090" spans="1:26" x14ac:dyDescent="0.2">
      <c r="A1090" t="s">
        <v>2315</v>
      </c>
      <c r="B1090" t="s">
        <v>2316</v>
      </c>
      <c r="C1090" t="s">
        <v>13</v>
      </c>
      <c r="D1090" t="s">
        <v>2258</v>
      </c>
      <c r="E1090" t="s">
        <v>2259</v>
      </c>
      <c r="F1090" t="s">
        <v>111</v>
      </c>
      <c r="G1090" s="1">
        <v>0</v>
      </c>
      <c r="H1090" t="s">
        <v>254</v>
      </c>
      <c r="I1090" t="s">
        <v>1580</v>
      </c>
      <c r="J1090" t="s">
        <v>2260</v>
      </c>
      <c r="K1090" t="s">
        <v>24</v>
      </c>
      <c r="L1090" s="14">
        <f>IFERROR(VALUE(LEFT(tblMatriculas[[#This Row],[Clases]],FIND("/",tblMatriculas[[#This Row],[Clases]])-1)),"")</f>
        <v>0</v>
      </c>
      <c r="M1090" s="14">
        <f>IFERROR(VALUE(MID(tblMatriculas[[#This Row],[Clases]],FIND("/",tblMatriculas[[#This Row],[Clases]])+1,5)),"")</f>
        <v>30</v>
      </c>
      <c r="N10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0" s="14">
        <f>IF(OR(tblMatriculas[[#This Row],[Estado]]&lt;&gt;"activa",tblMatriculas[[#This Row],[Clases dictadas]]=""),"",MAX(0,tblMatriculas[[#This Row],[Clases dictadas]]-tblMatriculas[[#This Row],[Asistidas]]))</f>
        <v>3</v>
      </c>
      <c r="P1090" s="1">
        <f>IF(OR(tblMatriculas[[#This Row],[Estado]]&lt;&gt;"activa",tblMatriculas[[#This Row],[Asistidas]]=""),"",tblMatriculas[[#This Row],[Asistencia]])</f>
        <v>0</v>
      </c>
      <c r="Q1090" t="b">
        <f>AND(tblMatriculas[[#This Row],[Estado]]="activa",ISNUMBER(tblMatriculas[[#This Row],[% asistencia]]),NOT(ISNUMBER(SEARCH(pPrueba,tblMatriculas[[#This Row],[Nombre]]))))</f>
        <v>1</v>
      </c>
      <c r="R10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90" s="23" t="str" cm="1">
        <f t="array" ref="S10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0" s="23" t="str" cm="1">
        <f t="array" ref="T10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0" s="14" t="str" cm="1">
        <f t="array" ref="U10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0" t="str" cm="1">
        <f t="array" ref="V10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0" t="str" cm="1">
        <f t="array" ref="W10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90" t="str">
        <f>IF(COUNTIFS('Base Estudiantes'!$C:$C,tblMatriculas[[#This Row],[Cédula]],'Base Estudiantes'!$I:$I,tblMatriculas[[#This Row],[Código]])&gt;0,"Sí","No")</f>
        <v>Sí</v>
      </c>
      <c r="Z1090" s="23" cm="1">
        <f t="array" ref="Z1090">_xlfn.XLOOKUP(tblMatriculas[[#This Row],[Cédula]]&amp;"|"&amp;tblMatriculas[[#This Row],[Código]],tblBase[Documento]&amp;"|"&amp;tblBase[Código grupo],tblBase[Fecha matrícula],"")</f>
        <v>46263</v>
      </c>
    </row>
    <row r="1091" spans="1:26" x14ac:dyDescent="0.2">
      <c r="A1091" t="s">
        <v>2317</v>
      </c>
      <c r="B1091" t="s">
        <v>2318</v>
      </c>
      <c r="C1091" t="s">
        <v>13</v>
      </c>
      <c r="D1091" t="s">
        <v>2258</v>
      </c>
      <c r="E1091" t="s">
        <v>2259</v>
      </c>
      <c r="F1091" t="s">
        <v>111</v>
      </c>
      <c r="G1091" s="1">
        <v>0.1</v>
      </c>
      <c r="H1091" t="s">
        <v>117</v>
      </c>
      <c r="I1091" t="s">
        <v>1580</v>
      </c>
      <c r="J1091" t="s">
        <v>2260</v>
      </c>
      <c r="K1091" t="s">
        <v>24</v>
      </c>
      <c r="L1091" s="14">
        <f>IFERROR(VALUE(LEFT(tblMatriculas[[#This Row],[Clases]],FIND("/",tblMatriculas[[#This Row],[Clases]])-1)),"")</f>
        <v>3</v>
      </c>
      <c r="M1091" s="14">
        <f>IFERROR(VALUE(MID(tblMatriculas[[#This Row],[Clases]],FIND("/",tblMatriculas[[#This Row],[Clases]])+1,5)),"")</f>
        <v>30</v>
      </c>
      <c r="N10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1" s="14">
        <f>IF(OR(tblMatriculas[[#This Row],[Estado]]&lt;&gt;"activa",tblMatriculas[[#This Row],[Clases dictadas]]=""),"",MAX(0,tblMatriculas[[#This Row],[Clases dictadas]]-tblMatriculas[[#This Row],[Asistidas]]))</f>
        <v>0</v>
      </c>
      <c r="P1091" s="1">
        <f>IF(OR(tblMatriculas[[#This Row],[Estado]]&lt;&gt;"activa",tblMatriculas[[#This Row],[Asistidas]]=""),"",tblMatriculas[[#This Row],[Asistencia]])</f>
        <v>0.1</v>
      </c>
      <c r="Q1091" t="b">
        <f>AND(tblMatriculas[[#This Row],[Estado]]="activa",ISNUMBER(tblMatriculas[[#This Row],[% asistencia]]),NOT(ISNUMBER(SEARCH(pPrueba,tblMatriculas[[#This Row],[Nombre]]))))</f>
        <v>1</v>
      </c>
      <c r="R10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91" s="23" t="str" cm="1">
        <f t="array" ref="S10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1" s="23" t="str" cm="1">
        <f t="array" ref="T10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1" s="14" t="str" cm="1">
        <f t="array" ref="U10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1" t="str" cm="1">
        <f t="array" ref="V10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1" t="str" cm="1">
        <f t="array" ref="W10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91" t="str">
        <f>IF(COUNTIFS('Base Estudiantes'!$C:$C,tblMatriculas[[#This Row],[Cédula]],'Base Estudiantes'!$I:$I,tblMatriculas[[#This Row],[Código]])&gt;0,"Sí","No")</f>
        <v>Sí</v>
      </c>
      <c r="Z1091" s="23" cm="1">
        <f t="array" ref="Z1091">_xlfn.XLOOKUP(tblMatriculas[[#This Row],[Cédula]]&amp;"|"&amp;tblMatriculas[[#This Row],[Código]],tblBase[Documento]&amp;"|"&amp;tblBase[Código grupo],tblBase[Fecha matrícula],"")</f>
        <v>46263</v>
      </c>
    </row>
    <row r="1092" spans="1:26" x14ac:dyDescent="0.2">
      <c r="A1092" t="s">
        <v>2319</v>
      </c>
      <c r="B1092" t="s">
        <v>2320</v>
      </c>
      <c r="C1092" t="s">
        <v>13</v>
      </c>
      <c r="D1092" t="s">
        <v>2258</v>
      </c>
      <c r="E1092" t="s">
        <v>2259</v>
      </c>
      <c r="F1092" t="s">
        <v>111</v>
      </c>
      <c r="G1092" s="1">
        <v>0</v>
      </c>
      <c r="H1092" t="s">
        <v>254</v>
      </c>
      <c r="I1092" t="s">
        <v>1580</v>
      </c>
      <c r="J1092" t="s">
        <v>2260</v>
      </c>
      <c r="K1092" t="s">
        <v>24</v>
      </c>
      <c r="L1092" s="14">
        <f>IFERROR(VALUE(LEFT(tblMatriculas[[#This Row],[Clases]],FIND("/",tblMatriculas[[#This Row],[Clases]])-1)),"")</f>
        <v>0</v>
      </c>
      <c r="M1092" s="14">
        <f>IFERROR(VALUE(MID(tblMatriculas[[#This Row],[Clases]],FIND("/",tblMatriculas[[#This Row],[Clases]])+1,5)),"")</f>
        <v>30</v>
      </c>
      <c r="N10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2" s="14">
        <f>IF(OR(tblMatriculas[[#This Row],[Estado]]&lt;&gt;"activa",tblMatriculas[[#This Row],[Clases dictadas]]=""),"",MAX(0,tblMatriculas[[#This Row],[Clases dictadas]]-tblMatriculas[[#This Row],[Asistidas]]))</f>
        <v>3</v>
      </c>
      <c r="P1092" s="1">
        <f>IF(OR(tblMatriculas[[#This Row],[Estado]]&lt;&gt;"activa",tblMatriculas[[#This Row],[Asistidas]]=""),"",tblMatriculas[[#This Row],[Asistencia]])</f>
        <v>0</v>
      </c>
      <c r="Q1092" t="b">
        <f>AND(tblMatriculas[[#This Row],[Estado]]="activa",ISNUMBER(tblMatriculas[[#This Row],[% asistencia]]),NOT(ISNUMBER(SEARCH(pPrueba,tblMatriculas[[#This Row],[Nombre]]))))</f>
        <v>1</v>
      </c>
      <c r="R10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092" s="23" t="str" cm="1">
        <f t="array" ref="S10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2" s="23" t="str" cm="1">
        <f t="array" ref="T10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2" s="14" t="str" cm="1">
        <f t="array" ref="U10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2" t="str" cm="1">
        <f t="array" ref="V10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2" t="str" cm="1">
        <f t="array" ref="W10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0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092" t="str">
        <f>IF(COUNTIFS('Base Estudiantes'!$C:$C,tblMatriculas[[#This Row],[Cédula]],'Base Estudiantes'!$I:$I,tblMatriculas[[#This Row],[Código]])&gt;0,"Sí","No")</f>
        <v>Sí</v>
      </c>
      <c r="Z1092" s="23" cm="1">
        <f t="array" ref="Z1092">_xlfn.XLOOKUP(tblMatriculas[[#This Row],[Cédula]]&amp;"|"&amp;tblMatriculas[[#This Row],[Código]],tblBase[Documento]&amp;"|"&amp;tblBase[Código grupo],tblBase[Fecha matrícula],"")</f>
        <v>46263</v>
      </c>
    </row>
    <row r="1093" spans="1:26" x14ac:dyDescent="0.2">
      <c r="A1093" t="s">
        <v>2321</v>
      </c>
      <c r="B1093" t="s">
        <v>2322</v>
      </c>
      <c r="C1093" t="s">
        <v>13</v>
      </c>
      <c r="D1093" t="s">
        <v>2258</v>
      </c>
      <c r="E1093" t="s">
        <v>2259</v>
      </c>
      <c r="F1093" t="s">
        <v>111</v>
      </c>
      <c r="G1093" s="1">
        <v>0.1</v>
      </c>
      <c r="H1093" t="s">
        <v>117</v>
      </c>
      <c r="I1093" t="s">
        <v>1580</v>
      </c>
      <c r="J1093" t="s">
        <v>2260</v>
      </c>
      <c r="K1093" t="s">
        <v>24</v>
      </c>
      <c r="L1093" s="14">
        <f>IFERROR(VALUE(LEFT(tblMatriculas[[#This Row],[Clases]],FIND("/",tblMatriculas[[#This Row],[Clases]])-1)),"")</f>
        <v>3</v>
      </c>
      <c r="M1093" s="14">
        <f>IFERROR(VALUE(MID(tblMatriculas[[#This Row],[Clases]],FIND("/",tblMatriculas[[#This Row],[Clases]])+1,5)),"")</f>
        <v>30</v>
      </c>
      <c r="N10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3" s="14">
        <f>IF(OR(tblMatriculas[[#This Row],[Estado]]&lt;&gt;"activa",tblMatriculas[[#This Row],[Clases dictadas]]=""),"",MAX(0,tblMatriculas[[#This Row],[Clases dictadas]]-tblMatriculas[[#This Row],[Asistidas]]))</f>
        <v>0</v>
      </c>
      <c r="P1093" s="1">
        <f>IF(OR(tblMatriculas[[#This Row],[Estado]]&lt;&gt;"activa",tblMatriculas[[#This Row],[Asistidas]]=""),"",tblMatriculas[[#This Row],[Asistencia]])</f>
        <v>0.1</v>
      </c>
      <c r="Q1093" t="b">
        <f>AND(tblMatriculas[[#This Row],[Estado]]="activa",ISNUMBER(tblMatriculas[[#This Row],[% asistencia]]),NOT(ISNUMBER(SEARCH(pPrueba,tblMatriculas[[#This Row],[Nombre]]))))</f>
        <v>1</v>
      </c>
      <c r="R10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93" s="23" t="str" cm="1">
        <f t="array" ref="S10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3" s="23" t="str" cm="1">
        <f t="array" ref="T10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3" s="14" t="str" cm="1">
        <f t="array" ref="U10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3" t="str" cm="1">
        <f t="array" ref="V10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3" t="str" cm="1">
        <f t="array" ref="W10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93" t="str">
        <f>IF(COUNTIFS('Base Estudiantes'!$C:$C,tblMatriculas[[#This Row],[Cédula]],'Base Estudiantes'!$I:$I,tblMatriculas[[#This Row],[Código]])&gt;0,"Sí","No")</f>
        <v>Sí</v>
      </c>
      <c r="Z1093" s="23" cm="1">
        <f t="array" ref="Z1093">_xlfn.XLOOKUP(tblMatriculas[[#This Row],[Cédula]]&amp;"|"&amp;tblMatriculas[[#This Row],[Código]],tblBase[Documento]&amp;"|"&amp;tblBase[Código grupo],tblBase[Fecha matrícula],"")</f>
        <v>46263</v>
      </c>
    </row>
    <row r="1094" spans="1:26" x14ac:dyDescent="0.2">
      <c r="A1094" t="s">
        <v>2323</v>
      </c>
      <c r="B1094" t="s">
        <v>2324</v>
      </c>
      <c r="C1094" t="s">
        <v>13</v>
      </c>
      <c r="D1094" t="s">
        <v>2258</v>
      </c>
      <c r="E1094" t="s">
        <v>2259</v>
      </c>
      <c r="F1094" t="s">
        <v>111</v>
      </c>
      <c r="G1094" s="1">
        <v>6.7000000000000004E-2</v>
      </c>
      <c r="H1094" t="s">
        <v>166</v>
      </c>
      <c r="I1094" t="s">
        <v>1580</v>
      </c>
      <c r="J1094" t="s">
        <v>2260</v>
      </c>
      <c r="K1094" t="s">
        <v>24</v>
      </c>
      <c r="L1094" s="14">
        <f>IFERROR(VALUE(LEFT(tblMatriculas[[#This Row],[Clases]],FIND("/",tblMatriculas[[#This Row],[Clases]])-1)),"")</f>
        <v>2</v>
      </c>
      <c r="M1094" s="14">
        <f>IFERROR(VALUE(MID(tblMatriculas[[#This Row],[Clases]],FIND("/",tblMatriculas[[#This Row],[Clases]])+1,5)),"")</f>
        <v>30</v>
      </c>
      <c r="N10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4" s="14">
        <f>IF(OR(tblMatriculas[[#This Row],[Estado]]&lt;&gt;"activa",tblMatriculas[[#This Row],[Clases dictadas]]=""),"",MAX(0,tblMatriculas[[#This Row],[Clases dictadas]]-tblMatriculas[[#This Row],[Asistidas]]))</f>
        <v>1</v>
      </c>
      <c r="P1094" s="1">
        <f>IF(OR(tblMatriculas[[#This Row],[Estado]]&lt;&gt;"activa",tblMatriculas[[#This Row],[Asistidas]]=""),"",tblMatriculas[[#This Row],[Asistencia]])</f>
        <v>6.7000000000000004E-2</v>
      </c>
      <c r="Q1094" t="b">
        <f>AND(tblMatriculas[[#This Row],[Estado]]="activa",ISNUMBER(tblMatriculas[[#This Row],[% asistencia]]),NOT(ISNUMBER(SEARCH(pPrueba,tblMatriculas[[#This Row],[Nombre]]))))</f>
        <v>1</v>
      </c>
      <c r="R10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94" s="23" t="str" cm="1">
        <f t="array" ref="S10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4" s="23" t="str" cm="1">
        <f t="array" ref="T10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4" s="14" t="str" cm="1">
        <f t="array" ref="U10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4" t="str" cm="1">
        <f t="array" ref="V10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4" t="str" cm="1">
        <f t="array" ref="W10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94" t="str">
        <f>IF(COUNTIFS('Base Estudiantes'!$C:$C,tblMatriculas[[#This Row],[Cédula]],'Base Estudiantes'!$I:$I,tblMatriculas[[#This Row],[Código]])&gt;0,"Sí","No")</f>
        <v>Sí</v>
      </c>
      <c r="Z1094" s="23" cm="1">
        <f t="array" ref="Z1094">_xlfn.XLOOKUP(tblMatriculas[[#This Row],[Cédula]]&amp;"|"&amp;tblMatriculas[[#This Row],[Código]],tblBase[Documento]&amp;"|"&amp;tblBase[Código grupo],tblBase[Fecha matrícula],"")</f>
        <v>46263</v>
      </c>
    </row>
    <row r="1095" spans="1:26" x14ac:dyDescent="0.2">
      <c r="A1095" t="s">
        <v>2325</v>
      </c>
      <c r="B1095" t="s">
        <v>2326</v>
      </c>
      <c r="C1095" t="s">
        <v>13</v>
      </c>
      <c r="D1095" t="s">
        <v>2258</v>
      </c>
      <c r="E1095" t="s">
        <v>2259</v>
      </c>
      <c r="F1095" t="s">
        <v>111</v>
      </c>
      <c r="G1095" s="1">
        <v>0.1</v>
      </c>
      <c r="H1095" t="s">
        <v>117</v>
      </c>
      <c r="I1095" t="s">
        <v>1580</v>
      </c>
      <c r="J1095" t="s">
        <v>2260</v>
      </c>
      <c r="K1095" t="s">
        <v>24</v>
      </c>
      <c r="L1095" s="14">
        <f>IFERROR(VALUE(LEFT(tblMatriculas[[#This Row],[Clases]],FIND("/",tblMatriculas[[#This Row],[Clases]])-1)),"")</f>
        <v>3</v>
      </c>
      <c r="M1095" s="14">
        <f>IFERROR(VALUE(MID(tblMatriculas[[#This Row],[Clases]],FIND("/",tblMatriculas[[#This Row],[Clases]])+1,5)),"")</f>
        <v>30</v>
      </c>
      <c r="N10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5" s="14">
        <f>IF(OR(tblMatriculas[[#This Row],[Estado]]&lt;&gt;"activa",tblMatriculas[[#This Row],[Clases dictadas]]=""),"",MAX(0,tblMatriculas[[#This Row],[Clases dictadas]]-tblMatriculas[[#This Row],[Asistidas]]))</f>
        <v>0</v>
      </c>
      <c r="P1095" s="1">
        <f>IF(OR(tblMatriculas[[#This Row],[Estado]]&lt;&gt;"activa",tblMatriculas[[#This Row],[Asistidas]]=""),"",tblMatriculas[[#This Row],[Asistencia]])</f>
        <v>0.1</v>
      </c>
      <c r="Q1095" t="b">
        <f>AND(tblMatriculas[[#This Row],[Estado]]="activa",ISNUMBER(tblMatriculas[[#This Row],[% asistencia]]),NOT(ISNUMBER(SEARCH(pPrueba,tblMatriculas[[#This Row],[Nombre]]))))</f>
        <v>1</v>
      </c>
      <c r="R10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95" s="23" t="str" cm="1">
        <f t="array" ref="S10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5" s="23" t="str" cm="1">
        <f t="array" ref="T10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5" s="14" t="str" cm="1">
        <f t="array" ref="U10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5" t="str" cm="1">
        <f t="array" ref="V10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5" t="str" cm="1">
        <f t="array" ref="W10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95" t="str">
        <f>IF(COUNTIFS('Base Estudiantes'!$C:$C,tblMatriculas[[#This Row],[Cédula]],'Base Estudiantes'!$I:$I,tblMatriculas[[#This Row],[Código]])&gt;0,"Sí","No")</f>
        <v>Sí</v>
      </c>
      <c r="Z1095" s="23" cm="1">
        <f t="array" ref="Z1095">_xlfn.XLOOKUP(tblMatriculas[[#This Row],[Cédula]]&amp;"|"&amp;tblMatriculas[[#This Row],[Código]],tblBase[Documento]&amp;"|"&amp;tblBase[Código grupo],tblBase[Fecha matrícula],"")</f>
        <v>46263</v>
      </c>
    </row>
    <row r="1096" spans="1:26" x14ac:dyDescent="0.2">
      <c r="A1096" t="s">
        <v>2327</v>
      </c>
      <c r="B1096" t="s">
        <v>2328</v>
      </c>
      <c r="C1096" t="s">
        <v>13</v>
      </c>
      <c r="D1096" t="s">
        <v>2258</v>
      </c>
      <c r="E1096" t="s">
        <v>2259</v>
      </c>
      <c r="F1096" t="s">
        <v>111</v>
      </c>
      <c r="G1096" s="1">
        <v>6.7000000000000004E-2</v>
      </c>
      <c r="H1096" t="s">
        <v>166</v>
      </c>
      <c r="I1096" t="s">
        <v>1580</v>
      </c>
      <c r="J1096" t="s">
        <v>2260</v>
      </c>
      <c r="K1096" t="s">
        <v>24</v>
      </c>
      <c r="L1096" s="14">
        <f>IFERROR(VALUE(LEFT(tblMatriculas[[#This Row],[Clases]],FIND("/",tblMatriculas[[#This Row],[Clases]])-1)),"")</f>
        <v>2</v>
      </c>
      <c r="M1096" s="14">
        <f>IFERROR(VALUE(MID(tblMatriculas[[#This Row],[Clases]],FIND("/",tblMatriculas[[#This Row],[Clases]])+1,5)),"")</f>
        <v>30</v>
      </c>
      <c r="N10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6" s="14">
        <f>IF(OR(tblMatriculas[[#This Row],[Estado]]&lt;&gt;"activa",tblMatriculas[[#This Row],[Clases dictadas]]=""),"",MAX(0,tblMatriculas[[#This Row],[Clases dictadas]]-tblMatriculas[[#This Row],[Asistidas]]))</f>
        <v>1</v>
      </c>
      <c r="P1096" s="1">
        <f>IF(OR(tblMatriculas[[#This Row],[Estado]]&lt;&gt;"activa",tblMatriculas[[#This Row],[Asistidas]]=""),"",tblMatriculas[[#This Row],[Asistencia]])</f>
        <v>6.7000000000000004E-2</v>
      </c>
      <c r="Q1096" t="b">
        <f>AND(tblMatriculas[[#This Row],[Estado]]="activa",ISNUMBER(tblMatriculas[[#This Row],[% asistencia]]),NOT(ISNUMBER(SEARCH(pPrueba,tblMatriculas[[#This Row],[Nombre]]))))</f>
        <v>1</v>
      </c>
      <c r="R10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96" s="23" t="str" cm="1">
        <f t="array" ref="S10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6" s="23" t="str" cm="1">
        <f t="array" ref="T10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6" s="14" t="str" cm="1">
        <f t="array" ref="U10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6" t="str" cm="1">
        <f t="array" ref="V10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6" t="str" cm="1">
        <f t="array" ref="W10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96" t="str">
        <f>IF(COUNTIFS('Base Estudiantes'!$C:$C,tblMatriculas[[#This Row],[Cédula]],'Base Estudiantes'!$I:$I,tblMatriculas[[#This Row],[Código]])&gt;0,"Sí","No")</f>
        <v>Sí</v>
      </c>
      <c r="Z1096" s="23" cm="1">
        <f t="array" ref="Z1096">_xlfn.XLOOKUP(tblMatriculas[[#This Row],[Cédula]]&amp;"|"&amp;tblMatriculas[[#This Row],[Código]],tblBase[Documento]&amp;"|"&amp;tblBase[Código grupo],tblBase[Fecha matrícula],"")</f>
        <v>46263</v>
      </c>
    </row>
    <row r="1097" spans="1:26" x14ac:dyDescent="0.2">
      <c r="A1097" t="s">
        <v>2329</v>
      </c>
      <c r="B1097" t="s">
        <v>2330</v>
      </c>
      <c r="C1097" t="s">
        <v>13</v>
      </c>
      <c r="D1097" t="s">
        <v>2258</v>
      </c>
      <c r="E1097" t="s">
        <v>2259</v>
      </c>
      <c r="F1097" t="s">
        <v>111</v>
      </c>
      <c r="G1097" s="1">
        <v>3.3000000000000002E-2</v>
      </c>
      <c r="H1097" t="s">
        <v>225</v>
      </c>
      <c r="I1097" t="s">
        <v>1580</v>
      </c>
      <c r="J1097" t="s">
        <v>2260</v>
      </c>
      <c r="K1097" t="s">
        <v>24</v>
      </c>
      <c r="L1097" s="14">
        <f>IFERROR(VALUE(LEFT(tblMatriculas[[#This Row],[Clases]],FIND("/",tblMatriculas[[#This Row],[Clases]])-1)),"")</f>
        <v>1</v>
      </c>
      <c r="M1097" s="14">
        <f>IFERROR(VALUE(MID(tblMatriculas[[#This Row],[Clases]],FIND("/",tblMatriculas[[#This Row],[Clases]])+1,5)),"")</f>
        <v>30</v>
      </c>
      <c r="N10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7" s="14">
        <f>IF(OR(tblMatriculas[[#This Row],[Estado]]&lt;&gt;"activa",tblMatriculas[[#This Row],[Clases dictadas]]=""),"",MAX(0,tblMatriculas[[#This Row],[Clases dictadas]]-tblMatriculas[[#This Row],[Asistidas]]))</f>
        <v>2</v>
      </c>
      <c r="P1097" s="1">
        <f>IF(OR(tblMatriculas[[#This Row],[Estado]]&lt;&gt;"activa",tblMatriculas[[#This Row],[Asistidas]]=""),"",tblMatriculas[[#This Row],[Asistencia]])</f>
        <v>3.3000000000000002E-2</v>
      </c>
      <c r="Q1097" t="b">
        <f>AND(tblMatriculas[[#This Row],[Estado]]="activa",ISNUMBER(tblMatriculas[[#This Row],[% asistencia]]),NOT(ISNUMBER(SEARCH(pPrueba,tblMatriculas[[#This Row],[Nombre]]))))</f>
        <v>1</v>
      </c>
      <c r="R10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097" s="23" t="str" cm="1">
        <f t="array" ref="S10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7" s="23" t="str" cm="1">
        <f t="array" ref="T10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7" s="14" t="str" cm="1">
        <f t="array" ref="U10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7" t="str" cm="1">
        <f t="array" ref="V10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7" t="str" cm="1">
        <f t="array" ref="W10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0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097" t="str">
        <f>IF(COUNTIFS('Base Estudiantes'!$C:$C,tblMatriculas[[#This Row],[Cédula]],'Base Estudiantes'!$I:$I,tblMatriculas[[#This Row],[Código]])&gt;0,"Sí","No")</f>
        <v>Sí</v>
      </c>
      <c r="Z1097" s="23" cm="1">
        <f t="array" ref="Z1097">_xlfn.XLOOKUP(tblMatriculas[[#This Row],[Cédula]]&amp;"|"&amp;tblMatriculas[[#This Row],[Código]],tblBase[Documento]&amp;"|"&amp;tblBase[Código grupo],tblBase[Fecha matrícula],"")</f>
        <v>46263</v>
      </c>
    </row>
    <row r="1098" spans="1:26" x14ac:dyDescent="0.2">
      <c r="A1098" t="s">
        <v>2331</v>
      </c>
      <c r="B1098" t="s">
        <v>2332</v>
      </c>
      <c r="C1098" t="s">
        <v>13</v>
      </c>
      <c r="D1098" t="s">
        <v>2258</v>
      </c>
      <c r="E1098" t="s">
        <v>2259</v>
      </c>
      <c r="F1098" t="s">
        <v>111</v>
      </c>
      <c r="G1098" s="1">
        <v>0.1</v>
      </c>
      <c r="H1098" t="s">
        <v>117</v>
      </c>
      <c r="I1098" t="s">
        <v>1580</v>
      </c>
      <c r="J1098" t="s">
        <v>2260</v>
      </c>
      <c r="K1098" t="s">
        <v>24</v>
      </c>
      <c r="L1098" s="14">
        <f>IFERROR(VALUE(LEFT(tblMatriculas[[#This Row],[Clases]],FIND("/",tblMatriculas[[#This Row],[Clases]])-1)),"")</f>
        <v>3</v>
      </c>
      <c r="M1098" s="14">
        <f>IFERROR(VALUE(MID(tblMatriculas[[#This Row],[Clases]],FIND("/",tblMatriculas[[#This Row],[Clases]])+1,5)),"")</f>
        <v>30</v>
      </c>
      <c r="N10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8" s="14">
        <f>IF(OR(tblMatriculas[[#This Row],[Estado]]&lt;&gt;"activa",tblMatriculas[[#This Row],[Clases dictadas]]=""),"",MAX(0,tblMatriculas[[#This Row],[Clases dictadas]]-tblMatriculas[[#This Row],[Asistidas]]))</f>
        <v>0</v>
      </c>
      <c r="P1098" s="1">
        <f>IF(OR(tblMatriculas[[#This Row],[Estado]]&lt;&gt;"activa",tblMatriculas[[#This Row],[Asistidas]]=""),"",tblMatriculas[[#This Row],[Asistencia]])</f>
        <v>0.1</v>
      </c>
      <c r="Q1098" t="b">
        <f>AND(tblMatriculas[[#This Row],[Estado]]="activa",ISNUMBER(tblMatriculas[[#This Row],[% asistencia]]),NOT(ISNUMBER(SEARCH(pPrueba,tblMatriculas[[#This Row],[Nombre]]))))</f>
        <v>1</v>
      </c>
      <c r="R10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098" s="23" t="str" cm="1">
        <f t="array" ref="S10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8" s="23" t="str" cm="1">
        <f t="array" ref="T10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8" s="14" t="str" cm="1">
        <f t="array" ref="U10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8" t="str" cm="1">
        <f t="array" ref="V10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8" t="str" cm="1">
        <f t="array" ref="W10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0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098" t="str">
        <f>IF(COUNTIFS('Base Estudiantes'!$C:$C,tblMatriculas[[#This Row],[Cédula]],'Base Estudiantes'!$I:$I,tblMatriculas[[#This Row],[Código]])&gt;0,"Sí","No")</f>
        <v>Sí</v>
      </c>
      <c r="Z1098" s="23" cm="1">
        <f t="array" ref="Z1098">_xlfn.XLOOKUP(tblMatriculas[[#This Row],[Cédula]]&amp;"|"&amp;tblMatriculas[[#This Row],[Código]],tblBase[Documento]&amp;"|"&amp;tblBase[Código grupo],tblBase[Fecha matrícula],"")</f>
        <v>46263</v>
      </c>
    </row>
    <row r="1099" spans="1:26" x14ac:dyDescent="0.2">
      <c r="A1099" t="s">
        <v>2333</v>
      </c>
      <c r="B1099" t="s">
        <v>2334</v>
      </c>
      <c r="C1099" t="s">
        <v>13</v>
      </c>
      <c r="D1099" t="s">
        <v>2258</v>
      </c>
      <c r="E1099" t="s">
        <v>2259</v>
      </c>
      <c r="F1099" t="s">
        <v>111</v>
      </c>
      <c r="G1099" s="1">
        <v>6.7000000000000004E-2</v>
      </c>
      <c r="H1099" t="s">
        <v>166</v>
      </c>
      <c r="I1099" t="s">
        <v>1580</v>
      </c>
      <c r="J1099" t="s">
        <v>2260</v>
      </c>
      <c r="K1099" t="s">
        <v>24</v>
      </c>
      <c r="L1099" s="14">
        <f>IFERROR(VALUE(LEFT(tblMatriculas[[#This Row],[Clases]],FIND("/",tblMatriculas[[#This Row],[Clases]])-1)),"")</f>
        <v>2</v>
      </c>
      <c r="M1099" s="14">
        <f>IFERROR(VALUE(MID(tblMatriculas[[#This Row],[Clases]],FIND("/",tblMatriculas[[#This Row],[Clases]])+1,5)),"")</f>
        <v>30</v>
      </c>
      <c r="N10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099" s="14">
        <f>IF(OR(tblMatriculas[[#This Row],[Estado]]&lt;&gt;"activa",tblMatriculas[[#This Row],[Clases dictadas]]=""),"",MAX(0,tblMatriculas[[#This Row],[Clases dictadas]]-tblMatriculas[[#This Row],[Asistidas]]))</f>
        <v>1</v>
      </c>
      <c r="P1099" s="1">
        <f>IF(OR(tblMatriculas[[#This Row],[Estado]]&lt;&gt;"activa",tblMatriculas[[#This Row],[Asistidas]]=""),"",tblMatriculas[[#This Row],[Asistencia]])</f>
        <v>6.7000000000000004E-2</v>
      </c>
      <c r="Q1099" t="b">
        <f>AND(tblMatriculas[[#This Row],[Estado]]="activa",ISNUMBER(tblMatriculas[[#This Row],[% asistencia]]),NOT(ISNUMBER(SEARCH(pPrueba,tblMatriculas[[#This Row],[Nombre]]))))</f>
        <v>1</v>
      </c>
      <c r="R10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099" s="23" t="str" cm="1">
        <f t="array" ref="S10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099" s="23" t="str" cm="1">
        <f t="array" ref="T10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099" s="14" t="str" cm="1">
        <f t="array" ref="U10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099" t="str" cm="1">
        <f t="array" ref="V10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099" t="str" cm="1">
        <f t="array" ref="W10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0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099" t="str">
        <f>IF(COUNTIFS('Base Estudiantes'!$C:$C,tblMatriculas[[#This Row],[Cédula]],'Base Estudiantes'!$I:$I,tblMatriculas[[#This Row],[Código]])&gt;0,"Sí","No")</f>
        <v>Sí</v>
      </c>
      <c r="Z1099" s="23" cm="1">
        <f t="array" ref="Z1099">_xlfn.XLOOKUP(tblMatriculas[[#This Row],[Cédula]]&amp;"|"&amp;tblMatriculas[[#This Row],[Código]],tblBase[Documento]&amp;"|"&amp;tblBase[Código grupo],tblBase[Fecha matrícula],"")</f>
        <v>46263</v>
      </c>
    </row>
    <row r="1100" spans="1:26" x14ac:dyDescent="0.2">
      <c r="A1100" t="s">
        <v>2335</v>
      </c>
      <c r="B1100" t="s">
        <v>2336</v>
      </c>
      <c r="C1100" t="s">
        <v>13</v>
      </c>
      <c r="D1100" t="s">
        <v>2258</v>
      </c>
      <c r="E1100" t="s">
        <v>2259</v>
      </c>
      <c r="F1100" t="s">
        <v>111</v>
      </c>
      <c r="G1100" s="1">
        <v>6.7000000000000004E-2</v>
      </c>
      <c r="H1100" t="s">
        <v>166</v>
      </c>
      <c r="I1100" t="s">
        <v>1580</v>
      </c>
      <c r="J1100" t="s">
        <v>2260</v>
      </c>
      <c r="K1100" t="s">
        <v>24</v>
      </c>
      <c r="L1100" s="14">
        <f>IFERROR(VALUE(LEFT(tblMatriculas[[#This Row],[Clases]],FIND("/",tblMatriculas[[#This Row],[Clases]])-1)),"")</f>
        <v>2</v>
      </c>
      <c r="M1100" s="14">
        <f>IFERROR(VALUE(MID(tblMatriculas[[#This Row],[Clases]],FIND("/",tblMatriculas[[#This Row],[Clases]])+1,5)),"")</f>
        <v>30</v>
      </c>
      <c r="N11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0" s="14">
        <f>IF(OR(tblMatriculas[[#This Row],[Estado]]&lt;&gt;"activa",tblMatriculas[[#This Row],[Clases dictadas]]=""),"",MAX(0,tblMatriculas[[#This Row],[Clases dictadas]]-tblMatriculas[[#This Row],[Asistidas]]))</f>
        <v>1</v>
      </c>
      <c r="P1100" s="1">
        <f>IF(OR(tblMatriculas[[#This Row],[Estado]]&lt;&gt;"activa",tblMatriculas[[#This Row],[Asistidas]]=""),"",tblMatriculas[[#This Row],[Asistencia]])</f>
        <v>6.7000000000000004E-2</v>
      </c>
      <c r="Q1100" t="b">
        <f>AND(tblMatriculas[[#This Row],[Estado]]="activa",ISNUMBER(tblMatriculas[[#This Row],[% asistencia]]),NOT(ISNUMBER(SEARCH(pPrueba,tblMatriculas[[#This Row],[Nombre]]))))</f>
        <v>1</v>
      </c>
      <c r="R11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00" s="23" t="str" cm="1">
        <f t="array" ref="S11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0" s="23" t="str" cm="1">
        <f t="array" ref="T11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0" s="14" t="str" cm="1">
        <f t="array" ref="U11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0" t="str" cm="1">
        <f t="array" ref="V11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0" t="str" cm="1">
        <f t="array" ref="W11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00" t="str">
        <f>IF(COUNTIFS('Base Estudiantes'!$C:$C,tblMatriculas[[#This Row],[Cédula]],'Base Estudiantes'!$I:$I,tblMatriculas[[#This Row],[Código]])&gt;0,"Sí","No")</f>
        <v>Sí</v>
      </c>
      <c r="Z1100" s="23" cm="1">
        <f t="array" ref="Z1100">_xlfn.XLOOKUP(tblMatriculas[[#This Row],[Cédula]]&amp;"|"&amp;tblMatriculas[[#This Row],[Código]],tblBase[Documento]&amp;"|"&amp;tblBase[Código grupo],tblBase[Fecha matrícula],"")</f>
        <v>46263</v>
      </c>
    </row>
    <row r="1101" spans="1:26" x14ac:dyDescent="0.2">
      <c r="A1101" t="s">
        <v>2337</v>
      </c>
      <c r="B1101" t="s">
        <v>2338</v>
      </c>
      <c r="C1101" t="s">
        <v>13</v>
      </c>
      <c r="D1101" t="s">
        <v>2258</v>
      </c>
      <c r="E1101" t="s">
        <v>2259</v>
      </c>
      <c r="F1101" t="s">
        <v>111</v>
      </c>
      <c r="G1101" s="1">
        <v>0</v>
      </c>
      <c r="H1101" t="s">
        <v>254</v>
      </c>
      <c r="I1101" t="s">
        <v>1580</v>
      </c>
      <c r="J1101" t="s">
        <v>2260</v>
      </c>
      <c r="K1101" t="s">
        <v>24</v>
      </c>
      <c r="L1101" s="14">
        <f>IFERROR(VALUE(LEFT(tblMatriculas[[#This Row],[Clases]],FIND("/",tblMatriculas[[#This Row],[Clases]])-1)),"")</f>
        <v>0</v>
      </c>
      <c r="M1101" s="14">
        <f>IFERROR(VALUE(MID(tblMatriculas[[#This Row],[Clases]],FIND("/",tblMatriculas[[#This Row],[Clases]])+1,5)),"")</f>
        <v>30</v>
      </c>
      <c r="N11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1" s="14">
        <f>IF(OR(tblMatriculas[[#This Row],[Estado]]&lt;&gt;"activa",tblMatriculas[[#This Row],[Clases dictadas]]=""),"",MAX(0,tblMatriculas[[#This Row],[Clases dictadas]]-tblMatriculas[[#This Row],[Asistidas]]))</f>
        <v>3</v>
      </c>
      <c r="P1101" s="1">
        <f>IF(OR(tblMatriculas[[#This Row],[Estado]]&lt;&gt;"activa",tblMatriculas[[#This Row],[Asistidas]]=""),"",tblMatriculas[[#This Row],[Asistencia]])</f>
        <v>0</v>
      </c>
      <c r="Q1101" t="b">
        <f>AND(tblMatriculas[[#This Row],[Estado]]="activa",ISNUMBER(tblMatriculas[[#This Row],[% asistencia]]),NOT(ISNUMBER(SEARCH(pPrueba,tblMatriculas[[#This Row],[Nombre]]))))</f>
        <v>1</v>
      </c>
      <c r="R11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01" s="23" t="str" cm="1">
        <f t="array" ref="S11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1" s="23" t="str" cm="1">
        <f t="array" ref="T11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1" s="14" t="str" cm="1">
        <f t="array" ref="U11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1" t="str" cm="1">
        <f t="array" ref="V11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1" t="str" cm="1">
        <f t="array" ref="W11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01" t="str">
        <f>IF(COUNTIFS('Base Estudiantes'!$C:$C,tblMatriculas[[#This Row],[Cédula]],'Base Estudiantes'!$I:$I,tblMatriculas[[#This Row],[Código]])&gt;0,"Sí","No")</f>
        <v>Sí</v>
      </c>
      <c r="Z1101" s="23" cm="1">
        <f t="array" ref="Z1101">_xlfn.XLOOKUP(tblMatriculas[[#This Row],[Cédula]]&amp;"|"&amp;tblMatriculas[[#This Row],[Código]],tblBase[Documento]&amp;"|"&amp;tblBase[Código grupo],tblBase[Fecha matrícula],"")</f>
        <v>46263</v>
      </c>
    </row>
    <row r="1102" spans="1:26" x14ac:dyDescent="0.2">
      <c r="A1102" t="s">
        <v>2339</v>
      </c>
      <c r="B1102" t="s">
        <v>2340</v>
      </c>
      <c r="C1102" t="s">
        <v>13</v>
      </c>
      <c r="D1102" t="s">
        <v>2258</v>
      </c>
      <c r="E1102" t="s">
        <v>2259</v>
      </c>
      <c r="F1102" t="s">
        <v>111</v>
      </c>
      <c r="G1102" s="1">
        <v>6.7000000000000004E-2</v>
      </c>
      <c r="H1102" t="s">
        <v>166</v>
      </c>
      <c r="I1102" t="s">
        <v>1580</v>
      </c>
      <c r="J1102" t="s">
        <v>2260</v>
      </c>
      <c r="K1102" t="s">
        <v>24</v>
      </c>
      <c r="L1102" s="14">
        <f>IFERROR(VALUE(LEFT(tblMatriculas[[#This Row],[Clases]],FIND("/",tblMatriculas[[#This Row],[Clases]])-1)),"")</f>
        <v>2</v>
      </c>
      <c r="M1102" s="14">
        <f>IFERROR(VALUE(MID(tblMatriculas[[#This Row],[Clases]],FIND("/",tblMatriculas[[#This Row],[Clases]])+1,5)),"")</f>
        <v>30</v>
      </c>
      <c r="N11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2" s="14">
        <f>IF(OR(tblMatriculas[[#This Row],[Estado]]&lt;&gt;"activa",tblMatriculas[[#This Row],[Clases dictadas]]=""),"",MAX(0,tblMatriculas[[#This Row],[Clases dictadas]]-tblMatriculas[[#This Row],[Asistidas]]))</f>
        <v>1</v>
      </c>
      <c r="P1102" s="1">
        <f>IF(OR(tblMatriculas[[#This Row],[Estado]]&lt;&gt;"activa",tblMatriculas[[#This Row],[Asistidas]]=""),"",tblMatriculas[[#This Row],[Asistencia]])</f>
        <v>6.7000000000000004E-2</v>
      </c>
      <c r="Q1102" t="b">
        <f>AND(tblMatriculas[[#This Row],[Estado]]="activa",ISNUMBER(tblMatriculas[[#This Row],[% asistencia]]),NOT(ISNUMBER(SEARCH(pPrueba,tblMatriculas[[#This Row],[Nombre]]))))</f>
        <v>1</v>
      </c>
      <c r="R11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02" s="23" t="str" cm="1">
        <f t="array" ref="S11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2" s="23" t="str" cm="1">
        <f t="array" ref="T11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2" s="14" t="str" cm="1">
        <f t="array" ref="U11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2" t="str" cm="1">
        <f t="array" ref="V11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2" t="str" cm="1">
        <f t="array" ref="W11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02" t="str">
        <f>IF(COUNTIFS('Base Estudiantes'!$C:$C,tblMatriculas[[#This Row],[Cédula]],'Base Estudiantes'!$I:$I,tblMatriculas[[#This Row],[Código]])&gt;0,"Sí","No")</f>
        <v>Sí</v>
      </c>
      <c r="Z1102" s="23" cm="1">
        <f t="array" ref="Z1102">_xlfn.XLOOKUP(tblMatriculas[[#This Row],[Cédula]]&amp;"|"&amp;tblMatriculas[[#This Row],[Código]],tblBase[Documento]&amp;"|"&amp;tblBase[Código grupo],tblBase[Fecha matrícula],"")</f>
        <v>46263</v>
      </c>
    </row>
    <row r="1103" spans="1:26" x14ac:dyDescent="0.2">
      <c r="A1103" t="s">
        <v>2341</v>
      </c>
      <c r="B1103" t="s">
        <v>2342</v>
      </c>
      <c r="C1103" t="s">
        <v>13</v>
      </c>
      <c r="D1103" t="s">
        <v>2258</v>
      </c>
      <c r="E1103" t="s">
        <v>2259</v>
      </c>
      <c r="F1103" t="s">
        <v>111</v>
      </c>
      <c r="G1103" s="1">
        <v>0.1</v>
      </c>
      <c r="H1103" t="s">
        <v>117</v>
      </c>
      <c r="I1103" t="s">
        <v>1580</v>
      </c>
      <c r="J1103" t="s">
        <v>2260</v>
      </c>
      <c r="K1103" t="s">
        <v>1999</v>
      </c>
      <c r="L1103" s="14">
        <f>IFERROR(VALUE(LEFT(tblMatriculas[[#This Row],[Clases]],FIND("/",tblMatriculas[[#This Row],[Clases]])-1)),"")</f>
        <v>3</v>
      </c>
      <c r="M1103" s="14">
        <f>IFERROR(VALUE(MID(tblMatriculas[[#This Row],[Clases]],FIND("/",tblMatriculas[[#This Row],[Clases]])+1,5)),"")</f>
        <v>30</v>
      </c>
      <c r="N11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3" s="14">
        <f>IF(OR(tblMatriculas[[#This Row],[Estado]]&lt;&gt;"activa",tblMatriculas[[#This Row],[Clases dictadas]]=""),"",MAX(0,tblMatriculas[[#This Row],[Clases dictadas]]-tblMatriculas[[#This Row],[Asistidas]]))</f>
        <v>0</v>
      </c>
      <c r="P1103" s="1">
        <f>IF(OR(tblMatriculas[[#This Row],[Estado]]&lt;&gt;"activa",tblMatriculas[[#This Row],[Asistidas]]=""),"",tblMatriculas[[#This Row],[Asistencia]])</f>
        <v>0.1</v>
      </c>
      <c r="Q1103" t="b">
        <f>AND(tblMatriculas[[#This Row],[Estado]]="activa",ISNUMBER(tblMatriculas[[#This Row],[% asistencia]]),NOT(ISNUMBER(SEARCH(pPrueba,tblMatriculas[[#This Row],[Nombre]]))))</f>
        <v>1</v>
      </c>
      <c r="R11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3" s="23" t="str" cm="1">
        <f t="array" ref="S11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3" s="23" t="str" cm="1">
        <f t="array" ref="T11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3" s="14" t="str" cm="1">
        <f t="array" ref="U11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3" t="str" cm="1">
        <f t="array" ref="V11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3" t="str" cm="1">
        <f t="array" ref="W11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3" t="str">
        <f>IF(COUNTIFS('Base Estudiantes'!$C:$C,tblMatriculas[[#This Row],[Cédula]],'Base Estudiantes'!$I:$I,tblMatriculas[[#This Row],[Código]])&gt;0,"Sí","No")</f>
        <v>Sí</v>
      </c>
      <c r="Z1103" s="23" cm="1">
        <f t="array" ref="Z1103">_xlfn.XLOOKUP(tblMatriculas[[#This Row],[Cédula]]&amp;"|"&amp;tblMatriculas[[#This Row],[Código]],tblBase[Documento]&amp;"|"&amp;tblBase[Código grupo],tblBase[Fecha matrícula],"")</f>
        <v>46263</v>
      </c>
    </row>
    <row r="1104" spans="1:26" x14ac:dyDescent="0.2">
      <c r="A1104" t="s">
        <v>2343</v>
      </c>
      <c r="B1104" t="s">
        <v>2344</v>
      </c>
      <c r="C1104" t="s">
        <v>13</v>
      </c>
      <c r="D1104" t="s">
        <v>2258</v>
      </c>
      <c r="E1104" t="s">
        <v>2259</v>
      </c>
      <c r="F1104" t="s">
        <v>111</v>
      </c>
      <c r="G1104" s="1">
        <v>0.1</v>
      </c>
      <c r="H1104" t="s">
        <v>117</v>
      </c>
      <c r="I1104" t="s">
        <v>1580</v>
      </c>
      <c r="J1104" t="s">
        <v>2260</v>
      </c>
      <c r="K1104" t="s">
        <v>1986</v>
      </c>
      <c r="L1104" s="14">
        <f>IFERROR(VALUE(LEFT(tblMatriculas[[#This Row],[Clases]],FIND("/",tblMatriculas[[#This Row],[Clases]])-1)),"")</f>
        <v>3</v>
      </c>
      <c r="M1104" s="14">
        <f>IFERROR(VALUE(MID(tblMatriculas[[#This Row],[Clases]],FIND("/",tblMatriculas[[#This Row],[Clases]])+1,5)),"")</f>
        <v>30</v>
      </c>
      <c r="N11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4" s="14">
        <f>IF(OR(tblMatriculas[[#This Row],[Estado]]&lt;&gt;"activa",tblMatriculas[[#This Row],[Clases dictadas]]=""),"",MAX(0,tblMatriculas[[#This Row],[Clases dictadas]]-tblMatriculas[[#This Row],[Asistidas]]))</f>
        <v>0</v>
      </c>
      <c r="P1104" s="1">
        <f>IF(OR(tblMatriculas[[#This Row],[Estado]]&lt;&gt;"activa",tblMatriculas[[#This Row],[Asistidas]]=""),"",tblMatriculas[[#This Row],[Asistencia]])</f>
        <v>0.1</v>
      </c>
      <c r="Q1104" t="b">
        <f>AND(tblMatriculas[[#This Row],[Estado]]="activa",ISNUMBER(tblMatriculas[[#This Row],[% asistencia]]),NOT(ISNUMBER(SEARCH(pPrueba,tblMatriculas[[#This Row],[Nombre]]))))</f>
        <v>1</v>
      </c>
      <c r="R11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4" s="23" t="str" cm="1">
        <f t="array" ref="S11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4" s="23" t="str" cm="1">
        <f t="array" ref="T11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4" s="14" t="str" cm="1">
        <f t="array" ref="U11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4" t="str" cm="1">
        <f t="array" ref="V11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4" t="str" cm="1">
        <f t="array" ref="W11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4" t="str">
        <f>IF(COUNTIFS('Base Estudiantes'!$C:$C,tblMatriculas[[#This Row],[Cédula]],'Base Estudiantes'!$I:$I,tblMatriculas[[#This Row],[Código]])&gt;0,"Sí","No")</f>
        <v>Sí</v>
      </c>
      <c r="Z1104" s="23" cm="1">
        <f t="array" ref="Z1104">_xlfn.XLOOKUP(tblMatriculas[[#This Row],[Cédula]]&amp;"|"&amp;tblMatriculas[[#This Row],[Código]],tblBase[Documento]&amp;"|"&amp;tblBase[Código grupo],tblBase[Fecha matrícula],"")</f>
        <v>46263</v>
      </c>
    </row>
    <row r="1105" spans="1:26" x14ac:dyDescent="0.2">
      <c r="A1105" t="s">
        <v>2345</v>
      </c>
      <c r="B1105" t="s">
        <v>2346</v>
      </c>
      <c r="C1105" t="s">
        <v>13</v>
      </c>
      <c r="D1105" t="s">
        <v>2258</v>
      </c>
      <c r="E1105" t="s">
        <v>2259</v>
      </c>
      <c r="F1105" t="s">
        <v>111</v>
      </c>
      <c r="G1105" s="1">
        <v>0.1</v>
      </c>
      <c r="H1105" t="s">
        <v>117</v>
      </c>
      <c r="I1105" t="s">
        <v>1580</v>
      </c>
      <c r="J1105" t="s">
        <v>2260</v>
      </c>
      <c r="K1105" t="s">
        <v>1585</v>
      </c>
      <c r="L1105" s="14">
        <f>IFERROR(VALUE(LEFT(tblMatriculas[[#This Row],[Clases]],FIND("/",tblMatriculas[[#This Row],[Clases]])-1)),"")</f>
        <v>3</v>
      </c>
      <c r="M1105" s="14">
        <f>IFERROR(VALUE(MID(tblMatriculas[[#This Row],[Clases]],FIND("/",tblMatriculas[[#This Row],[Clases]])+1,5)),"")</f>
        <v>30</v>
      </c>
      <c r="N11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105" s="14">
        <f>IF(OR(tblMatriculas[[#This Row],[Estado]]&lt;&gt;"activa",tblMatriculas[[#This Row],[Clases dictadas]]=""),"",MAX(0,tblMatriculas[[#This Row],[Clases dictadas]]-tblMatriculas[[#This Row],[Asistidas]]))</f>
        <v>0</v>
      </c>
      <c r="P1105" s="1">
        <f>IF(OR(tblMatriculas[[#This Row],[Estado]]&lt;&gt;"activa",tblMatriculas[[#This Row],[Asistidas]]=""),"",tblMatriculas[[#This Row],[Asistencia]])</f>
        <v>0.1</v>
      </c>
      <c r="Q1105" t="b">
        <f>AND(tblMatriculas[[#This Row],[Estado]]="activa",ISNUMBER(tblMatriculas[[#This Row],[% asistencia]]),NOT(ISNUMBER(SEARCH(pPrueba,tblMatriculas[[#This Row],[Nombre]]))))</f>
        <v>1</v>
      </c>
      <c r="R11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5" s="23" t="str" cm="1">
        <f t="array" ref="S11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5" s="23" t="str" cm="1">
        <f t="array" ref="T11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5" s="14" t="str" cm="1">
        <f t="array" ref="U11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5" t="str" cm="1">
        <f t="array" ref="V11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5" t="str" cm="1">
        <f t="array" ref="W11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5" t="str">
        <f>IF(COUNTIFS('Base Estudiantes'!$C:$C,tblMatriculas[[#This Row],[Cédula]],'Base Estudiantes'!$I:$I,tblMatriculas[[#This Row],[Código]])&gt;0,"Sí","No")</f>
        <v>Sí</v>
      </c>
      <c r="Z1105" s="23" cm="1">
        <f t="array" ref="Z1105">_xlfn.XLOOKUP(tblMatriculas[[#This Row],[Cédula]]&amp;"|"&amp;tblMatriculas[[#This Row],[Código]],tblBase[Documento]&amp;"|"&amp;tblBase[Código grupo],tblBase[Fecha matrícula],"")</f>
        <v>46263</v>
      </c>
    </row>
    <row r="1106" spans="1:26" x14ac:dyDescent="0.2">
      <c r="A1106" t="s">
        <v>2347</v>
      </c>
      <c r="B1106" t="s">
        <v>2348</v>
      </c>
      <c r="C1106" t="s">
        <v>13</v>
      </c>
      <c r="D1106" t="s">
        <v>2349</v>
      </c>
      <c r="E1106" t="s">
        <v>2350</v>
      </c>
      <c r="F1106" t="s">
        <v>335</v>
      </c>
      <c r="G1106" s="1">
        <v>0.16699999999999998</v>
      </c>
      <c r="H1106" t="s">
        <v>229</v>
      </c>
      <c r="I1106" t="s">
        <v>1580</v>
      </c>
      <c r="J1106" t="s">
        <v>2351</v>
      </c>
      <c r="K1106" t="s">
        <v>1582</v>
      </c>
      <c r="L1106" s="14">
        <f>IFERROR(VALUE(LEFT(tblMatriculas[[#This Row],[Clases]],FIND("/",tblMatriculas[[#This Row],[Clases]])-1)),"")</f>
        <v>5</v>
      </c>
      <c r="M1106" s="14">
        <f>IFERROR(VALUE(MID(tblMatriculas[[#This Row],[Clases]],FIND("/",tblMatriculas[[#This Row],[Clases]])+1,5)),"")</f>
        <v>30</v>
      </c>
      <c r="N11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06" s="14">
        <f>IF(OR(tblMatriculas[[#This Row],[Estado]]&lt;&gt;"activa",tblMatriculas[[#This Row],[Clases dictadas]]=""),"",MAX(0,tblMatriculas[[#This Row],[Clases dictadas]]-tblMatriculas[[#This Row],[Asistidas]]))</f>
        <v>0</v>
      </c>
      <c r="P1106" s="1">
        <f>IF(OR(tblMatriculas[[#This Row],[Estado]]&lt;&gt;"activa",tblMatriculas[[#This Row],[Asistidas]]=""),"",tblMatriculas[[#This Row],[Asistencia]])</f>
        <v>0.16699999999999998</v>
      </c>
      <c r="Q1106" t="b">
        <f>AND(tblMatriculas[[#This Row],[Estado]]="activa",ISNUMBER(tblMatriculas[[#This Row],[% asistencia]]),NOT(ISNUMBER(SEARCH(pPrueba,tblMatriculas[[#This Row],[Nombre]]))))</f>
        <v>1</v>
      </c>
      <c r="R11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6" s="23" t="str" cm="1">
        <f t="array" ref="S11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6" s="23" t="str" cm="1">
        <f t="array" ref="T11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6" s="14" t="str" cm="1">
        <f t="array" ref="U11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6" t="str" cm="1">
        <f t="array" ref="V11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6" t="str" cm="1">
        <f t="array" ref="W11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6" t="str">
        <f>IF(COUNTIFS('Base Estudiantes'!$C:$C,tblMatriculas[[#This Row],[Cédula]],'Base Estudiantes'!$I:$I,tblMatriculas[[#This Row],[Código]])&gt;0,"Sí","No")</f>
        <v>Sí</v>
      </c>
      <c r="Z1106" s="23" cm="1">
        <f t="array" ref="Z1106">_xlfn.XLOOKUP(tblMatriculas[[#This Row],[Cédula]]&amp;"|"&amp;tblMatriculas[[#This Row],[Código]],tblBase[Documento]&amp;"|"&amp;tblBase[Código grupo],tblBase[Fecha matrícula],"")</f>
        <v>46263</v>
      </c>
    </row>
    <row r="1107" spans="1:26" x14ac:dyDescent="0.2">
      <c r="A1107" t="s">
        <v>2352</v>
      </c>
      <c r="B1107" t="s">
        <v>2353</v>
      </c>
      <c r="C1107" t="s">
        <v>13</v>
      </c>
      <c r="D1107" t="s">
        <v>2349</v>
      </c>
      <c r="E1107" t="s">
        <v>2350</v>
      </c>
      <c r="F1107" t="s">
        <v>335</v>
      </c>
      <c r="G1107" s="1">
        <v>0.1</v>
      </c>
      <c r="H1107" t="s">
        <v>380</v>
      </c>
      <c r="I1107" t="s">
        <v>1580</v>
      </c>
      <c r="J1107" t="s">
        <v>2351</v>
      </c>
      <c r="K1107" t="s">
        <v>1864</v>
      </c>
      <c r="L1107" s="14">
        <f>IFERROR(VALUE(LEFT(tblMatriculas[[#This Row],[Clases]],FIND("/",tblMatriculas[[#This Row],[Clases]])-1)),"")</f>
        <v>6</v>
      </c>
      <c r="M1107" s="14">
        <f>IFERROR(VALUE(MID(tblMatriculas[[#This Row],[Clases]],FIND("/",tblMatriculas[[#This Row],[Clases]])+1,5)),"")</f>
        <v>60</v>
      </c>
      <c r="N11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107" s="14">
        <f>IF(OR(tblMatriculas[[#This Row],[Estado]]&lt;&gt;"activa",tblMatriculas[[#This Row],[Clases dictadas]]=""),"",MAX(0,tblMatriculas[[#This Row],[Clases dictadas]]-tblMatriculas[[#This Row],[Asistidas]]))</f>
        <v>4</v>
      </c>
      <c r="P1107" s="1">
        <f>IF(OR(tblMatriculas[[#This Row],[Estado]]&lt;&gt;"activa",tblMatriculas[[#This Row],[Asistidas]]=""),"",tblMatriculas[[#This Row],[Asistencia]])</f>
        <v>0.1</v>
      </c>
      <c r="Q1107" t="b">
        <f>AND(tblMatriculas[[#This Row],[Estado]]="activa",ISNUMBER(tblMatriculas[[#This Row],[% asistencia]]),NOT(ISNUMBER(SEARCH(pPrueba,tblMatriculas[[#This Row],[Nombre]]))))</f>
        <v>1</v>
      </c>
      <c r="R11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7" s="23" t="str" cm="1">
        <f t="array" ref="S11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7" s="23" t="str" cm="1">
        <f t="array" ref="T11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7" s="14" t="str" cm="1">
        <f t="array" ref="U11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7" t="str" cm="1">
        <f t="array" ref="V11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7" t="str" cm="1">
        <f t="array" ref="W11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7" t="str">
        <f>IF(COUNTIFS('Base Estudiantes'!$C:$C,tblMatriculas[[#This Row],[Cédula]],'Base Estudiantes'!$I:$I,tblMatriculas[[#This Row],[Código]])&gt;0,"Sí","No")</f>
        <v>Sí</v>
      </c>
      <c r="Z1107" s="23" cm="1">
        <f t="array" ref="Z1107">_xlfn.XLOOKUP(tblMatriculas[[#This Row],[Cédula]]&amp;"|"&amp;tblMatriculas[[#This Row],[Código]],tblBase[Documento]&amp;"|"&amp;tblBase[Código grupo],tblBase[Fecha matrícula],"")</f>
        <v>46263</v>
      </c>
    </row>
    <row r="1108" spans="1:26" x14ac:dyDescent="0.2">
      <c r="A1108" t="s">
        <v>2354</v>
      </c>
      <c r="B1108" t="s">
        <v>2355</v>
      </c>
      <c r="C1108" t="s">
        <v>13</v>
      </c>
      <c r="D1108" t="s">
        <v>2349</v>
      </c>
      <c r="E1108" t="s">
        <v>2350</v>
      </c>
      <c r="F1108" t="s">
        <v>335</v>
      </c>
      <c r="G1108" s="1">
        <v>7.0999999999999994E-2</v>
      </c>
      <c r="H1108" t="s">
        <v>2356</v>
      </c>
      <c r="I1108" t="s">
        <v>1580</v>
      </c>
      <c r="J1108" t="s">
        <v>2351</v>
      </c>
      <c r="K1108" t="s">
        <v>1715</v>
      </c>
      <c r="L1108" s="14">
        <f>IFERROR(VALUE(LEFT(tblMatriculas[[#This Row],[Clases]],FIND("/",tblMatriculas[[#This Row],[Clases]])-1)),"")</f>
        <v>5</v>
      </c>
      <c r="M1108" s="14">
        <f>IFERROR(VALUE(MID(tblMatriculas[[#This Row],[Clases]],FIND("/",tblMatriculas[[#This Row],[Clases]])+1,5)),"")</f>
        <v>70</v>
      </c>
      <c r="N11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108" s="14">
        <f>IF(OR(tblMatriculas[[#This Row],[Estado]]&lt;&gt;"activa",tblMatriculas[[#This Row],[Clases dictadas]]=""),"",MAX(0,tblMatriculas[[#This Row],[Clases dictadas]]-tblMatriculas[[#This Row],[Asistidas]]))</f>
        <v>4</v>
      </c>
      <c r="P1108" s="1">
        <f>IF(OR(tblMatriculas[[#This Row],[Estado]]&lt;&gt;"activa",tblMatriculas[[#This Row],[Asistidas]]=""),"",tblMatriculas[[#This Row],[Asistencia]])</f>
        <v>7.0999999999999994E-2</v>
      </c>
      <c r="Q1108" t="b">
        <f>AND(tblMatriculas[[#This Row],[Estado]]="activa",ISNUMBER(tblMatriculas[[#This Row],[% asistencia]]),NOT(ISNUMBER(SEARCH(pPrueba,tblMatriculas[[#This Row],[Nombre]]))))</f>
        <v>1</v>
      </c>
      <c r="R11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8" s="23" t="str" cm="1">
        <f t="array" ref="S11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8" s="23" t="str" cm="1">
        <f t="array" ref="T11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8" s="14" t="str" cm="1">
        <f t="array" ref="U11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8" t="str" cm="1">
        <f t="array" ref="V11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8" t="str" cm="1">
        <f t="array" ref="W11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8" t="str">
        <f>IF(COUNTIFS('Base Estudiantes'!$C:$C,tblMatriculas[[#This Row],[Cédula]],'Base Estudiantes'!$I:$I,tblMatriculas[[#This Row],[Código]])&gt;0,"Sí","No")</f>
        <v>No</v>
      </c>
      <c r="Z1108" s="23" t="str" cm="1">
        <f t="array" ref="Z1108">_xlfn.XLOOKUP(tblMatriculas[[#This Row],[Cédula]]&amp;"|"&amp;tblMatriculas[[#This Row],[Código]],tblBase[Documento]&amp;"|"&amp;tblBase[Código grupo],tblBase[Fecha matrícula],"")</f>
        <v/>
      </c>
    </row>
    <row r="1109" spans="1:26" x14ac:dyDescent="0.2">
      <c r="A1109" t="s">
        <v>2357</v>
      </c>
      <c r="B1109" t="s">
        <v>2358</v>
      </c>
      <c r="C1109" t="s">
        <v>13</v>
      </c>
      <c r="D1109" t="s">
        <v>2349</v>
      </c>
      <c r="E1109" t="s">
        <v>2350</v>
      </c>
      <c r="F1109" t="s">
        <v>335</v>
      </c>
      <c r="G1109" s="1">
        <v>0.16699999999999998</v>
      </c>
      <c r="H1109" t="s">
        <v>229</v>
      </c>
      <c r="I1109" t="s">
        <v>1580</v>
      </c>
      <c r="J1109" t="s">
        <v>2351</v>
      </c>
      <c r="K1109" t="s">
        <v>1989</v>
      </c>
      <c r="L1109" s="14">
        <f>IFERROR(VALUE(LEFT(tblMatriculas[[#This Row],[Clases]],FIND("/",tblMatriculas[[#This Row],[Clases]])-1)),"")</f>
        <v>5</v>
      </c>
      <c r="M1109" s="14">
        <f>IFERROR(VALUE(MID(tblMatriculas[[#This Row],[Clases]],FIND("/",tblMatriculas[[#This Row],[Clases]])+1,5)),"")</f>
        <v>30</v>
      </c>
      <c r="N11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09" s="14">
        <f>IF(OR(tblMatriculas[[#This Row],[Estado]]&lt;&gt;"activa",tblMatriculas[[#This Row],[Clases dictadas]]=""),"",MAX(0,tblMatriculas[[#This Row],[Clases dictadas]]-tblMatriculas[[#This Row],[Asistidas]]))</f>
        <v>0</v>
      </c>
      <c r="P1109" s="1">
        <f>IF(OR(tblMatriculas[[#This Row],[Estado]]&lt;&gt;"activa",tblMatriculas[[#This Row],[Asistidas]]=""),"",tblMatriculas[[#This Row],[Asistencia]])</f>
        <v>0.16699999999999998</v>
      </c>
      <c r="Q1109" t="b">
        <f>AND(tblMatriculas[[#This Row],[Estado]]="activa",ISNUMBER(tblMatriculas[[#This Row],[% asistencia]]),NOT(ISNUMBER(SEARCH(pPrueba,tblMatriculas[[#This Row],[Nombre]]))))</f>
        <v>1</v>
      </c>
      <c r="R11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09" s="23" t="str" cm="1">
        <f t="array" ref="S11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09" s="23" t="str" cm="1">
        <f t="array" ref="T11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09" s="14" t="str" cm="1">
        <f t="array" ref="U11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09" t="str" cm="1">
        <f t="array" ref="V11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09" t="str" cm="1">
        <f t="array" ref="W11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09" t="str">
        <f>IF(COUNTIFS('Base Estudiantes'!$C:$C,tblMatriculas[[#This Row],[Cédula]],'Base Estudiantes'!$I:$I,tblMatriculas[[#This Row],[Código]])&gt;0,"Sí","No")</f>
        <v>Sí</v>
      </c>
      <c r="Z1109" s="23" cm="1">
        <f t="array" ref="Z1109">_xlfn.XLOOKUP(tblMatriculas[[#This Row],[Cédula]]&amp;"|"&amp;tblMatriculas[[#This Row],[Código]],tblBase[Documento]&amp;"|"&amp;tblBase[Código grupo],tblBase[Fecha matrícula],"")</f>
        <v>46263</v>
      </c>
    </row>
    <row r="1110" spans="1:26" x14ac:dyDescent="0.2">
      <c r="A1110" t="s">
        <v>2359</v>
      </c>
      <c r="B1110" t="s">
        <v>2360</v>
      </c>
      <c r="C1110" t="s">
        <v>13</v>
      </c>
      <c r="D1110" t="s">
        <v>2349</v>
      </c>
      <c r="E1110" t="s">
        <v>2350</v>
      </c>
      <c r="F1110" t="s">
        <v>335</v>
      </c>
      <c r="G1110" s="1">
        <v>6.7000000000000004E-2</v>
      </c>
      <c r="H1110" t="s">
        <v>166</v>
      </c>
      <c r="I1110" t="s">
        <v>1580</v>
      </c>
      <c r="J1110" t="s">
        <v>2351</v>
      </c>
      <c r="K1110" t="s">
        <v>24</v>
      </c>
      <c r="L1110" s="14">
        <f>IFERROR(VALUE(LEFT(tblMatriculas[[#This Row],[Clases]],FIND("/",tblMatriculas[[#This Row],[Clases]])-1)),"")</f>
        <v>2</v>
      </c>
      <c r="M1110" s="14">
        <f>IFERROR(VALUE(MID(tblMatriculas[[#This Row],[Clases]],FIND("/",tblMatriculas[[#This Row],[Clases]])+1,5)),"")</f>
        <v>30</v>
      </c>
      <c r="N11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0" s="14">
        <f>IF(OR(tblMatriculas[[#This Row],[Estado]]&lt;&gt;"activa",tblMatriculas[[#This Row],[Clases dictadas]]=""),"",MAX(0,tblMatriculas[[#This Row],[Clases dictadas]]-tblMatriculas[[#This Row],[Asistidas]]))</f>
        <v>3</v>
      </c>
      <c r="P1110" s="1">
        <f>IF(OR(tblMatriculas[[#This Row],[Estado]]&lt;&gt;"activa",tblMatriculas[[#This Row],[Asistidas]]=""),"",tblMatriculas[[#This Row],[Asistencia]])</f>
        <v>6.7000000000000004E-2</v>
      </c>
      <c r="Q1110" t="b">
        <f>AND(tblMatriculas[[#This Row],[Estado]]="activa",ISNUMBER(tblMatriculas[[#This Row],[% asistencia]]),NOT(ISNUMBER(SEARCH(pPrueba,tblMatriculas[[#This Row],[Nombre]]))))</f>
        <v>1</v>
      </c>
      <c r="R11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10" s="23" t="str" cm="1">
        <f t="array" ref="S11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0" s="23" t="str" cm="1">
        <f t="array" ref="T11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0" s="14" t="str" cm="1">
        <f t="array" ref="U11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0" t="str" cm="1">
        <f t="array" ref="V11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0" t="str" cm="1">
        <f t="array" ref="W11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10" t="str">
        <f>IF(COUNTIFS('Base Estudiantes'!$C:$C,tblMatriculas[[#This Row],[Cédula]],'Base Estudiantes'!$I:$I,tblMatriculas[[#This Row],[Código]])&gt;0,"Sí","No")</f>
        <v>Sí</v>
      </c>
      <c r="Z1110" s="23" cm="1">
        <f t="array" ref="Z1110">_xlfn.XLOOKUP(tblMatriculas[[#This Row],[Cédula]]&amp;"|"&amp;tblMatriculas[[#This Row],[Código]],tblBase[Documento]&amp;"|"&amp;tblBase[Código grupo],tblBase[Fecha matrícula],"")</f>
        <v>46263</v>
      </c>
    </row>
    <row r="1111" spans="1:26" x14ac:dyDescent="0.2">
      <c r="A1111" t="s">
        <v>2361</v>
      </c>
      <c r="B1111" t="s">
        <v>2362</v>
      </c>
      <c r="C1111" t="s">
        <v>13</v>
      </c>
      <c r="D1111" t="s">
        <v>2349</v>
      </c>
      <c r="E1111" t="s">
        <v>2350</v>
      </c>
      <c r="F1111" t="s">
        <v>335</v>
      </c>
      <c r="G1111" s="1">
        <v>0.1</v>
      </c>
      <c r="H1111" t="s">
        <v>117</v>
      </c>
      <c r="I1111" t="s">
        <v>1580</v>
      </c>
      <c r="J1111" t="s">
        <v>2351</v>
      </c>
      <c r="K1111" t="s">
        <v>24</v>
      </c>
      <c r="L1111" s="14">
        <f>IFERROR(VALUE(LEFT(tblMatriculas[[#This Row],[Clases]],FIND("/",tblMatriculas[[#This Row],[Clases]])-1)),"")</f>
        <v>3</v>
      </c>
      <c r="M1111" s="14">
        <f>IFERROR(VALUE(MID(tblMatriculas[[#This Row],[Clases]],FIND("/",tblMatriculas[[#This Row],[Clases]])+1,5)),"")</f>
        <v>30</v>
      </c>
      <c r="N11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1" s="14">
        <f>IF(OR(tblMatriculas[[#This Row],[Estado]]&lt;&gt;"activa",tblMatriculas[[#This Row],[Clases dictadas]]=""),"",MAX(0,tblMatriculas[[#This Row],[Clases dictadas]]-tblMatriculas[[#This Row],[Asistidas]]))</f>
        <v>2</v>
      </c>
      <c r="P1111" s="1">
        <f>IF(OR(tblMatriculas[[#This Row],[Estado]]&lt;&gt;"activa",tblMatriculas[[#This Row],[Asistidas]]=""),"",tblMatriculas[[#This Row],[Asistencia]])</f>
        <v>0.1</v>
      </c>
      <c r="Q1111" t="b">
        <f>AND(tblMatriculas[[#This Row],[Estado]]="activa",ISNUMBER(tblMatriculas[[#This Row],[% asistencia]]),NOT(ISNUMBER(SEARCH(pPrueba,tblMatriculas[[#This Row],[Nombre]]))))</f>
        <v>1</v>
      </c>
      <c r="R11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1" s="23" t="str" cm="1">
        <f t="array" ref="S11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1" s="23" t="str" cm="1">
        <f t="array" ref="T11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1" s="14" t="str" cm="1">
        <f t="array" ref="U11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1" t="str" cm="1">
        <f t="array" ref="V11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1" t="str" cm="1">
        <f t="array" ref="W11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1" t="str">
        <f>IF(COUNTIFS('Base Estudiantes'!$C:$C,tblMatriculas[[#This Row],[Cédula]],'Base Estudiantes'!$I:$I,tblMatriculas[[#This Row],[Código]])&gt;0,"Sí","No")</f>
        <v>Sí</v>
      </c>
      <c r="Z1111" s="23" cm="1">
        <f t="array" ref="Z1111">_xlfn.XLOOKUP(tblMatriculas[[#This Row],[Cédula]]&amp;"|"&amp;tblMatriculas[[#This Row],[Código]],tblBase[Documento]&amp;"|"&amp;tblBase[Código grupo],tblBase[Fecha matrícula],"")</f>
        <v>46263</v>
      </c>
    </row>
    <row r="1112" spans="1:26" x14ac:dyDescent="0.2">
      <c r="A1112" t="s">
        <v>2363</v>
      </c>
      <c r="B1112" t="s">
        <v>2364</v>
      </c>
      <c r="C1112" t="s">
        <v>13</v>
      </c>
      <c r="D1112" t="s">
        <v>2349</v>
      </c>
      <c r="E1112" t="s">
        <v>2350</v>
      </c>
      <c r="F1112" t="s">
        <v>335</v>
      </c>
      <c r="G1112" s="1">
        <v>0.1</v>
      </c>
      <c r="H1112" t="s">
        <v>117</v>
      </c>
      <c r="I1112" t="s">
        <v>1580</v>
      </c>
      <c r="J1112" t="s">
        <v>2351</v>
      </c>
      <c r="K1112" t="s">
        <v>24</v>
      </c>
      <c r="L1112" s="14">
        <f>IFERROR(VALUE(LEFT(tblMatriculas[[#This Row],[Clases]],FIND("/",tblMatriculas[[#This Row],[Clases]])-1)),"")</f>
        <v>3</v>
      </c>
      <c r="M1112" s="14">
        <f>IFERROR(VALUE(MID(tblMatriculas[[#This Row],[Clases]],FIND("/",tblMatriculas[[#This Row],[Clases]])+1,5)),"")</f>
        <v>30</v>
      </c>
      <c r="N11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2" s="14">
        <f>IF(OR(tblMatriculas[[#This Row],[Estado]]&lt;&gt;"activa",tblMatriculas[[#This Row],[Clases dictadas]]=""),"",MAX(0,tblMatriculas[[#This Row],[Clases dictadas]]-tblMatriculas[[#This Row],[Asistidas]]))</f>
        <v>2</v>
      </c>
      <c r="P1112" s="1">
        <f>IF(OR(tblMatriculas[[#This Row],[Estado]]&lt;&gt;"activa",tblMatriculas[[#This Row],[Asistidas]]=""),"",tblMatriculas[[#This Row],[Asistencia]])</f>
        <v>0.1</v>
      </c>
      <c r="Q1112" t="b">
        <f>AND(tblMatriculas[[#This Row],[Estado]]="activa",ISNUMBER(tblMatriculas[[#This Row],[% asistencia]]),NOT(ISNUMBER(SEARCH(pPrueba,tblMatriculas[[#This Row],[Nombre]]))))</f>
        <v>1</v>
      </c>
      <c r="R11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2" s="23" t="str" cm="1">
        <f t="array" ref="S11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2" s="23" t="str" cm="1">
        <f t="array" ref="T11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2" s="14" t="str" cm="1">
        <f t="array" ref="U11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2" t="str" cm="1">
        <f t="array" ref="V11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2" t="str" cm="1">
        <f t="array" ref="W11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2" t="str">
        <f>IF(COUNTIFS('Base Estudiantes'!$C:$C,tblMatriculas[[#This Row],[Cédula]],'Base Estudiantes'!$I:$I,tblMatriculas[[#This Row],[Código]])&gt;0,"Sí","No")</f>
        <v>Sí</v>
      </c>
      <c r="Z1112" s="23" cm="1">
        <f t="array" ref="Z1112">_xlfn.XLOOKUP(tblMatriculas[[#This Row],[Cédula]]&amp;"|"&amp;tblMatriculas[[#This Row],[Código]],tblBase[Documento]&amp;"|"&amp;tblBase[Código grupo],tblBase[Fecha matrícula],"")</f>
        <v>46263</v>
      </c>
    </row>
    <row r="1113" spans="1:26" x14ac:dyDescent="0.2">
      <c r="A1113" t="s">
        <v>2365</v>
      </c>
      <c r="B1113" t="s">
        <v>2366</v>
      </c>
      <c r="C1113" t="s">
        <v>13</v>
      </c>
      <c r="D1113" t="s">
        <v>2349</v>
      </c>
      <c r="E1113" t="s">
        <v>2350</v>
      </c>
      <c r="F1113" t="s">
        <v>335</v>
      </c>
      <c r="G1113" s="1">
        <v>0</v>
      </c>
      <c r="H1113" t="s">
        <v>254</v>
      </c>
      <c r="I1113" t="s">
        <v>1580</v>
      </c>
      <c r="J1113" t="s">
        <v>2351</v>
      </c>
      <c r="K1113" t="s">
        <v>24</v>
      </c>
      <c r="L1113" s="14">
        <f>IFERROR(VALUE(LEFT(tblMatriculas[[#This Row],[Clases]],FIND("/",tblMatriculas[[#This Row],[Clases]])-1)),"")</f>
        <v>0</v>
      </c>
      <c r="M1113" s="14">
        <f>IFERROR(VALUE(MID(tblMatriculas[[#This Row],[Clases]],FIND("/",tblMatriculas[[#This Row],[Clases]])+1,5)),"")</f>
        <v>30</v>
      </c>
      <c r="N11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3" s="14">
        <f>IF(OR(tblMatriculas[[#This Row],[Estado]]&lt;&gt;"activa",tblMatriculas[[#This Row],[Clases dictadas]]=""),"",MAX(0,tblMatriculas[[#This Row],[Clases dictadas]]-tblMatriculas[[#This Row],[Asistidas]]))</f>
        <v>5</v>
      </c>
      <c r="P1113" s="1">
        <f>IF(OR(tblMatriculas[[#This Row],[Estado]]&lt;&gt;"activa",tblMatriculas[[#This Row],[Asistidas]]=""),"",tblMatriculas[[#This Row],[Asistencia]])</f>
        <v>0</v>
      </c>
      <c r="Q1113" t="b">
        <f>AND(tblMatriculas[[#This Row],[Estado]]="activa",ISNUMBER(tblMatriculas[[#This Row],[% asistencia]]),NOT(ISNUMBER(SEARCH(pPrueba,tblMatriculas[[#This Row],[Nombre]]))))</f>
        <v>1</v>
      </c>
      <c r="R11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13" s="23" t="str" cm="1">
        <f t="array" ref="S11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3" s="23" t="str" cm="1">
        <f t="array" ref="T11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3" s="14" t="str" cm="1">
        <f t="array" ref="U11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3" t="str" cm="1">
        <f t="array" ref="V11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3" t="str" cm="1">
        <f t="array" ref="W11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13" t="str">
        <f>IF(COUNTIFS('Base Estudiantes'!$C:$C,tblMatriculas[[#This Row],[Cédula]],'Base Estudiantes'!$I:$I,tblMatriculas[[#This Row],[Código]])&gt;0,"Sí","No")</f>
        <v>Sí</v>
      </c>
      <c r="Z1113" s="23" cm="1">
        <f t="array" ref="Z1113">_xlfn.XLOOKUP(tblMatriculas[[#This Row],[Cédula]]&amp;"|"&amp;tblMatriculas[[#This Row],[Código]],tblBase[Documento]&amp;"|"&amp;tblBase[Código grupo],tblBase[Fecha matrícula],"")</f>
        <v>46263</v>
      </c>
    </row>
    <row r="1114" spans="1:26" x14ac:dyDescent="0.2">
      <c r="A1114" t="s">
        <v>2367</v>
      </c>
      <c r="B1114" t="s">
        <v>2368</v>
      </c>
      <c r="C1114" t="s">
        <v>13</v>
      </c>
      <c r="D1114" t="s">
        <v>2349</v>
      </c>
      <c r="E1114" t="s">
        <v>2350</v>
      </c>
      <c r="F1114" t="s">
        <v>335</v>
      </c>
      <c r="G1114" s="1">
        <v>0</v>
      </c>
      <c r="H1114" t="s">
        <v>254</v>
      </c>
      <c r="I1114" t="s">
        <v>1580</v>
      </c>
      <c r="J1114" t="s">
        <v>2351</v>
      </c>
      <c r="K1114" t="s">
        <v>24</v>
      </c>
      <c r="L1114" s="14">
        <f>IFERROR(VALUE(LEFT(tblMatriculas[[#This Row],[Clases]],FIND("/",tblMatriculas[[#This Row],[Clases]])-1)),"")</f>
        <v>0</v>
      </c>
      <c r="M1114" s="14">
        <f>IFERROR(VALUE(MID(tblMatriculas[[#This Row],[Clases]],FIND("/",tblMatriculas[[#This Row],[Clases]])+1,5)),"")</f>
        <v>30</v>
      </c>
      <c r="N11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4" s="14">
        <f>IF(OR(tblMatriculas[[#This Row],[Estado]]&lt;&gt;"activa",tblMatriculas[[#This Row],[Clases dictadas]]=""),"",MAX(0,tblMatriculas[[#This Row],[Clases dictadas]]-tblMatriculas[[#This Row],[Asistidas]]))</f>
        <v>5</v>
      </c>
      <c r="P1114" s="1">
        <f>IF(OR(tblMatriculas[[#This Row],[Estado]]&lt;&gt;"activa",tblMatriculas[[#This Row],[Asistidas]]=""),"",tblMatriculas[[#This Row],[Asistencia]])</f>
        <v>0</v>
      </c>
      <c r="Q1114" t="b">
        <f>AND(tblMatriculas[[#This Row],[Estado]]="activa",ISNUMBER(tblMatriculas[[#This Row],[% asistencia]]),NOT(ISNUMBER(SEARCH(pPrueba,tblMatriculas[[#This Row],[Nombre]]))))</f>
        <v>1</v>
      </c>
      <c r="R11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14" s="23" t="str" cm="1">
        <f t="array" ref="S11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4" s="23" t="str" cm="1">
        <f t="array" ref="T11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4" s="14" t="str" cm="1">
        <f t="array" ref="U11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4" t="str" cm="1">
        <f t="array" ref="V11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4" t="str" cm="1">
        <f t="array" ref="W11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14" t="str">
        <f>IF(COUNTIFS('Base Estudiantes'!$C:$C,tblMatriculas[[#This Row],[Cédula]],'Base Estudiantes'!$I:$I,tblMatriculas[[#This Row],[Código]])&gt;0,"Sí","No")</f>
        <v>Sí</v>
      </c>
      <c r="Z1114" s="23" cm="1">
        <f t="array" ref="Z1114">_xlfn.XLOOKUP(tblMatriculas[[#This Row],[Cédula]]&amp;"|"&amp;tblMatriculas[[#This Row],[Código]],tblBase[Documento]&amp;"|"&amp;tblBase[Código grupo],tblBase[Fecha matrícula],"")</f>
        <v>46263</v>
      </c>
    </row>
    <row r="1115" spans="1:26" x14ac:dyDescent="0.2">
      <c r="A1115" t="s">
        <v>2369</v>
      </c>
      <c r="B1115" t="s">
        <v>2370</v>
      </c>
      <c r="C1115" t="s">
        <v>13</v>
      </c>
      <c r="D1115" t="s">
        <v>2349</v>
      </c>
      <c r="E1115" t="s">
        <v>2350</v>
      </c>
      <c r="F1115" t="s">
        <v>335</v>
      </c>
      <c r="G1115" s="1">
        <v>0.1</v>
      </c>
      <c r="H1115" t="s">
        <v>117</v>
      </c>
      <c r="I1115" t="s">
        <v>1580</v>
      </c>
      <c r="J1115" t="s">
        <v>2351</v>
      </c>
      <c r="K1115" t="s">
        <v>24</v>
      </c>
      <c r="L1115" s="14">
        <f>IFERROR(VALUE(LEFT(tblMatriculas[[#This Row],[Clases]],FIND("/",tblMatriculas[[#This Row],[Clases]])-1)),"")</f>
        <v>3</v>
      </c>
      <c r="M1115" s="14">
        <f>IFERROR(VALUE(MID(tblMatriculas[[#This Row],[Clases]],FIND("/",tblMatriculas[[#This Row],[Clases]])+1,5)),"")</f>
        <v>30</v>
      </c>
      <c r="N11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5" s="14">
        <f>IF(OR(tblMatriculas[[#This Row],[Estado]]&lt;&gt;"activa",tblMatriculas[[#This Row],[Clases dictadas]]=""),"",MAX(0,tblMatriculas[[#This Row],[Clases dictadas]]-tblMatriculas[[#This Row],[Asistidas]]))</f>
        <v>2</v>
      </c>
      <c r="P1115" s="1">
        <f>IF(OR(tblMatriculas[[#This Row],[Estado]]&lt;&gt;"activa",tblMatriculas[[#This Row],[Asistidas]]=""),"",tblMatriculas[[#This Row],[Asistencia]])</f>
        <v>0.1</v>
      </c>
      <c r="Q1115" t="b">
        <f>AND(tblMatriculas[[#This Row],[Estado]]="activa",ISNUMBER(tblMatriculas[[#This Row],[% asistencia]]),NOT(ISNUMBER(SEARCH(pPrueba,tblMatriculas[[#This Row],[Nombre]]))))</f>
        <v>1</v>
      </c>
      <c r="R11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5" s="23" t="str" cm="1">
        <f t="array" ref="S11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5" s="23" t="str" cm="1">
        <f t="array" ref="T11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5" s="14" t="str" cm="1">
        <f t="array" ref="U11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5" t="str" cm="1">
        <f t="array" ref="V11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5" t="str" cm="1">
        <f t="array" ref="W11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5" t="str">
        <f>IF(COUNTIFS('Base Estudiantes'!$C:$C,tblMatriculas[[#This Row],[Cédula]],'Base Estudiantes'!$I:$I,tblMatriculas[[#This Row],[Código]])&gt;0,"Sí","No")</f>
        <v>Sí</v>
      </c>
      <c r="Z1115" s="23" cm="1">
        <f t="array" ref="Z1115">_xlfn.XLOOKUP(tblMatriculas[[#This Row],[Cédula]]&amp;"|"&amp;tblMatriculas[[#This Row],[Código]],tblBase[Documento]&amp;"|"&amp;tblBase[Código grupo],tblBase[Fecha matrícula],"")</f>
        <v>46263</v>
      </c>
    </row>
    <row r="1116" spans="1:26" x14ac:dyDescent="0.2">
      <c r="A1116" t="s">
        <v>2371</v>
      </c>
      <c r="B1116" t="s">
        <v>2372</v>
      </c>
      <c r="C1116" t="s">
        <v>13</v>
      </c>
      <c r="D1116" t="s">
        <v>2349</v>
      </c>
      <c r="E1116" t="s">
        <v>2350</v>
      </c>
      <c r="F1116" t="s">
        <v>335</v>
      </c>
      <c r="G1116" s="1">
        <v>0.13300000000000001</v>
      </c>
      <c r="H1116" t="s">
        <v>112</v>
      </c>
      <c r="I1116" t="s">
        <v>1580</v>
      </c>
      <c r="J1116" t="s">
        <v>2351</v>
      </c>
      <c r="K1116" t="s">
        <v>24</v>
      </c>
      <c r="L1116" s="14">
        <f>IFERROR(VALUE(LEFT(tblMatriculas[[#This Row],[Clases]],FIND("/",tblMatriculas[[#This Row],[Clases]])-1)),"")</f>
        <v>4</v>
      </c>
      <c r="M1116" s="14">
        <f>IFERROR(VALUE(MID(tblMatriculas[[#This Row],[Clases]],FIND("/",tblMatriculas[[#This Row],[Clases]])+1,5)),"")</f>
        <v>30</v>
      </c>
      <c r="N11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6" s="14">
        <f>IF(OR(tblMatriculas[[#This Row],[Estado]]&lt;&gt;"activa",tblMatriculas[[#This Row],[Clases dictadas]]=""),"",MAX(0,tblMatriculas[[#This Row],[Clases dictadas]]-tblMatriculas[[#This Row],[Asistidas]]))</f>
        <v>1</v>
      </c>
      <c r="P1116" s="1">
        <f>IF(OR(tblMatriculas[[#This Row],[Estado]]&lt;&gt;"activa",tblMatriculas[[#This Row],[Asistidas]]=""),"",tblMatriculas[[#This Row],[Asistencia]])</f>
        <v>0.13300000000000001</v>
      </c>
      <c r="Q1116" t="b">
        <f>AND(tblMatriculas[[#This Row],[Estado]]="activa",ISNUMBER(tblMatriculas[[#This Row],[% asistencia]]),NOT(ISNUMBER(SEARCH(pPrueba,tblMatriculas[[#This Row],[Nombre]]))))</f>
        <v>1</v>
      </c>
      <c r="R11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6" s="23" t="str" cm="1">
        <f t="array" ref="S11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6" s="23" t="str" cm="1">
        <f t="array" ref="T11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6" s="14" t="str" cm="1">
        <f t="array" ref="U11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6" t="str" cm="1">
        <f t="array" ref="V11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6" t="str" cm="1">
        <f t="array" ref="W11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6" t="str">
        <f>IF(COUNTIFS('Base Estudiantes'!$C:$C,tblMatriculas[[#This Row],[Cédula]],'Base Estudiantes'!$I:$I,tblMatriculas[[#This Row],[Código]])&gt;0,"Sí","No")</f>
        <v>Sí</v>
      </c>
      <c r="Z1116" s="23" cm="1">
        <f t="array" ref="Z1116">_xlfn.XLOOKUP(tblMatriculas[[#This Row],[Cédula]]&amp;"|"&amp;tblMatriculas[[#This Row],[Código]],tblBase[Documento]&amp;"|"&amp;tblBase[Código grupo],tblBase[Fecha matrícula],"")</f>
        <v>46263</v>
      </c>
    </row>
    <row r="1117" spans="1:26" x14ac:dyDescent="0.2">
      <c r="A1117" t="s">
        <v>2373</v>
      </c>
      <c r="B1117" t="s">
        <v>2374</v>
      </c>
      <c r="C1117" t="s">
        <v>13</v>
      </c>
      <c r="D1117" t="s">
        <v>2349</v>
      </c>
      <c r="E1117" t="s">
        <v>2350</v>
      </c>
      <c r="F1117" t="s">
        <v>335</v>
      </c>
      <c r="G1117" s="1">
        <v>3.3000000000000002E-2</v>
      </c>
      <c r="H1117" t="s">
        <v>225</v>
      </c>
      <c r="I1117" t="s">
        <v>1580</v>
      </c>
      <c r="J1117" t="s">
        <v>2351</v>
      </c>
      <c r="K1117" t="s">
        <v>24</v>
      </c>
      <c r="L1117" s="14">
        <f>IFERROR(VALUE(LEFT(tblMatriculas[[#This Row],[Clases]],FIND("/",tblMatriculas[[#This Row],[Clases]])-1)),"")</f>
        <v>1</v>
      </c>
      <c r="M1117" s="14">
        <f>IFERROR(VALUE(MID(tblMatriculas[[#This Row],[Clases]],FIND("/",tblMatriculas[[#This Row],[Clases]])+1,5)),"")</f>
        <v>30</v>
      </c>
      <c r="N11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7" s="14">
        <f>IF(OR(tblMatriculas[[#This Row],[Estado]]&lt;&gt;"activa",tblMatriculas[[#This Row],[Clases dictadas]]=""),"",MAX(0,tblMatriculas[[#This Row],[Clases dictadas]]-tblMatriculas[[#This Row],[Asistidas]]))</f>
        <v>4</v>
      </c>
      <c r="P1117" s="1">
        <f>IF(OR(tblMatriculas[[#This Row],[Estado]]&lt;&gt;"activa",tblMatriculas[[#This Row],[Asistidas]]=""),"",tblMatriculas[[#This Row],[Asistencia]])</f>
        <v>3.3000000000000002E-2</v>
      </c>
      <c r="Q1117" t="b">
        <f>AND(tblMatriculas[[#This Row],[Estado]]="activa",ISNUMBER(tblMatriculas[[#This Row],[% asistencia]]),NOT(ISNUMBER(SEARCH(pPrueba,tblMatriculas[[#This Row],[Nombre]]))))</f>
        <v>1</v>
      </c>
      <c r="R11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17" s="23" t="str" cm="1">
        <f t="array" ref="S11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7" s="23" t="str" cm="1">
        <f t="array" ref="T11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7" s="14" t="str" cm="1">
        <f t="array" ref="U11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7" t="str" cm="1">
        <f t="array" ref="V11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7" t="str" cm="1">
        <f t="array" ref="W11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17" t="str">
        <f>IF(COUNTIFS('Base Estudiantes'!$C:$C,tblMatriculas[[#This Row],[Cédula]],'Base Estudiantes'!$I:$I,tblMatriculas[[#This Row],[Código]])&gt;0,"Sí","No")</f>
        <v>Sí</v>
      </c>
      <c r="Z1117" s="23" cm="1">
        <f t="array" ref="Z1117">_xlfn.XLOOKUP(tblMatriculas[[#This Row],[Cédula]]&amp;"|"&amp;tblMatriculas[[#This Row],[Código]],tblBase[Documento]&amp;"|"&amp;tblBase[Código grupo],tblBase[Fecha matrícula],"")</f>
        <v>46263</v>
      </c>
    </row>
    <row r="1118" spans="1:26" x14ac:dyDescent="0.2">
      <c r="A1118" t="s">
        <v>2375</v>
      </c>
      <c r="B1118" t="s">
        <v>2376</v>
      </c>
      <c r="C1118" t="s">
        <v>13</v>
      </c>
      <c r="D1118" t="s">
        <v>2349</v>
      </c>
      <c r="E1118" t="s">
        <v>2350</v>
      </c>
      <c r="F1118" t="s">
        <v>335</v>
      </c>
      <c r="G1118" s="1">
        <v>0.16699999999999998</v>
      </c>
      <c r="H1118" t="s">
        <v>229</v>
      </c>
      <c r="I1118" t="s">
        <v>1580</v>
      </c>
      <c r="J1118" t="s">
        <v>2351</v>
      </c>
      <c r="K1118" t="s">
        <v>24</v>
      </c>
      <c r="L1118" s="14">
        <f>IFERROR(VALUE(LEFT(tblMatriculas[[#This Row],[Clases]],FIND("/",tblMatriculas[[#This Row],[Clases]])-1)),"")</f>
        <v>5</v>
      </c>
      <c r="M1118" s="14">
        <f>IFERROR(VALUE(MID(tblMatriculas[[#This Row],[Clases]],FIND("/",tblMatriculas[[#This Row],[Clases]])+1,5)),"")</f>
        <v>30</v>
      </c>
      <c r="N11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8" s="14">
        <f>IF(OR(tblMatriculas[[#This Row],[Estado]]&lt;&gt;"activa",tblMatriculas[[#This Row],[Clases dictadas]]=""),"",MAX(0,tblMatriculas[[#This Row],[Clases dictadas]]-tblMatriculas[[#This Row],[Asistidas]]))</f>
        <v>0</v>
      </c>
      <c r="P1118" s="1">
        <f>IF(OR(tblMatriculas[[#This Row],[Estado]]&lt;&gt;"activa",tblMatriculas[[#This Row],[Asistidas]]=""),"",tblMatriculas[[#This Row],[Asistencia]])</f>
        <v>0.16699999999999998</v>
      </c>
      <c r="Q1118" t="b">
        <f>AND(tblMatriculas[[#This Row],[Estado]]="activa",ISNUMBER(tblMatriculas[[#This Row],[% asistencia]]),NOT(ISNUMBER(SEARCH(pPrueba,tblMatriculas[[#This Row],[Nombre]]))))</f>
        <v>1</v>
      </c>
      <c r="R11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18" s="23" t="str" cm="1">
        <f t="array" ref="S11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8" s="23" t="str" cm="1">
        <f t="array" ref="T11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8" s="14" t="str" cm="1">
        <f t="array" ref="U11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8" t="str" cm="1">
        <f t="array" ref="V11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8" t="str" cm="1">
        <f t="array" ref="W11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18" t="str">
        <f>IF(COUNTIFS('Base Estudiantes'!$C:$C,tblMatriculas[[#This Row],[Cédula]],'Base Estudiantes'!$I:$I,tblMatriculas[[#This Row],[Código]])&gt;0,"Sí","No")</f>
        <v>Sí</v>
      </c>
      <c r="Z1118" s="23" cm="1">
        <f t="array" ref="Z1118">_xlfn.XLOOKUP(tblMatriculas[[#This Row],[Cédula]]&amp;"|"&amp;tblMatriculas[[#This Row],[Código]],tblBase[Documento]&amp;"|"&amp;tblBase[Código grupo],tblBase[Fecha matrícula],"")</f>
        <v>46263</v>
      </c>
    </row>
    <row r="1119" spans="1:26" x14ac:dyDescent="0.2">
      <c r="A1119" t="s">
        <v>2377</v>
      </c>
      <c r="B1119" t="s">
        <v>2378</v>
      </c>
      <c r="C1119" t="s">
        <v>13</v>
      </c>
      <c r="D1119" t="s">
        <v>2349</v>
      </c>
      <c r="E1119" t="s">
        <v>2350</v>
      </c>
      <c r="F1119" t="s">
        <v>335</v>
      </c>
      <c r="G1119" s="1">
        <v>0</v>
      </c>
      <c r="H1119" t="s">
        <v>254</v>
      </c>
      <c r="I1119" t="s">
        <v>1580</v>
      </c>
      <c r="J1119" t="s">
        <v>2351</v>
      </c>
      <c r="K1119" t="s">
        <v>24</v>
      </c>
      <c r="L1119" s="14">
        <f>IFERROR(VALUE(LEFT(tblMatriculas[[#This Row],[Clases]],FIND("/",tblMatriculas[[#This Row],[Clases]])-1)),"")</f>
        <v>0</v>
      </c>
      <c r="M1119" s="14">
        <f>IFERROR(VALUE(MID(tblMatriculas[[#This Row],[Clases]],FIND("/",tblMatriculas[[#This Row],[Clases]])+1,5)),"")</f>
        <v>30</v>
      </c>
      <c r="N11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19" s="14">
        <f>IF(OR(tblMatriculas[[#This Row],[Estado]]&lt;&gt;"activa",tblMatriculas[[#This Row],[Clases dictadas]]=""),"",MAX(0,tblMatriculas[[#This Row],[Clases dictadas]]-tblMatriculas[[#This Row],[Asistidas]]))</f>
        <v>5</v>
      </c>
      <c r="P1119" s="1">
        <f>IF(OR(tblMatriculas[[#This Row],[Estado]]&lt;&gt;"activa",tblMatriculas[[#This Row],[Asistidas]]=""),"",tblMatriculas[[#This Row],[Asistencia]])</f>
        <v>0</v>
      </c>
      <c r="Q1119" t="b">
        <f>AND(tblMatriculas[[#This Row],[Estado]]="activa",ISNUMBER(tblMatriculas[[#This Row],[% asistencia]]),NOT(ISNUMBER(SEARCH(pPrueba,tblMatriculas[[#This Row],[Nombre]]))))</f>
        <v>1</v>
      </c>
      <c r="R11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19" s="23" t="str" cm="1">
        <f t="array" ref="S11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19" s="23" t="str" cm="1">
        <f t="array" ref="T11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19" s="14" t="str" cm="1">
        <f t="array" ref="U11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19" t="str" cm="1">
        <f t="array" ref="V11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19" t="str" cm="1">
        <f t="array" ref="W11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19" t="str">
        <f>IF(COUNTIFS('Base Estudiantes'!$C:$C,tblMatriculas[[#This Row],[Cédula]],'Base Estudiantes'!$I:$I,tblMatriculas[[#This Row],[Código]])&gt;0,"Sí","No")</f>
        <v>Sí</v>
      </c>
      <c r="Z1119" s="23" cm="1">
        <f t="array" ref="Z1119">_xlfn.XLOOKUP(tblMatriculas[[#This Row],[Cédula]]&amp;"|"&amp;tblMatriculas[[#This Row],[Código]],tblBase[Documento]&amp;"|"&amp;tblBase[Código grupo],tblBase[Fecha matrícula],"")</f>
        <v>46263</v>
      </c>
    </row>
    <row r="1120" spans="1:26" x14ac:dyDescent="0.2">
      <c r="A1120" t="s">
        <v>2379</v>
      </c>
      <c r="B1120" t="s">
        <v>2380</v>
      </c>
      <c r="C1120" t="s">
        <v>13</v>
      </c>
      <c r="D1120" t="s">
        <v>2349</v>
      </c>
      <c r="E1120" t="s">
        <v>2350</v>
      </c>
      <c r="F1120" t="s">
        <v>335</v>
      </c>
      <c r="G1120" s="1">
        <v>0.16699999999999998</v>
      </c>
      <c r="H1120" t="s">
        <v>229</v>
      </c>
      <c r="I1120" t="s">
        <v>1580</v>
      </c>
      <c r="J1120" t="s">
        <v>2351</v>
      </c>
      <c r="K1120" t="s">
        <v>24</v>
      </c>
      <c r="L1120" s="14">
        <f>IFERROR(VALUE(LEFT(tblMatriculas[[#This Row],[Clases]],FIND("/",tblMatriculas[[#This Row],[Clases]])-1)),"")</f>
        <v>5</v>
      </c>
      <c r="M1120" s="14">
        <f>IFERROR(VALUE(MID(tblMatriculas[[#This Row],[Clases]],FIND("/",tblMatriculas[[#This Row],[Clases]])+1,5)),"")</f>
        <v>30</v>
      </c>
      <c r="N11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0" s="14">
        <f>IF(OR(tblMatriculas[[#This Row],[Estado]]&lt;&gt;"activa",tblMatriculas[[#This Row],[Clases dictadas]]=""),"",MAX(0,tblMatriculas[[#This Row],[Clases dictadas]]-tblMatriculas[[#This Row],[Asistidas]]))</f>
        <v>0</v>
      </c>
      <c r="P1120" s="1">
        <f>IF(OR(tblMatriculas[[#This Row],[Estado]]&lt;&gt;"activa",tblMatriculas[[#This Row],[Asistidas]]=""),"",tblMatriculas[[#This Row],[Asistencia]])</f>
        <v>0.16699999999999998</v>
      </c>
      <c r="Q1120" t="b">
        <f>AND(tblMatriculas[[#This Row],[Estado]]="activa",ISNUMBER(tblMatriculas[[#This Row],[% asistencia]]),NOT(ISNUMBER(SEARCH(pPrueba,tblMatriculas[[#This Row],[Nombre]]))))</f>
        <v>1</v>
      </c>
      <c r="R11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0" s="23" t="str" cm="1">
        <f t="array" ref="S11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0" s="23" t="str" cm="1">
        <f t="array" ref="T11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0" s="14" t="str" cm="1">
        <f t="array" ref="U11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0" t="str" cm="1">
        <f t="array" ref="V11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0" t="str" cm="1">
        <f t="array" ref="W11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0" t="str">
        <f>IF(COUNTIFS('Base Estudiantes'!$C:$C,tblMatriculas[[#This Row],[Cédula]],'Base Estudiantes'!$I:$I,tblMatriculas[[#This Row],[Código]])&gt;0,"Sí","No")</f>
        <v>Sí</v>
      </c>
      <c r="Z1120" s="23" cm="1">
        <f t="array" ref="Z1120">_xlfn.XLOOKUP(tblMatriculas[[#This Row],[Cédula]]&amp;"|"&amp;tblMatriculas[[#This Row],[Código]],tblBase[Documento]&amp;"|"&amp;tblBase[Código grupo],tblBase[Fecha matrícula],"")</f>
        <v>46263</v>
      </c>
    </row>
    <row r="1121" spans="1:26" x14ac:dyDescent="0.2">
      <c r="A1121" t="s">
        <v>2381</v>
      </c>
      <c r="B1121" t="s">
        <v>2382</v>
      </c>
      <c r="C1121" t="s">
        <v>13</v>
      </c>
      <c r="D1121" t="s">
        <v>2349</v>
      </c>
      <c r="E1121" t="s">
        <v>2350</v>
      </c>
      <c r="F1121" t="s">
        <v>335</v>
      </c>
      <c r="G1121" s="1">
        <v>0.13300000000000001</v>
      </c>
      <c r="H1121" t="s">
        <v>112</v>
      </c>
      <c r="I1121" t="s">
        <v>1580</v>
      </c>
      <c r="J1121" t="s">
        <v>2351</v>
      </c>
      <c r="K1121" t="s">
        <v>24</v>
      </c>
      <c r="L1121" s="14">
        <f>IFERROR(VALUE(LEFT(tblMatriculas[[#This Row],[Clases]],FIND("/",tblMatriculas[[#This Row],[Clases]])-1)),"")</f>
        <v>4</v>
      </c>
      <c r="M1121" s="14">
        <f>IFERROR(VALUE(MID(tblMatriculas[[#This Row],[Clases]],FIND("/",tblMatriculas[[#This Row],[Clases]])+1,5)),"")</f>
        <v>30</v>
      </c>
      <c r="N11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1" s="14">
        <f>IF(OR(tblMatriculas[[#This Row],[Estado]]&lt;&gt;"activa",tblMatriculas[[#This Row],[Clases dictadas]]=""),"",MAX(0,tblMatriculas[[#This Row],[Clases dictadas]]-tblMatriculas[[#This Row],[Asistidas]]))</f>
        <v>1</v>
      </c>
      <c r="P1121" s="1">
        <f>IF(OR(tblMatriculas[[#This Row],[Estado]]&lt;&gt;"activa",tblMatriculas[[#This Row],[Asistidas]]=""),"",tblMatriculas[[#This Row],[Asistencia]])</f>
        <v>0.13300000000000001</v>
      </c>
      <c r="Q1121" t="b">
        <f>AND(tblMatriculas[[#This Row],[Estado]]="activa",ISNUMBER(tblMatriculas[[#This Row],[% asistencia]]),NOT(ISNUMBER(SEARCH(pPrueba,tblMatriculas[[#This Row],[Nombre]]))))</f>
        <v>1</v>
      </c>
      <c r="R11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1" s="23" t="str" cm="1">
        <f t="array" ref="S11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1" s="23" t="str" cm="1">
        <f t="array" ref="T11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1" s="14" t="str" cm="1">
        <f t="array" ref="U11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1" t="str" cm="1">
        <f t="array" ref="V11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1" t="str" cm="1">
        <f t="array" ref="W11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1" t="str">
        <f>IF(COUNTIFS('Base Estudiantes'!$C:$C,tblMatriculas[[#This Row],[Cédula]],'Base Estudiantes'!$I:$I,tblMatriculas[[#This Row],[Código]])&gt;0,"Sí","No")</f>
        <v>Sí</v>
      </c>
      <c r="Z1121" s="23" cm="1">
        <f t="array" ref="Z1121">_xlfn.XLOOKUP(tblMatriculas[[#This Row],[Cédula]]&amp;"|"&amp;tblMatriculas[[#This Row],[Código]],tblBase[Documento]&amp;"|"&amp;tblBase[Código grupo],tblBase[Fecha matrícula],"")</f>
        <v>46263</v>
      </c>
    </row>
    <row r="1122" spans="1:26" x14ac:dyDescent="0.2">
      <c r="A1122" t="s">
        <v>2383</v>
      </c>
      <c r="B1122" t="s">
        <v>2384</v>
      </c>
      <c r="C1122" t="s">
        <v>13</v>
      </c>
      <c r="D1122" t="s">
        <v>2349</v>
      </c>
      <c r="E1122" t="s">
        <v>2350</v>
      </c>
      <c r="F1122" t="s">
        <v>335</v>
      </c>
      <c r="G1122" s="1">
        <v>0</v>
      </c>
      <c r="H1122" t="s">
        <v>254</v>
      </c>
      <c r="I1122" t="s">
        <v>1580</v>
      </c>
      <c r="J1122" t="s">
        <v>2351</v>
      </c>
      <c r="K1122" t="s">
        <v>24</v>
      </c>
      <c r="L1122" s="14">
        <f>IFERROR(VALUE(LEFT(tblMatriculas[[#This Row],[Clases]],FIND("/",tblMatriculas[[#This Row],[Clases]])-1)),"")</f>
        <v>0</v>
      </c>
      <c r="M1122" s="14">
        <f>IFERROR(VALUE(MID(tblMatriculas[[#This Row],[Clases]],FIND("/",tblMatriculas[[#This Row],[Clases]])+1,5)),"")</f>
        <v>30</v>
      </c>
      <c r="N11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2" s="14">
        <f>IF(OR(tblMatriculas[[#This Row],[Estado]]&lt;&gt;"activa",tblMatriculas[[#This Row],[Clases dictadas]]=""),"",MAX(0,tblMatriculas[[#This Row],[Clases dictadas]]-tblMatriculas[[#This Row],[Asistidas]]))</f>
        <v>5</v>
      </c>
      <c r="P1122" s="1">
        <f>IF(OR(tblMatriculas[[#This Row],[Estado]]&lt;&gt;"activa",tblMatriculas[[#This Row],[Asistidas]]=""),"",tblMatriculas[[#This Row],[Asistencia]])</f>
        <v>0</v>
      </c>
      <c r="Q1122" t="b">
        <f>AND(tblMatriculas[[#This Row],[Estado]]="activa",ISNUMBER(tblMatriculas[[#This Row],[% asistencia]]),NOT(ISNUMBER(SEARCH(pPrueba,tblMatriculas[[#This Row],[Nombre]]))))</f>
        <v>1</v>
      </c>
      <c r="R11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22" s="23" t="str" cm="1">
        <f t="array" ref="S11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2" s="23" t="str" cm="1">
        <f t="array" ref="T11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2" s="14" t="str" cm="1">
        <f t="array" ref="U11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2" t="str" cm="1">
        <f t="array" ref="V11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2" t="str" cm="1">
        <f t="array" ref="W11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22" t="str">
        <f>IF(COUNTIFS('Base Estudiantes'!$C:$C,tblMatriculas[[#This Row],[Cédula]],'Base Estudiantes'!$I:$I,tblMatriculas[[#This Row],[Código]])&gt;0,"Sí","No")</f>
        <v>Sí</v>
      </c>
      <c r="Z1122" s="23" cm="1">
        <f t="array" ref="Z1122">_xlfn.XLOOKUP(tblMatriculas[[#This Row],[Cédula]]&amp;"|"&amp;tblMatriculas[[#This Row],[Código]],tblBase[Documento]&amp;"|"&amp;tblBase[Código grupo],tblBase[Fecha matrícula],"")</f>
        <v>46263</v>
      </c>
    </row>
    <row r="1123" spans="1:26" x14ac:dyDescent="0.2">
      <c r="A1123" t="s">
        <v>2385</v>
      </c>
      <c r="B1123" t="s">
        <v>2386</v>
      </c>
      <c r="C1123" t="s">
        <v>13</v>
      </c>
      <c r="D1123" t="s">
        <v>2349</v>
      </c>
      <c r="E1123" t="s">
        <v>2350</v>
      </c>
      <c r="F1123" t="s">
        <v>335</v>
      </c>
      <c r="G1123" s="1">
        <v>0</v>
      </c>
      <c r="H1123" t="s">
        <v>254</v>
      </c>
      <c r="I1123" t="s">
        <v>1580</v>
      </c>
      <c r="J1123" t="s">
        <v>2351</v>
      </c>
      <c r="K1123" t="s">
        <v>24</v>
      </c>
      <c r="L1123" s="14">
        <f>IFERROR(VALUE(LEFT(tblMatriculas[[#This Row],[Clases]],FIND("/",tblMatriculas[[#This Row],[Clases]])-1)),"")</f>
        <v>0</v>
      </c>
      <c r="M1123" s="14">
        <f>IFERROR(VALUE(MID(tblMatriculas[[#This Row],[Clases]],FIND("/",tblMatriculas[[#This Row],[Clases]])+1,5)),"")</f>
        <v>30</v>
      </c>
      <c r="N11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3" s="14">
        <f>IF(OR(tblMatriculas[[#This Row],[Estado]]&lt;&gt;"activa",tblMatriculas[[#This Row],[Clases dictadas]]=""),"",MAX(0,tblMatriculas[[#This Row],[Clases dictadas]]-tblMatriculas[[#This Row],[Asistidas]]))</f>
        <v>5</v>
      </c>
      <c r="P1123" s="1">
        <f>IF(OR(tblMatriculas[[#This Row],[Estado]]&lt;&gt;"activa",tblMatriculas[[#This Row],[Asistidas]]=""),"",tblMatriculas[[#This Row],[Asistencia]])</f>
        <v>0</v>
      </c>
      <c r="Q1123" t="b">
        <f>AND(tblMatriculas[[#This Row],[Estado]]="activa",ISNUMBER(tblMatriculas[[#This Row],[% asistencia]]),NOT(ISNUMBER(SEARCH(pPrueba,tblMatriculas[[#This Row],[Nombre]]))))</f>
        <v>1</v>
      </c>
      <c r="R11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23" s="23" t="str" cm="1">
        <f t="array" ref="S11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3" s="23" t="str" cm="1">
        <f t="array" ref="T11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3" s="14" t="str" cm="1">
        <f t="array" ref="U11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3" t="str" cm="1">
        <f t="array" ref="V11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3" t="str" cm="1">
        <f t="array" ref="W11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23" t="str">
        <f>IF(COUNTIFS('Base Estudiantes'!$C:$C,tblMatriculas[[#This Row],[Cédula]],'Base Estudiantes'!$I:$I,tblMatriculas[[#This Row],[Código]])&gt;0,"Sí","No")</f>
        <v>Sí</v>
      </c>
      <c r="Z1123" s="23" cm="1">
        <f t="array" ref="Z1123">_xlfn.XLOOKUP(tblMatriculas[[#This Row],[Cédula]]&amp;"|"&amp;tblMatriculas[[#This Row],[Código]],tblBase[Documento]&amp;"|"&amp;tblBase[Código grupo],tblBase[Fecha matrícula],"")</f>
        <v>46263</v>
      </c>
    </row>
    <row r="1124" spans="1:26" x14ac:dyDescent="0.2">
      <c r="A1124" t="s">
        <v>2387</v>
      </c>
      <c r="B1124" t="s">
        <v>2388</v>
      </c>
      <c r="C1124" t="s">
        <v>13</v>
      </c>
      <c r="D1124" t="s">
        <v>2349</v>
      </c>
      <c r="E1124" t="s">
        <v>2350</v>
      </c>
      <c r="F1124" t="s">
        <v>335</v>
      </c>
      <c r="G1124" s="1">
        <v>0.13300000000000001</v>
      </c>
      <c r="H1124" t="s">
        <v>112</v>
      </c>
      <c r="I1124" t="s">
        <v>1580</v>
      </c>
      <c r="J1124" t="s">
        <v>2351</v>
      </c>
      <c r="K1124" t="s">
        <v>24</v>
      </c>
      <c r="L1124" s="14">
        <f>IFERROR(VALUE(LEFT(tblMatriculas[[#This Row],[Clases]],FIND("/",tblMatriculas[[#This Row],[Clases]])-1)),"")</f>
        <v>4</v>
      </c>
      <c r="M1124" s="14">
        <f>IFERROR(VALUE(MID(tblMatriculas[[#This Row],[Clases]],FIND("/",tblMatriculas[[#This Row],[Clases]])+1,5)),"")</f>
        <v>30</v>
      </c>
      <c r="N11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4" s="14">
        <f>IF(OR(tblMatriculas[[#This Row],[Estado]]&lt;&gt;"activa",tblMatriculas[[#This Row],[Clases dictadas]]=""),"",MAX(0,tblMatriculas[[#This Row],[Clases dictadas]]-tblMatriculas[[#This Row],[Asistidas]]))</f>
        <v>1</v>
      </c>
      <c r="P1124" s="1">
        <f>IF(OR(tblMatriculas[[#This Row],[Estado]]&lt;&gt;"activa",tblMatriculas[[#This Row],[Asistidas]]=""),"",tblMatriculas[[#This Row],[Asistencia]])</f>
        <v>0.13300000000000001</v>
      </c>
      <c r="Q1124" t="b">
        <f>AND(tblMatriculas[[#This Row],[Estado]]="activa",ISNUMBER(tblMatriculas[[#This Row],[% asistencia]]),NOT(ISNUMBER(SEARCH(pPrueba,tblMatriculas[[#This Row],[Nombre]]))))</f>
        <v>1</v>
      </c>
      <c r="R11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4" s="23" t="str" cm="1">
        <f t="array" ref="S11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4" s="23" t="str" cm="1">
        <f t="array" ref="T11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4" s="14" t="str" cm="1">
        <f t="array" ref="U11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4" t="str" cm="1">
        <f t="array" ref="V11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4" t="str" cm="1">
        <f t="array" ref="W11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4" t="str">
        <f>IF(COUNTIFS('Base Estudiantes'!$C:$C,tblMatriculas[[#This Row],[Cédula]],'Base Estudiantes'!$I:$I,tblMatriculas[[#This Row],[Código]])&gt;0,"Sí","No")</f>
        <v>Sí</v>
      </c>
      <c r="Z1124" s="23" cm="1">
        <f t="array" ref="Z1124">_xlfn.XLOOKUP(tblMatriculas[[#This Row],[Cédula]]&amp;"|"&amp;tblMatriculas[[#This Row],[Código]],tblBase[Documento]&amp;"|"&amp;tblBase[Código grupo],tblBase[Fecha matrícula],"")</f>
        <v>46263</v>
      </c>
    </row>
    <row r="1125" spans="1:26" x14ac:dyDescent="0.2">
      <c r="A1125" t="s">
        <v>2389</v>
      </c>
      <c r="B1125" t="s">
        <v>2390</v>
      </c>
      <c r="C1125" t="s">
        <v>13</v>
      </c>
      <c r="D1125" t="s">
        <v>2349</v>
      </c>
      <c r="E1125" t="s">
        <v>2350</v>
      </c>
      <c r="F1125" t="s">
        <v>335</v>
      </c>
      <c r="G1125" s="1">
        <v>0.16699999999999998</v>
      </c>
      <c r="H1125" t="s">
        <v>229</v>
      </c>
      <c r="I1125" t="s">
        <v>1580</v>
      </c>
      <c r="J1125" t="s">
        <v>2351</v>
      </c>
      <c r="K1125" t="s">
        <v>24</v>
      </c>
      <c r="L1125" s="14">
        <f>IFERROR(VALUE(LEFT(tblMatriculas[[#This Row],[Clases]],FIND("/",tblMatriculas[[#This Row],[Clases]])-1)),"")</f>
        <v>5</v>
      </c>
      <c r="M1125" s="14">
        <f>IFERROR(VALUE(MID(tblMatriculas[[#This Row],[Clases]],FIND("/",tblMatriculas[[#This Row],[Clases]])+1,5)),"")</f>
        <v>30</v>
      </c>
      <c r="N11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5" s="14">
        <f>IF(OR(tblMatriculas[[#This Row],[Estado]]&lt;&gt;"activa",tblMatriculas[[#This Row],[Clases dictadas]]=""),"",MAX(0,tblMatriculas[[#This Row],[Clases dictadas]]-tblMatriculas[[#This Row],[Asistidas]]))</f>
        <v>0</v>
      </c>
      <c r="P1125" s="1">
        <f>IF(OR(tblMatriculas[[#This Row],[Estado]]&lt;&gt;"activa",tblMatriculas[[#This Row],[Asistidas]]=""),"",tblMatriculas[[#This Row],[Asistencia]])</f>
        <v>0.16699999999999998</v>
      </c>
      <c r="Q1125" t="b">
        <f>AND(tblMatriculas[[#This Row],[Estado]]="activa",ISNUMBER(tblMatriculas[[#This Row],[% asistencia]]),NOT(ISNUMBER(SEARCH(pPrueba,tblMatriculas[[#This Row],[Nombre]]))))</f>
        <v>1</v>
      </c>
      <c r="R11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5" s="23" t="str" cm="1">
        <f t="array" ref="S11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5" s="23" t="str" cm="1">
        <f t="array" ref="T11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5" s="14" t="str" cm="1">
        <f t="array" ref="U11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5" t="str" cm="1">
        <f t="array" ref="V11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5" t="str" cm="1">
        <f t="array" ref="W11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5" t="str">
        <f>IF(COUNTIFS('Base Estudiantes'!$C:$C,tblMatriculas[[#This Row],[Cédula]],'Base Estudiantes'!$I:$I,tblMatriculas[[#This Row],[Código]])&gt;0,"Sí","No")</f>
        <v>Sí</v>
      </c>
      <c r="Z1125" s="23" cm="1">
        <f t="array" ref="Z1125">_xlfn.XLOOKUP(tblMatriculas[[#This Row],[Cédula]]&amp;"|"&amp;tblMatriculas[[#This Row],[Código]],tblBase[Documento]&amp;"|"&amp;tblBase[Código grupo],tblBase[Fecha matrícula],"")</f>
        <v>46263</v>
      </c>
    </row>
    <row r="1126" spans="1:26" x14ac:dyDescent="0.2">
      <c r="A1126" t="s">
        <v>2391</v>
      </c>
      <c r="B1126" t="s">
        <v>2392</v>
      </c>
      <c r="C1126" t="s">
        <v>13</v>
      </c>
      <c r="D1126" t="s">
        <v>2349</v>
      </c>
      <c r="E1126" t="s">
        <v>2350</v>
      </c>
      <c r="F1126" t="s">
        <v>335</v>
      </c>
      <c r="G1126" s="1">
        <v>0.16699999999999998</v>
      </c>
      <c r="H1126" t="s">
        <v>229</v>
      </c>
      <c r="I1126" t="s">
        <v>1580</v>
      </c>
      <c r="J1126" t="s">
        <v>2351</v>
      </c>
      <c r="K1126" t="s">
        <v>24</v>
      </c>
      <c r="L1126" s="14">
        <f>IFERROR(VALUE(LEFT(tblMatriculas[[#This Row],[Clases]],FIND("/",tblMatriculas[[#This Row],[Clases]])-1)),"")</f>
        <v>5</v>
      </c>
      <c r="M1126" s="14">
        <f>IFERROR(VALUE(MID(tblMatriculas[[#This Row],[Clases]],FIND("/",tblMatriculas[[#This Row],[Clases]])+1,5)),"")</f>
        <v>30</v>
      </c>
      <c r="N11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6" s="14">
        <f>IF(OR(tblMatriculas[[#This Row],[Estado]]&lt;&gt;"activa",tblMatriculas[[#This Row],[Clases dictadas]]=""),"",MAX(0,tblMatriculas[[#This Row],[Clases dictadas]]-tblMatriculas[[#This Row],[Asistidas]]))</f>
        <v>0</v>
      </c>
      <c r="P1126" s="1">
        <f>IF(OR(tblMatriculas[[#This Row],[Estado]]&lt;&gt;"activa",tblMatriculas[[#This Row],[Asistidas]]=""),"",tblMatriculas[[#This Row],[Asistencia]])</f>
        <v>0.16699999999999998</v>
      </c>
      <c r="Q1126" t="b">
        <f>AND(tblMatriculas[[#This Row],[Estado]]="activa",ISNUMBER(tblMatriculas[[#This Row],[% asistencia]]),NOT(ISNUMBER(SEARCH(pPrueba,tblMatriculas[[#This Row],[Nombre]]))))</f>
        <v>1</v>
      </c>
      <c r="R11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6" s="23" t="str" cm="1">
        <f t="array" ref="S11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6" s="23" t="str" cm="1">
        <f t="array" ref="T11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6" s="14" t="str" cm="1">
        <f t="array" ref="U11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6" t="str" cm="1">
        <f t="array" ref="V11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6" t="str" cm="1">
        <f t="array" ref="W11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6" t="str">
        <f>IF(COUNTIFS('Base Estudiantes'!$C:$C,tblMatriculas[[#This Row],[Cédula]],'Base Estudiantes'!$I:$I,tblMatriculas[[#This Row],[Código]])&gt;0,"Sí","No")</f>
        <v>Sí</v>
      </c>
      <c r="Z1126" s="23" cm="1">
        <f t="array" ref="Z1126">_xlfn.XLOOKUP(tblMatriculas[[#This Row],[Cédula]]&amp;"|"&amp;tblMatriculas[[#This Row],[Código]],tblBase[Documento]&amp;"|"&amp;tblBase[Código grupo],tblBase[Fecha matrícula],"")</f>
        <v>46263</v>
      </c>
    </row>
    <row r="1127" spans="1:26" x14ac:dyDescent="0.2">
      <c r="A1127" t="s">
        <v>2393</v>
      </c>
      <c r="B1127" t="s">
        <v>2394</v>
      </c>
      <c r="C1127" t="s">
        <v>13</v>
      </c>
      <c r="D1127" t="s">
        <v>2349</v>
      </c>
      <c r="E1127" t="s">
        <v>2350</v>
      </c>
      <c r="F1127" t="s">
        <v>335</v>
      </c>
      <c r="G1127" s="1">
        <v>3.3000000000000002E-2</v>
      </c>
      <c r="H1127" t="s">
        <v>225</v>
      </c>
      <c r="I1127" t="s">
        <v>1580</v>
      </c>
      <c r="J1127" t="s">
        <v>2351</v>
      </c>
      <c r="K1127" t="s">
        <v>24</v>
      </c>
      <c r="L1127" s="14">
        <f>IFERROR(VALUE(LEFT(tblMatriculas[[#This Row],[Clases]],FIND("/",tblMatriculas[[#This Row],[Clases]])-1)),"")</f>
        <v>1</v>
      </c>
      <c r="M1127" s="14">
        <f>IFERROR(VALUE(MID(tblMatriculas[[#This Row],[Clases]],FIND("/",tblMatriculas[[#This Row],[Clases]])+1,5)),"")</f>
        <v>30</v>
      </c>
      <c r="N11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7" s="14">
        <f>IF(OR(tblMatriculas[[#This Row],[Estado]]&lt;&gt;"activa",tblMatriculas[[#This Row],[Clases dictadas]]=""),"",MAX(0,tblMatriculas[[#This Row],[Clases dictadas]]-tblMatriculas[[#This Row],[Asistidas]]))</f>
        <v>4</v>
      </c>
      <c r="P1127" s="1">
        <f>IF(OR(tblMatriculas[[#This Row],[Estado]]&lt;&gt;"activa",tblMatriculas[[#This Row],[Asistidas]]=""),"",tblMatriculas[[#This Row],[Asistencia]])</f>
        <v>3.3000000000000002E-2</v>
      </c>
      <c r="Q1127" t="b">
        <f>AND(tblMatriculas[[#This Row],[Estado]]="activa",ISNUMBER(tblMatriculas[[#This Row],[% asistencia]]),NOT(ISNUMBER(SEARCH(pPrueba,tblMatriculas[[#This Row],[Nombre]]))))</f>
        <v>1</v>
      </c>
      <c r="R11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27" s="23" t="str" cm="1">
        <f t="array" ref="S11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7" s="23" t="str" cm="1">
        <f t="array" ref="T11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7" s="14" t="str" cm="1">
        <f t="array" ref="U11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7" t="str" cm="1">
        <f t="array" ref="V11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7" t="str" cm="1">
        <f t="array" ref="W11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27" t="str">
        <f>IF(COUNTIFS('Base Estudiantes'!$C:$C,tblMatriculas[[#This Row],[Cédula]],'Base Estudiantes'!$I:$I,tblMatriculas[[#This Row],[Código]])&gt;0,"Sí","No")</f>
        <v>Sí</v>
      </c>
      <c r="Z1127" s="23" cm="1">
        <f t="array" ref="Z1127">_xlfn.XLOOKUP(tblMatriculas[[#This Row],[Cédula]]&amp;"|"&amp;tblMatriculas[[#This Row],[Código]],tblBase[Documento]&amp;"|"&amp;tblBase[Código grupo],tblBase[Fecha matrícula],"")</f>
        <v>46263</v>
      </c>
    </row>
    <row r="1128" spans="1:26" x14ac:dyDescent="0.2">
      <c r="A1128" t="s">
        <v>2395</v>
      </c>
      <c r="B1128" t="s">
        <v>2396</v>
      </c>
      <c r="C1128" t="s">
        <v>13</v>
      </c>
      <c r="D1128" t="s">
        <v>2349</v>
      </c>
      <c r="E1128" t="s">
        <v>2350</v>
      </c>
      <c r="F1128" t="s">
        <v>335</v>
      </c>
      <c r="G1128" s="1">
        <v>0.13300000000000001</v>
      </c>
      <c r="H1128" t="s">
        <v>112</v>
      </c>
      <c r="I1128" t="s">
        <v>1580</v>
      </c>
      <c r="J1128" t="s">
        <v>2351</v>
      </c>
      <c r="K1128" t="s">
        <v>24</v>
      </c>
      <c r="L1128" s="14">
        <f>IFERROR(VALUE(LEFT(tblMatriculas[[#This Row],[Clases]],FIND("/",tblMatriculas[[#This Row],[Clases]])-1)),"")</f>
        <v>4</v>
      </c>
      <c r="M1128" s="14">
        <f>IFERROR(VALUE(MID(tblMatriculas[[#This Row],[Clases]],FIND("/",tblMatriculas[[#This Row],[Clases]])+1,5)),"")</f>
        <v>30</v>
      </c>
      <c r="N11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8" s="14">
        <f>IF(OR(tblMatriculas[[#This Row],[Estado]]&lt;&gt;"activa",tblMatriculas[[#This Row],[Clases dictadas]]=""),"",MAX(0,tblMatriculas[[#This Row],[Clases dictadas]]-tblMatriculas[[#This Row],[Asistidas]]))</f>
        <v>1</v>
      </c>
      <c r="P1128" s="1">
        <f>IF(OR(tblMatriculas[[#This Row],[Estado]]&lt;&gt;"activa",tblMatriculas[[#This Row],[Asistidas]]=""),"",tblMatriculas[[#This Row],[Asistencia]])</f>
        <v>0.13300000000000001</v>
      </c>
      <c r="Q1128" t="b">
        <f>AND(tblMatriculas[[#This Row],[Estado]]="activa",ISNUMBER(tblMatriculas[[#This Row],[% asistencia]]),NOT(ISNUMBER(SEARCH(pPrueba,tblMatriculas[[#This Row],[Nombre]]))))</f>
        <v>1</v>
      </c>
      <c r="R11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8" s="23" t="str" cm="1">
        <f t="array" ref="S11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8" s="23" t="str" cm="1">
        <f t="array" ref="T11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8" s="14" t="str" cm="1">
        <f t="array" ref="U11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8" t="str" cm="1">
        <f t="array" ref="V11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8" t="str" cm="1">
        <f t="array" ref="W11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8" t="str">
        <f>IF(COUNTIFS('Base Estudiantes'!$C:$C,tblMatriculas[[#This Row],[Cédula]],'Base Estudiantes'!$I:$I,tblMatriculas[[#This Row],[Código]])&gt;0,"Sí","No")</f>
        <v>Sí</v>
      </c>
      <c r="Z1128" s="23" cm="1">
        <f t="array" ref="Z1128">_xlfn.XLOOKUP(tblMatriculas[[#This Row],[Cédula]]&amp;"|"&amp;tblMatriculas[[#This Row],[Código]],tblBase[Documento]&amp;"|"&amp;tblBase[Código grupo],tblBase[Fecha matrícula],"")</f>
        <v>46263</v>
      </c>
    </row>
    <row r="1129" spans="1:26" x14ac:dyDescent="0.2">
      <c r="A1129" t="s">
        <v>2397</v>
      </c>
      <c r="B1129" t="s">
        <v>2398</v>
      </c>
      <c r="C1129" t="s">
        <v>13</v>
      </c>
      <c r="D1129" t="s">
        <v>2349</v>
      </c>
      <c r="E1129" t="s">
        <v>2350</v>
      </c>
      <c r="F1129" t="s">
        <v>335</v>
      </c>
      <c r="G1129" s="1">
        <v>0.16699999999999998</v>
      </c>
      <c r="H1129" t="s">
        <v>229</v>
      </c>
      <c r="I1129" t="s">
        <v>1580</v>
      </c>
      <c r="J1129" t="s">
        <v>2351</v>
      </c>
      <c r="K1129" t="s">
        <v>24</v>
      </c>
      <c r="L1129" s="14">
        <f>IFERROR(VALUE(LEFT(tblMatriculas[[#This Row],[Clases]],FIND("/",tblMatriculas[[#This Row],[Clases]])-1)),"")</f>
        <v>5</v>
      </c>
      <c r="M1129" s="14">
        <f>IFERROR(VALUE(MID(tblMatriculas[[#This Row],[Clases]],FIND("/",tblMatriculas[[#This Row],[Clases]])+1,5)),"")</f>
        <v>30</v>
      </c>
      <c r="N11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29" s="14">
        <f>IF(OR(tblMatriculas[[#This Row],[Estado]]&lt;&gt;"activa",tblMatriculas[[#This Row],[Clases dictadas]]=""),"",MAX(0,tblMatriculas[[#This Row],[Clases dictadas]]-tblMatriculas[[#This Row],[Asistidas]]))</f>
        <v>0</v>
      </c>
      <c r="P1129" s="1">
        <f>IF(OR(tblMatriculas[[#This Row],[Estado]]&lt;&gt;"activa",tblMatriculas[[#This Row],[Asistidas]]=""),"",tblMatriculas[[#This Row],[Asistencia]])</f>
        <v>0.16699999999999998</v>
      </c>
      <c r="Q1129" t="b">
        <f>AND(tblMatriculas[[#This Row],[Estado]]="activa",ISNUMBER(tblMatriculas[[#This Row],[% asistencia]]),NOT(ISNUMBER(SEARCH(pPrueba,tblMatriculas[[#This Row],[Nombre]]))))</f>
        <v>1</v>
      </c>
      <c r="R11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29" s="23" t="str" cm="1">
        <f t="array" ref="S11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29" s="23" t="str" cm="1">
        <f t="array" ref="T11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29" s="14" t="str" cm="1">
        <f t="array" ref="U11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29" t="str" cm="1">
        <f t="array" ref="V11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29" t="str" cm="1">
        <f t="array" ref="W11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29" t="str">
        <f>IF(COUNTIFS('Base Estudiantes'!$C:$C,tblMatriculas[[#This Row],[Cédula]],'Base Estudiantes'!$I:$I,tblMatriculas[[#This Row],[Código]])&gt;0,"Sí","No")</f>
        <v>Sí</v>
      </c>
      <c r="Z1129" s="23" cm="1">
        <f t="array" ref="Z1129">_xlfn.XLOOKUP(tblMatriculas[[#This Row],[Cédula]]&amp;"|"&amp;tblMatriculas[[#This Row],[Código]],tblBase[Documento]&amp;"|"&amp;tblBase[Código grupo],tblBase[Fecha matrícula],"")</f>
        <v>46263</v>
      </c>
    </row>
    <row r="1130" spans="1:26" x14ac:dyDescent="0.2">
      <c r="A1130" t="s">
        <v>2399</v>
      </c>
      <c r="B1130" t="s">
        <v>2400</v>
      </c>
      <c r="C1130" t="s">
        <v>13</v>
      </c>
      <c r="D1130" t="s">
        <v>2349</v>
      </c>
      <c r="E1130" t="s">
        <v>2350</v>
      </c>
      <c r="F1130" t="s">
        <v>335</v>
      </c>
      <c r="G1130" s="1">
        <v>0.16699999999999998</v>
      </c>
      <c r="H1130" t="s">
        <v>229</v>
      </c>
      <c r="I1130" t="s">
        <v>1580</v>
      </c>
      <c r="J1130" t="s">
        <v>2351</v>
      </c>
      <c r="K1130" t="s">
        <v>24</v>
      </c>
      <c r="L1130" s="14">
        <f>IFERROR(VALUE(LEFT(tblMatriculas[[#This Row],[Clases]],FIND("/",tblMatriculas[[#This Row],[Clases]])-1)),"")</f>
        <v>5</v>
      </c>
      <c r="M1130" s="14">
        <f>IFERROR(VALUE(MID(tblMatriculas[[#This Row],[Clases]],FIND("/",tblMatriculas[[#This Row],[Clases]])+1,5)),"")</f>
        <v>30</v>
      </c>
      <c r="N11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0" s="14">
        <f>IF(OR(tblMatriculas[[#This Row],[Estado]]&lt;&gt;"activa",tblMatriculas[[#This Row],[Clases dictadas]]=""),"",MAX(0,tblMatriculas[[#This Row],[Clases dictadas]]-tblMatriculas[[#This Row],[Asistidas]]))</f>
        <v>0</v>
      </c>
      <c r="P1130" s="1">
        <f>IF(OR(tblMatriculas[[#This Row],[Estado]]&lt;&gt;"activa",tblMatriculas[[#This Row],[Asistidas]]=""),"",tblMatriculas[[#This Row],[Asistencia]])</f>
        <v>0.16699999999999998</v>
      </c>
      <c r="Q1130" t="b">
        <f>AND(tblMatriculas[[#This Row],[Estado]]="activa",ISNUMBER(tblMatriculas[[#This Row],[% asistencia]]),NOT(ISNUMBER(SEARCH(pPrueba,tblMatriculas[[#This Row],[Nombre]]))))</f>
        <v>1</v>
      </c>
      <c r="R11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0" s="23" t="str" cm="1">
        <f t="array" ref="S11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0" s="23" t="str" cm="1">
        <f t="array" ref="T11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0" s="14" t="str" cm="1">
        <f t="array" ref="U11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0" t="str" cm="1">
        <f t="array" ref="V11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0" t="str" cm="1">
        <f t="array" ref="W11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0" t="str">
        <f>IF(COUNTIFS('Base Estudiantes'!$C:$C,tblMatriculas[[#This Row],[Cédula]],'Base Estudiantes'!$I:$I,tblMatriculas[[#This Row],[Código]])&gt;0,"Sí","No")</f>
        <v>Sí</v>
      </c>
      <c r="Z1130" s="23" cm="1">
        <f t="array" ref="Z1130">_xlfn.XLOOKUP(tblMatriculas[[#This Row],[Cédula]]&amp;"|"&amp;tblMatriculas[[#This Row],[Código]],tblBase[Documento]&amp;"|"&amp;tblBase[Código grupo],tblBase[Fecha matrícula],"")</f>
        <v>46263</v>
      </c>
    </row>
    <row r="1131" spans="1:26" x14ac:dyDescent="0.2">
      <c r="A1131" t="s">
        <v>2401</v>
      </c>
      <c r="B1131" t="s">
        <v>2402</v>
      </c>
      <c r="C1131" t="s">
        <v>13</v>
      </c>
      <c r="D1131" t="s">
        <v>2349</v>
      </c>
      <c r="E1131" t="s">
        <v>2350</v>
      </c>
      <c r="F1131" t="s">
        <v>335</v>
      </c>
      <c r="G1131" s="1">
        <v>0.13300000000000001</v>
      </c>
      <c r="H1131" t="s">
        <v>112</v>
      </c>
      <c r="I1131" t="s">
        <v>1580</v>
      </c>
      <c r="J1131" t="s">
        <v>2351</v>
      </c>
      <c r="K1131" t="s">
        <v>24</v>
      </c>
      <c r="L1131" s="14">
        <f>IFERROR(VALUE(LEFT(tblMatriculas[[#This Row],[Clases]],FIND("/",tblMatriculas[[#This Row],[Clases]])-1)),"")</f>
        <v>4</v>
      </c>
      <c r="M1131" s="14">
        <f>IFERROR(VALUE(MID(tblMatriculas[[#This Row],[Clases]],FIND("/",tblMatriculas[[#This Row],[Clases]])+1,5)),"")</f>
        <v>30</v>
      </c>
      <c r="N11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1" s="14">
        <f>IF(OR(tblMatriculas[[#This Row],[Estado]]&lt;&gt;"activa",tblMatriculas[[#This Row],[Clases dictadas]]=""),"",MAX(0,tblMatriculas[[#This Row],[Clases dictadas]]-tblMatriculas[[#This Row],[Asistidas]]))</f>
        <v>1</v>
      </c>
      <c r="P1131" s="1">
        <f>IF(OR(tblMatriculas[[#This Row],[Estado]]&lt;&gt;"activa",tblMatriculas[[#This Row],[Asistidas]]=""),"",tblMatriculas[[#This Row],[Asistencia]])</f>
        <v>0.13300000000000001</v>
      </c>
      <c r="Q1131" t="b">
        <f>AND(tblMatriculas[[#This Row],[Estado]]="activa",ISNUMBER(tblMatriculas[[#This Row],[% asistencia]]),NOT(ISNUMBER(SEARCH(pPrueba,tblMatriculas[[#This Row],[Nombre]]))))</f>
        <v>1</v>
      </c>
      <c r="R11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1" s="23" t="str" cm="1">
        <f t="array" ref="S11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1" s="23" t="str" cm="1">
        <f t="array" ref="T11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1" s="14" t="str" cm="1">
        <f t="array" ref="U11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1" t="str" cm="1">
        <f t="array" ref="V11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1" t="str" cm="1">
        <f t="array" ref="W11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1" t="str">
        <f>IF(COUNTIFS('Base Estudiantes'!$C:$C,tblMatriculas[[#This Row],[Cédula]],'Base Estudiantes'!$I:$I,tblMatriculas[[#This Row],[Código]])&gt;0,"Sí","No")</f>
        <v>Sí</v>
      </c>
      <c r="Z1131" s="23" cm="1">
        <f t="array" ref="Z1131">_xlfn.XLOOKUP(tblMatriculas[[#This Row],[Cédula]]&amp;"|"&amp;tblMatriculas[[#This Row],[Código]],tblBase[Documento]&amp;"|"&amp;tblBase[Código grupo],tblBase[Fecha matrícula],"")</f>
        <v>46263</v>
      </c>
    </row>
    <row r="1132" spans="1:26" x14ac:dyDescent="0.2">
      <c r="A1132" t="s">
        <v>2403</v>
      </c>
      <c r="B1132" t="s">
        <v>2404</v>
      </c>
      <c r="C1132" t="s">
        <v>13</v>
      </c>
      <c r="D1132" t="s">
        <v>2349</v>
      </c>
      <c r="E1132" t="s">
        <v>2350</v>
      </c>
      <c r="F1132" t="s">
        <v>335</v>
      </c>
      <c r="G1132" s="1">
        <v>6.7000000000000004E-2</v>
      </c>
      <c r="H1132" t="s">
        <v>166</v>
      </c>
      <c r="I1132" t="s">
        <v>1580</v>
      </c>
      <c r="J1132" t="s">
        <v>2351</v>
      </c>
      <c r="K1132" t="s">
        <v>1868</v>
      </c>
      <c r="L1132" s="14">
        <f>IFERROR(VALUE(LEFT(tblMatriculas[[#This Row],[Clases]],FIND("/",tblMatriculas[[#This Row],[Clases]])-1)),"")</f>
        <v>2</v>
      </c>
      <c r="M1132" s="14">
        <f>IFERROR(VALUE(MID(tblMatriculas[[#This Row],[Clases]],FIND("/",tblMatriculas[[#This Row],[Clases]])+1,5)),"")</f>
        <v>30</v>
      </c>
      <c r="N11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2" s="14">
        <f>IF(OR(tblMatriculas[[#This Row],[Estado]]&lt;&gt;"activa",tblMatriculas[[#This Row],[Clases dictadas]]=""),"",MAX(0,tblMatriculas[[#This Row],[Clases dictadas]]-tblMatriculas[[#This Row],[Asistidas]]))</f>
        <v>3</v>
      </c>
      <c r="P1132" s="1">
        <f>IF(OR(tblMatriculas[[#This Row],[Estado]]&lt;&gt;"activa",tblMatriculas[[#This Row],[Asistidas]]=""),"",tblMatriculas[[#This Row],[Asistencia]])</f>
        <v>6.7000000000000004E-2</v>
      </c>
      <c r="Q1132" t="b">
        <f>AND(tblMatriculas[[#This Row],[Estado]]="activa",ISNUMBER(tblMatriculas[[#This Row],[% asistencia]]),NOT(ISNUMBER(SEARCH(pPrueba,tblMatriculas[[#This Row],[Nombre]]))))</f>
        <v>1</v>
      </c>
      <c r="R11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32" s="23" t="str" cm="1">
        <f t="array" ref="S11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2" s="23" t="str" cm="1">
        <f t="array" ref="T11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2" s="14" t="str" cm="1">
        <f t="array" ref="U11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2" t="str" cm="1">
        <f t="array" ref="V11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2" t="str" cm="1">
        <f t="array" ref="W11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32" t="str">
        <f>IF(COUNTIFS('Base Estudiantes'!$C:$C,tblMatriculas[[#This Row],[Cédula]],'Base Estudiantes'!$I:$I,tblMatriculas[[#This Row],[Código]])&gt;0,"Sí","No")</f>
        <v>Sí</v>
      </c>
      <c r="Z1132" s="23" cm="1">
        <f t="array" ref="Z1132">_xlfn.XLOOKUP(tblMatriculas[[#This Row],[Cédula]]&amp;"|"&amp;tblMatriculas[[#This Row],[Código]],tblBase[Documento]&amp;"|"&amp;tblBase[Código grupo],tblBase[Fecha matrícula],"")</f>
        <v>46263</v>
      </c>
    </row>
    <row r="1133" spans="1:26" x14ac:dyDescent="0.2">
      <c r="A1133" t="s">
        <v>2405</v>
      </c>
      <c r="B1133" t="s">
        <v>2406</v>
      </c>
      <c r="C1133" t="s">
        <v>13</v>
      </c>
      <c r="D1133" t="s">
        <v>2349</v>
      </c>
      <c r="E1133" t="s">
        <v>2350</v>
      </c>
      <c r="F1133" t="s">
        <v>335</v>
      </c>
      <c r="G1133" s="1">
        <v>0.13300000000000001</v>
      </c>
      <c r="H1133" t="s">
        <v>112</v>
      </c>
      <c r="I1133" t="s">
        <v>1580</v>
      </c>
      <c r="J1133" t="s">
        <v>2351</v>
      </c>
      <c r="K1133" t="s">
        <v>24</v>
      </c>
      <c r="L1133" s="14">
        <f>IFERROR(VALUE(LEFT(tblMatriculas[[#This Row],[Clases]],FIND("/",tblMatriculas[[#This Row],[Clases]])-1)),"")</f>
        <v>4</v>
      </c>
      <c r="M1133" s="14">
        <f>IFERROR(VALUE(MID(tblMatriculas[[#This Row],[Clases]],FIND("/",tblMatriculas[[#This Row],[Clases]])+1,5)),"")</f>
        <v>30</v>
      </c>
      <c r="N11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3" s="14">
        <f>IF(OR(tblMatriculas[[#This Row],[Estado]]&lt;&gt;"activa",tblMatriculas[[#This Row],[Clases dictadas]]=""),"",MAX(0,tblMatriculas[[#This Row],[Clases dictadas]]-tblMatriculas[[#This Row],[Asistidas]]))</f>
        <v>1</v>
      </c>
      <c r="P1133" s="1">
        <f>IF(OR(tblMatriculas[[#This Row],[Estado]]&lt;&gt;"activa",tblMatriculas[[#This Row],[Asistidas]]=""),"",tblMatriculas[[#This Row],[Asistencia]])</f>
        <v>0.13300000000000001</v>
      </c>
      <c r="Q1133" t="b">
        <f>AND(tblMatriculas[[#This Row],[Estado]]="activa",ISNUMBER(tblMatriculas[[#This Row],[% asistencia]]),NOT(ISNUMBER(SEARCH(pPrueba,tblMatriculas[[#This Row],[Nombre]]))))</f>
        <v>1</v>
      </c>
      <c r="R11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3" s="23" t="str" cm="1">
        <f t="array" ref="S11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3" s="23" t="str" cm="1">
        <f t="array" ref="T11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3" s="14" t="str" cm="1">
        <f t="array" ref="U11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3" t="str" cm="1">
        <f t="array" ref="V11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3" t="str" cm="1">
        <f t="array" ref="W11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3" t="str">
        <f>IF(COUNTIFS('Base Estudiantes'!$C:$C,tblMatriculas[[#This Row],[Cédula]],'Base Estudiantes'!$I:$I,tblMatriculas[[#This Row],[Código]])&gt;0,"Sí","No")</f>
        <v>Sí</v>
      </c>
      <c r="Z1133" s="23" cm="1">
        <f t="array" ref="Z1133">_xlfn.XLOOKUP(tblMatriculas[[#This Row],[Cédula]]&amp;"|"&amp;tblMatriculas[[#This Row],[Código]],tblBase[Documento]&amp;"|"&amp;tblBase[Código grupo],tblBase[Fecha matrícula],"")</f>
        <v>46263</v>
      </c>
    </row>
    <row r="1134" spans="1:26" x14ac:dyDescent="0.2">
      <c r="A1134" t="s">
        <v>2407</v>
      </c>
      <c r="B1134" t="s">
        <v>2408</v>
      </c>
      <c r="C1134" t="s">
        <v>13</v>
      </c>
      <c r="D1134" t="s">
        <v>2349</v>
      </c>
      <c r="E1134" t="s">
        <v>2350</v>
      </c>
      <c r="F1134" t="s">
        <v>335</v>
      </c>
      <c r="G1134" s="1">
        <v>0.16699999999999998</v>
      </c>
      <c r="H1134" t="s">
        <v>229</v>
      </c>
      <c r="I1134" t="s">
        <v>1580</v>
      </c>
      <c r="J1134" t="s">
        <v>2351</v>
      </c>
      <c r="K1134" t="s">
        <v>24</v>
      </c>
      <c r="L1134" s="14">
        <f>IFERROR(VALUE(LEFT(tblMatriculas[[#This Row],[Clases]],FIND("/",tblMatriculas[[#This Row],[Clases]])-1)),"")</f>
        <v>5</v>
      </c>
      <c r="M1134" s="14">
        <f>IFERROR(VALUE(MID(tblMatriculas[[#This Row],[Clases]],FIND("/",tblMatriculas[[#This Row],[Clases]])+1,5)),"")</f>
        <v>30</v>
      </c>
      <c r="N11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4" s="14">
        <f>IF(OR(tblMatriculas[[#This Row],[Estado]]&lt;&gt;"activa",tblMatriculas[[#This Row],[Clases dictadas]]=""),"",MAX(0,tblMatriculas[[#This Row],[Clases dictadas]]-tblMatriculas[[#This Row],[Asistidas]]))</f>
        <v>0</v>
      </c>
      <c r="P1134" s="1">
        <f>IF(OR(tblMatriculas[[#This Row],[Estado]]&lt;&gt;"activa",tblMatriculas[[#This Row],[Asistidas]]=""),"",tblMatriculas[[#This Row],[Asistencia]])</f>
        <v>0.16699999999999998</v>
      </c>
      <c r="Q1134" t="b">
        <f>AND(tblMatriculas[[#This Row],[Estado]]="activa",ISNUMBER(tblMatriculas[[#This Row],[% asistencia]]),NOT(ISNUMBER(SEARCH(pPrueba,tblMatriculas[[#This Row],[Nombre]]))))</f>
        <v>1</v>
      </c>
      <c r="R11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4" s="23" t="str" cm="1">
        <f t="array" ref="S11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4" s="23" t="str" cm="1">
        <f t="array" ref="T11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4" s="14" t="str" cm="1">
        <f t="array" ref="U11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4" t="str" cm="1">
        <f t="array" ref="V11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4" t="str" cm="1">
        <f t="array" ref="W11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4" t="str">
        <f>IF(COUNTIFS('Base Estudiantes'!$C:$C,tblMatriculas[[#This Row],[Cédula]],'Base Estudiantes'!$I:$I,tblMatriculas[[#This Row],[Código]])&gt;0,"Sí","No")</f>
        <v>Sí</v>
      </c>
      <c r="Z1134" s="23" cm="1">
        <f t="array" ref="Z1134">_xlfn.XLOOKUP(tblMatriculas[[#This Row],[Cédula]]&amp;"|"&amp;tblMatriculas[[#This Row],[Código]],tblBase[Documento]&amp;"|"&amp;tblBase[Código grupo],tblBase[Fecha matrícula],"")</f>
        <v>46263</v>
      </c>
    </row>
    <row r="1135" spans="1:26" x14ac:dyDescent="0.2">
      <c r="A1135" t="s">
        <v>2409</v>
      </c>
      <c r="B1135" t="s">
        <v>2410</v>
      </c>
      <c r="C1135" t="s">
        <v>13</v>
      </c>
      <c r="D1135" t="s">
        <v>2349</v>
      </c>
      <c r="E1135" t="s">
        <v>2350</v>
      </c>
      <c r="F1135" t="s">
        <v>335</v>
      </c>
      <c r="G1135" s="1">
        <v>6.7000000000000004E-2</v>
      </c>
      <c r="H1135" t="s">
        <v>166</v>
      </c>
      <c r="I1135" t="s">
        <v>1580</v>
      </c>
      <c r="J1135" t="s">
        <v>2351</v>
      </c>
      <c r="K1135" t="s">
        <v>24</v>
      </c>
      <c r="L1135" s="14">
        <f>IFERROR(VALUE(LEFT(tblMatriculas[[#This Row],[Clases]],FIND("/",tblMatriculas[[#This Row],[Clases]])-1)),"")</f>
        <v>2</v>
      </c>
      <c r="M1135" s="14">
        <f>IFERROR(VALUE(MID(tblMatriculas[[#This Row],[Clases]],FIND("/",tblMatriculas[[#This Row],[Clases]])+1,5)),"")</f>
        <v>30</v>
      </c>
      <c r="N11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5" s="14">
        <f>IF(OR(tblMatriculas[[#This Row],[Estado]]&lt;&gt;"activa",tblMatriculas[[#This Row],[Clases dictadas]]=""),"",MAX(0,tblMatriculas[[#This Row],[Clases dictadas]]-tblMatriculas[[#This Row],[Asistidas]]))</f>
        <v>3</v>
      </c>
      <c r="P1135" s="1">
        <f>IF(OR(tblMatriculas[[#This Row],[Estado]]&lt;&gt;"activa",tblMatriculas[[#This Row],[Asistidas]]=""),"",tblMatriculas[[#This Row],[Asistencia]])</f>
        <v>6.7000000000000004E-2</v>
      </c>
      <c r="Q1135" t="b">
        <f>AND(tblMatriculas[[#This Row],[Estado]]="activa",ISNUMBER(tblMatriculas[[#This Row],[% asistencia]]),NOT(ISNUMBER(SEARCH(pPrueba,tblMatriculas[[#This Row],[Nombre]]))))</f>
        <v>1</v>
      </c>
      <c r="R11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35" s="23" t="str" cm="1">
        <f t="array" ref="S11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5" s="23" t="str" cm="1">
        <f t="array" ref="T11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5" s="14" t="str" cm="1">
        <f t="array" ref="U11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5" t="str" cm="1">
        <f t="array" ref="V11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5" t="str" cm="1">
        <f t="array" ref="W11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35" t="str">
        <f>IF(COUNTIFS('Base Estudiantes'!$C:$C,tblMatriculas[[#This Row],[Cédula]],'Base Estudiantes'!$I:$I,tblMatriculas[[#This Row],[Código]])&gt;0,"Sí","No")</f>
        <v>Sí</v>
      </c>
      <c r="Z1135" s="23" cm="1">
        <f t="array" ref="Z1135">_xlfn.XLOOKUP(tblMatriculas[[#This Row],[Cédula]]&amp;"|"&amp;tblMatriculas[[#This Row],[Código]],tblBase[Documento]&amp;"|"&amp;tblBase[Código grupo],tblBase[Fecha matrícula],"")</f>
        <v>46263</v>
      </c>
    </row>
    <row r="1136" spans="1:26" x14ac:dyDescent="0.2">
      <c r="A1136" t="s">
        <v>2411</v>
      </c>
      <c r="B1136" t="s">
        <v>2412</v>
      </c>
      <c r="C1136" t="s">
        <v>13</v>
      </c>
      <c r="D1136" t="s">
        <v>2349</v>
      </c>
      <c r="E1136" t="s">
        <v>2350</v>
      </c>
      <c r="F1136" t="s">
        <v>335</v>
      </c>
      <c r="G1136" s="1">
        <v>0</v>
      </c>
      <c r="H1136" t="s">
        <v>254</v>
      </c>
      <c r="I1136" t="s">
        <v>1580</v>
      </c>
      <c r="J1136" t="s">
        <v>2351</v>
      </c>
      <c r="K1136" t="s">
        <v>24</v>
      </c>
      <c r="L1136" s="14">
        <f>IFERROR(VALUE(LEFT(tblMatriculas[[#This Row],[Clases]],FIND("/",tblMatriculas[[#This Row],[Clases]])-1)),"")</f>
        <v>0</v>
      </c>
      <c r="M1136" s="14">
        <f>IFERROR(VALUE(MID(tblMatriculas[[#This Row],[Clases]],FIND("/",tblMatriculas[[#This Row],[Clases]])+1,5)),"")</f>
        <v>30</v>
      </c>
      <c r="N11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6" s="14">
        <f>IF(OR(tblMatriculas[[#This Row],[Estado]]&lt;&gt;"activa",tblMatriculas[[#This Row],[Clases dictadas]]=""),"",MAX(0,tblMatriculas[[#This Row],[Clases dictadas]]-tblMatriculas[[#This Row],[Asistidas]]))</f>
        <v>5</v>
      </c>
      <c r="P1136" s="1">
        <f>IF(OR(tblMatriculas[[#This Row],[Estado]]&lt;&gt;"activa",tblMatriculas[[#This Row],[Asistidas]]=""),"",tblMatriculas[[#This Row],[Asistencia]])</f>
        <v>0</v>
      </c>
      <c r="Q1136" t="b">
        <f>AND(tblMatriculas[[#This Row],[Estado]]="activa",ISNUMBER(tblMatriculas[[#This Row],[% asistencia]]),NOT(ISNUMBER(SEARCH(pPrueba,tblMatriculas[[#This Row],[Nombre]]))))</f>
        <v>1</v>
      </c>
      <c r="R11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36" s="23" t="str" cm="1">
        <f t="array" ref="S11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6" s="23" t="str" cm="1">
        <f t="array" ref="T11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6" s="14" t="str" cm="1">
        <f t="array" ref="U11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6" t="str" cm="1">
        <f t="array" ref="V11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6" t="str" cm="1">
        <f t="array" ref="W11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3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36" t="str">
        <f>IF(COUNTIFS('Base Estudiantes'!$C:$C,tblMatriculas[[#This Row],[Cédula]],'Base Estudiantes'!$I:$I,tblMatriculas[[#This Row],[Código]])&gt;0,"Sí","No")</f>
        <v>Sí</v>
      </c>
      <c r="Z1136" s="23" cm="1">
        <f t="array" ref="Z1136">_xlfn.XLOOKUP(tblMatriculas[[#This Row],[Cédula]]&amp;"|"&amp;tblMatriculas[[#This Row],[Código]],tblBase[Documento]&amp;"|"&amp;tblBase[Código grupo],tblBase[Fecha matrícula],"")</f>
        <v>46263</v>
      </c>
    </row>
    <row r="1137" spans="1:26" x14ac:dyDescent="0.2">
      <c r="A1137" t="s">
        <v>2413</v>
      </c>
      <c r="B1137" t="s">
        <v>2414</v>
      </c>
      <c r="C1137" t="s">
        <v>13</v>
      </c>
      <c r="D1137" t="s">
        <v>2349</v>
      </c>
      <c r="E1137" t="s">
        <v>2350</v>
      </c>
      <c r="F1137" t="s">
        <v>335</v>
      </c>
      <c r="G1137" s="1">
        <v>0.16699999999999998</v>
      </c>
      <c r="H1137" t="s">
        <v>229</v>
      </c>
      <c r="I1137" t="s">
        <v>1580</v>
      </c>
      <c r="J1137" t="s">
        <v>2351</v>
      </c>
      <c r="K1137" t="s">
        <v>1868</v>
      </c>
      <c r="L1137" s="14">
        <f>IFERROR(VALUE(LEFT(tblMatriculas[[#This Row],[Clases]],FIND("/",tblMatriculas[[#This Row],[Clases]])-1)),"")</f>
        <v>5</v>
      </c>
      <c r="M1137" s="14">
        <f>IFERROR(VALUE(MID(tblMatriculas[[#This Row],[Clases]],FIND("/",tblMatriculas[[#This Row],[Clases]])+1,5)),"")</f>
        <v>30</v>
      </c>
      <c r="N11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7" s="14">
        <f>IF(OR(tblMatriculas[[#This Row],[Estado]]&lt;&gt;"activa",tblMatriculas[[#This Row],[Clases dictadas]]=""),"",MAX(0,tblMatriculas[[#This Row],[Clases dictadas]]-tblMatriculas[[#This Row],[Asistidas]]))</f>
        <v>0</v>
      </c>
      <c r="P1137" s="1">
        <f>IF(OR(tblMatriculas[[#This Row],[Estado]]&lt;&gt;"activa",tblMatriculas[[#This Row],[Asistidas]]=""),"",tblMatriculas[[#This Row],[Asistencia]])</f>
        <v>0.16699999999999998</v>
      </c>
      <c r="Q1137" t="b">
        <f>AND(tblMatriculas[[#This Row],[Estado]]="activa",ISNUMBER(tblMatriculas[[#This Row],[% asistencia]]),NOT(ISNUMBER(SEARCH(pPrueba,tblMatriculas[[#This Row],[Nombre]]))))</f>
        <v>1</v>
      </c>
      <c r="R11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7" s="23" t="str" cm="1">
        <f t="array" ref="S11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7" s="23" t="str" cm="1">
        <f t="array" ref="T11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7" s="14" t="str" cm="1">
        <f t="array" ref="U11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7" t="str" cm="1">
        <f t="array" ref="V11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7" t="str" cm="1">
        <f t="array" ref="W11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7" t="str">
        <f>IF(COUNTIFS('Base Estudiantes'!$C:$C,tblMatriculas[[#This Row],[Cédula]],'Base Estudiantes'!$I:$I,tblMatriculas[[#This Row],[Código]])&gt;0,"Sí","No")</f>
        <v>Sí</v>
      </c>
      <c r="Z1137" s="23" cm="1">
        <f t="array" ref="Z1137">_xlfn.XLOOKUP(tblMatriculas[[#This Row],[Cédula]]&amp;"|"&amp;tblMatriculas[[#This Row],[Código]],tblBase[Documento]&amp;"|"&amp;tblBase[Código grupo],tblBase[Fecha matrícula],"")</f>
        <v>46263</v>
      </c>
    </row>
    <row r="1138" spans="1:26" x14ac:dyDescent="0.2">
      <c r="A1138" t="s">
        <v>2415</v>
      </c>
      <c r="B1138" t="s">
        <v>2416</v>
      </c>
      <c r="C1138" t="s">
        <v>13</v>
      </c>
      <c r="D1138" t="s">
        <v>2349</v>
      </c>
      <c r="E1138" t="s">
        <v>2350</v>
      </c>
      <c r="F1138" t="s">
        <v>335</v>
      </c>
      <c r="G1138" s="1">
        <v>0.13300000000000001</v>
      </c>
      <c r="H1138" t="s">
        <v>112</v>
      </c>
      <c r="I1138" t="s">
        <v>1580</v>
      </c>
      <c r="J1138" t="s">
        <v>2351</v>
      </c>
      <c r="K1138" t="s">
        <v>1868</v>
      </c>
      <c r="L1138" s="14">
        <f>IFERROR(VALUE(LEFT(tblMatriculas[[#This Row],[Clases]],FIND("/",tblMatriculas[[#This Row],[Clases]])-1)),"")</f>
        <v>4</v>
      </c>
      <c r="M1138" s="14">
        <f>IFERROR(VALUE(MID(tblMatriculas[[#This Row],[Clases]],FIND("/",tblMatriculas[[#This Row],[Clases]])+1,5)),"")</f>
        <v>30</v>
      </c>
      <c r="N11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8" s="14">
        <f>IF(OR(tblMatriculas[[#This Row],[Estado]]&lt;&gt;"activa",tblMatriculas[[#This Row],[Clases dictadas]]=""),"",MAX(0,tblMatriculas[[#This Row],[Clases dictadas]]-tblMatriculas[[#This Row],[Asistidas]]))</f>
        <v>1</v>
      </c>
      <c r="P1138" s="1">
        <f>IF(OR(tblMatriculas[[#This Row],[Estado]]&lt;&gt;"activa",tblMatriculas[[#This Row],[Asistidas]]=""),"",tblMatriculas[[#This Row],[Asistencia]])</f>
        <v>0.13300000000000001</v>
      </c>
      <c r="Q1138" t="b">
        <f>AND(tblMatriculas[[#This Row],[Estado]]="activa",ISNUMBER(tblMatriculas[[#This Row],[% asistencia]]),NOT(ISNUMBER(SEARCH(pPrueba,tblMatriculas[[#This Row],[Nombre]]))))</f>
        <v>1</v>
      </c>
      <c r="R11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8" s="23" t="str" cm="1">
        <f t="array" ref="S11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8" s="23" t="str" cm="1">
        <f t="array" ref="T11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8" s="14" t="str" cm="1">
        <f t="array" ref="U11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8" t="str" cm="1">
        <f t="array" ref="V11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8" t="str" cm="1">
        <f t="array" ref="W11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8" t="str">
        <f>IF(COUNTIFS('Base Estudiantes'!$C:$C,tblMatriculas[[#This Row],[Cédula]],'Base Estudiantes'!$I:$I,tblMatriculas[[#This Row],[Código]])&gt;0,"Sí","No")</f>
        <v>Sí</v>
      </c>
      <c r="Z1138" s="23" cm="1">
        <f t="array" ref="Z1138">_xlfn.XLOOKUP(tblMatriculas[[#This Row],[Cédula]]&amp;"|"&amp;tblMatriculas[[#This Row],[Código]],tblBase[Documento]&amp;"|"&amp;tblBase[Código grupo],tblBase[Fecha matrícula],"")</f>
        <v>46263</v>
      </c>
    </row>
    <row r="1139" spans="1:26" x14ac:dyDescent="0.2">
      <c r="A1139" t="s">
        <v>2417</v>
      </c>
      <c r="B1139" t="s">
        <v>2418</v>
      </c>
      <c r="C1139" t="s">
        <v>13</v>
      </c>
      <c r="D1139" t="s">
        <v>2349</v>
      </c>
      <c r="E1139" t="s">
        <v>2350</v>
      </c>
      <c r="F1139" t="s">
        <v>335</v>
      </c>
      <c r="G1139" s="1">
        <v>0.13300000000000001</v>
      </c>
      <c r="H1139" t="s">
        <v>112</v>
      </c>
      <c r="I1139" t="s">
        <v>1580</v>
      </c>
      <c r="J1139" t="s">
        <v>2351</v>
      </c>
      <c r="K1139" t="s">
        <v>1868</v>
      </c>
      <c r="L1139" s="14">
        <f>IFERROR(VALUE(LEFT(tblMatriculas[[#This Row],[Clases]],FIND("/",tblMatriculas[[#This Row],[Clases]])-1)),"")</f>
        <v>4</v>
      </c>
      <c r="M1139" s="14">
        <f>IFERROR(VALUE(MID(tblMatriculas[[#This Row],[Clases]],FIND("/",tblMatriculas[[#This Row],[Clases]])+1,5)),"")</f>
        <v>30</v>
      </c>
      <c r="N11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39" s="14">
        <f>IF(OR(tblMatriculas[[#This Row],[Estado]]&lt;&gt;"activa",tblMatriculas[[#This Row],[Clases dictadas]]=""),"",MAX(0,tblMatriculas[[#This Row],[Clases dictadas]]-tblMatriculas[[#This Row],[Asistidas]]))</f>
        <v>1</v>
      </c>
      <c r="P1139" s="1">
        <f>IF(OR(tblMatriculas[[#This Row],[Estado]]&lt;&gt;"activa",tblMatriculas[[#This Row],[Asistidas]]=""),"",tblMatriculas[[#This Row],[Asistencia]])</f>
        <v>0.13300000000000001</v>
      </c>
      <c r="Q1139" t="b">
        <f>AND(tblMatriculas[[#This Row],[Estado]]="activa",ISNUMBER(tblMatriculas[[#This Row],[% asistencia]]),NOT(ISNUMBER(SEARCH(pPrueba,tblMatriculas[[#This Row],[Nombre]]))))</f>
        <v>1</v>
      </c>
      <c r="R11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39" s="23" t="str" cm="1">
        <f t="array" ref="S11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39" s="23" t="str" cm="1">
        <f t="array" ref="T11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39" s="14" t="str" cm="1">
        <f t="array" ref="U11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39" t="str" cm="1">
        <f t="array" ref="V11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39" t="str" cm="1">
        <f t="array" ref="W11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39" t="str">
        <f>IF(COUNTIFS('Base Estudiantes'!$C:$C,tblMatriculas[[#This Row],[Cédula]],'Base Estudiantes'!$I:$I,tblMatriculas[[#This Row],[Código]])&gt;0,"Sí","No")</f>
        <v>Sí</v>
      </c>
      <c r="Z1139" s="23" cm="1">
        <f t="array" ref="Z1139">_xlfn.XLOOKUP(tblMatriculas[[#This Row],[Cédula]]&amp;"|"&amp;tblMatriculas[[#This Row],[Código]],tblBase[Documento]&amp;"|"&amp;tblBase[Código grupo],tblBase[Fecha matrícula],"")</f>
        <v>46263</v>
      </c>
    </row>
    <row r="1140" spans="1:26" x14ac:dyDescent="0.2">
      <c r="A1140" t="s">
        <v>2419</v>
      </c>
      <c r="B1140" t="s">
        <v>2420</v>
      </c>
      <c r="C1140" t="s">
        <v>13</v>
      </c>
      <c r="D1140" t="s">
        <v>2349</v>
      </c>
      <c r="E1140" t="s">
        <v>2350</v>
      </c>
      <c r="F1140" t="s">
        <v>335</v>
      </c>
      <c r="G1140" s="1">
        <v>0.16699999999999998</v>
      </c>
      <c r="H1140" t="s">
        <v>229</v>
      </c>
      <c r="I1140" t="s">
        <v>1580</v>
      </c>
      <c r="J1140" t="s">
        <v>2351</v>
      </c>
      <c r="K1140" t="s">
        <v>1868</v>
      </c>
      <c r="L1140" s="14">
        <f>IFERROR(VALUE(LEFT(tblMatriculas[[#This Row],[Clases]],FIND("/",tblMatriculas[[#This Row],[Clases]])-1)),"")</f>
        <v>5</v>
      </c>
      <c r="M1140" s="14">
        <f>IFERROR(VALUE(MID(tblMatriculas[[#This Row],[Clases]],FIND("/",tblMatriculas[[#This Row],[Clases]])+1,5)),"")</f>
        <v>30</v>
      </c>
      <c r="N11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0" s="14">
        <f>IF(OR(tblMatriculas[[#This Row],[Estado]]&lt;&gt;"activa",tblMatriculas[[#This Row],[Clases dictadas]]=""),"",MAX(0,tblMatriculas[[#This Row],[Clases dictadas]]-tblMatriculas[[#This Row],[Asistidas]]))</f>
        <v>0</v>
      </c>
      <c r="P1140" s="1">
        <f>IF(OR(tblMatriculas[[#This Row],[Estado]]&lt;&gt;"activa",tblMatriculas[[#This Row],[Asistidas]]=""),"",tblMatriculas[[#This Row],[Asistencia]])</f>
        <v>0.16699999999999998</v>
      </c>
      <c r="Q1140" t="b">
        <f>AND(tblMatriculas[[#This Row],[Estado]]="activa",ISNUMBER(tblMatriculas[[#This Row],[% asistencia]]),NOT(ISNUMBER(SEARCH(pPrueba,tblMatriculas[[#This Row],[Nombre]]))))</f>
        <v>1</v>
      </c>
      <c r="R11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0" s="23" t="str" cm="1">
        <f t="array" ref="S11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0" s="23" t="str" cm="1">
        <f t="array" ref="T11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0" s="14" t="str" cm="1">
        <f t="array" ref="U11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0" t="str" cm="1">
        <f t="array" ref="V11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0" t="str" cm="1">
        <f t="array" ref="W11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0" t="str">
        <f>IF(COUNTIFS('Base Estudiantes'!$C:$C,tblMatriculas[[#This Row],[Cédula]],'Base Estudiantes'!$I:$I,tblMatriculas[[#This Row],[Código]])&gt;0,"Sí","No")</f>
        <v>Sí</v>
      </c>
      <c r="Z1140" s="23" cm="1">
        <f t="array" ref="Z1140">_xlfn.XLOOKUP(tblMatriculas[[#This Row],[Cédula]]&amp;"|"&amp;tblMatriculas[[#This Row],[Código]],tblBase[Documento]&amp;"|"&amp;tblBase[Código grupo],tblBase[Fecha matrícula],"")</f>
        <v>46263</v>
      </c>
    </row>
    <row r="1141" spans="1:26" x14ac:dyDescent="0.2">
      <c r="A1141" t="s">
        <v>2421</v>
      </c>
      <c r="B1141" t="s">
        <v>2422</v>
      </c>
      <c r="C1141" t="s">
        <v>13</v>
      </c>
      <c r="D1141" t="s">
        <v>2349</v>
      </c>
      <c r="E1141" t="s">
        <v>2350</v>
      </c>
      <c r="F1141" t="s">
        <v>335</v>
      </c>
      <c r="G1141" s="1">
        <v>6.7000000000000004E-2</v>
      </c>
      <c r="H1141" t="s">
        <v>166</v>
      </c>
      <c r="I1141" t="s">
        <v>1580</v>
      </c>
      <c r="J1141" t="s">
        <v>2351</v>
      </c>
      <c r="K1141" t="s">
        <v>1868</v>
      </c>
      <c r="L1141" s="14">
        <f>IFERROR(VALUE(LEFT(tblMatriculas[[#This Row],[Clases]],FIND("/",tblMatriculas[[#This Row],[Clases]])-1)),"")</f>
        <v>2</v>
      </c>
      <c r="M1141" s="14">
        <f>IFERROR(VALUE(MID(tblMatriculas[[#This Row],[Clases]],FIND("/",tblMatriculas[[#This Row],[Clases]])+1,5)),"")</f>
        <v>30</v>
      </c>
      <c r="N11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1" s="14">
        <f>IF(OR(tblMatriculas[[#This Row],[Estado]]&lt;&gt;"activa",tblMatriculas[[#This Row],[Clases dictadas]]=""),"",MAX(0,tblMatriculas[[#This Row],[Clases dictadas]]-tblMatriculas[[#This Row],[Asistidas]]))</f>
        <v>3</v>
      </c>
      <c r="P1141" s="1">
        <f>IF(OR(tblMatriculas[[#This Row],[Estado]]&lt;&gt;"activa",tblMatriculas[[#This Row],[Asistidas]]=""),"",tblMatriculas[[#This Row],[Asistencia]])</f>
        <v>6.7000000000000004E-2</v>
      </c>
      <c r="Q1141" t="b">
        <f>AND(tblMatriculas[[#This Row],[Estado]]="activa",ISNUMBER(tblMatriculas[[#This Row],[% asistencia]]),NOT(ISNUMBER(SEARCH(pPrueba,tblMatriculas[[#This Row],[Nombre]]))))</f>
        <v>1</v>
      </c>
      <c r="R11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41" s="23" t="str" cm="1">
        <f t="array" ref="S11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1" s="23" t="str" cm="1">
        <f t="array" ref="T11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1" s="14" t="str" cm="1">
        <f t="array" ref="U11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1" t="str" cm="1">
        <f t="array" ref="V11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1" t="str" cm="1">
        <f t="array" ref="W11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41" t="str">
        <f>IF(COUNTIFS('Base Estudiantes'!$C:$C,tblMatriculas[[#This Row],[Cédula]],'Base Estudiantes'!$I:$I,tblMatriculas[[#This Row],[Código]])&gt;0,"Sí","No")</f>
        <v>Sí</v>
      </c>
      <c r="Z1141" s="23" cm="1">
        <f t="array" ref="Z1141">_xlfn.XLOOKUP(tblMatriculas[[#This Row],[Cédula]]&amp;"|"&amp;tblMatriculas[[#This Row],[Código]],tblBase[Documento]&amp;"|"&amp;tblBase[Código grupo],tblBase[Fecha matrícula],"")</f>
        <v>46263</v>
      </c>
    </row>
    <row r="1142" spans="1:26" x14ac:dyDescent="0.2">
      <c r="A1142" t="s">
        <v>2423</v>
      </c>
      <c r="B1142" t="s">
        <v>2424</v>
      </c>
      <c r="C1142" t="s">
        <v>13</v>
      </c>
      <c r="D1142" t="s">
        <v>2349</v>
      </c>
      <c r="E1142" t="s">
        <v>2350</v>
      </c>
      <c r="F1142" t="s">
        <v>335</v>
      </c>
      <c r="G1142" s="1">
        <v>0.13300000000000001</v>
      </c>
      <c r="H1142" t="s">
        <v>112</v>
      </c>
      <c r="I1142" t="s">
        <v>1580</v>
      </c>
      <c r="J1142" t="s">
        <v>2351</v>
      </c>
      <c r="K1142" t="s">
        <v>1868</v>
      </c>
      <c r="L1142" s="14">
        <f>IFERROR(VALUE(LEFT(tblMatriculas[[#This Row],[Clases]],FIND("/",tblMatriculas[[#This Row],[Clases]])-1)),"")</f>
        <v>4</v>
      </c>
      <c r="M1142" s="14">
        <f>IFERROR(VALUE(MID(tblMatriculas[[#This Row],[Clases]],FIND("/",tblMatriculas[[#This Row],[Clases]])+1,5)),"")</f>
        <v>30</v>
      </c>
      <c r="N11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2" s="14">
        <f>IF(OR(tblMatriculas[[#This Row],[Estado]]&lt;&gt;"activa",tblMatriculas[[#This Row],[Clases dictadas]]=""),"",MAX(0,tblMatriculas[[#This Row],[Clases dictadas]]-tblMatriculas[[#This Row],[Asistidas]]))</f>
        <v>1</v>
      </c>
      <c r="P1142" s="1">
        <f>IF(OR(tblMatriculas[[#This Row],[Estado]]&lt;&gt;"activa",tblMatriculas[[#This Row],[Asistidas]]=""),"",tblMatriculas[[#This Row],[Asistencia]])</f>
        <v>0.13300000000000001</v>
      </c>
      <c r="Q1142" t="b">
        <f>AND(tblMatriculas[[#This Row],[Estado]]="activa",ISNUMBER(tblMatriculas[[#This Row],[% asistencia]]),NOT(ISNUMBER(SEARCH(pPrueba,tblMatriculas[[#This Row],[Nombre]]))))</f>
        <v>1</v>
      </c>
      <c r="R11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2" s="23" t="str" cm="1">
        <f t="array" ref="S11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2" s="23" t="str" cm="1">
        <f t="array" ref="T11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2" s="14" t="str" cm="1">
        <f t="array" ref="U11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2" t="str" cm="1">
        <f t="array" ref="V11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2" t="str" cm="1">
        <f t="array" ref="W11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2" t="str">
        <f>IF(COUNTIFS('Base Estudiantes'!$C:$C,tblMatriculas[[#This Row],[Cédula]],'Base Estudiantes'!$I:$I,tblMatriculas[[#This Row],[Código]])&gt;0,"Sí","No")</f>
        <v>Sí</v>
      </c>
      <c r="Z1142" s="23" cm="1">
        <f t="array" ref="Z1142">_xlfn.XLOOKUP(tblMatriculas[[#This Row],[Cédula]]&amp;"|"&amp;tblMatriculas[[#This Row],[Código]],tblBase[Documento]&amp;"|"&amp;tblBase[Código grupo],tblBase[Fecha matrícula],"")</f>
        <v>46263</v>
      </c>
    </row>
    <row r="1143" spans="1:26" x14ac:dyDescent="0.2">
      <c r="A1143" t="s">
        <v>2425</v>
      </c>
      <c r="B1143" t="s">
        <v>2426</v>
      </c>
      <c r="C1143" t="s">
        <v>13</v>
      </c>
      <c r="D1143" t="s">
        <v>2349</v>
      </c>
      <c r="E1143" t="s">
        <v>2350</v>
      </c>
      <c r="F1143" t="s">
        <v>335</v>
      </c>
      <c r="G1143" s="1">
        <v>0.16699999999999998</v>
      </c>
      <c r="H1143" t="s">
        <v>229</v>
      </c>
      <c r="I1143" t="s">
        <v>1580</v>
      </c>
      <c r="J1143" t="s">
        <v>2351</v>
      </c>
      <c r="K1143" t="s">
        <v>1999</v>
      </c>
      <c r="L1143" s="14">
        <f>IFERROR(VALUE(LEFT(tblMatriculas[[#This Row],[Clases]],FIND("/",tblMatriculas[[#This Row],[Clases]])-1)),"")</f>
        <v>5</v>
      </c>
      <c r="M1143" s="14">
        <f>IFERROR(VALUE(MID(tblMatriculas[[#This Row],[Clases]],FIND("/",tblMatriculas[[#This Row],[Clases]])+1,5)),"")</f>
        <v>30</v>
      </c>
      <c r="N11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3" s="14">
        <f>IF(OR(tblMatriculas[[#This Row],[Estado]]&lt;&gt;"activa",tblMatriculas[[#This Row],[Clases dictadas]]=""),"",MAX(0,tblMatriculas[[#This Row],[Clases dictadas]]-tblMatriculas[[#This Row],[Asistidas]]))</f>
        <v>0</v>
      </c>
      <c r="P1143" s="1">
        <f>IF(OR(tblMatriculas[[#This Row],[Estado]]&lt;&gt;"activa",tblMatriculas[[#This Row],[Asistidas]]=""),"",tblMatriculas[[#This Row],[Asistencia]])</f>
        <v>0.16699999999999998</v>
      </c>
      <c r="Q1143" t="b">
        <f>AND(tblMatriculas[[#This Row],[Estado]]="activa",ISNUMBER(tblMatriculas[[#This Row],[% asistencia]]),NOT(ISNUMBER(SEARCH(pPrueba,tblMatriculas[[#This Row],[Nombre]]))))</f>
        <v>1</v>
      </c>
      <c r="R11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3" s="23" t="str" cm="1">
        <f t="array" ref="S11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3" s="23" t="str" cm="1">
        <f t="array" ref="T11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3" s="14" t="str" cm="1">
        <f t="array" ref="U11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3" t="str" cm="1">
        <f t="array" ref="V11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3" t="str" cm="1">
        <f t="array" ref="W11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3" t="str">
        <f>IF(COUNTIFS('Base Estudiantes'!$C:$C,tblMatriculas[[#This Row],[Cédula]],'Base Estudiantes'!$I:$I,tblMatriculas[[#This Row],[Código]])&gt;0,"Sí","No")</f>
        <v>Sí</v>
      </c>
      <c r="Z1143" s="23" cm="1">
        <f t="array" ref="Z1143">_xlfn.XLOOKUP(tblMatriculas[[#This Row],[Cédula]]&amp;"|"&amp;tblMatriculas[[#This Row],[Código]],tblBase[Documento]&amp;"|"&amp;tblBase[Código grupo],tblBase[Fecha matrícula],"")</f>
        <v>46263</v>
      </c>
    </row>
    <row r="1144" spans="1:26" x14ac:dyDescent="0.2">
      <c r="A1144" t="s">
        <v>2427</v>
      </c>
      <c r="B1144" t="s">
        <v>2428</v>
      </c>
      <c r="C1144" t="s">
        <v>13</v>
      </c>
      <c r="D1144" t="s">
        <v>2349</v>
      </c>
      <c r="E1144" t="s">
        <v>2350</v>
      </c>
      <c r="F1144" t="s">
        <v>335</v>
      </c>
      <c r="G1144" s="1">
        <v>0.16699999999999998</v>
      </c>
      <c r="H1144" t="s">
        <v>229</v>
      </c>
      <c r="I1144" t="s">
        <v>1580</v>
      </c>
      <c r="J1144" t="s">
        <v>2351</v>
      </c>
      <c r="K1144" t="s">
        <v>1999</v>
      </c>
      <c r="L1144" s="14">
        <f>IFERROR(VALUE(LEFT(tblMatriculas[[#This Row],[Clases]],FIND("/",tblMatriculas[[#This Row],[Clases]])-1)),"")</f>
        <v>5</v>
      </c>
      <c r="M1144" s="14">
        <f>IFERROR(VALUE(MID(tblMatriculas[[#This Row],[Clases]],FIND("/",tblMatriculas[[#This Row],[Clases]])+1,5)),"")</f>
        <v>30</v>
      </c>
      <c r="N11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4" s="14">
        <f>IF(OR(tblMatriculas[[#This Row],[Estado]]&lt;&gt;"activa",tblMatriculas[[#This Row],[Clases dictadas]]=""),"",MAX(0,tblMatriculas[[#This Row],[Clases dictadas]]-tblMatriculas[[#This Row],[Asistidas]]))</f>
        <v>0</v>
      </c>
      <c r="P1144" s="1">
        <f>IF(OR(tblMatriculas[[#This Row],[Estado]]&lt;&gt;"activa",tblMatriculas[[#This Row],[Asistidas]]=""),"",tblMatriculas[[#This Row],[Asistencia]])</f>
        <v>0.16699999999999998</v>
      </c>
      <c r="Q1144" t="b">
        <f>AND(tblMatriculas[[#This Row],[Estado]]="activa",ISNUMBER(tblMatriculas[[#This Row],[% asistencia]]),NOT(ISNUMBER(SEARCH(pPrueba,tblMatriculas[[#This Row],[Nombre]]))))</f>
        <v>1</v>
      </c>
      <c r="R11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4" s="23" t="str" cm="1">
        <f t="array" ref="S11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4" s="23" t="str" cm="1">
        <f t="array" ref="T11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4" s="14" t="str" cm="1">
        <f t="array" ref="U11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4" t="str" cm="1">
        <f t="array" ref="V11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4" t="str" cm="1">
        <f t="array" ref="W11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4" t="str">
        <f>IF(COUNTIFS('Base Estudiantes'!$C:$C,tblMatriculas[[#This Row],[Cédula]],'Base Estudiantes'!$I:$I,tblMatriculas[[#This Row],[Código]])&gt;0,"Sí","No")</f>
        <v>Sí</v>
      </c>
      <c r="Z1144" s="23" cm="1">
        <f t="array" ref="Z1144">_xlfn.XLOOKUP(tblMatriculas[[#This Row],[Cédula]]&amp;"|"&amp;tblMatriculas[[#This Row],[Código]],tblBase[Documento]&amp;"|"&amp;tblBase[Código grupo],tblBase[Fecha matrícula],"")</f>
        <v>46263</v>
      </c>
    </row>
    <row r="1145" spans="1:26" x14ac:dyDescent="0.2">
      <c r="A1145" t="s">
        <v>2429</v>
      </c>
      <c r="B1145" t="s">
        <v>2430</v>
      </c>
      <c r="C1145" t="s">
        <v>13</v>
      </c>
      <c r="D1145" t="s">
        <v>2349</v>
      </c>
      <c r="E1145" t="s">
        <v>2350</v>
      </c>
      <c r="F1145" t="s">
        <v>335</v>
      </c>
      <c r="G1145" s="1">
        <v>0.1</v>
      </c>
      <c r="H1145" t="s">
        <v>380</v>
      </c>
      <c r="I1145" t="s">
        <v>1580</v>
      </c>
      <c r="J1145" t="s">
        <v>2351</v>
      </c>
      <c r="K1145" t="s">
        <v>1788</v>
      </c>
      <c r="L1145" s="14">
        <f>IFERROR(VALUE(LEFT(tblMatriculas[[#This Row],[Clases]],FIND("/",tblMatriculas[[#This Row],[Clases]])-1)),"")</f>
        <v>6</v>
      </c>
      <c r="M1145" s="14">
        <f>IFERROR(VALUE(MID(tblMatriculas[[#This Row],[Clases]],FIND("/",tblMatriculas[[#This Row],[Clases]])+1,5)),"")</f>
        <v>60</v>
      </c>
      <c r="N11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145" s="14">
        <f>IF(OR(tblMatriculas[[#This Row],[Estado]]&lt;&gt;"activa",tblMatriculas[[#This Row],[Clases dictadas]]=""),"",MAX(0,tblMatriculas[[#This Row],[Clases dictadas]]-tblMatriculas[[#This Row],[Asistidas]]))</f>
        <v>3</v>
      </c>
      <c r="P1145" s="1">
        <f>IF(OR(tblMatriculas[[#This Row],[Estado]]&lt;&gt;"activa",tblMatriculas[[#This Row],[Asistidas]]=""),"",tblMatriculas[[#This Row],[Asistencia]])</f>
        <v>0.1</v>
      </c>
      <c r="Q1145" t="b">
        <f>AND(tblMatriculas[[#This Row],[Estado]]="activa",ISNUMBER(tblMatriculas[[#This Row],[% asistencia]]),NOT(ISNUMBER(SEARCH(pPrueba,tblMatriculas[[#This Row],[Nombre]]))))</f>
        <v>1</v>
      </c>
      <c r="R11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5" s="23" t="str" cm="1">
        <f t="array" ref="S11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5" s="23" t="str" cm="1">
        <f t="array" ref="T11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5" s="14" t="str" cm="1">
        <f t="array" ref="U11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5" t="str" cm="1">
        <f t="array" ref="V11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5" t="str" cm="1">
        <f t="array" ref="W11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5" t="str">
        <f>IF(COUNTIFS('Base Estudiantes'!$C:$C,tblMatriculas[[#This Row],[Cédula]],'Base Estudiantes'!$I:$I,tblMatriculas[[#This Row],[Código]])&gt;0,"Sí","No")</f>
        <v>Sí</v>
      </c>
      <c r="Z1145" s="23" cm="1">
        <f t="array" ref="Z1145">_xlfn.XLOOKUP(tblMatriculas[[#This Row],[Cédula]]&amp;"|"&amp;tblMatriculas[[#This Row],[Código]],tblBase[Documento]&amp;"|"&amp;tblBase[Código grupo],tblBase[Fecha matrícula],"")</f>
        <v>46263</v>
      </c>
    </row>
    <row r="1146" spans="1:26" x14ac:dyDescent="0.2">
      <c r="A1146" t="s">
        <v>2431</v>
      </c>
      <c r="B1146" t="s">
        <v>2432</v>
      </c>
      <c r="C1146" t="s">
        <v>13</v>
      </c>
      <c r="D1146" t="s">
        <v>2349</v>
      </c>
      <c r="E1146" t="s">
        <v>2350</v>
      </c>
      <c r="F1146" t="s">
        <v>335</v>
      </c>
      <c r="G1146" s="1">
        <v>0.16699999999999998</v>
      </c>
      <c r="H1146" t="s">
        <v>229</v>
      </c>
      <c r="I1146" t="s">
        <v>1580</v>
      </c>
      <c r="J1146" t="s">
        <v>2351</v>
      </c>
      <c r="K1146" t="s">
        <v>1788</v>
      </c>
      <c r="L1146" s="14">
        <f>IFERROR(VALUE(LEFT(tblMatriculas[[#This Row],[Clases]],FIND("/",tblMatriculas[[#This Row],[Clases]])-1)),"")</f>
        <v>5</v>
      </c>
      <c r="M1146" s="14">
        <f>IFERROR(VALUE(MID(tblMatriculas[[#This Row],[Clases]],FIND("/",tblMatriculas[[#This Row],[Clases]])+1,5)),"")</f>
        <v>30</v>
      </c>
      <c r="N11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6" s="14">
        <f>IF(OR(tblMatriculas[[#This Row],[Estado]]&lt;&gt;"activa",tblMatriculas[[#This Row],[Clases dictadas]]=""),"",MAX(0,tblMatriculas[[#This Row],[Clases dictadas]]-tblMatriculas[[#This Row],[Asistidas]]))</f>
        <v>0</v>
      </c>
      <c r="P1146" s="1">
        <f>IF(OR(tblMatriculas[[#This Row],[Estado]]&lt;&gt;"activa",tblMatriculas[[#This Row],[Asistidas]]=""),"",tblMatriculas[[#This Row],[Asistencia]])</f>
        <v>0.16699999999999998</v>
      </c>
      <c r="Q1146" t="b">
        <f>AND(tblMatriculas[[#This Row],[Estado]]="activa",ISNUMBER(tblMatriculas[[#This Row],[% asistencia]]),NOT(ISNUMBER(SEARCH(pPrueba,tblMatriculas[[#This Row],[Nombre]]))))</f>
        <v>1</v>
      </c>
      <c r="R11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6" s="23" t="str" cm="1">
        <f t="array" ref="S11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6" s="23" t="str" cm="1">
        <f t="array" ref="T11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6" s="14" t="str" cm="1">
        <f t="array" ref="U11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6" t="str" cm="1">
        <f t="array" ref="V11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6" t="str" cm="1">
        <f t="array" ref="W11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6" t="str">
        <f>IF(COUNTIFS('Base Estudiantes'!$C:$C,tblMatriculas[[#This Row],[Cédula]],'Base Estudiantes'!$I:$I,tblMatriculas[[#This Row],[Código]])&gt;0,"Sí","No")</f>
        <v>Sí</v>
      </c>
      <c r="Z1146" s="23" cm="1">
        <f t="array" ref="Z1146">_xlfn.XLOOKUP(tblMatriculas[[#This Row],[Cédula]]&amp;"|"&amp;tblMatriculas[[#This Row],[Código]],tblBase[Documento]&amp;"|"&amp;tblBase[Código grupo],tblBase[Fecha matrícula],"")</f>
        <v>46263</v>
      </c>
    </row>
    <row r="1147" spans="1:26" x14ac:dyDescent="0.2">
      <c r="A1147" t="s">
        <v>2433</v>
      </c>
      <c r="B1147" t="s">
        <v>2434</v>
      </c>
      <c r="C1147" t="s">
        <v>13</v>
      </c>
      <c r="D1147" t="s">
        <v>2349</v>
      </c>
      <c r="E1147" t="s">
        <v>2350</v>
      </c>
      <c r="F1147" t="s">
        <v>335</v>
      </c>
      <c r="G1147" s="1">
        <v>0.1</v>
      </c>
      <c r="H1147" t="s">
        <v>117</v>
      </c>
      <c r="I1147" t="s">
        <v>1580</v>
      </c>
      <c r="J1147" t="s">
        <v>2351</v>
      </c>
      <c r="K1147" t="s">
        <v>1788</v>
      </c>
      <c r="L1147" s="14">
        <f>IFERROR(VALUE(LEFT(tblMatriculas[[#This Row],[Clases]],FIND("/",tblMatriculas[[#This Row],[Clases]])-1)),"")</f>
        <v>3</v>
      </c>
      <c r="M1147" s="14">
        <f>IFERROR(VALUE(MID(tblMatriculas[[#This Row],[Clases]],FIND("/",tblMatriculas[[#This Row],[Clases]])+1,5)),"")</f>
        <v>30</v>
      </c>
      <c r="N11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7" s="14">
        <f>IF(OR(tblMatriculas[[#This Row],[Estado]]&lt;&gt;"activa",tblMatriculas[[#This Row],[Clases dictadas]]=""),"",MAX(0,tblMatriculas[[#This Row],[Clases dictadas]]-tblMatriculas[[#This Row],[Asistidas]]))</f>
        <v>2</v>
      </c>
      <c r="P1147" s="1">
        <f>IF(OR(tblMatriculas[[#This Row],[Estado]]&lt;&gt;"activa",tblMatriculas[[#This Row],[Asistidas]]=""),"",tblMatriculas[[#This Row],[Asistencia]])</f>
        <v>0.1</v>
      </c>
      <c r="Q1147" t="b">
        <f>AND(tblMatriculas[[#This Row],[Estado]]="activa",ISNUMBER(tblMatriculas[[#This Row],[% asistencia]]),NOT(ISNUMBER(SEARCH(pPrueba,tblMatriculas[[#This Row],[Nombre]]))))</f>
        <v>1</v>
      </c>
      <c r="R11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7" s="23" t="str" cm="1">
        <f t="array" ref="S11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7" s="23" t="str" cm="1">
        <f t="array" ref="T11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7" s="14" t="str" cm="1">
        <f t="array" ref="U11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7" t="str" cm="1">
        <f t="array" ref="V11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7" t="str" cm="1">
        <f t="array" ref="W11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7" t="str">
        <f>IF(COUNTIFS('Base Estudiantes'!$C:$C,tblMatriculas[[#This Row],[Cédula]],'Base Estudiantes'!$I:$I,tblMatriculas[[#This Row],[Código]])&gt;0,"Sí","No")</f>
        <v>Sí</v>
      </c>
      <c r="Z1147" s="23" cm="1">
        <f t="array" ref="Z1147">_xlfn.XLOOKUP(tblMatriculas[[#This Row],[Cédula]]&amp;"|"&amp;tblMatriculas[[#This Row],[Código]],tblBase[Documento]&amp;"|"&amp;tblBase[Código grupo],tblBase[Fecha matrícula],"")</f>
        <v>46263</v>
      </c>
    </row>
    <row r="1148" spans="1:26" x14ac:dyDescent="0.2">
      <c r="A1148" t="s">
        <v>2435</v>
      </c>
      <c r="B1148" t="s">
        <v>2436</v>
      </c>
      <c r="C1148" t="s">
        <v>13</v>
      </c>
      <c r="D1148" t="s">
        <v>2349</v>
      </c>
      <c r="E1148" t="s">
        <v>2350</v>
      </c>
      <c r="F1148" t="s">
        <v>335</v>
      </c>
      <c r="G1148" s="1">
        <v>0.13300000000000001</v>
      </c>
      <c r="H1148" t="s">
        <v>112</v>
      </c>
      <c r="I1148" t="s">
        <v>1580</v>
      </c>
      <c r="J1148" t="s">
        <v>2351</v>
      </c>
      <c r="K1148" t="s">
        <v>1989</v>
      </c>
      <c r="L1148" s="14">
        <f>IFERROR(VALUE(LEFT(tblMatriculas[[#This Row],[Clases]],FIND("/",tblMatriculas[[#This Row],[Clases]])-1)),"")</f>
        <v>4</v>
      </c>
      <c r="M1148" s="14">
        <f>IFERROR(VALUE(MID(tblMatriculas[[#This Row],[Clases]],FIND("/",tblMatriculas[[#This Row],[Clases]])+1,5)),"")</f>
        <v>30</v>
      </c>
      <c r="N11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8" s="14">
        <f>IF(OR(tblMatriculas[[#This Row],[Estado]]&lt;&gt;"activa",tblMatriculas[[#This Row],[Clases dictadas]]=""),"",MAX(0,tblMatriculas[[#This Row],[Clases dictadas]]-tblMatriculas[[#This Row],[Asistidas]]))</f>
        <v>1</v>
      </c>
      <c r="P1148" s="1">
        <f>IF(OR(tblMatriculas[[#This Row],[Estado]]&lt;&gt;"activa",tblMatriculas[[#This Row],[Asistidas]]=""),"",tblMatriculas[[#This Row],[Asistencia]])</f>
        <v>0.13300000000000001</v>
      </c>
      <c r="Q1148" t="b">
        <f>AND(tblMatriculas[[#This Row],[Estado]]="activa",ISNUMBER(tblMatriculas[[#This Row],[% asistencia]]),NOT(ISNUMBER(SEARCH(pPrueba,tblMatriculas[[#This Row],[Nombre]]))))</f>
        <v>1</v>
      </c>
      <c r="R11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8" s="23" t="str" cm="1">
        <f t="array" ref="S11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8" s="23" t="str" cm="1">
        <f t="array" ref="T11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8" s="14" t="str" cm="1">
        <f t="array" ref="U11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8" t="str" cm="1">
        <f t="array" ref="V11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8" t="str" cm="1">
        <f t="array" ref="W11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8" t="str">
        <f>IF(COUNTIFS('Base Estudiantes'!$C:$C,tblMatriculas[[#This Row],[Cédula]],'Base Estudiantes'!$I:$I,tblMatriculas[[#This Row],[Código]])&gt;0,"Sí","No")</f>
        <v>Sí</v>
      </c>
      <c r="Z1148" s="23" cm="1">
        <f t="array" ref="Z1148">_xlfn.XLOOKUP(tblMatriculas[[#This Row],[Cédula]]&amp;"|"&amp;tblMatriculas[[#This Row],[Código]],tblBase[Documento]&amp;"|"&amp;tblBase[Código grupo],tblBase[Fecha matrícula],"")</f>
        <v>46263</v>
      </c>
    </row>
    <row r="1149" spans="1:26" x14ac:dyDescent="0.2">
      <c r="A1149" t="s">
        <v>2437</v>
      </c>
      <c r="B1149" t="s">
        <v>2438</v>
      </c>
      <c r="C1149" t="s">
        <v>13</v>
      </c>
      <c r="D1149" t="s">
        <v>2349</v>
      </c>
      <c r="E1149" t="s">
        <v>2350</v>
      </c>
      <c r="F1149" t="s">
        <v>335</v>
      </c>
      <c r="G1149" s="1">
        <v>0.13300000000000001</v>
      </c>
      <c r="H1149" t="s">
        <v>112</v>
      </c>
      <c r="I1149" t="s">
        <v>1580</v>
      </c>
      <c r="J1149" t="s">
        <v>2351</v>
      </c>
      <c r="K1149" t="s">
        <v>1585</v>
      </c>
      <c r="L1149" s="14">
        <f>IFERROR(VALUE(LEFT(tblMatriculas[[#This Row],[Clases]],FIND("/",tblMatriculas[[#This Row],[Clases]])-1)),"")</f>
        <v>4</v>
      </c>
      <c r="M1149" s="14">
        <f>IFERROR(VALUE(MID(tblMatriculas[[#This Row],[Clases]],FIND("/",tblMatriculas[[#This Row],[Clases]])+1,5)),"")</f>
        <v>30</v>
      </c>
      <c r="N11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49" s="14">
        <f>IF(OR(tblMatriculas[[#This Row],[Estado]]&lt;&gt;"activa",tblMatriculas[[#This Row],[Clases dictadas]]=""),"",MAX(0,tblMatriculas[[#This Row],[Clases dictadas]]-tblMatriculas[[#This Row],[Asistidas]]))</f>
        <v>1</v>
      </c>
      <c r="P1149" s="1">
        <f>IF(OR(tblMatriculas[[#This Row],[Estado]]&lt;&gt;"activa",tblMatriculas[[#This Row],[Asistidas]]=""),"",tblMatriculas[[#This Row],[Asistencia]])</f>
        <v>0.13300000000000001</v>
      </c>
      <c r="Q1149" t="b">
        <f>AND(tblMatriculas[[#This Row],[Estado]]="activa",ISNUMBER(tblMatriculas[[#This Row],[% asistencia]]),NOT(ISNUMBER(SEARCH(pPrueba,tblMatriculas[[#This Row],[Nombre]]))))</f>
        <v>1</v>
      </c>
      <c r="R11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49" s="23" t="str" cm="1">
        <f t="array" ref="S11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49" s="23" t="str" cm="1">
        <f t="array" ref="T11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49" s="14" t="str" cm="1">
        <f t="array" ref="U11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49" t="str" cm="1">
        <f t="array" ref="V11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49" t="str" cm="1">
        <f t="array" ref="W11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49" t="str">
        <f>IF(COUNTIFS('Base Estudiantes'!$C:$C,tblMatriculas[[#This Row],[Cédula]],'Base Estudiantes'!$I:$I,tblMatriculas[[#This Row],[Código]])&gt;0,"Sí","No")</f>
        <v>Sí</v>
      </c>
      <c r="Z1149" s="23" cm="1">
        <f t="array" ref="Z1149">_xlfn.XLOOKUP(tblMatriculas[[#This Row],[Cédula]]&amp;"|"&amp;tblMatriculas[[#This Row],[Código]],tblBase[Documento]&amp;"|"&amp;tblBase[Código grupo],tblBase[Fecha matrícula],"")</f>
        <v>46263</v>
      </c>
    </row>
    <row r="1150" spans="1:26" x14ac:dyDescent="0.2">
      <c r="A1150" t="s">
        <v>2439</v>
      </c>
      <c r="B1150" t="s">
        <v>2440</v>
      </c>
      <c r="C1150" t="s">
        <v>13</v>
      </c>
      <c r="D1150" t="s">
        <v>2349</v>
      </c>
      <c r="E1150" t="s">
        <v>2350</v>
      </c>
      <c r="F1150" t="s">
        <v>335</v>
      </c>
      <c r="G1150" s="1">
        <v>0.1</v>
      </c>
      <c r="H1150" t="s">
        <v>117</v>
      </c>
      <c r="I1150" t="s">
        <v>1580</v>
      </c>
      <c r="J1150" t="s">
        <v>2351</v>
      </c>
      <c r="K1150" t="s">
        <v>1999</v>
      </c>
      <c r="L1150" s="14">
        <f>IFERROR(VALUE(LEFT(tblMatriculas[[#This Row],[Clases]],FIND("/",tblMatriculas[[#This Row],[Clases]])-1)),"")</f>
        <v>3</v>
      </c>
      <c r="M1150" s="14">
        <f>IFERROR(VALUE(MID(tblMatriculas[[#This Row],[Clases]],FIND("/",tblMatriculas[[#This Row],[Clases]])+1,5)),"")</f>
        <v>30</v>
      </c>
      <c r="N11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0" s="14">
        <f>IF(OR(tblMatriculas[[#This Row],[Estado]]&lt;&gt;"activa",tblMatriculas[[#This Row],[Clases dictadas]]=""),"",MAX(0,tblMatriculas[[#This Row],[Clases dictadas]]-tblMatriculas[[#This Row],[Asistidas]]))</f>
        <v>2</v>
      </c>
      <c r="P1150" s="1">
        <f>IF(OR(tblMatriculas[[#This Row],[Estado]]&lt;&gt;"activa",tblMatriculas[[#This Row],[Asistidas]]=""),"",tblMatriculas[[#This Row],[Asistencia]])</f>
        <v>0.1</v>
      </c>
      <c r="Q1150" t="b">
        <f>AND(tblMatriculas[[#This Row],[Estado]]="activa",ISNUMBER(tblMatriculas[[#This Row],[% asistencia]]),NOT(ISNUMBER(SEARCH(pPrueba,tblMatriculas[[#This Row],[Nombre]]))))</f>
        <v>1</v>
      </c>
      <c r="R11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0" s="23" t="str" cm="1">
        <f t="array" ref="S11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0" s="23" t="str" cm="1">
        <f t="array" ref="T11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0" s="14" t="str" cm="1">
        <f t="array" ref="U11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0" t="str" cm="1">
        <f t="array" ref="V11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0" t="str" cm="1">
        <f t="array" ref="W11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0" t="str">
        <f>IF(COUNTIFS('Base Estudiantes'!$C:$C,tblMatriculas[[#This Row],[Cédula]],'Base Estudiantes'!$I:$I,tblMatriculas[[#This Row],[Código]])&gt;0,"Sí","No")</f>
        <v>Sí</v>
      </c>
      <c r="Z1150" s="23" cm="1">
        <f t="array" ref="Z1150">_xlfn.XLOOKUP(tblMatriculas[[#This Row],[Cédula]]&amp;"|"&amp;tblMatriculas[[#This Row],[Código]],tblBase[Documento]&amp;"|"&amp;tblBase[Código grupo],tblBase[Fecha matrícula],"")</f>
        <v>46263</v>
      </c>
    </row>
    <row r="1151" spans="1:26" x14ac:dyDescent="0.2">
      <c r="A1151" t="s">
        <v>2441</v>
      </c>
      <c r="B1151" t="s">
        <v>2442</v>
      </c>
      <c r="C1151" t="s">
        <v>13</v>
      </c>
      <c r="D1151" t="s">
        <v>2349</v>
      </c>
      <c r="E1151" t="s">
        <v>2350</v>
      </c>
      <c r="F1151" t="s">
        <v>335</v>
      </c>
      <c r="G1151" s="1">
        <v>0.13300000000000001</v>
      </c>
      <c r="H1151" t="s">
        <v>112</v>
      </c>
      <c r="I1151" t="s">
        <v>1580</v>
      </c>
      <c r="J1151" t="s">
        <v>2351</v>
      </c>
      <c r="K1151" t="s">
        <v>1590</v>
      </c>
      <c r="L1151" s="14">
        <f>IFERROR(VALUE(LEFT(tblMatriculas[[#This Row],[Clases]],FIND("/",tblMatriculas[[#This Row],[Clases]])-1)),"")</f>
        <v>4</v>
      </c>
      <c r="M1151" s="14">
        <f>IFERROR(VALUE(MID(tblMatriculas[[#This Row],[Clases]],FIND("/",tblMatriculas[[#This Row],[Clases]])+1,5)),"")</f>
        <v>30</v>
      </c>
      <c r="N11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1" s="14">
        <f>IF(OR(tblMatriculas[[#This Row],[Estado]]&lt;&gt;"activa",tblMatriculas[[#This Row],[Clases dictadas]]=""),"",MAX(0,tblMatriculas[[#This Row],[Clases dictadas]]-tblMatriculas[[#This Row],[Asistidas]]))</f>
        <v>1</v>
      </c>
      <c r="P1151" s="1">
        <f>IF(OR(tblMatriculas[[#This Row],[Estado]]&lt;&gt;"activa",tblMatriculas[[#This Row],[Asistidas]]=""),"",tblMatriculas[[#This Row],[Asistencia]])</f>
        <v>0.13300000000000001</v>
      </c>
      <c r="Q1151" t="b">
        <f>AND(tblMatriculas[[#This Row],[Estado]]="activa",ISNUMBER(tblMatriculas[[#This Row],[% asistencia]]),NOT(ISNUMBER(SEARCH(pPrueba,tblMatriculas[[#This Row],[Nombre]]))))</f>
        <v>1</v>
      </c>
      <c r="R11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1" s="23" t="str" cm="1">
        <f t="array" ref="S11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1" s="23" t="str" cm="1">
        <f t="array" ref="T11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1" s="14" t="str" cm="1">
        <f t="array" ref="U11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1" t="str" cm="1">
        <f t="array" ref="V11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1" t="str" cm="1">
        <f t="array" ref="W11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1" t="str">
        <f>IF(COUNTIFS('Base Estudiantes'!$C:$C,tblMatriculas[[#This Row],[Cédula]],'Base Estudiantes'!$I:$I,tblMatriculas[[#This Row],[Código]])&gt;0,"Sí","No")</f>
        <v>Sí</v>
      </c>
      <c r="Z1151" s="23" cm="1">
        <f t="array" ref="Z1151">_xlfn.XLOOKUP(tblMatriculas[[#This Row],[Cédula]]&amp;"|"&amp;tblMatriculas[[#This Row],[Código]],tblBase[Documento]&amp;"|"&amp;tblBase[Código grupo],tblBase[Fecha matrícula],"")</f>
        <v>46263</v>
      </c>
    </row>
    <row r="1152" spans="1:26" x14ac:dyDescent="0.2">
      <c r="A1152" t="s">
        <v>2443</v>
      </c>
      <c r="B1152" t="s">
        <v>2444</v>
      </c>
      <c r="C1152" t="s">
        <v>13</v>
      </c>
      <c r="D1152" t="s">
        <v>2349</v>
      </c>
      <c r="E1152" t="s">
        <v>2350</v>
      </c>
      <c r="F1152" t="s">
        <v>335</v>
      </c>
      <c r="G1152" s="1">
        <v>0.16699999999999998</v>
      </c>
      <c r="H1152" t="s">
        <v>229</v>
      </c>
      <c r="I1152" t="s">
        <v>1580</v>
      </c>
      <c r="J1152" t="s">
        <v>2351</v>
      </c>
      <c r="K1152" t="s">
        <v>1590</v>
      </c>
      <c r="L1152" s="14">
        <f>IFERROR(VALUE(LEFT(tblMatriculas[[#This Row],[Clases]],FIND("/",tblMatriculas[[#This Row],[Clases]])-1)),"")</f>
        <v>5</v>
      </c>
      <c r="M1152" s="14">
        <f>IFERROR(VALUE(MID(tblMatriculas[[#This Row],[Clases]],FIND("/",tblMatriculas[[#This Row],[Clases]])+1,5)),"")</f>
        <v>30</v>
      </c>
      <c r="N11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2" s="14">
        <f>IF(OR(tblMatriculas[[#This Row],[Estado]]&lt;&gt;"activa",tblMatriculas[[#This Row],[Clases dictadas]]=""),"",MAX(0,tblMatriculas[[#This Row],[Clases dictadas]]-tblMatriculas[[#This Row],[Asistidas]]))</f>
        <v>0</v>
      </c>
      <c r="P1152" s="1">
        <f>IF(OR(tblMatriculas[[#This Row],[Estado]]&lt;&gt;"activa",tblMatriculas[[#This Row],[Asistidas]]=""),"",tblMatriculas[[#This Row],[Asistencia]])</f>
        <v>0.16699999999999998</v>
      </c>
      <c r="Q1152" t="b">
        <f>AND(tblMatriculas[[#This Row],[Estado]]="activa",ISNUMBER(tblMatriculas[[#This Row],[% asistencia]]),NOT(ISNUMBER(SEARCH(pPrueba,tblMatriculas[[#This Row],[Nombre]]))))</f>
        <v>1</v>
      </c>
      <c r="R11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2" s="23" t="str" cm="1">
        <f t="array" ref="S11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2" s="23" t="str" cm="1">
        <f t="array" ref="T11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2" s="14" t="str" cm="1">
        <f t="array" ref="U11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2" t="str" cm="1">
        <f t="array" ref="V11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2" t="str" cm="1">
        <f t="array" ref="W11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2" t="str">
        <f>IF(COUNTIFS('Base Estudiantes'!$C:$C,tblMatriculas[[#This Row],[Cédula]],'Base Estudiantes'!$I:$I,tblMatriculas[[#This Row],[Código]])&gt;0,"Sí","No")</f>
        <v>Sí</v>
      </c>
      <c r="Z1152" s="23" cm="1">
        <f t="array" ref="Z1152">_xlfn.XLOOKUP(tblMatriculas[[#This Row],[Cédula]]&amp;"|"&amp;tblMatriculas[[#This Row],[Código]],tblBase[Documento]&amp;"|"&amp;tblBase[Código grupo],tblBase[Fecha matrícula],"")</f>
        <v>46263</v>
      </c>
    </row>
    <row r="1153" spans="1:26" x14ac:dyDescent="0.2">
      <c r="A1153" t="s">
        <v>2445</v>
      </c>
      <c r="B1153" t="s">
        <v>2446</v>
      </c>
      <c r="C1153" t="s">
        <v>13</v>
      </c>
      <c r="D1153" t="s">
        <v>2349</v>
      </c>
      <c r="E1153" t="s">
        <v>2350</v>
      </c>
      <c r="F1153" t="s">
        <v>335</v>
      </c>
      <c r="G1153" s="1">
        <v>0.16699999999999998</v>
      </c>
      <c r="H1153" t="s">
        <v>229</v>
      </c>
      <c r="I1153" t="s">
        <v>1580</v>
      </c>
      <c r="J1153" t="s">
        <v>2351</v>
      </c>
      <c r="K1153" t="s">
        <v>1710</v>
      </c>
      <c r="L1153" s="14">
        <f>IFERROR(VALUE(LEFT(tblMatriculas[[#This Row],[Clases]],FIND("/",tblMatriculas[[#This Row],[Clases]])-1)),"")</f>
        <v>5</v>
      </c>
      <c r="M1153" s="14">
        <f>IFERROR(VALUE(MID(tblMatriculas[[#This Row],[Clases]],FIND("/",tblMatriculas[[#This Row],[Clases]])+1,5)),"")</f>
        <v>30</v>
      </c>
      <c r="N11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3" s="14">
        <f>IF(OR(tblMatriculas[[#This Row],[Estado]]&lt;&gt;"activa",tblMatriculas[[#This Row],[Clases dictadas]]=""),"",MAX(0,tblMatriculas[[#This Row],[Clases dictadas]]-tblMatriculas[[#This Row],[Asistidas]]))</f>
        <v>0</v>
      </c>
      <c r="P1153" s="1">
        <f>IF(OR(tblMatriculas[[#This Row],[Estado]]&lt;&gt;"activa",tblMatriculas[[#This Row],[Asistidas]]=""),"",tblMatriculas[[#This Row],[Asistencia]])</f>
        <v>0.16699999999999998</v>
      </c>
      <c r="Q1153" t="b">
        <f>AND(tblMatriculas[[#This Row],[Estado]]="activa",ISNUMBER(tblMatriculas[[#This Row],[% asistencia]]),NOT(ISNUMBER(SEARCH(pPrueba,tblMatriculas[[#This Row],[Nombre]]))))</f>
        <v>1</v>
      </c>
      <c r="R11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3" s="23" t="str" cm="1">
        <f t="array" ref="S11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3" s="23" t="str" cm="1">
        <f t="array" ref="T11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3" s="14" t="str" cm="1">
        <f t="array" ref="U11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3" t="str" cm="1">
        <f t="array" ref="V11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3" t="str" cm="1">
        <f t="array" ref="W11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3" t="str">
        <f>IF(COUNTIFS('Base Estudiantes'!$C:$C,tblMatriculas[[#This Row],[Cédula]],'Base Estudiantes'!$I:$I,tblMatriculas[[#This Row],[Código]])&gt;0,"Sí","No")</f>
        <v>Sí</v>
      </c>
      <c r="Z1153" s="23" cm="1">
        <f t="array" ref="Z1153">_xlfn.XLOOKUP(tblMatriculas[[#This Row],[Cédula]]&amp;"|"&amp;tblMatriculas[[#This Row],[Código]],tblBase[Documento]&amp;"|"&amp;tblBase[Código grupo],tblBase[Fecha matrícula],"")</f>
        <v>46263</v>
      </c>
    </row>
    <row r="1154" spans="1:26" x14ac:dyDescent="0.2">
      <c r="A1154" t="s">
        <v>346</v>
      </c>
      <c r="B1154" t="s">
        <v>347</v>
      </c>
      <c r="C1154" t="s">
        <v>13</v>
      </c>
      <c r="D1154" t="s">
        <v>2349</v>
      </c>
      <c r="E1154" t="s">
        <v>2350</v>
      </c>
      <c r="F1154" t="s">
        <v>335</v>
      </c>
      <c r="G1154" s="1">
        <v>0.1</v>
      </c>
      <c r="H1154" t="s">
        <v>117</v>
      </c>
      <c r="I1154" t="s">
        <v>1580</v>
      </c>
      <c r="J1154" t="s">
        <v>2351</v>
      </c>
      <c r="K1154" t="s">
        <v>24</v>
      </c>
      <c r="L1154" s="14">
        <f>IFERROR(VALUE(LEFT(tblMatriculas[[#This Row],[Clases]],FIND("/",tblMatriculas[[#This Row],[Clases]])-1)),"")</f>
        <v>3</v>
      </c>
      <c r="M1154" s="14">
        <f>IFERROR(VALUE(MID(tblMatriculas[[#This Row],[Clases]],FIND("/",tblMatriculas[[#This Row],[Clases]])+1,5)),"")</f>
        <v>30</v>
      </c>
      <c r="N11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4" s="14">
        <f>IF(OR(tblMatriculas[[#This Row],[Estado]]&lt;&gt;"activa",tblMatriculas[[#This Row],[Clases dictadas]]=""),"",MAX(0,tblMatriculas[[#This Row],[Clases dictadas]]-tblMatriculas[[#This Row],[Asistidas]]))</f>
        <v>2</v>
      </c>
      <c r="P1154" s="1">
        <f>IF(OR(tblMatriculas[[#This Row],[Estado]]&lt;&gt;"activa",tblMatriculas[[#This Row],[Asistidas]]=""),"",tblMatriculas[[#This Row],[Asistencia]])</f>
        <v>0.1</v>
      </c>
      <c r="Q1154" t="b">
        <f>AND(tblMatriculas[[#This Row],[Estado]]="activa",ISNUMBER(tblMatriculas[[#This Row],[% asistencia]]),NOT(ISNUMBER(SEARCH(pPrueba,tblMatriculas[[#This Row],[Nombre]]))))</f>
        <v>1</v>
      </c>
      <c r="R11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4" s="23" t="str" cm="1">
        <f t="array" ref="S11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4" s="23" t="str" cm="1">
        <f t="array" ref="T11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4" s="14" t="str" cm="1">
        <f t="array" ref="U11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4" t="str" cm="1">
        <f t="array" ref="V11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4" t="str" cm="1">
        <f t="array" ref="W11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4" t="str">
        <f>IF(COUNTIFS('Base Estudiantes'!$C:$C,tblMatriculas[[#This Row],[Cédula]],'Base Estudiantes'!$I:$I,tblMatriculas[[#This Row],[Código]])&gt;0,"Sí","No")</f>
        <v>Sí</v>
      </c>
      <c r="Z1154" s="23" cm="1">
        <f t="array" ref="Z1154">_xlfn.XLOOKUP(tblMatriculas[[#This Row],[Cédula]]&amp;"|"&amp;tblMatriculas[[#This Row],[Código]],tblBase[Documento]&amp;"|"&amp;tblBase[Código grupo],tblBase[Fecha matrícula],"")</f>
        <v>46275</v>
      </c>
    </row>
    <row r="1155" spans="1:26" x14ac:dyDescent="0.2">
      <c r="A1155" t="s">
        <v>443</v>
      </c>
      <c r="B1155" t="s">
        <v>444</v>
      </c>
      <c r="C1155" t="s">
        <v>13</v>
      </c>
      <c r="D1155" t="s">
        <v>2349</v>
      </c>
      <c r="E1155" t="s">
        <v>2350</v>
      </c>
      <c r="F1155" t="s">
        <v>335</v>
      </c>
      <c r="G1155" s="1">
        <v>0</v>
      </c>
      <c r="H1155" t="s">
        <v>254</v>
      </c>
      <c r="I1155" t="s">
        <v>1580</v>
      </c>
      <c r="J1155" t="s">
        <v>2351</v>
      </c>
      <c r="K1155" t="s">
        <v>24</v>
      </c>
      <c r="L1155" s="14">
        <f>IFERROR(VALUE(LEFT(tblMatriculas[[#This Row],[Clases]],FIND("/",tblMatriculas[[#This Row],[Clases]])-1)),"")</f>
        <v>0</v>
      </c>
      <c r="M1155" s="14">
        <f>IFERROR(VALUE(MID(tblMatriculas[[#This Row],[Clases]],FIND("/",tblMatriculas[[#This Row],[Clases]])+1,5)),"")</f>
        <v>30</v>
      </c>
      <c r="N11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55" s="14">
        <f>IF(OR(tblMatriculas[[#This Row],[Estado]]&lt;&gt;"activa",tblMatriculas[[#This Row],[Clases dictadas]]=""),"",MAX(0,tblMatriculas[[#This Row],[Clases dictadas]]-tblMatriculas[[#This Row],[Asistidas]]))</f>
        <v>5</v>
      </c>
      <c r="P1155" s="1">
        <f>IF(OR(tblMatriculas[[#This Row],[Estado]]&lt;&gt;"activa",tblMatriculas[[#This Row],[Asistidas]]=""),"",tblMatriculas[[#This Row],[Asistencia]])</f>
        <v>0</v>
      </c>
      <c r="Q1155" t="b">
        <f>AND(tblMatriculas[[#This Row],[Estado]]="activa",ISNUMBER(tblMatriculas[[#This Row],[% asistencia]]),NOT(ISNUMBER(SEARCH(pPrueba,tblMatriculas[[#This Row],[Nombre]]))))</f>
        <v>1</v>
      </c>
      <c r="R11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155" s="23" t="str" cm="1">
        <f t="array" ref="S11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5" s="23" t="str" cm="1">
        <f t="array" ref="T11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5" s="14" t="str" cm="1">
        <f t="array" ref="U11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5" t="str" cm="1">
        <f t="array" ref="V11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5" t="str" cm="1">
        <f t="array" ref="W11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1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155" t="str">
        <f>IF(COUNTIFS('Base Estudiantes'!$C:$C,tblMatriculas[[#This Row],[Cédula]],'Base Estudiantes'!$I:$I,tblMatriculas[[#This Row],[Código]])&gt;0,"Sí","No")</f>
        <v>Sí</v>
      </c>
      <c r="Z1155" s="23" cm="1">
        <f t="array" ref="Z1155">_xlfn.XLOOKUP(tblMatriculas[[#This Row],[Cédula]]&amp;"|"&amp;tblMatriculas[[#This Row],[Código]],tblBase[Documento]&amp;"|"&amp;tblBase[Código grupo],tblBase[Fecha matrícula],"")</f>
        <v>46275</v>
      </c>
    </row>
    <row r="1156" spans="1:26" x14ac:dyDescent="0.2">
      <c r="A1156" t="s">
        <v>2447</v>
      </c>
      <c r="B1156" t="s">
        <v>2448</v>
      </c>
      <c r="C1156" t="s">
        <v>13</v>
      </c>
      <c r="D1156" t="s">
        <v>2449</v>
      </c>
      <c r="E1156" t="s">
        <v>2450</v>
      </c>
      <c r="F1156" t="s">
        <v>335</v>
      </c>
      <c r="G1156" s="1">
        <v>0.1</v>
      </c>
      <c r="H1156" t="s">
        <v>867</v>
      </c>
      <c r="I1156" t="s">
        <v>1580</v>
      </c>
      <c r="J1156" t="s">
        <v>2451</v>
      </c>
      <c r="K1156" t="s">
        <v>2452</v>
      </c>
      <c r="L1156" s="14">
        <f>IFERROR(VALUE(LEFT(tblMatriculas[[#This Row],[Clases]],FIND("/",tblMatriculas[[#This Row],[Clases]])-1)),"")</f>
        <v>4</v>
      </c>
      <c r="M1156" s="14">
        <f>IFERROR(VALUE(MID(tblMatriculas[[#This Row],[Clases]],FIND("/",tblMatriculas[[#This Row],[Clases]])+1,5)),"")</f>
        <v>40</v>
      </c>
      <c r="N11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56" s="14">
        <f>IF(OR(tblMatriculas[[#This Row],[Estado]]&lt;&gt;"activa",tblMatriculas[[#This Row],[Clases dictadas]]=""),"",MAX(0,tblMatriculas[[#This Row],[Clases dictadas]]-tblMatriculas[[#This Row],[Asistidas]]))</f>
        <v>0</v>
      </c>
      <c r="P1156" s="1">
        <f>IF(OR(tblMatriculas[[#This Row],[Estado]]&lt;&gt;"activa",tblMatriculas[[#This Row],[Asistidas]]=""),"",tblMatriculas[[#This Row],[Asistencia]])</f>
        <v>0.1</v>
      </c>
      <c r="Q1156" t="b">
        <f>AND(tblMatriculas[[#This Row],[Estado]]="activa",ISNUMBER(tblMatriculas[[#This Row],[% asistencia]]),NOT(ISNUMBER(SEARCH(pPrueba,tblMatriculas[[#This Row],[Nombre]]))))</f>
        <v>1</v>
      </c>
      <c r="R11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6" s="23" t="str" cm="1">
        <f t="array" ref="S11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6" s="23" t="str" cm="1">
        <f t="array" ref="T11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6" s="14" t="str" cm="1">
        <f t="array" ref="U11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6" t="str" cm="1">
        <f t="array" ref="V11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6" t="str" cm="1">
        <f t="array" ref="W11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6" t="str">
        <f>IF(COUNTIFS('Base Estudiantes'!$C:$C,tblMatriculas[[#This Row],[Cédula]],'Base Estudiantes'!$I:$I,tblMatriculas[[#This Row],[Código]])&gt;0,"Sí","No")</f>
        <v>Sí</v>
      </c>
      <c r="Z1156" s="23" cm="1">
        <f t="array" ref="Z1156">_xlfn.XLOOKUP(tblMatriculas[[#This Row],[Cédula]]&amp;"|"&amp;tblMatriculas[[#This Row],[Código]],tblBase[Documento]&amp;"|"&amp;tblBase[Código grupo],tblBase[Fecha matrícula],"")</f>
        <v>46263</v>
      </c>
    </row>
    <row r="1157" spans="1:26" x14ac:dyDescent="0.2">
      <c r="A1157" t="s">
        <v>2453</v>
      </c>
      <c r="B1157" t="s">
        <v>2454</v>
      </c>
      <c r="C1157" t="s">
        <v>49</v>
      </c>
      <c r="D1157" t="s">
        <v>2449</v>
      </c>
      <c r="E1157" t="s">
        <v>2450</v>
      </c>
      <c r="F1157" t="s">
        <v>335</v>
      </c>
      <c r="G1157" s="1">
        <v>2.5000000000000001E-2</v>
      </c>
      <c r="H1157" t="s">
        <v>921</v>
      </c>
      <c r="I1157" t="s">
        <v>1580</v>
      </c>
      <c r="J1157" t="s">
        <v>2451</v>
      </c>
      <c r="K1157" t="s">
        <v>2455</v>
      </c>
      <c r="L1157" s="14">
        <f>IFERROR(VALUE(LEFT(tblMatriculas[[#This Row],[Clases]],FIND("/",tblMatriculas[[#This Row],[Clases]])-1)),"")</f>
        <v>1</v>
      </c>
      <c r="M1157" s="14">
        <f>IFERROR(VALUE(MID(tblMatriculas[[#This Row],[Clases]],FIND("/",tblMatriculas[[#This Row],[Clases]])+1,5)),"")</f>
        <v>40</v>
      </c>
      <c r="N11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57" s="14" t="str">
        <f>IF(OR(tblMatriculas[[#This Row],[Estado]]&lt;&gt;"activa",tblMatriculas[[#This Row],[Clases dictadas]]=""),"",MAX(0,tblMatriculas[[#This Row],[Clases dictadas]]-tblMatriculas[[#This Row],[Asistidas]]))</f>
        <v/>
      </c>
      <c r="P1157" s="1" t="str">
        <f>IF(OR(tblMatriculas[[#This Row],[Estado]]&lt;&gt;"activa",tblMatriculas[[#This Row],[Asistidas]]=""),"",tblMatriculas[[#This Row],[Asistencia]])</f>
        <v/>
      </c>
      <c r="Q1157" t="b">
        <f>AND(tblMatriculas[[#This Row],[Estado]]="activa",ISNUMBER(tblMatriculas[[#This Row],[% asistencia]]),NOT(ISNUMBER(SEARCH(pPrueba,tblMatriculas[[#This Row],[Nombre]]))))</f>
        <v>0</v>
      </c>
      <c r="R11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157" s="23" t="str" cm="1">
        <f t="array" ref="S11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7" s="23" t="str" cm="1">
        <f t="array" ref="T11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7" s="14" t="str" cm="1">
        <f t="array" ref="U11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7" t="str" cm="1">
        <f t="array" ref="V11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7" t="str" cm="1">
        <f t="array" ref="W11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7" t="str">
        <f>IF(COUNTIFS('Base Estudiantes'!$C:$C,tblMatriculas[[#This Row],[Cédula]],'Base Estudiantes'!$I:$I,tblMatriculas[[#This Row],[Código]])&gt;0,"Sí","No")</f>
        <v>Sí</v>
      </c>
      <c r="Z1157" s="23" cm="1">
        <f t="array" ref="Z1157">_xlfn.XLOOKUP(tblMatriculas[[#This Row],[Cédula]]&amp;"|"&amp;tblMatriculas[[#This Row],[Código]],tblBase[Documento]&amp;"|"&amp;tblBase[Código grupo],tblBase[Fecha matrícula],"")</f>
        <v>46263</v>
      </c>
    </row>
    <row r="1158" spans="1:26" x14ac:dyDescent="0.2">
      <c r="A1158" t="s">
        <v>2456</v>
      </c>
      <c r="B1158" t="s">
        <v>2457</v>
      </c>
      <c r="C1158" t="s">
        <v>13</v>
      </c>
      <c r="D1158" t="s">
        <v>2449</v>
      </c>
      <c r="E1158" t="s">
        <v>2450</v>
      </c>
      <c r="F1158" t="s">
        <v>335</v>
      </c>
      <c r="G1158" s="1">
        <v>0.1</v>
      </c>
      <c r="H1158" t="s">
        <v>867</v>
      </c>
      <c r="I1158" t="s">
        <v>1580</v>
      </c>
      <c r="J1158" t="s">
        <v>2451</v>
      </c>
      <c r="K1158" t="s">
        <v>1967</v>
      </c>
      <c r="L1158" s="14">
        <f>IFERROR(VALUE(LEFT(tblMatriculas[[#This Row],[Clases]],FIND("/",tblMatriculas[[#This Row],[Clases]])-1)),"")</f>
        <v>4</v>
      </c>
      <c r="M1158" s="14">
        <f>IFERROR(VALUE(MID(tblMatriculas[[#This Row],[Clases]],FIND("/",tblMatriculas[[#This Row],[Clases]])+1,5)),"")</f>
        <v>40</v>
      </c>
      <c r="N11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58" s="14">
        <f>IF(OR(tblMatriculas[[#This Row],[Estado]]&lt;&gt;"activa",tblMatriculas[[#This Row],[Clases dictadas]]=""),"",MAX(0,tblMatriculas[[#This Row],[Clases dictadas]]-tblMatriculas[[#This Row],[Asistidas]]))</f>
        <v>0</v>
      </c>
      <c r="P1158" s="1">
        <f>IF(OR(tblMatriculas[[#This Row],[Estado]]&lt;&gt;"activa",tblMatriculas[[#This Row],[Asistidas]]=""),"",tblMatriculas[[#This Row],[Asistencia]])</f>
        <v>0.1</v>
      </c>
      <c r="Q1158" t="b">
        <f>AND(tblMatriculas[[#This Row],[Estado]]="activa",ISNUMBER(tblMatriculas[[#This Row],[% asistencia]]),NOT(ISNUMBER(SEARCH(pPrueba,tblMatriculas[[#This Row],[Nombre]]))))</f>
        <v>1</v>
      </c>
      <c r="R11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58" s="23" t="str" cm="1">
        <f t="array" ref="S11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8" s="23" t="str" cm="1">
        <f t="array" ref="T11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8" s="14" t="str" cm="1">
        <f t="array" ref="U11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8" t="str" cm="1">
        <f t="array" ref="V11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8" t="str" cm="1">
        <f t="array" ref="W11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8" t="str">
        <f>IF(COUNTIFS('Base Estudiantes'!$C:$C,tblMatriculas[[#This Row],[Cédula]],'Base Estudiantes'!$I:$I,tblMatriculas[[#This Row],[Código]])&gt;0,"Sí","No")</f>
        <v>Sí</v>
      </c>
      <c r="Z1158" s="23" cm="1">
        <f t="array" ref="Z1158">_xlfn.XLOOKUP(tblMatriculas[[#This Row],[Cédula]]&amp;"|"&amp;tblMatriculas[[#This Row],[Código]],tblBase[Documento]&amp;"|"&amp;tblBase[Código grupo],tblBase[Fecha matrícula],"")</f>
        <v>46263</v>
      </c>
    </row>
    <row r="1159" spans="1:26" x14ac:dyDescent="0.2">
      <c r="A1159" t="s">
        <v>2458</v>
      </c>
      <c r="B1159" t="s">
        <v>2459</v>
      </c>
      <c r="C1159" t="s">
        <v>49</v>
      </c>
      <c r="D1159" t="s">
        <v>2449</v>
      </c>
      <c r="E1159" t="s">
        <v>2450</v>
      </c>
      <c r="F1159" t="s">
        <v>335</v>
      </c>
      <c r="G1159" s="1">
        <v>2.5000000000000001E-2</v>
      </c>
      <c r="H1159" t="s">
        <v>921</v>
      </c>
      <c r="I1159" t="s">
        <v>1580</v>
      </c>
      <c r="J1159" t="s">
        <v>2451</v>
      </c>
      <c r="K1159" t="s">
        <v>24</v>
      </c>
      <c r="L1159" s="14">
        <f>IFERROR(VALUE(LEFT(tblMatriculas[[#This Row],[Clases]],FIND("/",tblMatriculas[[#This Row],[Clases]])-1)),"")</f>
        <v>1</v>
      </c>
      <c r="M1159" s="14">
        <f>IFERROR(VALUE(MID(tblMatriculas[[#This Row],[Clases]],FIND("/",tblMatriculas[[#This Row],[Clases]])+1,5)),"")</f>
        <v>40</v>
      </c>
      <c r="N11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59" s="14" t="str">
        <f>IF(OR(tblMatriculas[[#This Row],[Estado]]&lt;&gt;"activa",tblMatriculas[[#This Row],[Clases dictadas]]=""),"",MAX(0,tblMatriculas[[#This Row],[Clases dictadas]]-tblMatriculas[[#This Row],[Asistidas]]))</f>
        <v/>
      </c>
      <c r="P1159" s="1" t="str">
        <f>IF(OR(tblMatriculas[[#This Row],[Estado]]&lt;&gt;"activa",tblMatriculas[[#This Row],[Asistidas]]=""),"",tblMatriculas[[#This Row],[Asistencia]])</f>
        <v/>
      </c>
      <c r="Q1159" t="b">
        <f>AND(tblMatriculas[[#This Row],[Estado]]="activa",ISNUMBER(tblMatriculas[[#This Row],[% asistencia]]),NOT(ISNUMBER(SEARCH(pPrueba,tblMatriculas[[#This Row],[Nombre]]))))</f>
        <v>0</v>
      </c>
      <c r="R11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159" s="23" t="str" cm="1">
        <f t="array" ref="S11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59" s="23" t="str" cm="1">
        <f t="array" ref="T11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59" s="14" t="str" cm="1">
        <f t="array" ref="U11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59" t="str" cm="1">
        <f t="array" ref="V11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59" t="str" cm="1">
        <f t="array" ref="W11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59" t="str">
        <f>IF(COUNTIFS('Base Estudiantes'!$C:$C,tblMatriculas[[#This Row],[Cédula]],'Base Estudiantes'!$I:$I,tblMatriculas[[#This Row],[Código]])&gt;0,"Sí","No")</f>
        <v>No</v>
      </c>
      <c r="Z1159" s="23" t="str" cm="1">
        <f t="array" ref="Z1159">_xlfn.XLOOKUP(tblMatriculas[[#This Row],[Cédula]]&amp;"|"&amp;tblMatriculas[[#This Row],[Código]],tblBase[Documento]&amp;"|"&amp;tblBase[Código grupo],tblBase[Fecha matrícula],"")</f>
        <v/>
      </c>
    </row>
    <row r="1160" spans="1:26" x14ac:dyDescent="0.2">
      <c r="A1160" t="s">
        <v>2460</v>
      </c>
      <c r="B1160" t="s">
        <v>2461</v>
      </c>
      <c r="C1160" t="s">
        <v>13</v>
      </c>
      <c r="D1160" t="s">
        <v>2449</v>
      </c>
      <c r="E1160" t="s">
        <v>2450</v>
      </c>
      <c r="F1160" t="s">
        <v>335</v>
      </c>
      <c r="G1160" s="1">
        <v>0.1</v>
      </c>
      <c r="H1160" t="s">
        <v>867</v>
      </c>
      <c r="I1160" t="s">
        <v>1580</v>
      </c>
      <c r="J1160" t="s">
        <v>2451</v>
      </c>
      <c r="K1160" t="s">
        <v>24</v>
      </c>
      <c r="L1160" s="14">
        <f>IFERROR(VALUE(LEFT(tblMatriculas[[#This Row],[Clases]],FIND("/",tblMatriculas[[#This Row],[Clases]])-1)),"")</f>
        <v>4</v>
      </c>
      <c r="M1160" s="14">
        <f>IFERROR(VALUE(MID(tblMatriculas[[#This Row],[Clases]],FIND("/",tblMatriculas[[#This Row],[Clases]])+1,5)),"")</f>
        <v>40</v>
      </c>
      <c r="N11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0" s="14">
        <f>IF(OR(tblMatriculas[[#This Row],[Estado]]&lt;&gt;"activa",tblMatriculas[[#This Row],[Clases dictadas]]=""),"",MAX(0,tblMatriculas[[#This Row],[Clases dictadas]]-tblMatriculas[[#This Row],[Asistidas]]))</f>
        <v>0</v>
      </c>
      <c r="P1160" s="1">
        <f>IF(OR(tblMatriculas[[#This Row],[Estado]]&lt;&gt;"activa",tblMatriculas[[#This Row],[Asistidas]]=""),"",tblMatriculas[[#This Row],[Asistencia]])</f>
        <v>0.1</v>
      </c>
      <c r="Q1160" t="b">
        <f>AND(tblMatriculas[[#This Row],[Estado]]="activa",ISNUMBER(tblMatriculas[[#This Row],[% asistencia]]),NOT(ISNUMBER(SEARCH(pPrueba,tblMatriculas[[#This Row],[Nombre]]))))</f>
        <v>1</v>
      </c>
      <c r="R11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0" s="23" t="str" cm="1">
        <f t="array" ref="S11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0" s="23" t="str" cm="1">
        <f t="array" ref="T11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0" s="14" t="str" cm="1">
        <f t="array" ref="U11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0" t="str" cm="1">
        <f t="array" ref="V11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0" t="str" cm="1">
        <f t="array" ref="W11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0" t="str">
        <f>IF(COUNTIFS('Base Estudiantes'!$C:$C,tblMatriculas[[#This Row],[Cédula]],'Base Estudiantes'!$I:$I,tblMatriculas[[#This Row],[Código]])&gt;0,"Sí","No")</f>
        <v>Sí</v>
      </c>
      <c r="Z1160" s="23" cm="1">
        <f t="array" ref="Z1160">_xlfn.XLOOKUP(tblMatriculas[[#This Row],[Cédula]]&amp;"|"&amp;tblMatriculas[[#This Row],[Código]],tblBase[Documento]&amp;"|"&amp;tblBase[Código grupo],tblBase[Fecha matrícula],"")</f>
        <v>46263</v>
      </c>
    </row>
    <row r="1161" spans="1:26" x14ac:dyDescent="0.2">
      <c r="A1161" t="s">
        <v>2462</v>
      </c>
      <c r="B1161" t="s">
        <v>2463</v>
      </c>
      <c r="C1161" t="s">
        <v>13</v>
      </c>
      <c r="D1161" t="s">
        <v>2449</v>
      </c>
      <c r="E1161" t="s">
        <v>2450</v>
      </c>
      <c r="F1161" t="s">
        <v>335</v>
      </c>
      <c r="G1161" s="1">
        <v>0.1</v>
      </c>
      <c r="H1161" t="s">
        <v>867</v>
      </c>
      <c r="I1161" t="s">
        <v>1580</v>
      </c>
      <c r="J1161" t="s">
        <v>2451</v>
      </c>
      <c r="K1161" t="s">
        <v>24</v>
      </c>
      <c r="L1161" s="14">
        <f>IFERROR(VALUE(LEFT(tblMatriculas[[#This Row],[Clases]],FIND("/",tblMatriculas[[#This Row],[Clases]])-1)),"")</f>
        <v>4</v>
      </c>
      <c r="M1161" s="14">
        <f>IFERROR(VALUE(MID(tblMatriculas[[#This Row],[Clases]],FIND("/",tblMatriculas[[#This Row],[Clases]])+1,5)),"")</f>
        <v>40</v>
      </c>
      <c r="N11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1" s="14">
        <f>IF(OR(tblMatriculas[[#This Row],[Estado]]&lt;&gt;"activa",tblMatriculas[[#This Row],[Clases dictadas]]=""),"",MAX(0,tblMatriculas[[#This Row],[Clases dictadas]]-tblMatriculas[[#This Row],[Asistidas]]))</f>
        <v>0</v>
      </c>
      <c r="P1161" s="1">
        <f>IF(OR(tblMatriculas[[#This Row],[Estado]]&lt;&gt;"activa",tblMatriculas[[#This Row],[Asistidas]]=""),"",tblMatriculas[[#This Row],[Asistencia]])</f>
        <v>0.1</v>
      </c>
      <c r="Q1161" t="b">
        <f>AND(tblMatriculas[[#This Row],[Estado]]="activa",ISNUMBER(tblMatriculas[[#This Row],[% asistencia]]),NOT(ISNUMBER(SEARCH(pPrueba,tblMatriculas[[#This Row],[Nombre]]))))</f>
        <v>1</v>
      </c>
      <c r="R11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1" s="23" t="str" cm="1">
        <f t="array" ref="S11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1" s="23" t="str" cm="1">
        <f t="array" ref="T11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1" s="14" t="str" cm="1">
        <f t="array" ref="U11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1" t="str" cm="1">
        <f t="array" ref="V11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1" t="str" cm="1">
        <f t="array" ref="W11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1" t="str">
        <f>IF(COUNTIFS('Base Estudiantes'!$C:$C,tblMatriculas[[#This Row],[Cédula]],'Base Estudiantes'!$I:$I,tblMatriculas[[#This Row],[Código]])&gt;0,"Sí","No")</f>
        <v>Sí</v>
      </c>
      <c r="Z1161" s="23" cm="1">
        <f t="array" ref="Z1161">_xlfn.XLOOKUP(tblMatriculas[[#This Row],[Cédula]]&amp;"|"&amp;tblMatriculas[[#This Row],[Código]],tblBase[Documento]&amp;"|"&amp;tblBase[Código grupo],tblBase[Fecha matrícula],"")</f>
        <v>46263</v>
      </c>
    </row>
    <row r="1162" spans="1:26" x14ac:dyDescent="0.2">
      <c r="A1162" t="s">
        <v>2464</v>
      </c>
      <c r="B1162" t="s">
        <v>2465</v>
      </c>
      <c r="C1162" t="s">
        <v>13</v>
      </c>
      <c r="D1162" t="s">
        <v>2449</v>
      </c>
      <c r="E1162" t="s">
        <v>2450</v>
      </c>
      <c r="F1162" t="s">
        <v>335</v>
      </c>
      <c r="G1162" s="1">
        <v>0.1</v>
      </c>
      <c r="H1162" t="s">
        <v>867</v>
      </c>
      <c r="I1162" t="s">
        <v>1580</v>
      </c>
      <c r="J1162" t="s">
        <v>2451</v>
      </c>
      <c r="K1162" t="s">
        <v>24</v>
      </c>
      <c r="L1162" s="14">
        <f>IFERROR(VALUE(LEFT(tblMatriculas[[#This Row],[Clases]],FIND("/",tblMatriculas[[#This Row],[Clases]])-1)),"")</f>
        <v>4</v>
      </c>
      <c r="M1162" s="14">
        <f>IFERROR(VALUE(MID(tblMatriculas[[#This Row],[Clases]],FIND("/",tblMatriculas[[#This Row],[Clases]])+1,5)),"")</f>
        <v>40</v>
      </c>
      <c r="N11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2" s="14">
        <f>IF(OR(tblMatriculas[[#This Row],[Estado]]&lt;&gt;"activa",tblMatriculas[[#This Row],[Clases dictadas]]=""),"",MAX(0,tblMatriculas[[#This Row],[Clases dictadas]]-tblMatriculas[[#This Row],[Asistidas]]))</f>
        <v>0</v>
      </c>
      <c r="P1162" s="1">
        <f>IF(OR(tblMatriculas[[#This Row],[Estado]]&lt;&gt;"activa",tblMatriculas[[#This Row],[Asistidas]]=""),"",tblMatriculas[[#This Row],[Asistencia]])</f>
        <v>0.1</v>
      </c>
      <c r="Q1162" t="b">
        <f>AND(tblMatriculas[[#This Row],[Estado]]="activa",ISNUMBER(tblMatriculas[[#This Row],[% asistencia]]),NOT(ISNUMBER(SEARCH(pPrueba,tblMatriculas[[#This Row],[Nombre]]))))</f>
        <v>1</v>
      </c>
      <c r="R11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2" s="23" t="str" cm="1">
        <f t="array" ref="S11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2" s="23" t="str" cm="1">
        <f t="array" ref="T11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2" s="14" t="str" cm="1">
        <f t="array" ref="U11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2" t="str" cm="1">
        <f t="array" ref="V11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2" t="str" cm="1">
        <f t="array" ref="W11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2" t="str">
        <f>IF(COUNTIFS('Base Estudiantes'!$C:$C,tblMatriculas[[#This Row],[Cédula]],'Base Estudiantes'!$I:$I,tblMatriculas[[#This Row],[Código]])&gt;0,"Sí","No")</f>
        <v>Sí</v>
      </c>
      <c r="Z1162" s="23" cm="1">
        <f t="array" ref="Z1162">_xlfn.XLOOKUP(tblMatriculas[[#This Row],[Cédula]]&amp;"|"&amp;tblMatriculas[[#This Row],[Código]],tblBase[Documento]&amp;"|"&amp;tblBase[Código grupo],tblBase[Fecha matrícula],"")</f>
        <v>46263</v>
      </c>
    </row>
    <row r="1163" spans="1:26" x14ac:dyDescent="0.2">
      <c r="A1163" t="s">
        <v>2466</v>
      </c>
      <c r="B1163" t="s">
        <v>2467</v>
      </c>
      <c r="C1163" t="s">
        <v>13</v>
      </c>
      <c r="D1163" t="s">
        <v>2449</v>
      </c>
      <c r="E1163" t="s">
        <v>2450</v>
      </c>
      <c r="F1163" t="s">
        <v>335</v>
      </c>
      <c r="G1163" s="1">
        <v>0.1</v>
      </c>
      <c r="H1163" t="s">
        <v>867</v>
      </c>
      <c r="I1163" t="s">
        <v>1580</v>
      </c>
      <c r="J1163" t="s">
        <v>2451</v>
      </c>
      <c r="K1163" t="s">
        <v>24</v>
      </c>
      <c r="L1163" s="14">
        <f>IFERROR(VALUE(LEFT(tblMatriculas[[#This Row],[Clases]],FIND("/",tblMatriculas[[#This Row],[Clases]])-1)),"")</f>
        <v>4</v>
      </c>
      <c r="M1163" s="14">
        <f>IFERROR(VALUE(MID(tblMatriculas[[#This Row],[Clases]],FIND("/",tblMatriculas[[#This Row],[Clases]])+1,5)),"")</f>
        <v>40</v>
      </c>
      <c r="N11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3" s="14">
        <f>IF(OR(tblMatriculas[[#This Row],[Estado]]&lt;&gt;"activa",tblMatriculas[[#This Row],[Clases dictadas]]=""),"",MAX(0,tblMatriculas[[#This Row],[Clases dictadas]]-tblMatriculas[[#This Row],[Asistidas]]))</f>
        <v>0</v>
      </c>
      <c r="P1163" s="1">
        <f>IF(OR(tblMatriculas[[#This Row],[Estado]]&lt;&gt;"activa",tblMatriculas[[#This Row],[Asistidas]]=""),"",tblMatriculas[[#This Row],[Asistencia]])</f>
        <v>0.1</v>
      </c>
      <c r="Q1163" t="b">
        <f>AND(tblMatriculas[[#This Row],[Estado]]="activa",ISNUMBER(tblMatriculas[[#This Row],[% asistencia]]),NOT(ISNUMBER(SEARCH(pPrueba,tblMatriculas[[#This Row],[Nombre]]))))</f>
        <v>1</v>
      </c>
      <c r="R11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3" s="23" t="str" cm="1">
        <f t="array" ref="S11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3" s="23" t="str" cm="1">
        <f t="array" ref="T11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3" s="14" t="str" cm="1">
        <f t="array" ref="U11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3" t="str" cm="1">
        <f t="array" ref="V11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3" t="str" cm="1">
        <f t="array" ref="W11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3" t="str">
        <f>IF(COUNTIFS('Base Estudiantes'!$C:$C,tblMatriculas[[#This Row],[Cédula]],'Base Estudiantes'!$I:$I,tblMatriculas[[#This Row],[Código]])&gt;0,"Sí","No")</f>
        <v>Sí</v>
      </c>
      <c r="Z1163" s="23" cm="1">
        <f t="array" ref="Z1163">_xlfn.XLOOKUP(tblMatriculas[[#This Row],[Cédula]]&amp;"|"&amp;tblMatriculas[[#This Row],[Código]],tblBase[Documento]&amp;"|"&amp;tblBase[Código grupo],tblBase[Fecha matrícula],"")</f>
        <v>46263</v>
      </c>
    </row>
    <row r="1164" spans="1:26" x14ac:dyDescent="0.2">
      <c r="A1164" t="s">
        <v>2468</v>
      </c>
      <c r="B1164" t="s">
        <v>2469</v>
      </c>
      <c r="C1164" t="s">
        <v>13</v>
      </c>
      <c r="D1164" t="s">
        <v>2449</v>
      </c>
      <c r="E1164" t="s">
        <v>2450</v>
      </c>
      <c r="F1164" t="s">
        <v>335</v>
      </c>
      <c r="G1164" s="1">
        <v>0.1</v>
      </c>
      <c r="H1164" t="s">
        <v>867</v>
      </c>
      <c r="I1164" t="s">
        <v>1580</v>
      </c>
      <c r="J1164" t="s">
        <v>2451</v>
      </c>
      <c r="K1164" t="s">
        <v>24</v>
      </c>
      <c r="L1164" s="14">
        <f>IFERROR(VALUE(LEFT(tblMatriculas[[#This Row],[Clases]],FIND("/",tblMatriculas[[#This Row],[Clases]])-1)),"")</f>
        <v>4</v>
      </c>
      <c r="M1164" s="14">
        <f>IFERROR(VALUE(MID(tblMatriculas[[#This Row],[Clases]],FIND("/",tblMatriculas[[#This Row],[Clases]])+1,5)),"")</f>
        <v>40</v>
      </c>
      <c r="N11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4" s="14">
        <f>IF(OR(tblMatriculas[[#This Row],[Estado]]&lt;&gt;"activa",tblMatriculas[[#This Row],[Clases dictadas]]=""),"",MAX(0,tblMatriculas[[#This Row],[Clases dictadas]]-tblMatriculas[[#This Row],[Asistidas]]))</f>
        <v>0</v>
      </c>
      <c r="P1164" s="1">
        <f>IF(OR(tblMatriculas[[#This Row],[Estado]]&lt;&gt;"activa",tblMatriculas[[#This Row],[Asistidas]]=""),"",tblMatriculas[[#This Row],[Asistencia]])</f>
        <v>0.1</v>
      </c>
      <c r="Q1164" t="b">
        <f>AND(tblMatriculas[[#This Row],[Estado]]="activa",ISNUMBER(tblMatriculas[[#This Row],[% asistencia]]),NOT(ISNUMBER(SEARCH(pPrueba,tblMatriculas[[#This Row],[Nombre]]))))</f>
        <v>1</v>
      </c>
      <c r="R11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4" s="23" t="str" cm="1">
        <f t="array" ref="S11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4" s="23" t="str" cm="1">
        <f t="array" ref="T11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4" s="14" t="str" cm="1">
        <f t="array" ref="U11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4" t="str" cm="1">
        <f t="array" ref="V11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4" t="str" cm="1">
        <f t="array" ref="W11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4" t="str">
        <f>IF(COUNTIFS('Base Estudiantes'!$C:$C,tblMatriculas[[#This Row],[Cédula]],'Base Estudiantes'!$I:$I,tblMatriculas[[#This Row],[Código]])&gt;0,"Sí","No")</f>
        <v>Sí</v>
      </c>
      <c r="Z1164" s="23" cm="1">
        <f t="array" ref="Z1164">_xlfn.XLOOKUP(tblMatriculas[[#This Row],[Cédula]]&amp;"|"&amp;tblMatriculas[[#This Row],[Código]],tblBase[Documento]&amp;"|"&amp;tblBase[Código grupo],tblBase[Fecha matrícula],"")</f>
        <v>46263</v>
      </c>
    </row>
    <row r="1165" spans="1:26" x14ac:dyDescent="0.2">
      <c r="A1165" t="s">
        <v>2470</v>
      </c>
      <c r="B1165" t="s">
        <v>2471</v>
      </c>
      <c r="C1165" t="s">
        <v>13</v>
      </c>
      <c r="D1165" t="s">
        <v>2449</v>
      </c>
      <c r="E1165" t="s">
        <v>2450</v>
      </c>
      <c r="F1165" t="s">
        <v>335</v>
      </c>
      <c r="G1165" s="1">
        <v>0.1</v>
      </c>
      <c r="H1165" t="s">
        <v>867</v>
      </c>
      <c r="I1165" t="s">
        <v>1580</v>
      </c>
      <c r="J1165" t="s">
        <v>2451</v>
      </c>
      <c r="K1165" t="s">
        <v>24</v>
      </c>
      <c r="L1165" s="14">
        <f>IFERROR(VALUE(LEFT(tblMatriculas[[#This Row],[Clases]],FIND("/",tblMatriculas[[#This Row],[Clases]])-1)),"")</f>
        <v>4</v>
      </c>
      <c r="M1165" s="14">
        <f>IFERROR(VALUE(MID(tblMatriculas[[#This Row],[Clases]],FIND("/",tblMatriculas[[#This Row],[Clases]])+1,5)),"")</f>
        <v>40</v>
      </c>
      <c r="N11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5" s="14">
        <f>IF(OR(tblMatriculas[[#This Row],[Estado]]&lt;&gt;"activa",tblMatriculas[[#This Row],[Clases dictadas]]=""),"",MAX(0,tblMatriculas[[#This Row],[Clases dictadas]]-tblMatriculas[[#This Row],[Asistidas]]))</f>
        <v>0</v>
      </c>
      <c r="P1165" s="1">
        <f>IF(OR(tblMatriculas[[#This Row],[Estado]]&lt;&gt;"activa",tblMatriculas[[#This Row],[Asistidas]]=""),"",tblMatriculas[[#This Row],[Asistencia]])</f>
        <v>0.1</v>
      </c>
      <c r="Q1165" t="b">
        <f>AND(tblMatriculas[[#This Row],[Estado]]="activa",ISNUMBER(tblMatriculas[[#This Row],[% asistencia]]),NOT(ISNUMBER(SEARCH(pPrueba,tblMatriculas[[#This Row],[Nombre]]))))</f>
        <v>1</v>
      </c>
      <c r="R11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5" s="23" t="str" cm="1">
        <f t="array" ref="S11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5" s="23" t="str" cm="1">
        <f t="array" ref="T11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5" s="14" t="str" cm="1">
        <f t="array" ref="U11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5" t="str" cm="1">
        <f t="array" ref="V11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5" t="str" cm="1">
        <f t="array" ref="W11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5" t="str">
        <f>IF(COUNTIFS('Base Estudiantes'!$C:$C,tblMatriculas[[#This Row],[Cédula]],'Base Estudiantes'!$I:$I,tblMatriculas[[#This Row],[Código]])&gt;0,"Sí","No")</f>
        <v>Sí</v>
      </c>
      <c r="Z1165" s="23" cm="1">
        <f t="array" ref="Z1165">_xlfn.XLOOKUP(tblMatriculas[[#This Row],[Cédula]]&amp;"|"&amp;tblMatriculas[[#This Row],[Código]],tblBase[Documento]&amp;"|"&amp;tblBase[Código grupo],tblBase[Fecha matrícula],"")</f>
        <v>46263</v>
      </c>
    </row>
    <row r="1166" spans="1:26" x14ac:dyDescent="0.2">
      <c r="A1166" t="s">
        <v>2472</v>
      </c>
      <c r="B1166" t="s">
        <v>2473</v>
      </c>
      <c r="C1166" t="s">
        <v>13</v>
      </c>
      <c r="D1166" t="s">
        <v>2449</v>
      </c>
      <c r="E1166" t="s">
        <v>2450</v>
      </c>
      <c r="F1166" t="s">
        <v>335</v>
      </c>
      <c r="G1166" s="1">
        <v>2.5000000000000001E-2</v>
      </c>
      <c r="H1166" t="s">
        <v>921</v>
      </c>
      <c r="I1166" t="s">
        <v>1580</v>
      </c>
      <c r="J1166" t="s">
        <v>2451</v>
      </c>
      <c r="K1166" t="s">
        <v>24</v>
      </c>
      <c r="L1166" s="14">
        <f>IFERROR(VALUE(LEFT(tblMatriculas[[#This Row],[Clases]],FIND("/",tblMatriculas[[#This Row],[Clases]])-1)),"")</f>
        <v>1</v>
      </c>
      <c r="M1166" s="14">
        <f>IFERROR(VALUE(MID(tblMatriculas[[#This Row],[Clases]],FIND("/",tblMatriculas[[#This Row],[Clases]])+1,5)),"")</f>
        <v>40</v>
      </c>
      <c r="N11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6" s="14">
        <f>IF(OR(tblMatriculas[[#This Row],[Estado]]&lt;&gt;"activa",tblMatriculas[[#This Row],[Clases dictadas]]=""),"",MAX(0,tblMatriculas[[#This Row],[Clases dictadas]]-tblMatriculas[[#This Row],[Asistidas]]))</f>
        <v>3</v>
      </c>
      <c r="P1166" s="1">
        <f>IF(OR(tblMatriculas[[#This Row],[Estado]]&lt;&gt;"activa",tblMatriculas[[#This Row],[Asistidas]]=""),"",tblMatriculas[[#This Row],[Asistencia]])</f>
        <v>2.5000000000000001E-2</v>
      </c>
      <c r="Q1166" t="b">
        <f>AND(tblMatriculas[[#This Row],[Estado]]="activa",ISNUMBER(tblMatriculas[[#This Row],[% asistencia]]),NOT(ISNUMBER(SEARCH(pPrueba,tblMatriculas[[#This Row],[Nombre]]))))</f>
        <v>1</v>
      </c>
      <c r="R11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66" s="23" t="str" cm="1">
        <f t="array" ref="S11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6" s="23" t="str" cm="1">
        <f t="array" ref="T11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6" s="14" t="str" cm="1">
        <f t="array" ref="U11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6" t="str" cm="1">
        <f t="array" ref="V11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6" t="str" cm="1">
        <f t="array" ref="W11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66" t="str">
        <f>IF(COUNTIFS('Base Estudiantes'!$C:$C,tblMatriculas[[#This Row],[Cédula]],'Base Estudiantes'!$I:$I,tblMatriculas[[#This Row],[Código]])&gt;0,"Sí","No")</f>
        <v>Sí</v>
      </c>
      <c r="Z1166" s="23" cm="1">
        <f t="array" ref="Z1166">_xlfn.XLOOKUP(tblMatriculas[[#This Row],[Cédula]]&amp;"|"&amp;tblMatriculas[[#This Row],[Código]],tblBase[Documento]&amp;"|"&amp;tblBase[Código grupo],tblBase[Fecha matrícula],"")</f>
        <v>46263</v>
      </c>
    </row>
    <row r="1167" spans="1:26" x14ac:dyDescent="0.2">
      <c r="A1167" t="s">
        <v>2474</v>
      </c>
      <c r="B1167" t="s">
        <v>2475</v>
      </c>
      <c r="C1167" t="s">
        <v>13</v>
      </c>
      <c r="D1167" t="s">
        <v>2449</v>
      </c>
      <c r="E1167" t="s">
        <v>2450</v>
      </c>
      <c r="F1167" t="s">
        <v>335</v>
      </c>
      <c r="G1167" s="1">
        <v>0.1</v>
      </c>
      <c r="H1167" t="s">
        <v>867</v>
      </c>
      <c r="I1167" t="s">
        <v>1580</v>
      </c>
      <c r="J1167" t="s">
        <v>2451</v>
      </c>
      <c r="K1167" t="s">
        <v>24</v>
      </c>
      <c r="L1167" s="14">
        <f>IFERROR(VALUE(LEFT(tblMatriculas[[#This Row],[Clases]],FIND("/",tblMatriculas[[#This Row],[Clases]])-1)),"")</f>
        <v>4</v>
      </c>
      <c r="M1167" s="14">
        <f>IFERROR(VALUE(MID(tblMatriculas[[#This Row],[Clases]],FIND("/",tblMatriculas[[#This Row],[Clases]])+1,5)),"")</f>
        <v>40</v>
      </c>
      <c r="N11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7" s="14">
        <f>IF(OR(tblMatriculas[[#This Row],[Estado]]&lt;&gt;"activa",tblMatriculas[[#This Row],[Clases dictadas]]=""),"",MAX(0,tblMatriculas[[#This Row],[Clases dictadas]]-tblMatriculas[[#This Row],[Asistidas]]))</f>
        <v>0</v>
      </c>
      <c r="P1167" s="1">
        <f>IF(OR(tblMatriculas[[#This Row],[Estado]]&lt;&gt;"activa",tblMatriculas[[#This Row],[Asistidas]]=""),"",tblMatriculas[[#This Row],[Asistencia]])</f>
        <v>0.1</v>
      </c>
      <c r="Q1167" t="b">
        <f>AND(tblMatriculas[[#This Row],[Estado]]="activa",ISNUMBER(tblMatriculas[[#This Row],[% asistencia]]),NOT(ISNUMBER(SEARCH(pPrueba,tblMatriculas[[#This Row],[Nombre]]))))</f>
        <v>1</v>
      </c>
      <c r="R11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7" s="23" t="str" cm="1">
        <f t="array" ref="S11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7" s="23" t="str" cm="1">
        <f t="array" ref="T11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7" s="14" t="str" cm="1">
        <f t="array" ref="U11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7" t="str" cm="1">
        <f t="array" ref="V11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7" t="str" cm="1">
        <f t="array" ref="W11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7" t="str">
        <f>IF(COUNTIFS('Base Estudiantes'!$C:$C,tblMatriculas[[#This Row],[Cédula]],'Base Estudiantes'!$I:$I,tblMatriculas[[#This Row],[Código]])&gt;0,"Sí","No")</f>
        <v>Sí</v>
      </c>
      <c r="Z1167" s="23" cm="1">
        <f t="array" ref="Z1167">_xlfn.XLOOKUP(tblMatriculas[[#This Row],[Cédula]]&amp;"|"&amp;tblMatriculas[[#This Row],[Código]],tblBase[Documento]&amp;"|"&amp;tblBase[Código grupo],tblBase[Fecha matrícula],"")</f>
        <v>46263</v>
      </c>
    </row>
    <row r="1168" spans="1:26" x14ac:dyDescent="0.2">
      <c r="A1168" t="s">
        <v>2476</v>
      </c>
      <c r="B1168" t="s">
        <v>2477</v>
      </c>
      <c r="C1168" t="s">
        <v>13</v>
      </c>
      <c r="D1168" t="s">
        <v>2449</v>
      </c>
      <c r="E1168" t="s">
        <v>2450</v>
      </c>
      <c r="F1168" t="s">
        <v>335</v>
      </c>
      <c r="G1168" s="1">
        <v>7.4999999999999997E-2</v>
      </c>
      <c r="H1168" t="s">
        <v>881</v>
      </c>
      <c r="I1168" t="s">
        <v>1580</v>
      </c>
      <c r="J1168" t="s">
        <v>2451</v>
      </c>
      <c r="K1168" t="s">
        <v>24</v>
      </c>
      <c r="L1168" s="14">
        <f>IFERROR(VALUE(LEFT(tblMatriculas[[#This Row],[Clases]],FIND("/",tblMatriculas[[#This Row],[Clases]])-1)),"")</f>
        <v>3</v>
      </c>
      <c r="M1168" s="14">
        <f>IFERROR(VALUE(MID(tblMatriculas[[#This Row],[Clases]],FIND("/",tblMatriculas[[#This Row],[Clases]])+1,5)),"")</f>
        <v>40</v>
      </c>
      <c r="N11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8" s="14">
        <f>IF(OR(tblMatriculas[[#This Row],[Estado]]&lt;&gt;"activa",tblMatriculas[[#This Row],[Clases dictadas]]=""),"",MAX(0,tblMatriculas[[#This Row],[Clases dictadas]]-tblMatriculas[[#This Row],[Asistidas]]))</f>
        <v>1</v>
      </c>
      <c r="P1168" s="1">
        <f>IF(OR(tblMatriculas[[#This Row],[Estado]]&lt;&gt;"activa",tblMatriculas[[#This Row],[Asistidas]]=""),"",tblMatriculas[[#This Row],[Asistencia]])</f>
        <v>7.4999999999999997E-2</v>
      </c>
      <c r="Q1168" t="b">
        <f>AND(tblMatriculas[[#This Row],[Estado]]="activa",ISNUMBER(tblMatriculas[[#This Row],[% asistencia]]),NOT(ISNUMBER(SEARCH(pPrueba,tblMatriculas[[#This Row],[Nombre]]))))</f>
        <v>1</v>
      </c>
      <c r="R11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8" s="23" t="str" cm="1">
        <f t="array" ref="S11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8" s="23" t="str" cm="1">
        <f t="array" ref="T11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8" s="14" t="str" cm="1">
        <f t="array" ref="U11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8" t="str" cm="1">
        <f t="array" ref="V11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8" t="str" cm="1">
        <f t="array" ref="W11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8" t="str">
        <f>IF(COUNTIFS('Base Estudiantes'!$C:$C,tblMatriculas[[#This Row],[Cédula]],'Base Estudiantes'!$I:$I,tblMatriculas[[#This Row],[Código]])&gt;0,"Sí","No")</f>
        <v>Sí</v>
      </c>
      <c r="Z1168" s="23" cm="1">
        <f t="array" ref="Z1168">_xlfn.XLOOKUP(tblMatriculas[[#This Row],[Cédula]]&amp;"|"&amp;tblMatriculas[[#This Row],[Código]],tblBase[Documento]&amp;"|"&amp;tblBase[Código grupo],tblBase[Fecha matrícula],"")</f>
        <v>46263</v>
      </c>
    </row>
    <row r="1169" spans="1:26" x14ac:dyDescent="0.2">
      <c r="A1169" t="s">
        <v>2478</v>
      </c>
      <c r="B1169" t="s">
        <v>2479</v>
      </c>
      <c r="C1169" t="s">
        <v>13</v>
      </c>
      <c r="D1169" t="s">
        <v>2449</v>
      </c>
      <c r="E1169" t="s">
        <v>2450</v>
      </c>
      <c r="F1169" t="s">
        <v>335</v>
      </c>
      <c r="G1169" s="1">
        <v>0.1</v>
      </c>
      <c r="H1169" t="s">
        <v>867</v>
      </c>
      <c r="I1169" t="s">
        <v>1580</v>
      </c>
      <c r="J1169" t="s">
        <v>2451</v>
      </c>
      <c r="K1169" t="s">
        <v>24</v>
      </c>
      <c r="L1169" s="14">
        <f>IFERROR(VALUE(LEFT(tblMatriculas[[#This Row],[Clases]],FIND("/",tblMatriculas[[#This Row],[Clases]])-1)),"")</f>
        <v>4</v>
      </c>
      <c r="M1169" s="14">
        <f>IFERROR(VALUE(MID(tblMatriculas[[#This Row],[Clases]],FIND("/",tblMatriculas[[#This Row],[Clases]])+1,5)),"")</f>
        <v>40</v>
      </c>
      <c r="N11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69" s="14">
        <f>IF(OR(tblMatriculas[[#This Row],[Estado]]&lt;&gt;"activa",tblMatriculas[[#This Row],[Clases dictadas]]=""),"",MAX(0,tblMatriculas[[#This Row],[Clases dictadas]]-tblMatriculas[[#This Row],[Asistidas]]))</f>
        <v>0</v>
      </c>
      <c r="P1169" s="1">
        <f>IF(OR(tblMatriculas[[#This Row],[Estado]]&lt;&gt;"activa",tblMatriculas[[#This Row],[Asistidas]]=""),"",tblMatriculas[[#This Row],[Asistencia]])</f>
        <v>0.1</v>
      </c>
      <c r="Q1169" t="b">
        <f>AND(tblMatriculas[[#This Row],[Estado]]="activa",ISNUMBER(tblMatriculas[[#This Row],[% asistencia]]),NOT(ISNUMBER(SEARCH(pPrueba,tblMatriculas[[#This Row],[Nombre]]))))</f>
        <v>1</v>
      </c>
      <c r="R11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69" s="23" t="str" cm="1">
        <f t="array" ref="S11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69" s="23" t="str" cm="1">
        <f t="array" ref="T11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69" s="14" t="str" cm="1">
        <f t="array" ref="U11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69" t="str" cm="1">
        <f t="array" ref="V11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69" t="str" cm="1">
        <f t="array" ref="W11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69" t="str">
        <f>IF(COUNTIFS('Base Estudiantes'!$C:$C,tblMatriculas[[#This Row],[Cédula]],'Base Estudiantes'!$I:$I,tblMatriculas[[#This Row],[Código]])&gt;0,"Sí","No")</f>
        <v>Sí</v>
      </c>
      <c r="Z1169" s="23" cm="1">
        <f t="array" ref="Z1169">_xlfn.XLOOKUP(tblMatriculas[[#This Row],[Cédula]]&amp;"|"&amp;tblMatriculas[[#This Row],[Código]],tblBase[Documento]&amp;"|"&amp;tblBase[Código grupo],tblBase[Fecha matrícula],"")</f>
        <v>46263</v>
      </c>
    </row>
    <row r="1170" spans="1:26" x14ac:dyDescent="0.2">
      <c r="A1170" t="s">
        <v>2480</v>
      </c>
      <c r="B1170" t="s">
        <v>2481</v>
      </c>
      <c r="C1170" t="s">
        <v>13</v>
      </c>
      <c r="D1170" t="s">
        <v>2449</v>
      </c>
      <c r="E1170" t="s">
        <v>2450</v>
      </c>
      <c r="F1170" t="s">
        <v>335</v>
      </c>
      <c r="G1170" s="1">
        <v>0.1</v>
      </c>
      <c r="H1170" t="s">
        <v>867</v>
      </c>
      <c r="I1170" t="s">
        <v>1580</v>
      </c>
      <c r="J1170" t="s">
        <v>2451</v>
      </c>
      <c r="K1170" t="s">
        <v>24</v>
      </c>
      <c r="L1170" s="14">
        <f>IFERROR(VALUE(LEFT(tblMatriculas[[#This Row],[Clases]],FIND("/",tblMatriculas[[#This Row],[Clases]])-1)),"")</f>
        <v>4</v>
      </c>
      <c r="M1170" s="14">
        <f>IFERROR(VALUE(MID(tblMatriculas[[#This Row],[Clases]],FIND("/",tblMatriculas[[#This Row],[Clases]])+1,5)),"")</f>
        <v>40</v>
      </c>
      <c r="N11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0" s="14">
        <f>IF(OR(tblMatriculas[[#This Row],[Estado]]&lt;&gt;"activa",tblMatriculas[[#This Row],[Clases dictadas]]=""),"",MAX(0,tblMatriculas[[#This Row],[Clases dictadas]]-tblMatriculas[[#This Row],[Asistidas]]))</f>
        <v>0</v>
      </c>
      <c r="P1170" s="1">
        <f>IF(OR(tblMatriculas[[#This Row],[Estado]]&lt;&gt;"activa",tblMatriculas[[#This Row],[Asistidas]]=""),"",tblMatriculas[[#This Row],[Asistencia]])</f>
        <v>0.1</v>
      </c>
      <c r="Q1170" t="b">
        <f>AND(tblMatriculas[[#This Row],[Estado]]="activa",ISNUMBER(tblMatriculas[[#This Row],[% asistencia]]),NOT(ISNUMBER(SEARCH(pPrueba,tblMatriculas[[#This Row],[Nombre]]))))</f>
        <v>1</v>
      </c>
      <c r="R11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0" s="23" t="str" cm="1">
        <f t="array" ref="S11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0" s="23" t="str" cm="1">
        <f t="array" ref="T11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0" s="14" t="str" cm="1">
        <f t="array" ref="U11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0" t="str" cm="1">
        <f t="array" ref="V11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0" t="str" cm="1">
        <f t="array" ref="W11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0" t="str">
        <f>IF(COUNTIFS('Base Estudiantes'!$C:$C,tblMatriculas[[#This Row],[Cédula]],'Base Estudiantes'!$I:$I,tblMatriculas[[#This Row],[Código]])&gt;0,"Sí","No")</f>
        <v>Sí</v>
      </c>
      <c r="Z1170" s="23" cm="1">
        <f t="array" ref="Z1170">_xlfn.XLOOKUP(tblMatriculas[[#This Row],[Cédula]]&amp;"|"&amp;tblMatriculas[[#This Row],[Código]],tblBase[Documento]&amp;"|"&amp;tblBase[Código grupo],tblBase[Fecha matrícula],"")</f>
        <v>46263</v>
      </c>
    </row>
    <row r="1171" spans="1:26" x14ac:dyDescent="0.2">
      <c r="A1171" t="s">
        <v>2482</v>
      </c>
      <c r="B1171" t="s">
        <v>2483</v>
      </c>
      <c r="C1171" t="s">
        <v>13</v>
      </c>
      <c r="D1171" t="s">
        <v>2449</v>
      </c>
      <c r="E1171" t="s">
        <v>2450</v>
      </c>
      <c r="F1171" t="s">
        <v>335</v>
      </c>
      <c r="G1171" s="1">
        <v>0.1</v>
      </c>
      <c r="H1171" t="s">
        <v>867</v>
      </c>
      <c r="I1171" t="s">
        <v>1580</v>
      </c>
      <c r="J1171" t="s">
        <v>2451</v>
      </c>
      <c r="K1171" t="s">
        <v>24</v>
      </c>
      <c r="L1171" s="14">
        <f>IFERROR(VALUE(LEFT(tblMatriculas[[#This Row],[Clases]],FIND("/",tblMatriculas[[#This Row],[Clases]])-1)),"")</f>
        <v>4</v>
      </c>
      <c r="M1171" s="14">
        <f>IFERROR(VALUE(MID(tblMatriculas[[#This Row],[Clases]],FIND("/",tblMatriculas[[#This Row],[Clases]])+1,5)),"")</f>
        <v>40</v>
      </c>
      <c r="N11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1" s="14">
        <f>IF(OR(tblMatriculas[[#This Row],[Estado]]&lt;&gt;"activa",tblMatriculas[[#This Row],[Clases dictadas]]=""),"",MAX(0,tblMatriculas[[#This Row],[Clases dictadas]]-tblMatriculas[[#This Row],[Asistidas]]))</f>
        <v>0</v>
      </c>
      <c r="P1171" s="1">
        <f>IF(OR(tblMatriculas[[#This Row],[Estado]]&lt;&gt;"activa",tblMatriculas[[#This Row],[Asistidas]]=""),"",tblMatriculas[[#This Row],[Asistencia]])</f>
        <v>0.1</v>
      </c>
      <c r="Q1171" t="b">
        <f>AND(tblMatriculas[[#This Row],[Estado]]="activa",ISNUMBER(tblMatriculas[[#This Row],[% asistencia]]),NOT(ISNUMBER(SEARCH(pPrueba,tblMatriculas[[#This Row],[Nombre]]))))</f>
        <v>1</v>
      </c>
      <c r="R11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1" s="23" t="str" cm="1">
        <f t="array" ref="S11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1" s="23" t="str" cm="1">
        <f t="array" ref="T11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1" s="14" t="str" cm="1">
        <f t="array" ref="U11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1" t="str" cm="1">
        <f t="array" ref="V11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1" t="str" cm="1">
        <f t="array" ref="W11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1" t="str">
        <f>IF(COUNTIFS('Base Estudiantes'!$C:$C,tblMatriculas[[#This Row],[Cédula]],'Base Estudiantes'!$I:$I,tblMatriculas[[#This Row],[Código]])&gt;0,"Sí","No")</f>
        <v>Sí</v>
      </c>
      <c r="Z1171" s="23" cm="1">
        <f t="array" ref="Z1171">_xlfn.XLOOKUP(tblMatriculas[[#This Row],[Cédula]]&amp;"|"&amp;tblMatriculas[[#This Row],[Código]],tblBase[Documento]&amp;"|"&amp;tblBase[Código grupo],tblBase[Fecha matrícula],"")</f>
        <v>46263</v>
      </c>
    </row>
    <row r="1172" spans="1:26" x14ac:dyDescent="0.2">
      <c r="A1172" t="s">
        <v>2484</v>
      </c>
      <c r="B1172" t="s">
        <v>2485</v>
      </c>
      <c r="C1172" t="s">
        <v>13</v>
      </c>
      <c r="D1172" t="s">
        <v>2449</v>
      </c>
      <c r="E1172" t="s">
        <v>2450</v>
      </c>
      <c r="F1172" t="s">
        <v>335</v>
      </c>
      <c r="G1172" s="1">
        <v>2.5000000000000001E-2</v>
      </c>
      <c r="H1172" t="s">
        <v>921</v>
      </c>
      <c r="I1172" t="s">
        <v>1580</v>
      </c>
      <c r="J1172" t="s">
        <v>2451</v>
      </c>
      <c r="K1172" t="s">
        <v>24</v>
      </c>
      <c r="L1172" s="14">
        <f>IFERROR(VALUE(LEFT(tblMatriculas[[#This Row],[Clases]],FIND("/",tblMatriculas[[#This Row],[Clases]])-1)),"")</f>
        <v>1</v>
      </c>
      <c r="M1172" s="14">
        <f>IFERROR(VALUE(MID(tblMatriculas[[#This Row],[Clases]],FIND("/",tblMatriculas[[#This Row],[Clases]])+1,5)),"")</f>
        <v>40</v>
      </c>
      <c r="N11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2" s="14">
        <f>IF(OR(tblMatriculas[[#This Row],[Estado]]&lt;&gt;"activa",tblMatriculas[[#This Row],[Clases dictadas]]=""),"",MAX(0,tblMatriculas[[#This Row],[Clases dictadas]]-tblMatriculas[[#This Row],[Asistidas]]))</f>
        <v>3</v>
      </c>
      <c r="P1172" s="1">
        <f>IF(OR(tblMatriculas[[#This Row],[Estado]]&lt;&gt;"activa",tblMatriculas[[#This Row],[Asistidas]]=""),"",tblMatriculas[[#This Row],[Asistencia]])</f>
        <v>2.5000000000000001E-2</v>
      </c>
      <c r="Q1172" t="b">
        <f>AND(tblMatriculas[[#This Row],[Estado]]="activa",ISNUMBER(tblMatriculas[[#This Row],[% asistencia]]),NOT(ISNUMBER(SEARCH(pPrueba,tblMatriculas[[#This Row],[Nombre]]))))</f>
        <v>1</v>
      </c>
      <c r="R11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72" s="23" t="str" cm="1">
        <f t="array" ref="S11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2" s="23" t="str" cm="1">
        <f t="array" ref="T11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2" s="14" t="str" cm="1">
        <f t="array" ref="U11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2" t="str" cm="1">
        <f t="array" ref="V11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2" t="str" cm="1">
        <f t="array" ref="W11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72" t="str">
        <f>IF(COUNTIFS('Base Estudiantes'!$C:$C,tblMatriculas[[#This Row],[Cédula]],'Base Estudiantes'!$I:$I,tblMatriculas[[#This Row],[Código]])&gt;0,"Sí","No")</f>
        <v>Sí</v>
      </c>
      <c r="Z1172" s="23" cm="1">
        <f t="array" ref="Z1172">_xlfn.XLOOKUP(tblMatriculas[[#This Row],[Cédula]]&amp;"|"&amp;tblMatriculas[[#This Row],[Código]],tblBase[Documento]&amp;"|"&amp;tblBase[Código grupo],tblBase[Fecha matrícula],"")</f>
        <v>46263</v>
      </c>
    </row>
    <row r="1173" spans="1:26" x14ac:dyDescent="0.2">
      <c r="A1173" t="s">
        <v>2486</v>
      </c>
      <c r="B1173" t="s">
        <v>2487</v>
      </c>
      <c r="C1173" t="s">
        <v>49</v>
      </c>
      <c r="D1173" t="s">
        <v>2449</v>
      </c>
      <c r="E1173" t="s">
        <v>2450</v>
      </c>
      <c r="F1173" t="s">
        <v>335</v>
      </c>
      <c r="G1173" s="1">
        <v>2.5000000000000001E-2</v>
      </c>
      <c r="H1173" t="s">
        <v>921</v>
      </c>
      <c r="I1173" t="s">
        <v>1580</v>
      </c>
      <c r="J1173" t="s">
        <v>2451</v>
      </c>
      <c r="K1173" t="s">
        <v>24</v>
      </c>
      <c r="L1173" s="14">
        <f>IFERROR(VALUE(LEFT(tblMatriculas[[#This Row],[Clases]],FIND("/",tblMatriculas[[#This Row],[Clases]])-1)),"")</f>
        <v>1</v>
      </c>
      <c r="M1173" s="14">
        <f>IFERROR(VALUE(MID(tblMatriculas[[#This Row],[Clases]],FIND("/",tblMatriculas[[#This Row],[Clases]])+1,5)),"")</f>
        <v>40</v>
      </c>
      <c r="N11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3" s="14" t="str">
        <f>IF(OR(tblMatriculas[[#This Row],[Estado]]&lt;&gt;"activa",tblMatriculas[[#This Row],[Clases dictadas]]=""),"",MAX(0,tblMatriculas[[#This Row],[Clases dictadas]]-tblMatriculas[[#This Row],[Asistidas]]))</f>
        <v/>
      </c>
      <c r="P1173" s="1" t="str">
        <f>IF(OR(tblMatriculas[[#This Row],[Estado]]&lt;&gt;"activa",tblMatriculas[[#This Row],[Asistidas]]=""),"",tblMatriculas[[#This Row],[Asistencia]])</f>
        <v/>
      </c>
      <c r="Q1173" t="b">
        <f>AND(tblMatriculas[[#This Row],[Estado]]="activa",ISNUMBER(tblMatriculas[[#This Row],[% asistencia]]),NOT(ISNUMBER(SEARCH(pPrueba,tblMatriculas[[#This Row],[Nombre]]))))</f>
        <v>0</v>
      </c>
      <c r="R11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173" s="23" t="str" cm="1">
        <f t="array" ref="S11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3" s="23" t="str" cm="1">
        <f t="array" ref="T11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3" s="14" t="str" cm="1">
        <f t="array" ref="U11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3" t="str" cm="1">
        <f t="array" ref="V11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3" t="str" cm="1">
        <f t="array" ref="W11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3" t="str">
        <f>IF(COUNTIFS('Base Estudiantes'!$C:$C,tblMatriculas[[#This Row],[Cédula]],'Base Estudiantes'!$I:$I,tblMatriculas[[#This Row],[Código]])&gt;0,"Sí","No")</f>
        <v>No</v>
      </c>
      <c r="Z1173" s="23" t="str" cm="1">
        <f t="array" ref="Z1173">_xlfn.XLOOKUP(tblMatriculas[[#This Row],[Cédula]]&amp;"|"&amp;tblMatriculas[[#This Row],[Código]],tblBase[Documento]&amp;"|"&amp;tblBase[Código grupo],tblBase[Fecha matrícula],"")</f>
        <v/>
      </c>
    </row>
    <row r="1174" spans="1:26" x14ac:dyDescent="0.2">
      <c r="A1174" t="s">
        <v>2488</v>
      </c>
      <c r="B1174" t="s">
        <v>2489</v>
      </c>
      <c r="C1174" t="s">
        <v>13</v>
      </c>
      <c r="D1174" t="s">
        <v>2449</v>
      </c>
      <c r="E1174" t="s">
        <v>2450</v>
      </c>
      <c r="F1174" t="s">
        <v>335</v>
      </c>
      <c r="G1174" s="1">
        <v>0.1</v>
      </c>
      <c r="H1174" t="s">
        <v>867</v>
      </c>
      <c r="I1174" t="s">
        <v>1580</v>
      </c>
      <c r="J1174" t="s">
        <v>2451</v>
      </c>
      <c r="K1174" t="s">
        <v>24</v>
      </c>
      <c r="L1174" s="14">
        <f>IFERROR(VALUE(LEFT(tblMatriculas[[#This Row],[Clases]],FIND("/",tblMatriculas[[#This Row],[Clases]])-1)),"")</f>
        <v>4</v>
      </c>
      <c r="M1174" s="14">
        <f>IFERROR(VALUE(MID(tblMatriculas[[#This Row],[Clases]],FIND("/",tblMatriculas[[#This Row],[Clases]])+1,5)),"")</f>
        <v>40</v>
      </c>
      <c r="N11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4" s="14">
        <f>IF(OR(tblMatriculas[[#This Row],[Estado]]&lt;&gt;"activa",tblMatriculas[[#This Row],[Clases dictadas]]=""),"",MAX(0,tblMatriculas[[#This Row],[Clases dictadas]]-tblMatriculas[[#This Row],[Asistidas]]))</f>
        <v>0</v>
      </c>
      <c r="P1174" s="1">
        <f>IF(OR(tblMatriculas[[#This Row],[Estado]]&lt;&gt;"activa",tblMatriculas[[#This Row],[Asistidas]]=""),"",tblMatriculas[[#This Row],[Asistencia]])</f>
        <v>0.1</v>
      </c>
      <c r="Q1174" t="b">
        <f>AND(tblMatriculas[[#This Row],[Estado]]="activa",ISNUMBER(tblMatriculas[[#This Row],[% asistencia]]),NOT(ISNUMBER(SEARCH(pPrueba,tblMatriculas[[#This Row],[Nombre]]))))</f>
        <v>1</v>
      </c>
      <c r="R11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4" s="23" t="str" cm="1">
        <f t="array" ref="S11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4" s="23" t="str" cm="1">
        <f t="array" ref="T11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4" s="14" t="str" cm="1">
        <f t="array" ref="U11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4" t="str" cm="1">
        <f t="array" ref="V11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4" t="str" cm="1">
        <f t="array" ref="W11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4" t="str">
        <f>IF(COUNTIFS('Base Estudiantes'!$C:$C,tblMatriculas[[#This Row],[Cédula]],'Base Estudiantes'!$I:$I,tblMatriculas[[#This Row],[Código]])&gt;0,"Sí","No")</f>
        <v>Sí</v>
      </c>
      <c r="Z1174" s="23" cm="1">
        <f t="array" ref="Z1174">_xlfn.XLOOKUP(tblMatriculas[[#This Row],[Cédula]]&amp;"|"&amp;tblMatriculas[[#This Row],[Código]],tblBase[Documento]&amp;"|"&amp;tblBase[Código grupo],tblBase[Fecha matrícula],"")</f>
        <v>46263</v>
      </c>
    </row>
    <row r="1175" spans="1:26" x14ac:dyDescent="0.2">
      <c r="A1175" t="s">
        <v>2490</v>
      </c>
      <c r="B1175" t="s">
        <v>2491</v>
      </c>
      <c r="C1175" t="s">
        <v>13</v>
      </c>
      <c r="D1175" t="s">
        <v>2449</v>
      </c>
      <c r="E1175" t="s">
        <v>2450</v>
      </c>
      <c r="F1175" t="s">
        <v>335</v>
      </c>
      <c r="G1175" s="1">
        <v>0.1</v>
      </c>
      <c r="H1175" t="s">
        <v>867</v>
      </c>
      <c r="I1175" t="s">
        <v>1580</v>
      </c>
      <c r="J1175" t="s">
        <v>2451</v>
      </c>
      <c r="K1175" t="s">
        <v>24</v>
      </c>
      <c r="L1175" s="14">
        <f>IFERROR(VALUE(LEFT(tblMatriculas[[#This Row],[Clases]],FIND("/",tblMatriculas[[#This Row],[Clases]])-1)),"")</f>
        <v>4</v>
      </c>
      <c r="M1175" s="14">
        <f>IFERROR(VALUE(MID(tblMatriculas[[#This Row],[Clases]],FIND("/",tblMatriculas[[#This Row],[Clases]])+1,5)),"")</f>
        <v>40</v>
      </c>
      <c r="N11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5" s="14">
        <f>IF(OR(tblMatriculas[[#This Row],[Estado]]&lt;&gt;"activa",tblMatriculas[[#This Row],[Clases dictadas]]=""),"",MAX(0,tblMatriculas[[#This Row],[Clases dictadas]]-tblMatriculas[[#This Row],[Asistidas]]))</f>
        <v>0</v>
      </c>
      <c r="P1175" s="1">
        <f>IF(OR(tblMatriculas[[#This Row],[Estado]]&lt;&gt;"activa",tblMatriculas[[#This Row],[Asistidas]]=""),"",tblMatriculas[[#This Row],[Asistencia]])</f>
        <v>0.1</v>
      </c>
      <c r="Q1175" t="b">
        <f>AND(tblMatriculas[[#This Row],[Estado]]="activa",ISNUMBER(tblMatriculas[[#This Row],[% asistencia]]),NOT(ISNUMBER(SEARCH(pPrueba,tblMatriculas[[#This Row],[Nombre]]))))</f>
        <v>1</v>
      </c>
      <c r="R11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5" s="23" t="str" cm="1">
        <f t="array" ref="S11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5" s="23" t="str" cm="1">
        <f t="array" ref="T11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5" s="14" t="str" cm="1">
        <f t="array" ref="U11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5" t="str" cm="1">
        <f t="array" ref="V11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5" t="str" cm="1">
        <f t="array" ref="W11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5" t="str">
        <f>IF(COUNTIFS('Base Estudiantes'!$C:$C,tblMatriculas[[#This Row],[Cédula]],'Base Estudiantes'!$I:$I,tblMatriculas[[#This Row],[Código]])&gt;0,"Sí","No")</f>
        <v>Sí</v>
      </c>
      <c r="Z1175" s="23" cm="1">
        <f t="array" ref="Z1175">_xlfn.XLOOKUP(tblMatriculas[[#This Row],[Cédula]]&amp;"|"&amp;tblMatriculas[[#This Row],[Código]],tblBase[Documento]&amp;"|"&amp;tblBase[Código grupo],tblBase[Fecha matrícula],"")</f>
        <v>46263</v>
      </c>
    </row>
    <row r="1176" spans="1:26" x14ac:dyDescent="0.2">
      <c r="A1176" t="s">
        <v>2492</v>
      </c>
      <c r="B1176" t="s">
        <v>2493</v>
      </c>
      <c r="C1176" t="s">
        <v>13</v>
      </c>
      <c r="D1176" t="s">
        <v>2449</v>
      </c>
      <c r="E1176" t="s">
        <v>2450</v>
      </c>
      <c r="F1176" t="s">
        <v>335</v>
      </c>
      <c r="G1176" s="1">
        <v>0.1</v>
      </c>
      <c r="H1176" t="s">
        <v>867</v>
      </c>
      <c r="I1176" t="s">
        <v>1580</v>
      </c>
      <c r="J1176" t="s">
        <v>2451</v>
      </c>
      <c r="K1176" t="s">
        <v>24</v>
      </c>
      <c r="L1176" s="14">
        <f>IFERROR(VALUE(LEFT(tblMatriculas[[#This Row],[Clases]],FIND("/",tblMatriculas[[#This Row],[Clases]])-1)),"")</f>
        <v>4</v>
      </c>
      <c r="M1176" s="14">
        <f>IFERROR(VALUE(MID(tblMatriculas[[#This Row],[Clases]],FIND("/",tblMatriculas[[#This Row],[Clases]])+1,5)),"")</f>
        <v>40</v>
      </c>
      <c r="N11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6" s="14">
        <f>IF(OR(tblMatriculas[[#This Row],[Estado]]&lt;&gt;"activa",tblMatriculas[[#This Row],[Clases dictadas]]=""),"",MAX(0,tblMatriculas[[#This Row],[Clases dictadas]]-tblMatriculas[[#This Row],[Asistidas]]))</f>
        <v>0</v>
      </c>
      <c r="P1176" s="1">
        <f>IF(OR(tblMatriculas[[#This Row],[Estado]]&lt;&gt;"activa",tblMatriculas[[#This Row],[Asistidas]]=""),"",tblMatriculas[[#This Row],[Asistencia]])</f>
        <v>0.1</v>
      </c>
      <c r="Q1176" t="b">
        <f>AND(tblMatriculas[[#This Row],[Estado]]="activa",ISNUMBER(tblMatriculas[[#This Row],[% asistencia]]),NOT(ISNUMBER(SEARCH(pPrueba,tblMatriculas[[#This Row],[Nombre]]))))</f>
        <v>1</v>
      </c>
      <c r="R11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6" s="23" t="str" cm="1">
        <f t="array" ref="S11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6" s="23" t="str" cm="1">
        <f t="array" ref="T11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6" s="14" t="str" cm="1">
        <f t="array" ref="U11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6" t="str" cm="1">
        <f t="array" ref="V11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6" t="str" cm="1">
        <f t="array" ref="W11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6" t="str">
        <f>IF(COUNTIFS('Base Estudiantes'!$C:$C,tblMatriculas[[#This Row],[Cédula]],'Base Estudiantes'!$I:$I,tblMatriculas[[#This Row],[Código]])&gt;0,"Sí","No")</f>
        <v>Sí</v>
      </c>
      <c r="Z1176" s="23" cm="1">
        <f t="array" ref="Z1176">_xlfn.XLOOKUP(tblMatriculas[[#This Row],[Cédula]]&amp;"|"&amp;tblMatriculas[[#This Row],[Código]],tblBase[Documento]&amp;"|"&amp;tblBase[Código grupo],tblBase[Fecha matrícula],"")</f>
        <v>46263</v>
      </c>
    </row>
    <row r="1177" spans="1:26" x14ac:dyDescent="0.2">
      <c r="A1177" t="s">
        <v>2494</v>
      </c>
      <c r="B1177" t="s">
        <v>2495</v>
      </c>
      <c r="C1177" t="s">
        <v>13</v>
      </c>
      <c r="D1177" t="s">
        <v>2449</v>
      </c>
      <c r="E1177" t="s">
        <v>2450</v>
      </c>
      <c r="F1177" t="s">
        <v>335</v>
      </c>
      <c r="G1177" s="1">
        <v>0.1</v>
      </c>
      <c r="H1177" t="s">
        <v>867</v>
      </c>
      <c r="I1177" t="s">
        <v>1580</v>
      </c>
      <c r="J1177" t="s">
        <v>2451</v>
      </c>
      <c r="K1177" t="s">
        <v>24</v>
      </c>
      <c r="L1177" s="14">
        <f>IFERROR(VALUE(LEFT(tblMatriculas[[#This Row],[Clases]],FIND("/",tblMatriculas[[#This Row],[Clases]])-1)),"")</f>
        <v>4</v>
      </c>
      <c r="M1177" s="14">
        <f>IFERROR(VALUE(MID(tblMatriculas[[#This Row],[Clases]],FIND("/",tblMatriculas[[#This Row],[Clases]])+1,5)),"")</f>
        <v>40</v>
      </c>
      <c r="N11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7" s="14">
        <f>IF(OR(tblMatriculas[[#This Row],[Estado]]&lt;&gt;"activa",tblMatriculas[[#This Row],[Clases dictadas]]=""),"",MAX(0,tblMatriculas[[#This Row],[Clases dictadas]]-tblMatriculas[[#This Row],[Asistidas]]))</f>
        <v>0</v>
      </c>
      <c r="P1177" s="1">
        <f>IF(OR(tblMatriculas[[#This Row],[Estado]]&lt;&gt;"activa",tblMatriculas[[#This Row],[Asistidas]]=""),"",tblMatriculas[[#This Row],[Asistencia]])</f>
        <v>0.1</v>
      </c>
      <c r="Q1177" t="b">
        <f>AND(tblMatriculas[[#This Row],[Estado]]="activa",ISNUMBER(tblMatriculas[[#This Row],[% asistencia]]),NOT(ISNUMBER(SEARCH(pPrueba,tblMatriculas[[#This Row],[Nombre]]))))</f>
        <v>1</v>
      </c>
      <c r="R11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7" s="23" t="str" cm="1">
        <f t="array" ref="S11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7" s="23" t="str" cm="1">
        <f t="array" ref="T11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7" s="14" t="str" cm="1">
        <f t="array" ref="U11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7" t="str" cm="1">
        <f t="array" ref="V11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7" t="str" cm="1">
        <f t="array" ref="W11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7" t="str">
        <f>IF(COUNTIFS('Base Estudiantes'!$C:$C,tblMatriculas[[#This Row],[Cédula]],'Base Estudiantes'!$I:$I,tblMatriculas[[#This Row],[Código]])&gt;0,"Sí","No")</f>
        <v>Sí</v>
      </c>
      <c r="Z1177" s="23" cm="1">
        <f t="array" ref="Z1177">_xlfn.XLOOKUP(tblMatriculas[[#This Row],[Cédula]]&amp;"|"&amp;tblMatriculas[[#This Row],[Código]],tblBase[Documento]&amp;"|"&amp;tblBase[Código grupo],tblBase[Fecha matrícula],"")</f>
        <v>46263</v>
      </c>
    </row>
    <row r="1178" spans="1:26" x14ac:dyDescent="0.2">
      <c r="A1178" t="s">
        <v>2496</v>
      </c>
      <c r="B1178" t="s">
        <v>2497</v>
      </c>
      <c r="C1178" t="s">
        <v>13</v>
      </c>
      <c r="D1178" t="s">
        <v>2449</v>
      </c>
      <c r="E1178" t="s">
        <v>2450</v>
      </c>
      <c r="F1178" t="s">
        <v>335</v>
      </c>
      <c r="G1178" s="1">
        <v>0.1</v>
      </c>
      <c r="H1178" t="s">
        <v>867</v>
      </c>
      <c r="I1178" t="s">
        <v>1580</v>
      </c>
      <c r="J1178" t="s">
        <v>2451</v>
      </c>
      <c r="K1178" t="s">
        <v>24</v>
      </c>
      <c r="L1178" s="14">
        <f>IFERROR(VALUE(LEFT(tblMatriculas[[#This Row],[Clases]],FIND("/",tblMatriculas[[#This Row],[Clases]])-1)),"")</f>
        <v>4</v>
      </c>
      <c r="M1178" s="14">
        <f>IFERROR(VALUE(MID(tblMatriculas[[#This Row],[Clases]],FIND("/",tblMatriculas[[#This Row],[Clases]])+1,5)),"")</f>
        <v>40</v>
      </c>
      <c r="N11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8" s="14">
        <f>IF(OR(tblMatriculas[[#This Row],[Estado]]&lt;&gt;"activa",tblMatriculas[[#This Row],[Clases dictadas]]=""),"",MAX(0,tblMatriculas[[#This Row],[Clases dictadas]]-tblMatriculas[[#This Row],[Asistidas]]))</f>
        <v>0</v>
      </c>
      <c r="P1178" s="1">
        <f>IF(OR(tblMatriculas[[#This Row],[Estado]]&lt;&gt;"activa",tblMatriculas[[#This Row],[Asistidas]]=""),"",tblMatriculas[[#This Row],[Asistencia]])</f>
        <v>0.1</v>
      </c>
      <c r="Q1178" t="b">
        <f>AND(tblMatriculas[[#This Row],[Estado]]="activa",ISNUMBER(tblMatriculas[[#This Row],[% asistencia]]),NOT(ISNUMBER(SEARCH(pPrueba,tblMatriculas[[#This Row],[Nombre]]))))</f>
        <v>1</v>
      </c>
      <c r="R11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8" s="23" t="str" cm="1">
        <f t="array" ref="S11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8" s="23" t="str" cm="1">
        <f t="array" ref="T11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8" s="14" t="str" cm="1">
        <f t="array" ref="U11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8" t="str" cm="1">
        <f t="array" ref="V11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8" t="str" cm="1">
        <f t="array" ref="W11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8" t="str">
        <f>IF(COUNTIFS('Base Estudiantes'!$C:$C,tblMatriculas[[#This Row],[Cédula]],'Base Estudiantes'!$I:$I,tblMatriculas[[#This Row],[Código]])&gt;0,"Sí","No")</f>
        <v>Sí</v>
      </c>
      <c r="Z1178" s="23" cm="1">
        <f t="array" ref="Z1178">_xlfn.XLOOKUP(tblMatriculas[[#This Row],[Cédula]]&amp;"|"&amp;tblMatriculas[[#This Row],[Código]],tblBase[Documento]&amp;"|"&amp;tblBase[Código grupo],tblBase[Fecha matrícula],"")</f>
        <v>46263</v>
      </c>
    </row>
    <row r="1179" spans="1:26" x14ac:dyDescent="0.2">
      <c r="A1179" t="s">
        <v>2498</v>
      </c>
      <c r="B1179" t="s">
        <v>2499</v>
      </c>
      <c r="C1179" t="s">
        <v>13</v>
      </c>
      <c r="D1179" t="s">
        <v>2449</v>
      </c>
      <c r="E1179" t="s">
        <v>2450</v>
      </c>
      <c r="F1179" t="s">
        <v>335</v>
      </c>
      <c r="G1179" s="1">
        <v>0.1</v>
      </c>
      <c r="H1179" t="s">
        <v>867</v>
      </c>
      <c r="I1179" t="s">
        <v>1580</v>
      </c>
      <c r="J1179" t="s">
        <v>2451</v>
      </c>
      <c r="K1179" t="s">
        <v>24</v>
      </c>
      <c r="L1179" s="14">
        <f>IFERROR(VALUE(LEFT(tblMatriculas[[#This Row],[Clases]],FIND("/",tblMatriculas[[#This Row],[Clases]])-1)),"")</f>
        <v>4</v>
      </c>
      <c r="M1179" s="14">
        <f>IFERROR(VALUE(MID(tblMatriculas[[#This Row],[Clases]],FIND("/",tblMatriculas[[#This Row],[Clases]])+1,5)),"")</f>
        <v>40</v>
      </c>
      <c r="N11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79" s="14">
        <f>IF(OR(tblMatriculas[[#This Row],[Estado]]&lt;&gt;"activa",tblMatriculas[[#This Row],[Clases dictadas]]=""),"",MAX(0,tblMatriculas[[#This Row],[Clases dictadas]]-tblMatriculas[[#This Row],[Asistidas]]))</f>
        <v>0</v>
      </c>
      <c r="P1179" s="1">
        <f>IF(OR(tblMatriculas[[#This Row],[Estado]]&lt;&gt;"activa",tblMatriculas[[#This Row],[Asistidas]]=""),"",tblMatriculas[[#This Row],[Asistencia]])</f>
        <v>0.1</v>
      </c>
      <c r="Q1179" t="b">
        <f>AND(tblMatriculas[[#This Row],[Estado]]="activa",ISNUMBER(tblMatriculas[[#This Row],[% asistencia]]),NOT(ISNUMBER(SEARCH(pPrueba,tblMatriculas[[#This Row],[Nombre]]))))</f>
        <v>1</v>
      </c>
      <c r="R11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79" s="23" t="str" cm="1">
        <f t="array" ref="S11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79" s="23" t="str" cm="1">
        <f t="array" ref="T11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79" s="14" t="str" cm="1">
        <f t="array" ref="U11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79" t="str" cm="1">
        <f t="array" ref="V11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79" t="str" cm="1">
        <f t="array" ref="W11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79" t="str">
        <f>IF(COUNTIFS('Base Estudiantes'!$C:$C,tblMatriculas[[#This Row],[Cédula]],'Base Estudiantes'!$I:$I,tblMatriculas[[#This Row],[Código]])&gt;0,"Sí","No")</f>
        <v>Sí</v>
      </c>
      <c r="Z1179" s="23" cm="1">
        <f t="array" ref="Z1179">_xlfn.XLOOKUP(tblMatriculas[[#This Row],[Cédula]]&amp;"|"&amp;tblMatriculas[[#This Row],[Código]],tblBase[Documento]&amp;"|"&amp;tblBase[Código grupo],tblBase[Fecha matrícula],"")</f>
        <v>46263</v>
      </c>
    </row>
    <row r="1180" spans="1:26" x14ac:dyDescent="0.2">
      <c r="A1180" t="s">
        <v>2500</v>
      </c>
      <c r="B1180" t="s">
        <v>2501</v>
      </c>
      <c r="C1180" t="s">
        <v>13</v>
      </c>
      <c r="D1180" t="s">
        <v>2449</v>
      </c>
      <c r="E1180" t="s">
        <v>2450</v>
      </c>
      <c r="F1180" t="s">
        <v>335</v>
      </c>
      <c r="G1180" s="1">
        <v>0.1</v>
      </c>
      <c r="H1180" t="s">
        <v>867</v>
      </c>
      <c r="I1180" t="s">
        <v>1580</v>
      </c>
      <c r="J1180" t="s">
        <v>2451</v>
      </c>
      <c r="K1180" t="s">
        <v>24</v>
      </c>
      <c r="L1180" s="14">
        <f>IFERROR(VALUE(LEFT(tblMatriculas[[#This Row],[Clases]],FIND("/",tblMatriculas[[#This Row],[Clases]])-1)),"")</f>
        <v>4</v>
      </c>
      <c r="M1180" s="14">
        <f>IFERROR(VALUE(MID(tblMatriculas[[#This Row],[Clases]],FIND("/",tblMatriculas[[#This Row],[Clases]])+1,5)),"")</f>
        <v>40</v>
      </c>
      <c r="N11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0" s="14">
        <f>IF(OR(tblMatriculas[[#This Row],[Estado]]&lt;&gt;"activa",tblMatriculas[[#This Row],[Clases dictadas]]=""),"",MAX(0,tblMatriculas[[#This Row],[Clases dictadas]]-tblMatriculas[[#This Row],[Asistidas]]))</f>
        <v>0</v>
      </c>
      <c r="P1180" s="1">
        <f>IF(OR(tblMatriculas[[#This Row],[Estado]]&lt;&gt;"activa",tblMatriculas[[#This Row],[Asistidas]]=""),"",tblMatriculas[[#This Row],[Asistencia]])</f>
        <v>0.1</v>
      </c>
      <c r="Q1180" t="b">
        <f>AND(tblMatriculas[[#This Row],[Estado]]="activa",ISNUMBER(tblMatriculas[[#This Row],[% asistencia]]),NOT(ISNUMBER(SEARCH(pPrueba,tblMatriculas[[#This Row],[Nombre]]))))</f>
        <v>1</v>
      </c>
      <c r="R11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0" s="23" t="str" cm="1">
        <f t="array" ref="S11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0" s="23" t="str" cm="1">
        <f t="array" ref="T11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0" s="14" t="str" cm="1">
        <f t="array" ref="U11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0" t="str" cm="1">
        <f t="array" ref="V11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0" t="str" cm="1">
        <f t="array" ref="W11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0" t="str">
        <f>IF(COUNTIFS('Base Estudiantes'!$C:$C,tblMatriculas[[#This Row],[Cédula]],'Base Estudiantes'!$I:$I,tblMatriculas[[#This Row],[Código]])&gt;0,"Sí","No")</f>
        <v>Sí</v>
      </c>
      <c r="Z1180" s="23" cm="1">
        <f t="array" ref="Z1180">_xlfn.XLOOKUP(tblMatriculas[[#This Row],[Cédula]]&amp;"|"&amp;tblMatriculas[[#This Row],[Código]],tblBase[Documento]&amp;"|"&amp;tblBase[Código grupo],tblBase[Fecha matrícula],"")</f>
        <v>46263</v>
      </c>
    </row>
    <row r="1181" spans="1:26" x14ac:dyDescent="0.2">
      <c r="A1181" t="s">
        <v>2502</v>
      </c>
      <c r="B1181" t="s">
        <v>2503</v>
      </c>
      <c r="C1181" t="s">
        <v>13</v>
      </c>
      <c r="D1181" t="s">
        <v>2449</v>
      </c>
      <c r="E1181" t="s">
        <v>2450</v>
      </c>
      <c r="F1181" t="s">
        <v>335</v>
      </c>
      <c r="G1181" s="1">
        <v>0.1</v>
      </c>
      <c r="H1181" t="s">
        <v>867</v>
      </c>
      <c r="I1181" t="s">
        <v>1580</v>
      </c>
      <c r="J1181" t="s">
        <v>2451</v>
      </c>
      <c r="K1181" t="s">
        <v>24</v>
      </c>
      <c r="L1181" s="14">
        <f>IFERROR(VALUE(LEFT(tblMatriculas[[#This Row],[Clases]],FIND("/",tblMatriculas[[#This Row],[Clases]])-1)),"")</f>
        <v>4</v>
      </c>
      <c r="M1181" s="14">
        <f>IFERROR(VALUE(MID(tblMatriculas[[#This Row],[Clases]],FIND("/",tblMatriculas[[#This Row],[Clases]])+1,5)),"")</f>
        <v>40</v>
      </c>
      <c r="N11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1" s="14">
        <f>IF(OR(tblMatriculas[[#This Row],[Estado]]&lt;&gt;"activa",tblMatriculas[[#This Row],[Clases dictadas]]=""),"",MAX(0,tblMatriculas[[#This Row],[Clases dictadas]]-tblMatriculas[[#This Row],[Asistidas]]))</f>
        <v>0</v>
      </c>
      <c r="P1181" s="1">
        <f>IF(OR(tblMatriculas[[#This Row],[Estado]]&lt;&gt;"activa",tblMatriculas[[#This Row],[Asistidas]]=""),"",tblMatriculas[[#This Row],[Asistencia]])</f>
        <v>0.1</v>
      </c>
      <c r="Q1181" t="b">
        <f>AND(tblMatriculas[[#This Row],[Estado]]="activa",ISNUMBER(tblMatriculas[[#This Row],[% asistencia]]),NOT(ISNUMBER(SEARCH(pPrueba,tblMatriculas[[#This Row],[Nombre]]))))</f>
        <v>1</v>
      </c>
      <c r="R11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1" s="23" t="str" cm="1">
        <f t="array" ref="S11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1" s="23" t="str" cm="1">
        <f t="array" ref="T11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1" s="14" t="str" cm="1">
        <f t="array" ref="U11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1" t="str" cm="1">
        <f t="array" ref="V11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1" t="str" cm="1">
        <f t="array" ref="W11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1" t="str">
        <f>IF(COUNTIFS('Base Estudiantes'!$C:$C,tblMatriculas[[#This Row],[Cédula]],'Base Estudiantes'!$I:$I,tblMatriculas[[#This Row],[Código]])&gt;0,"Sí","No")</f>
        <v>Sí</v>
      </c>
      <c r="Z1181" s="23" cm="1">
        <f t="array" ref="Z1181">_xlfn.XLOOKUP(tblMatriculas[[#This Row],[Cédula]]&amp;"|"&amp;tblMatriculas[[#This Row],[Código]],tblBase[Documento]&amp;"|"&amp;tblBase[Código grupo],tblBase[Fecha matrícula],"")</f>
        <v>46263</v>
      </c>
    </row>
    <row r="1182" spans="1:26" x14ac:dyDescent="0.2">
      <c r="A1182" t="s">
        <v>2504</v>
      </c>
      <c r="B1182" t="s">
        <v>2505</v>
      </c>
      <c r="C1182" t="s">
        <v>13</v>
      </c>
      <c r="D1182" t="s">
        <v>2449</v>
      </c>
      <c r="E1182" t="s">
        <v>2450</v>
      </c>
      <c r="F1182" t="s">
        <v>335</v>
      </c>
      <c r="G1182" s="1">
        <v>0.1</v>
      </c>
      <c r="H1182" t="s">
        <v>867</v>
      </c>
      <c r="I1182" t="s">
        <v>1580</v>
      </c>
      <c r="J1182" t="s">
        <v>2451</v>
      </c>
      <c r="K1182" t="s">
        <v>24</v>
      </c>
      <c r="L1182" s="14">
        <f>IFERROR(VALUE(LEFT(tblMatriculas[[#This Row],[Clases]],FIND("/",tblMatriculas[[#This Row],[Clases]])-1)),"")</f>
        <v>4</v>
      </c>
      <c r="M1182" s="14">
        <f>IFERROR(VALUE(MID(tblMatriculas[[#This Row],[Clases]],FIND("/",tblMatriculas[[#This Row],[Clases]])+1,5)),"")</f>
        <v>40</v>
      </c>
      <c r="N11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2" s="14">
        <f>IF(OR(tblMatriculas[[#This Row],[Estado]]&lt;&gt;"activa",tblMatriculas[[#This Row],[Clases dictadas]]=""),"",MAX(0,tblMatriculas[[#This Row],[Clases dictadas]]-tblMatriculas[[#This Row],[Asistidas]]))</f>
        <v>0</v>
      </c>
      <c r="P1182" s="1">
        <f>IF(OR(tblMatriculas[[#This Row],[Estado]]&lt;&gt;"activa",tblMatriculas[[#This Row],[Asistidas]]=""),"",tblMatriculas[[#This Row],[Asistencia]])</f>
        <v>0.1</v>
      </c>
      <c r="Q1182" t="b">
        <f>AND(tblMatriculas[[#This Row],[Estado]]="activa",ISNUMBER(tblMatriculas[[#This Row],[% asistencia]]),NOT(ISNUMBER(SEARCH(pPrueba,tblMatriculas[[#This Row],[Nombre]]))))</f>
        <v>1</v>
      </c>
      <c r="R11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2" s="23" t="str" cm="1">
        <f t="array" ref="S11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2" s="23" t="str" cm="1">
        <f t="array" ref="T11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2" s="14" t="str" cm="1">
        <f t="array" ref="U11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2" t="str" cm="1">
        <f t="array" ref="V11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2" t="str" cm="1">
        <f t="array" ref="W11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2" t="str">
        <f>IF(COUNTIFS('Base Estudiantes'!$C:$C,tblMatriculas[[#This Row],[Cédula]],'Base Estudiantes'!$I:$I,tblMatriculas[[#This Row],[Código]])&gt;0,"Sí","No")</f>
        <v>Sí</v>
      </c>
      <c r="Z1182" s="23" cm="1">
        <f t="array" ref="Z1182">_xlfn.XLOOKUP(tblMatriculas[[#This Row],[Cédula]]&amp;"|"&amp;tblMatriculas[[#This Row],[Código]],tblBase[Documento]&amp;"|"&amp;tblBase[Código grupo],tblBase[Fecha matrícula],"")</f>
        <v>46263</v>
      </c>
    </row>
    <row r="1183" spans="1:26" x14ac:dyDescent="0.2">
      <c r="A1183" t="s">
        <v>2506</v>
      </c>
      <c r="B1183" t="s">
        <v>2507</v>
      </c>
      <c r="C1183" t="s">
        <v>13</v>
      </c>
      <c r="D1183" t="s">
        <v>2449</v>
      </c>
      <c r="E1183" t="s">
        <v>2450</v>
      </c>
      <c r="F1183" t="s">
        <v>335</v>
      </c>
      <c r="G1183" s="1">
        <v>0.1</v>
      </c>
      <c r="H1183" t="s">
        <v>867</v>
      </c>
      <c r="I1183" t="s">
        <v>1580</v>
      </c>
      <c r="J1183" t="s">
        <v>2451</v>
      </c>
      <c r="K1183" t="s">
        <v>24</v>
      </c>
      <c r="L1183" s="14">
        <f>IFERROR(VALUE(LEFT(tblMatriculas[[#This Row],[Clases]],FIND("/",tblMatriculas[[#This Row],[Clases]])-1)),"")</f>
        <v>4</v>
      </c>
      <c r="M1183" s="14">
        <f>IFERROR(VALUE(MID(tblMatriculas[[#This Row],[Clases]],FIND("/",tblMatriculas[[#This Row],[Clases]])+1,5)),"")</f>
        <v>40</v>
      </c>
      <c r="N11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3" s="14">
        <f>IF(OR(tblMatriculas[[#This Row],[Estado]]&lt;&gt;"activa",tblMatriculas[[#This Row],[Clases dictadas]]=""),"",MAX(0,tblMatriculas[[#This Row],[Clases dictadas]]-tblMatriculas[[#This Row],[Asistidas]]))</f>
        <v>0</v>
      </c>
      <c r="P1183" s="1">
        <f>IF(OR(tblMatriculas[[#This Row],[Estado]]&lt;&gt;"activa",tblMatriculas[[#This Row],[Asistidas]]=""),"",tblMatriculas[[#This Row],[Asistencia]])</f>
        <v>0.1</v>
      </c>
      <c r="Q1183" t="b">
        <f>AND(tblMatriculas[[#This Row],[Estado]]="activa",ISNUMBER(tblMatriculas[[#This Row],[% asistencia]]),NOT(ISNUMBER(SEARCH(pPrueba,tblMatriculas[[#This Row],[Nombre]]))))</f>
        <v>1</v>
      </c>
      <c r="R11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3" s="23" t="str" cm="1">
        <f t="array" ref="S11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3" s="23" t="str" cm="1">
        <f t="array" ref="T11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3" s="14" t="str" cm="1">
        <f t="array" ref="U11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3" t="str" cm="1">
        <f t="array" ref="V11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3" t="str" cm="1">
        <f t="array" ref="W11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3" t="str">
        <f>IF(COUNTIFS('Base Estudiantes'!$C:$C,tblMatriculas[[#This Row],[Cédula]],'Base Estudiantes'!$I:$I,tblMatriculas[[#This Row],[Código]])&gt;0,"Sí","No")</f>
        <v>Sí</v>
      </c>
      <c r="Z1183" s="23" cm="1">
        <f t="array" ref="Z1183">_xlfn.XLOOKUP(tblMatriculas[[#This Row],[Cédula]]&amp;"|"&amp;tblMatriculas[[#This Row],[Código]],tblBase[Documento]&amp;"|"&amp;tblBase[Código grupo],tblBase[Fecha matrícula],"")</f>
        <v>46263</v>
      </c>
    </row>
    <row r="1184" spans="1:26" x14ac:dyDescent="0.2">
      <c r="A1184" t="s">
        <v>2508</v>
      </c>
      <c r="B1184" t="s">
        <v>2509</v>
      </c>
      <c r="C1184" t="s">
        <v>13</v>
      </c>
      <c r="D1184" t="s">
        <v>2449</v>
      </c>
      <c r="E1184" t="s">
        <v>2450</v>
      </c>
      <c r="F1184" t="s">
        <v>335</v>
      </c>
      <c r="G1184" s="1">
        <v>0.1</v>
      </c>
      <c r="H1184" t="s">
        <v>867</v>
      </c>
      <c r="I1184" t="s">
        <v>1580</v>
      </c>
      <c r="J1184" t="s">
        <v>2451</v>
      </c>
      <c r="K1184" t="s">
        <v>24</v>
      </c>
      <c r="L1184" s="14">
        <f>IFERROR(VALUE(LEFT(tblMatriculas[[#This Row],[Clases]],FIND("/",tblMatriculas[[#This Row],[Clases]])-1)),"")</f>
        <v>4</v>
      </c>
      <c r="M1184" s="14">
        <f>IFERROR(VALUE(MID(tblMatriculas[[#This Row],[Clases]],FIND("/",tblMatriculas[[#This Row],[Clases]])+1,5)),"")</f>
        <v>40</v>
      </c>
      <c r="N11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4" s="14">
        <f>IF(OR(tblMatriculas[[#This Row],[Estado]]&lt;&gt;"activa",tblMatriculas[[#This Row],[Clases dictadas]]=""),"",MAX(0,tblMatriculas[[#This Row],[Clases dictadas]]-tblMatriculas[[#This Row],[Asistidas]]))</f>
        <v>0</v>
      </c>
      <c r="P1184" s="1">
        <f>IF(OR(tblMatriculas[[#This Row],[Estado]]&lt;&gt;"activa",tblMatriculas[[#This Row],[Asistidas]]=""),"",tblMatriculas[[#This Row],[Asistencia]])</f>
        <v>0.1</v>
      </c>
      <c r="Q1184" t="b">
        <f>AND(tblMatriculas[[#This Row],[Estado]]="activa",ISNUMBER(tblMatriculas[[#This Row],[% asistencia]]),NOT(ISNUMBER(SEARCH(pPrueba,tblMatriculas[[#This Row],[Nombre]]))))</f>
        <v>1</v>
      </c>
      <c r="R11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4" s="23" t="str" cm="1">
        <f t="array" ref="S11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4" s="23" t="str" cm="1">
        <f t="array" ref="T11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4" s="14" t="str" cm="1">
        <f t="array" ref="U11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4" t="str" cm="1">
        <f t="array" ref="V11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4" t="str" cm="1">
        <f t="array" ref="W11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4" t="str">
        <f>IF(COUNTIFS('Base Estudiantes'!$C:$C,tblMatriculas[[#This Row],[Cédula]],'Base Estudiantes'!$I:$I,tblMatriculas[[#This Row],[Código]])&gt;0,"Sí","No")</f>
        <v>Sí</v>
      </c>
      <c r="Z1184" s="23" cm="1">
        <f t="array" ref="Z1184">_xlfn.XLOOKUP(tblMatriculas[[#This Row],[Cédula]]&amp;"|"&amp;tblMatriculas[[#This Row],[Código]],tblBase[Documento]&amp;"|"&amp;tblBase[Código grupo],tblBase[Fecha matrícula],"")</f>
        <v>46263</v>
      </c>
    </row>
    <row r="1185" spans="1:26" x14ac:dyDescent="0.2">
      <c r="A1185" t="s">
        <v>2510</v>
      </c>
      <c r="B1185" t="s">
        <v>2511</v>
      </c>
      <c r="C1185" t="s">
        <v>13</v>
      </c>
      <c r="D1185" t="s">
        <v>2449</v>
      </c>
      <c r="E1185" t="s">
        <v>2450</v>
      </c>
      <c r="F1185" t="s">
        <v>335</v>
      </c>
      <c r="G1185" s="1">
        <v>7.4999999999999997E-2</v>
      </c>
      <c r="H1185" t="s">
        <v>881</v>
      </c>
      <c r="I1185" t="s">
        <v>1580</v>
      </c>
      <c r="J1185" t="s">
        <v>2451</v>
      </c>
      <c r="K1185" t="s">
        <v>1992</v>
      </c>
      <c r="L1185" s="14">
        <f>IFERROR(VALUE(LEFT(tblMatriculas[[#This Row],[Clases]],FIND("/",tblMatriculas[[#This Row],[Clases]])-1)),"")</f>
        <v>3</v>
      </c>
      <c r="M1185" s="14">
        <f>IFERROR(VALUE(MID(tblMatriculas[[#This Row],[Clases]],FIND("/",tblMatriculas[[#This Row],[Clases]])+1,5)),"")</f>
        <v>40</v>
      </c>
      <c r="N11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5" s="14">
        <f>IF(OR(tblMatriculas[[#This Row],[Estado]]&lt;&gt;"activa",tblMatriculas[[#This Row],[Clases dictadas]]=""),"",MAX(0,tblMatriculas[[#This Row],[Clases dictadas]]-tblMatriculas[[#This Row],[Asistidas]]))</f>
        <v>1</v>
      </c>
      <c r="P1185" s="1">
        <f>IF(OR(tblMatriculas[[#This Row],[Estado]]&lt;&gt;"activa",tblMatriculas[[#This Row],[Asistidas]]=""),"",tblMatriculas[[#This Row],[Asistencia]])</f>
        <v>7.4999999999999997E-2</v>
      </c>
      <c r="Q1185" t="b">
        <f>AND(tblMatriculas[[#This Row],[Estado]]="activa",ISNUMBER(tblMatriculas[[#This Row],[% asistencia]]),NOT(ISNUMBER(SEARCH(pPrueba,tblMatriculas[[#This Row],[Nombre]]))))</f>
        <v>1</v>
      </c>
      <c r="R11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5" s="23" t="str" cm="1">
        <f t="array" ref="S11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5" s="23" t="str" cm="1">
        <f t="array" ref="T11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5" s="14" t="str" cm="1">
        <f t="array" ref="U11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5" t="str" cm="1">
        <f t="array" ref="V11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5" t="str" cm="1">
        <f t="array" ref="W11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5" t="str">
        <f>IF(COUNTIFS('Base Estudiantes'!$C:$C,tblMatriculas[[#This Row],[Cédula]],'Base Estudiantes'!$I:$I,tblMatriculas[[#This Row],[Código]])&gt;0,"Sí","No")</f>
        <v>Sí</v>
      </c>
      <c r="Z1185" s="23" cm="1">
        <f t="array" ref="Z1185">_xlfn.XLOOKUP(tblMatriculas[[#This Row],[Cédula]]&amp;"|"&amp;tblMatriculas[[#This Row],[Código]],tblBase[Documento]&amp;"|"&amp;tblBase[Código grupo],tblBase[Fecha matrícula],"")</f>
        <v>46263</v>
      </c>
    </row>
    <row r="1186" spans="1:26" x14ac:dyDescent="0.2">
      <c r="A1186" t="s">
        <v>2512</v>
      </c>
      <c r="B1186" t="s">
        <v>2513</v>
      </c>
      <c r="C1186" t="s">
        <v>13</v>
      </c>
      <c r="D1186" t="s">
        <v>2449</v>
      </c>
      <c r="E1186" t="s">
        <v>2450</v>
      </c>
      <c r="F1186" t="s">
        <v>335</v>
      </c>
      <c r="G1186" s="1">
        <v>0.1</v>
      </c>
      <c r="H1186" t="s">
        <v>867</v>
      </c>
      <c r="I1186" t="s">
        <v>1580</v>
      </c>
      <c r="J1186" t="s">
        <v>2451</v>
      </c>
      <c r="K1186" t="s">
        <v>1868</v>
      </c>
      <c r="L1186" s="14">
        <f>IFERROR(VALUE(LEFT(tblMatriculas[[#This Row],[Clases]],FIND("/",tblMatriculas[[#This Row],[Clases]])-1)),"")</f>
        <v>4</v>
      </c>
      <c r="M1186" s="14">
        <f>IFERROR(VALUE(MID(tblMatriculas[[#This Row],[Clases]],FIND("/",tblMatriculas[[#This Row],[Clases]])+1,5)),"")</f>
        <v>40</v>
      </c>
      <c r="N11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6" s="14">
        <f>IF(OR(tblMatriculas[[#This Row],[Estado]]&lt;&gt;"activa",tblMatriculas[[#This Row],[Clases dictadas]]=""),"",MAX(0,tblMatriculas[[#This Row],[Clases dictadas]]-tblMatriculas[[#This Row],[Asistidas]]))</f>
        <v>0</v>
      </c>
      <c r="P1186" s="1">
        <f>IF(OR(tblMatriculas[[#This Row],[Estado]]&lt;&gt;"activa",tblMatriculas[[#This Row],[Asistidas]]=""),"",tblMatriculas[[#This Row],[Asistencia]])</f>
        <v>0.1</v>
      </c>
      <c r="Q1186" t="b">
        <f>AND(tblMatriculas[[#This Row],[Estado]]="activa",ISNUMBER(tblMatriculas[[#This Row],[% asistencia]]),NOT(ISNUMBER(SEARCH(pPrueba,tblMatriculas[[#This Row],[Nombre]]))))</f>
        <v>1</v>
      </c>
      <c r="R11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6" s="23" t="str" cm="1">
        <f t="array" ref="S11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6" s="23" t="str" cm="1">
        <f t="array" ref="T11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6" s="14" t="str" cm="1">
        <f t="array" ref="U11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6" t="str" cm="1">
        <f t="array" ref="V11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6" t="str" cm="1">
        <f t="array" ref="W11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6" t="str">
        <f>IF(COUNTIFS('Base Estudiantes'!$C:$C,tblMatriculas[[#This Row],[Cédula]],'Base Estudiantes'!$I:$I,tblMatriculas[[#This Row],[Código]])&gt;0,"Sí","No")</f>
        <v>Sí</v>
      </c>
      <c r="Z1186" s="23" cm="1">
        <f t="array" ref="Z1186">_xlfn.XLOOKUP(tblMatriculas[[#This Row],[Cédula]]&amp;"|"&amp;tblMatriculas[[#This Row],[Código]],tblBase[Documento]&amp;"|"&amp;tblBase[Código grupo],tblBase[Fecha matrícula],"")</f>
        <v>46263</v>
      </c>
    </row>
    <row r="1187" spans="1:26" x14ac:dyDescent="0.2">
      <c r="A1187" t="s">
        <v>2514</v>
      </c>
      <c r="B1187" t="s">
        <v>2515</v>
      </c>
      <c r="C1187" t="s">
        <v>13</v>
      </c>
      <c r="D1187" t="s">
        <v>2449</v>
      </c>
      <c r="E1187" t="s">
        <v>2450</v>
      </c>
      <c r="F1187" t="s">
        <v>335</v>
      </c>
      <c r="G1187" s="1">
        <v>2.5000000000000001E-2</v>
      </c>
      <c r="H1187" t="s">
        <v>921</v>
      </c>
      <c r="I1187" t="s">
        <v>1580</v>
      </c>
      <c r="J1187" t="s">
        <v>2451</v>
      </c>
      <c r="K1187" t="s">
        <v>1999</v>
      </c>
      <c r="L1187" s="14">
        <f>IFERROR(VALUE(LEFT(tblMatriculas[[#This Row],[Clases]],FIND("/",tblMatriculas[[#This Row],[Clases]])-1)),"")</f>
        <v>1</v>
      </c>
      <c r="M1187" s="14">
        <f>IFERROR(VALUE(MID(tblMatriculas[[#This Row],[Clases]],FIND("/",tblMatriculas[[#This Row],[Clases]])+1,5)),"")</f>
        <v>40</v>
      </c>
      <c r="N11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7" s="14">
        <f>IF(OR(tblMatriculas[[#This Row],[Estado]]&lt;&gt;"activa",tblMatriculas[[#This Row],[Clases dictadas]]=""),"",MAX(0,tblMatriculas[[#This Row],[Clases dictadas]]-tblMatriculas[[#This Row],[Asistidas]]))</f>
        <v>3</v>
      </c>
      <c r="P1187" s="1">
        <f>IF(OR(tblMatriculas[[#This Row],[Estado]]&lt;&gt;"activa",tblMatriculas[[#This Row],[Asistidas]]=""),"",tblMatriculas[[#This Row],[Asistencia]])</f>
        <v>2.5000000000000001E-2</v>
      </c>
      <c r="Q1187" t="b">
        <f>AND(tblMatriculas[[#This Row],[Estado]]="activa",ISNUMBER(tblMatriculas[[#This Row],[% asistencia]]),NOT(ISNUMBER(SEARCH(pPrueba,tblMatriculas[[#This Row],[Nombre]]))))</f>
        <v>1</v>
      </c>
      <c r="R11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87" s="23" t="str" cm="1">
        <f t="array" ref="S11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7" s="23" t="str" cm="1">
        <f t="array" ref="T11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7" s="14" t="str" cm="1">
        <f t="array" ref="U11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7" t="str" cm="1">
        <f t="array" ref="V11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7" t="str" cm="1">
        <f t="array" ref="W11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87" t="str">
        <f>IF(COUNTIFS('Base Estudiantes'!$C:$C,tblMatriculas[[#This Row],[Cédula]],'Base Estudiantes'!$I:$I,tblMatriculas[[#This Row],[Código]])&gt;0,"Sí","No")</f>
        <v>Sí</v>
      </c>
      <c r="Z1187" s="23" cm="1">
        <f t="array" ref="Z1187">_xlfn.XLOOKUP(tblMatriculas[[#This Row],[Cédula]]&amp;"|"&amp;tblMatriculas[[#This Row],[Código]],tblBase[Documento]&amp;"|"&amp;tblBase[Código grupo],tblBase[Fecha matrícula],"")</f>
        <v>46263</v>
      </c>
    </row>
    <row r="1188" spans="1:26" x14ac:dyDescent="0.2">
      <c r="A1188" t="s">
        <v>2516</v>
      </c>
      <c r="B1188" t="s">
        <v>2517</v>
      </c>
      <c r="C1188" t="s">
        <v>13</v>
      </c>
      <c r="D1188" t="s">
        <v>2449</v>
      </c>
      <c r="E1188" t="s">
        <v>2450</v>
      </c>
      <c r="F1188" t="s">
        <v>335</v>
      </c>
      <c r="G1188" s="1">
        <v>0.1</v>
      </c>
      <c r="H1188" t="s">
        <v>867</v>
      </c>
      <c r="I1188" t="s">
        <v>1580</v>
      </c>
      <c r="J1188" t="s">
        <v>2451</v>
      </c>
      <c r="K1188" t="s">
        <v>1655</v>
      </c>
      <c r="L1188" s="14">
        <f>IFERROR(VALUE(LEFT(tblMatriculas[[#This Row],[Clases]],FIND("/",tblMatriculas[[#This Row],[Clases]])-1)),"")</f>
        <v>4</v>
      </c>
      <c r="M1188" s="14">
        <f>IFERROR(VALUE(MID(tblMatriculas[[#This Row],[Clases]],FIND("/",tblMatriculas[[#This Row],[Clases]])+1,5)),"")</f>
        <v>40</v>
      </c>
      <c r="N11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8" s="14">
        <f>IF(OR(tblMatriculas[[#This Row],[Estado]]&lt;&gt;"activa",tblMatriculas[[#This Row],[Clases dictadas]]=""),"",MAX(0,tblMatriculas[[#This Row],[Clases dictadas]]-tblMatriculas[[#This Row],[Asistidas]]))</f>
        <v>0</v>
      </c>
      <c r="P1188" s="1">
        <f>IF(OR(tblMatriculas[[#This Row],[Estado]]&lt;&gt;"activa",tblMatriculas[[#This Row],[Asistidas]]=""),"",tblMatriculas[[#This Row],[Asistencia]])</f>
        <v>0.1</v>
      </c>
      <c r="Q1188" t="b">
        <f>AND(tblMatriculas[[#This Row],[Estado]]="activa",ISNUMBER(tblMatriculas[[#This Row],[% asistencia]]),NOT(ISNUMBER(SEARCH(pPrueba,tblMatriculas[[#This Row],[Nombre]]))))</f>
        <v>1</v>
      </c>
      <c r="R11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8" s="23" t="str" cm="1">
        <f t="array" ref="S11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8" s="23" t="str" cm="1">
        <f t="array" ref="T11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8" s="14" t="str" cm="1">
        <f t="array" ref="U11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8" t="str" cm="1">
        <f t="array" ref="V11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8" t="str" cm="1">
        <f t="array" ref="W11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8" t="str">
        <f>IF(COUNTIFS('Base Estudiantes'!$C:$C,tblMatriculas[[#This Row],[Cédula]],'Base Estudiantes'!$I:$I,tblMatriculas[[#This Row],[Código]])&gt;0,"Sí","No")</f>
        <v>Sí</v>
      </c>
      <c r="Z1188" s="23" cm="1">
        <f t="array" ref="Z1188">_xlfn.XLOOKUP(tblMatriculas[[#This Row],[Cédula]]&amp;"|"&amp;tblMatriculas[[#This Row],[Código]],tblBase[Documento]&amp;"|"&amp;tblBase[Código grupo],tblBase[Fecha matrícula],"")</f>
        <v>46263</v>
      </c>
    </row>
    <row r="1189" spans="1:26" x14ac:dyDescent="0.2">
      <c r="A1189" t="s">
        <v>2518</v>
      </c>
      <c r="B1189" t="s">
        <v>2519</v>
      </c>
      <c r="C1189" t="s">
        <v>13</v>
      </c>
      <c r="D1189" t="s">
        <v>2449</v>
      </c>
      <c r="E1189" t="s">
        <v>2450</v>
      </c>
      <c r="F1189" t="s">
        <v>335</v>
      </c>
      <c r="G1189" s="1">
        <v>0.1</v>
      </c>
      <c r="H1189" t="s">
        <v>867</v>
      </c>
      <c r="I1189" t="s">
        <v>1580</v>
      </c>
      <c r="J1189" t="s">
        <v>2451</v>
      </c>
      <c r="K1189" t="s">
        <v>1590</v>
      </c>
      <c r="L1189" s="14">
        <f>IFERROR(VALUE(LEFT(tblMatriculas[[#This Row],[Clases]],FIND("/",tblMatriculas[[#This Row],[Clases]])-1)),"")</f>
        <v>4</v>
      </c>
      <c r="M1189" s="14">
        <f>IFERROR(VALUE(MID(tblMatriculas[[#This Row],[Clases]],FIND("/",tblMatriculas[[#This Row],[Clases]])+1,5)),"")</f>
        <v>40</v>
      </c>
      <c r="N11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189" s="14">
        <f>IF(OR(tblMatriculas[[#This Row],[Estado]]&lt;&gt;"activa",tblMatriculas[[#This Row],[Clases dictadas]]=""),"",MAX(0,tblMatriculas[[#This Row],[Clases dictadas]]-tblMatriculas[[#This Row],[Asistidas]]))</f>
        <v>0</v>
      </c>
      <c r="P1189" s="1">
        <f>IF(OR(tblMatriculas[[#This Row],[Estado]]&lt;&gt;"activa",tblMatriculas[[#This Row],[Asistidas]]=""),"",tblMatriculas[[#This Row],[Asistencia]])</f>
        <v>0.1</v>
      </c>
      <c r="Q1189" t="b">
        <f>AND(tblMatriculas[[#This Row],[Estado]]="activa",ISNUMBER(tblMatriculas[[#This Row],[% asistencia]]),NOT(ISNUMBER(SEARCH(pPrueba,tblMatriculas[[#This Row],[Nombre]]))))</f>
        <v>1</v>
      </c>
      <c r="R11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89" s="23" t="str" cm="1">
        <f t="array" ref="S11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89" s="23" t="str" cm="1">
        <f t="array" ref="T11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89" s="14" t="str" cm="1">
        <f t="array" ref="U11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89" t="str" cm="1">
        <f t="array" ref="V11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89" t="str" cm="1">
        <f t="array" ref="W11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89" t="str">
        <f>IF(COUNTIFS('Base Estudiantes'!$C:$C,tblMatriculas[[#This Row],[Cédula]],'Base Estudiantes'!$I:$I,tblMatriculas[[#This Row],[Código]])&gt;0,"Sí","No")</f>
        <v>Sí</v>
      </c>
      <c r="Z1189" s="23" cm="1">
        <f t="array" ref="Z1189">_xlfn.XLOOKUP(tblMatriculas[[#This Row],[Cédula]]&amp;"|"&amp;tblMatriculas[[#This Row],[Código]],tblBase[Documento]&amp;"|"&amp;tblBase[Código grupo],tblBase[Fecha matrícula],"")</f>
        <v>46263</v>
      </c>
    </row>
    <row r="1190" spans="1:26" x14ac:dyDescent="0.2">
      <c r="A1190" t="s">
        <v>2520</v>
      </c>
      <c r="B1190" t="s">
        <v>2521</v>
      </c>
      <c r="C1190" t="s">
        <v>13</v>
      </c>
      <c r="D1190" t="s">
        <v>2522</v>
      </c>
      <c r="E1190" t="s">
        <v>2523</v>
      </c>
      <c r="F1190" t="s">
        <v>335</v>
      </c>
      <c r="G1190" s="1">
        <v>0.16699999999999998</v>
      </c>
      <c r="H1190" t="s">
        <v>229</v>
      </c>
      <c r="I1190" t="s">
        <v>1580</v>
      </c>
      <c r="J1190" t="s">
        <v>2077</v>
      </c>
      <c r="K1190" t="s">
        <v>24</v>
      </c>
      <c r="L1190" s="14">
        <f>IFERROR(VALUE(LEFT(tblMatriculas[[#This Row],[Clases]],FIND("/",tblMatriculas[[#This Row],[Clases]])-1)),"")</f>
        <v>5</v>
      </c>
      <c r="M1190" s="14">
        <f>IFERROR(VALUE(MID(tblMatriculas[[#This Row],[Clases]],FIND("/",tblMatriculas[[#This Row],[Clases]])+1,5)),"")</f>
        <v>30</v>
      </c>
      <c r="N11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0" s="14">
        <f>IF(OR(tblMatriculas[[#This Row],[Estado]]&lt;&gt;"activa",tblMatriculas[[#This Row],[Clases dictadas]]=""),"",MAX(0,tblMatriculas[[#This Row],[Clases dictadas]]-tblMatriculas[[#This Row],[Asistidas]]))</f>
        <v>0</v>
      </c>
      <c r="P1190" s="1">
        <f>IF(OR(tblMatriculas[[#This Row],[Estado]]&lt;&gt;"activa",tblMatriculas[[#This Row],[Asistidas]]=""),"",tblMatriculas[[#This Row],[Asistencia]])</f>
        <v>0.16699999999999998</v>
      </c>
      <c r="Q1190" t="b">
        <f>AND(tblMatriculas[[#This Row],[Estado]]="activa",ISNUMBER(tblMatriculas[[#This Row],[% asistencia]]),NOT(ISNUMBER(SEARCH(pPrueba,tblMatriculas[[#This Row],[Nombre]]))))</f>
        <v>1</v>
      </c>
      <c r="R11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0" s="23" t="str" cm="1">
        <f t="array" ref="S11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0" s="23" t="str" cm="1">
        <f t="array" ref="T11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0" s="14" t="str" cm="1">
        <f t="array" ref="U11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0" t="str" cm="1">
        <f t="array" ref="V11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0" t="str" cm="1">
        <f t="array" ref="W11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0" t="str">
        <f>IF(COUNTIFS('Base Estudiantes'!$C:$C,tblMatriculas[[#This Row],[Cédula]],'Base Estudiantes'!$I:$I,tblMatriculas[[#This Row],[Código]])&gt;0,"Sí","No")</f>
        <v>Sí</v>
      </c>
      <c r="Z1190" s="23" cm="1">
        <f t="array" ref="Z1190">_xlfn.XLOOKUP(tblMatriculas[[#This Row],[Cédula]]&amp;"|"&amp;tblMatriculas[[#This Row],[Código]],tblBase[Documento]&amp;"|"&amp;tblBase[Código grupo],tblBase[Fecha matrícula],"")</f>
        <v>46263</v>
      </c>
    </row>
    <row r="1191" spans="1:26" x14ac:dyDescent="0.2">
      <c r="A1191" t="s">
        <v>2524</v>
      </c>
      <c r="B1191" t="s">
        <v>2525</v>
      </c>
      <c r="C1191" t="s">
        <v>13</v>
      </c>
      <c r="D1191" t="s">
        <v>2522</v>
      </c>
      <c r="E1191" t="s">
        <v>2523</v>
      </c>
      <c r="F1191" t="s">
        <v>335</v>
      </c>
      <c r="G1191" s="1">
        <v>0.16699999999999998</v>
      </c>
      <c r="H1191" t="s">
        <v>229</v>
      </c>
      <c r="I1191" t="s">
        <v>1580</v>
      </c>
      <c r="J1191" t="s">
        <v>2077</v>
      </c>
      <c r="K1191" t="s">
        <v>24</v>
      </c>
      <c r="L1191" s="14">
        <f>IFERROR(VALUE(LEFT(tblMatriculas[[#This Row],[Clases]],FIND("/",tblMatriculas[[#This Row],[Clases]])-1)),"")</f>
        <v>5</v>
      </c>
      <c r="M1191" s="14">
        <f>IFERROR(VALUE(MID(tblMatriculas[[#This Row],[Clases]],FIND("/",tblMatriculas[[#This Row],[Clases]])+1,5)),"")</f>
        <v>30</v>
      </c>
      <c r="N11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1" s="14">
        <f>IF(OR(tblMatriculas[[#This Row],[Estado]]&lt;&gt;"activa",tblMatriculas[[#This Row],[Clases dictadas]]=""),"",MAX(0,tblMatriculas[[#This Row],[Clases dictadas]]-tblMatriculas[[#This Row],[Asistidas]]))</f>
        <v>0</v>
      </c>
      <c r="P1191" s="1">
        <f>IF(OR(tblMatriculas[[#This Row],[Estado]]&lt;&gt;"activa",tblMatriculas[[#This Row],[Asistidas]]=""),"",tblMatriculas[[#This Row],[Asistencia]])</f>
        <v>0.16699999999999998</v>
      </c>
      <c r="Q1191" t="b">
        <f>AND(tblMatriculas[[#This Row],[Estado]]="activa",ISNUMBER(tblMatriculas[[#This Row],[% asistencia]]),NOT(ISNUMBER(SEARCH(pPrueba,tblMatriculas[[#This Row],[Nombre]]))))</f>
        <v>1</v>
      </c>
      <c r="R11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1" s="23" t="str" cm="1">
        <f t="array" ref="S11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1" s="23" t="str" cm="1">
        <f t="array" ref="T11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1" s="14" t="str" cm="1">
        <f t="array" ref="U11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1" t="str" cm="1">
        <f t="array" ref="V11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1" t="str" cm="1">
        <f t="array" ref="W11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1" t="str">
        <f>IF(COUNTIFS('Base Estudiantes'!$C:$C,tblMatriculas[[#This Row],[Cédula]],'Base Estudiantes'!$I:$I,tblMatriculas[[#This Row],[Código]])&gt;0,"Sí","No")</f>
        <v>Sí</v>
      </c>
      <c r="Z1191" s="23" cm="1">
        <f t="array" ref="Z1191">_xlfn.XLOOKUP(tblMatriculas[[#This Row],[Cédula]]&amp;"|"&amp;tblMatriculas[[#This Row],[Código]],tblBase[Documento]&amp;"|"&amp;tblBase[Código grupo],tblBase[Fecha matrícula],"")</f>
        <v>46263</v>
      </c>
    </row>
    <row r="1192" spans="1:26" x14ac:dyDescent="0.2">
      <c r="A1192" t="s">
        <v>2526</v>
      </c>
      <c r="B1192" t="s">
        <v>2527</v>
      </c>
      <c r="C1192" t="s">
        <v>13</v>
      </c>
      <c r="D1192" t="s">
        <v>2522</v>
      </c>
      <c r="E1192" t="s">
        <v>2523</v>
      </c>
      <c r="F1192" t="s">
        <v>335</v>
      </c>
      <c r="G1192" s="1">
        <v>6.7000000000000004E-2</v>
      </c>
      <c r="H1192" t="s">
        <v>166</v>
      </c>
      <c r="I1192" t="s">
        <v>1580</v>
      </c>
      <c r="J1192" t="s">
        <v>2077</v>
      </c>
      <c r="K1192" t="s">
        <v>24</v>
      </c>
      <c r="L1192" s="14">
        <f>IFERROR(VALUE(LEFT(tblMatriculas[[#This Row],[Clases]],FIND("/",tblMatriculas[[#This Row],[Clases]])-1)),"")</f>
        <v>2</v>
      </c>
      <c r="M1192" s="14">
        <f>IFERROR(VALUE(MID(tblMatriculas[[#This Row],[Clases]],FIND("/",tblMatriculas[[#This Row],[Clases]])+1,5)),"")</f>
        <v>30</v>
      </c>
      <c r="N11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2" s="14">
        <f>IF(OR(tblMatriculas[[#This Row],[Estado]]&lt;&gt;"activa",tblMatriculas[[#This Row],[Clases dictadas]]=""),"",MAX(0,tblMatriculas[[#This Row],[Clases dictadas]]-tblMatriculas[[#This Row],[Asistidas]]))</f>
        <v>3</v>
      </c>
      <c r="P1192" s="1">
        <f>IF(OR(tblMatriculas[[#This Row],[Estado]]&lt;&gt;"activa",tblMatriculas[[#This Row],[Asistidas]]=""),"",tblMatriculas[[#This Row],[Asistencia]])</f>
        <v>6.7000000000000004E-2</v>
      </c>
      <c r="Q1192" t="b">
        <f>AND(tblMatriculas[[#This Row],[Estado]]="activa",ISNUMBER(tblMatriculas[[#This Row],[% asistencia]]),NOT(ISNUMBER(SEARCH(pPrueba,tblMatriculas[[#This Row],[Nombre]]))))</f>
        <v>1</v>
      </c>
      <c r="R11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92" s="23" t="str" cm="1">
        <f t="array" ref="S11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2" s="23" t="str" cm="1">
        <f t="array" ref="T11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2" s="14" t="str" cm="1">
        <f t="array" ref="U11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2" t="str" cm="1">
        <f t="array" ref="V11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2" t="str" cm="1">
        <f t="array" ref="W11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92" t="str">
        <f>IF(COUNTIFS('Base Estudiantes'!$C:$C,tblMatriculas[[#This Row],[Cédula]],'Base Estudiantes'!$I:$I,tblMatriculas[[#This Row],[Código]])&gt;0,"Sí","No")</f>
        <v>Sí</v>
      </c>
      <c r="Z1192" s="23" cm="1">
        <f t="array" ref="Z1192">_xlfn.XLOOKUP(tblMatriculas[[#This Row],[Cédula]]&amp;"|"&amp;tblMatriculas[[#This Row],[Código]],tblBase[Documento]&amp;"|"&amp;tblBase[Código grupo],tblBase[Fecha matrícula],"")</f>
        <v>46263</v>
      </c>
    </row>
    <row r="1193" spans="1:26" x14ac:dyDescent="0.2">
      <c r="A1193" t="s">
        <v>2528</v>
      </c>
      <c r="B1193" t="s">
        <v>2529</v>
      </c>
      <c r="C1193" t="s">
        <v>13</v>
      </c>
      <c r="D1193" t="s">
        <v>2522</v>
      </c>
      <c r="E1193" t="s">
        <v>2523</v>
      </c>
      <c r="F1193" t="s">
        <v>335</v>
      </c>
      <c r="G1193" s="1">
        <v>3.3000000000000002E-2</v>
      </c>
      <c r="H1193" t="s">
        <v>225</v>
      </c>
      <c r="I1193" t="s">
        <v>1580</v>
      </c>
      <c r="J1193" t="s">
        <v>2077</v>
      </c>
      <c r="K1193" t="s">
        <v>24</v>
      </c>
      <c r="L1193" s="14">
        <f>IFERROR(VALUE(LEFT(tblMatriculas[[#This Row],[Clases]],FIND("/",tblMatriculas[[#This Row],[Clases]])-1)),"")</f>
        <v>1</v>
      </c>
      <c r="M1193" s="14">
        <f>IFERROR(VALUE(MID(tblMatriculas[[#This Row],[Clases]],FIND("/",tblMatriculas[[#This Row],[Clases]])+1,5)),"")</f>
        <v>30</v>
      </c>
      <c r="N11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3" s="14">
        <f>IF(OR(tblMatriculas[[#This Row],[Estado]]&lt;&gt;"activa",tblMatriculas[[#This Row],[Clases dictadas]]=""),"",MAX(0,tblMatriculas[[#This Row],[Clases dictadas]]-tblMatriculas[[#This Row],[Asistidas]]))</f>
        <v>4</v>
      </c>
      <c r="P1193" s="1">
        <f>IF(OR(tblMatriculas[[#This Row],[Estado]]&lt;&gt;"activa",tblMatriculas[[#This Row],[Asistidas]]=""),"",tblMatriculas[[#This Row],[Asistencia]])</f>
        <v>3.3000000000000002E-2</v>
      </c>
      <c r="Q1193" t="b">
        <f>AND(tblMatriculas[[#This Row],[Estado]]="activa",ISNUMBER(tblMatriculas[[#This Row],[% asistencia]]),NOT(ISNUMBER(SEARCH(pPrueba,tblMatriculas[[#This Row],[Nombre]]))))</f>
        <v>1</v>
      </c>
      <c r="R11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193" s="23" t="str" cm="1">
        <f t="array" ref="S11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3" s="23" t="str" cm="1">
        <f t="array" ref="T11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3" s="14" t="str" cm="1">
        <f t="array" ref="U11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3" t="str" cm="1">
        <f t="array" ref="V11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3" t="str" cm="1">
        <f t="array" ref="W11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1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193" t="str">
        <f>IF(COUNTIFS('Base Estudiantes'!$C:$C,tblMatriculas[[#This Row],[Cédula]],'Base Estudiantes'!$I:$I,tblMatriculas[[#This Row],[Código]])&gt;0,"Sí","No")</f>
        <v>Sí</v>
      </c>
      <c r="Z1193" s="23" cm="1">
        <f t="array" ref="Z1193">_xlfn.XLOOKUP(tblMatriculas[[#This Row],[Cédula]]&amp;"|"&amp;tblMatriculas[[#This Row],[Código]],tblBase[Documento]&amp;"|"&amp;tblBase[Código grupo],tblBase[Fecha matrícula],"")</f>
        <v>46263</v>
      </c>
    </row>
    <row r="1194" spans="1:26" x14ac:dyDescent="0.2">
      <c r="A1194" t="s">
        <v>2530</v>
      </c>
      <c r="B1194" t="s">
        <v>2531</v>
      </c>
      <c r="C1194" t="s">
        <v>13</v>
      </c>
      <c r="D1194" t="s">
        <v>2522</v>
      </c>
      <c r="E1194" t="s">
        <v>2523</v>
      </c>
      <c r="F1194" t="s">
        <v>335</v>
      </c>
      <c r="G1194" s="1">
        <v>6.7000000000000004E-2</v>
      </c>
      <c r="H1194" t="s">
        <v>166</v>
      </c>
      <c r="I1194" t="s">
        <v>1580</v>
      </c>
      <c r="J1194" t="s">
        <v>2077</v>
      </c>
      <c r="K1194" t="s">
        <v>24</v>
      </c>
      <c r="L1194" s="14">
        <f>IFERROR(VALUE(LEFT(tblMatriculas[[#This Row],[Clases]],FIND("/",tblMatriculas[[#This Row],[Clases]])-1)),"")</f>
        <v>2</v>
      </c>
      <c r="M1194" s="14">
        <f>IFERROR(VALUE(MID(tblMatriculas[[#This Row],[Clases]],FIND("/",tblMatriculas[[#This Row],[Clases]])+1,5)),"")</f>
        <v>30</v>
      </c>
      <c r="N11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4" s="14">
        <f>IF(OR(tblMatriculas[[#This Row],[Estado]]&lt;&gt;"activa",tblMatriculas[[#This Row],[Clases dictadas]]=""),"",MAX(0,tblMatriculas[[#This Row],[Clases dictadas]]-tblMatriculas[[#This Row],[Asistidas]]))</f>
        <v>3</v>
      </c>
      <c r="P1194" s="1">
        <f>IF(OR(tblMatriculas[[#This Row],[Estado]]&lt;&gt;"activa",tblMatriculas[[#This Row],[Asistidas]]=""),"",tblMatriculas[[#This Row],[Asistencia]])</f>
        <v>6.7000000000000004E-2</v>
      </c>
      <c r="Q1194" t="b">
        <f>AND(tblMatriculas[[#This Row],[Estado]]="activa",ISNUMBER(tblMatriculas[[#This Row],[% asistencia]]),NOT(ISNUMBER(SEARCH(pPrueba,tblMatriculas[[#This Row],[Nombre]]))))</f>
        <v>1</v>
      </c>
      <c r="R11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94" s="23" t="str" cm="1">
        <f t="array" ref="S11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4" s="23" t="str" cm="1">
        <f t="array" ref="T11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4" s="14" t="str" cm="1">
        <f t="array" ref="U11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4" t="str" cm="1">
        <f t="array" ref="V11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4" t="str" cm="1">
        <f t="array" ref="W11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94" t="str">
        <f>IF(COUNTIFS('Base Estudiantes'!$C:$C,tblMatriculas[[#This Row],[Cédula]],'Base Estudiantes'!$I:$I,tblMatriculas[[#This Row],[Código]])&gt;0,"Sí","No")</f>
        <v>Sí</v>
      </c>
      <c r="Z1194" s="23" cm="1">
        <f t="array" ref="Z1194">_xlfn.XLOOKUP(tblMatriculas[[#This Row],[Cédula]]&amp;"|"&amp;tblMatriculas[[#This Row],[Código]],tblBase[Documento]&amp;"|"&amp;tblBase[Código grupo],tblBase[Fecha matrícula],"")</f>
        <v>46263</v>
      </c>
    </row>
    <row r="1195" spans="1:26" x14ac:dyDescent="0.2">
      <c r="A1195" t="s">
        <v>2532</v>
      </c>
      <c r="B1195" t="s">
        <v>2533</v>
      </c>
      <c r="C1195" t="s">
        <v>13</v>
      </c>
      <c r="D1195" t="s">
        <v>2522</v>
      </c>
      <c r="E1195" t="s">
        <v>2523</v>
      </c>
      <c r="F1195" t="s">
        <v>335</v>
      </c>
      <c r="G1195" s="1">
        <v>6.7000000000000004E-2</v>
      </c>
      <c r="H1195" t="s">
        <v>166</v>
      </c>
      <c r="I1195" t="s">
        <v>1580</v>
      </c>
      <c r="J1195" t="s">
        <v>2077</v>
      </c>
      <c r="K1195" t="s">
        <v>24</v>
      </c>
      <c r="L1195" s="14">
        <f>IFERROR(VALUE(LEFT(tblMatriculas[[#This Row],[Clases]],FIND("/",tblMatriculas[[#This Row],[Clases]])-1)),"")</f>
        <v>2</v>
      </c>
      <c r="M1195" s="14">
        <f>IFERROR(VALUE(MID(tblMatriculas[[#This Row],[Clases]],FIND("/",tblMatriculas[[#This Row],[Clases]])+1,5)),"")</f>
        <v>30</v>
      </c>
      <c r="N11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5" s="14">
        <f>IF(OR(tblMatriculas[[#This Row],[Estado]]&lt;&gt;"activa",tblMatriculas[[#This Row],[Clases dictadas]]=""),"",MAX(0,tblMatriculas[[#This Row],[Clases dictadas]]-tblMatriculas[[#This Row],[Asistidas]]))</f>
        <v>3</v>
      </c>
      <c r="P1195" s="1">
        <f>IF(OR(tblMatriculas[[#This Row],[Estado]]&lt;&gt;"activa",tblMatriculas[[#This Row],[Asistidas]]=""),"",tblMatriculas[[#This Row],[Asistencia]])</f>
        <v>6.7000000000000004E-2</v>
      </c>
      <c r="Q1195" t="b">
        <f>AND(tblMatriculas[[#This Row],[Estado]]="activa",ISNUMBER(tblMatriculas[[#This Row],[% asistencia]]),NOT(ISNUMBER(SEARCH(pPrueba,tblMatriculas[[#This Row],[Nombre]]))))</f>
        <v>1</v>
      </c>
      <c r="R11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195" s="23" t="str" cm="1">
        <f t="array" ref="S11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5" s="23" t="str" cm="1">
        <f t="array" ref="T11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5" s="14" t="str" cm="1">
        <f t="array" ref="U11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5" t="str" cm="1">
        <f t="array" ref="V11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5" t="str" cm="1">
        <f t="array" ref="W11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1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195" t="str">
        <f>IF(COUNTIFS('Base Estudiantes'!$C:$C,tblMatriculas[[#This Row],[Cédula]],'Base Estudiantes'!$I:$I,tblMatriculas[[#This Row],[Código]])&gt;0,"Sí","No")</f>
        <v>Sí</v>
      </c>
      <c r="Z1195" s="23" cm="1">
        <f t="array" ref="Z1195">_xlfn.XLOOKUP(tblMatriculas[[#This Row],[Cédula]]&amp;"|"&amp;tblMatriculas[[#This Row],[Código]],tblBase[Documento]&amp;"|"&amp;tblBase[Código grupo],tblBase[Fecha matrícula],"")</f>
        <v>46263</v>
      </c>
    </row>
    <row r="1196" spans="1:26" x14ac:dyDescent="0.2">
      <c r="A1196" t="s">
        <v>2534</v>
      </c>
      <c r="B1196" t="s">
        <v>2535</v>
      </c>
      <c r="C1196" t="s">
        <v>13</v>
      </c>
      <c r="D1196" t="s">
        <v>2522</v>
      </c>
      <c r="E1196" t="s">
        <v>2523</v>
      </c>
      <c r="F1196" t="s">
        <v>335</v>
      </c>
      <c r="G1196" s="1">
        <v>0.16699999999999998</v>
      </c>
      <c r="H1196" t="s">
        <v>229</v>
      </c>
      <c r="I1196" t="s">
        <v>1580</v>
      </c>
      <c r="J1196" t="s">
        <v>2077</v>
      </c>
      <c r="K1196" t="s">
        <v>24</v>
      </c>
      <c r="L1196" s="14">
        <f>IFERROR(VALUE(LEFT(tblMatriculas[[#This Row],[Clases]],FIND("/",tblMatriculas[[#This Row],[Clases]])-1)),"")</f>
        <v>5</v>
      </c>
      <c r="M1196" s="14">
        <f>IFERROR(VALUE(MID(tblMatriculas[[#This Row],[Clases]],FIND("/",tblMatriculas[[#This Row],[Clases]])+1,5)),"")</f>
        <v>30</v>
      </c>
      <c r="N11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6" s="14">
        <f>IF(OR(tblMatriculas[[#This Row],[Estado]]&lt;&gt;"activa",tblMatriculas[[#This Row],[Clases dictadas]]=""),"",MAX(0,tblMatriculas[[#This Row],[Clases dictadas]]-tblMatriculas[[#This Row],[Asistidas]]))</f>
        <v>0</v>
      </c>
      <c r="P1196" s="1">
        <f>IF(OR(tblMatriculas[[#This Row],[Estado]]&lt;&gt;"activa",tblMatriculas[[#This Row],[Asistidas]]=""),"",tblMatriculas[[#This Row],[Asistencia]])</f>
        <v>0.16699999999999998</v>
      </c>
      <c r="Q1196" t="b">
        <f>AND(tblMatriculas[[#This Row],[Estado]]="activa",ISNUMBER(tblMatriculas[[#This Row],[% asistencia]]),NOT(ISNUMBER(SEARCH(pPrueba,tblMatriculas[[#This Row],[Nombre]]))))</f>
        <v>1</v>
      </c>
      <c r="R11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6" s="23" t="str" cm="1">
        <f t="array" ref="S11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6" s="23" t="str" cm="1">
        <f t="array" ref="T11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6" s="14" t="str" cm="1">
        <f t="array" ref="U11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6" t="str" cm="1">
        <f t="array" ref="V11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6" t="str" cm="1">
        <f t="array" ref="W11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6" t="str">
        <f>IF(COUNTIFS('Base Estudiantes'!$C:$C,tblMatriculas[[#This Row],[Cédula]],'Base Estudiantes'!$I:$I,tblMatriculas[[#This Row],[Código]])&gt;0,"Sí","No")</f>
        <v>Sí</v>
      </c>
      <c r="Z1196" s="23" cm="1">
        <f t="array" ref="Z1196">_xlfn.XLOOKUP(tblMatriculas[[#This Row],[Cédula]]&amp;"|"&amp;tblMatriculas[[#This Row],[Código]],tblBase[Documento]&amp;"|"&amp;tblBase[Código grupo],tblBase[Fecha matrícula],"")</f>
        <v>46263</v>
      </c>
    </row>
    <row r="1197" spans="1:26" x14ac:dyDescent="0.2">
      <c r="A1197" t="s">
        <v>2536</v>
      </c>
      <c r="B1197" t="s">
        <v>2537</v>
      </c>
      <c r="C1197" t="s">
        <v>13</v>
      </c>
      <c r="D1197" t="s">
        <v>2522</v>
      </c>
      <c r="E1197" t="s">
        <v>2523</v>
      </c>
      <c r="F1197" t="s">
        <v>335</v>
      </c>
      <c r="G1197" s="1">
        <v>0.16699999999999998</v>
      </c>
      <c r="H1197" t="s">
        <v>229</v>
      </c>
      <c r="I1197" t="s">
        <v>1580</v>
      </c>
      <c r="J1197" t="s">
        <v>2077</v>
      </c>
      <c r="K1197" t="s">
        <v>24</v>
      </c>
      <c r="L1197" s="14">
        <f>IFERROR(VALUE(LEFT(tblMatriculas[[#This Row],[Clases]],FIND("/",tblMatriculas[[#This Row],[Clases]])-1)),"")</f>
        <v>5</v>
      </c>
      <c r="M1197" s="14">
        <f>IFERROR(VALUE(MID(tblMatriculas[[#This Row],[Clases]],FIND("/",tblMatriculas[[#This Row],[Clases]])+1,5)),"")</f>
        <v>30</v>
      </c>
      <c r="N11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7" s="14">
        <f>IF(OR(tblMatriculas[[#This Row],[Estado]]&lt;&gt;"activa",tblMatriculas[[#This Row],[Clases dictadas]]=""),"",MAX(0,tblMatriculas[[#This Row],[Clases dictadas]]-tblMatriculas[[#This Row],[Asistidas]]))</f>
        <v>0</v>
      </c>
      <c r="P1197" s="1">
        <f>IF(OR(tblMatriculas[[#This Row],[Estado]]&lt;&gt;"activa",tblMatriculas[[#This Row],[Asistidas]]=""),"",tblMatriculas[[#This Row],[Asistencia]])</f>
        <v>0.16699999999999998</v>
      </c>
      <c r="Q1197" t="b">
        <f>AND(tblMatriculas[[#This Row],[Estado]]="activa",ISNUMBER(tblMatriculas[[#This Row],[% asistencia]]),NOT(ISNUMBER(SEARCH(pPrueba,tblMatriculas[[#This Row],[Nombre]]))))</f>
        <v>1</v>
      </c>
      <c r="R11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7" s="23" t="str" cm="1">
        <f t="array" ref="S11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7" s="23" t="str" cm="1">
        <f t="array" ref="T11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7" s="14" t="str" cm="1">
        <f t="array" ref="U11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7" t="str" cm="1">
        <f t="array" ref="V11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7" t="str" cm="1">
        <f t="array" ref="W11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7" t="str">
        <f>IF(COUNTIFS('Base Estudiantes'!$C:$C,tblMatriculas[[#This Row],[Cédula]],'Base Estudiantes'!$I:$I,tblMatriculas[[#This Row],[Código]])&gt;0,"Sí","No")</f>
        <v>Sí</v>
      </c>
      <c r="Z1197" s="23" cm="1">
        <f t="array" ref="Z1197">_xlfn.XLOOKUP(tblMatriculas[[#This Row],[Cédula]]&amp;"|"&amp;tblMatriculas[[#This Row],[Código]],tblBase[Documento]&amp;"|"&amp;tblBase[Código grupo],tblBase[Fecha matrícula],"")</f>
        <v>46263</v>
      </c>
    </row>
    <row r="1198" spans="1:26" x14ac:dyDescent="0.2">
      <c r="A1198" t="s">
        <v>2538</v>
      </c>
      <c r="B1198" t="s">
        <v>2539</v>
      </c>
      <c r="C1198" t="s">
        <v>13</v>
      </c>
      <c r="D1198" t="s">
        <v>2522</v>
      </c>
      <c r="E1198" t="s">
        <v>2523</v>
      </c>
      <c r="F1198" t="s">
        <v>335</v>
      </c>
      <c r="G1198" s="1">
        <v>0.16699999999999998</v>
      </c>
      <c r="H1198" t="s">
        <v>229</v>
      </c>
      <c r="I1198" t="s">
        <v>1580</v>
      </c>
      <c r="J1198" t="s">
        <v>2077</v>
      </c>
      <c r="K1198" t="s">
        <v>24</v>
      </c>
      <c r="L1198" s="14">
        <f>IFERROR(VALUE(LEFT(tblMatriculas[[#This Row],[Clases]],FIND("/",tblMatriculas[[#This Row],[Clases]])-1)),"")</f>
        <v>5</v>
      </c>
      <c r="M1198" s="14">
        <f>IFERROR(VALUE(MID(tblMatriculas[[#This Row],[Clases]],FIND("/",tblMatriculas[[#This Row],[Clases]])+1,5)),"")</f>
        <v>30</v>
      </c>
      <c r="N11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8" s="14">
        <f>IF(OR(tblMatriculas[[#This Row],[Estado]]&lt;&gt;"activa",tblMatriculas[[#This Row],[Clases dictadas]]=""),"",MAX(0,tblMatriculas[[#This Row],[Clases dictadas]]-tblMatriculas[[#This Row],[Asistidas]]))</f>
        <v>0</v>
      </c>
      <c r="P1198" s="1">
        <f>IF(OR(tblMatriculas[[#This Row],[Estado]]&lt;&gt;"activa",tblMatriculas[[#This Row],[Asistidas]]=""),"",tblMatriculas[[#This Row],[Asistencia]])</f>
        <v>0.16699999999999998</v>
      </c>
      <c r="Q1198" t="b">
        <f>AND(tblMatriculas[[#This Row],[Estado]]="activa",ISNUMBER(tblMatriculas[[#This Row],[% asistencia]]),NOT(ISNUMBER(SEARCH(pPrueba,tblMatriculas[[#This Row],[Nombre]]))))</f>
        <v>1</v>
      </c>
      <c r="R11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8" s="23" t="str" cm="1">
        <f t="array" ref="S11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8" s="23" t="str" cm="1">
        <f t="array" ref="T11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8" s="14" t="str" cm="1">
        <f t="array" ref="U11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8" t="str" cm="1">
        <f t="array" ref="V11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8" t="str" cm="1">
        <f t="array" ref="W11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8" t="str">
        <f>IF(COUNTIFS('Base Estudiantes'!$C:$C,tblMatriculas[[#This Row],[Cédula]],'Base Estudiantes'!$I:$I,tblMatriculas[[#This Row],[Código]])&gt;0,"Sí","No")</f>
        <v>Sí</v>
      </c>
      <c r="Z1198" s="23" cm="1">
        <f t="array" ref="Z1198">_xlfn.XLOOKUP(tblMatriculas[[#This Row],[Cédula]]&amp;"|"&amp;tblMatriculas[[#This Row],[Código]],tblBase[Documento]&amp;"|"&amp;tblBase[Código grupo],tblBase[Fecha matrícula],"")</f>
        <v>46263</v>
      </c>
    </row>
    <row r="1199" spans="1:26" x14ac:dyDescent="0.2">
      <c r="A1199" t="s">
        <v>2540</v>
      </c>
      <c r="B1199" t="s">
        <v>2541</v>
      </c>
      <c r="C1199" t="s">
        <v>13</v>
      </c>
      <c r="D1199" t="s">
        <v>2522</v>
      </c>
      <c r="E1199" t="s">
        <v>2523</v>
      </c>
      <c r="F1199" t="s">
        <v>335</v>
      </c>
      <c r="G1199" s="1">
        <v>0.13300000000000001</v>
      </c>
      <c r="H1199" t="s">
        <v>112</v>
      </c>
      <c r="I1199" t="s">
        <v>1580</v>
      </c>
      <c r="J1199" t="s">
        <v>2077</v>
      </c>
      <c r="K1199" t="s">
        <v>24</v>
      </c>
      <c r="L1199" s="14">
        <f>IFERROR(VALUE(LEFT(tblMatriculas[[#This Row],[Clases]],FIND("/",tblMatriculas[[#This Row],[Clases]])-1)),"")</f>
        <v>4</v>
      </c>
      <c r="M1199" s="14">
        <f>IFERROR(VALUE(MID(tblMatriculas[[#This Row],[Clases]],FIND("/",tblMatriculas[[#This Row],[Clases]])+1,5)),"")</f>
        <v>30</v>
      </c>
      <c r="N11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199" s="14">
        <f>IF(OR(tblMatriculas[[#This Row],[Estado]]&lt;&gt;"activa",tblMatriculas[[#This Row],[Clases dictadas]]=""),"",MAX(0,tblMatriculas[[#This Row],[Clases dictadas]]-tblMatriculas[[#This Row],[Asistidas]]))</f>
        <v>1</v>
      </c>
      <c r="P1199" s="1">
        <f>IF(OR(tblMatriculas[[#This Row],[Estado]]&lt;&gt;"activa",tblMatriculas[[#This Row],[Asistidas]]=""),"",tblMatriculas[[#This Row],[Asistencia]])</f>
        <v>0.13300000000000001</v>
      </c>
      <c r="Q1199" t="b">
        <f>AND(tblMatriculas[[#This Row],[Estado]]="activa",ISNUMBER(tblMatriculas[[#This Row],[% asistencia]]),NOT(ISNUMBER(SEARCH(pPrueba,tblMatriculas[[#This Row],[Nombre]]))))</f>
        <v>1</v>
      </c>
      <c r="R11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199" s="23" t="str" cm="1">
        <f t="array" ref="S11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199" s="23" t="str" cm="1">
        <f t="array" ref="T11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199" s="14" t="str" cm="1">
        <f t="array" ref="U11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199" t="str" cm="1">
        <f t="array" ref="V11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199" t="str" cm="1">
        <f t="array" ref="W11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1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199" t="str">
        <f>IF(COUNTIFS('Base Estudiantes'!$C:$C,tblMatriculas[[#This Row],[Cédula]],'Base Estudiantes'!$I:$I,tblMatriculas[[#This Row],[Código]])&gt;0,"Sí","No")</f>
        <v>Sí</v>
      </c>
      <c r="Z1199" s="23" cm="1">
        <f t="array" ref="Z1199">_xlfn.XLOOKUP(tblMatriculas[[#This Row],[Cédula]]&amp;"|"&amp;tblMatriculas[[#This Row],[Código]],tblBase[Documento]&amp;"|"&amp;tblBase[Código grupo],tblBase[Fecha matrícula],"")</f>
        <v>46263</v>
      </c>
    </row>
    <row r="1200" spans="1:26" x14ac:dyDescent="0.2">
      <c r="A1200" t="s">
        <v>2542</v>
      </c>
      <c r="B1200" t="s">
        <v>2543</v>
      </c>
      <c r="C1200" t="s">
        <v>13</v>
      </c>
      <c r="D1200" t="s">
        <v>2522</v>
      </c>
      <c r="E1200" t="s">
        <v>2523</v>
      </c>
      <c r="F1200" t="s">
        <v>335</v>
      </c>
      <c r="G1200" s="1">
        <v>6.7000000000000004E-2</v>
      </c>
      <c r="H1200" t="s">
        <v>166</v>
      </c>
      <c r="I1200" t="s">
        <v>1580</v>
      </c>
      <c r="J1200" t="s">
        <v>2077</v>
      </c>
      <c r="K1200" t="s">
        <v>24</v>
      </c>
      <c r="L1200" s="14">
        <f>IFERROR(VALUE(LEFT(tblMatriculas[[#This Row],[Clases]],FIND("/",tblMatriculas[[#This Row],[Clases]])-1)),"")</f>
        <v>2</v>
      </c>
      <c r="M1200" s="14">
        <f>IFERROR(VALUE(MID(tblMatriculas[[#This Row],[Clases]],FIND("/",tblMatriculas[[#This Row],[Clases]])+1,5)),"")</f>
        <v>30</v>
      </c>
      <c r="N12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0" s="14">
        <f>IF(OR(tblMatriculas[[#This Row],[Estado]]&lt;&gt;"activa",tblMatriculas[[#This Row],[Clases dictadas]]=""),"",MAX(0,tblMatriculas[[#This Row],[Clases dictadas]]-tblMatriculas[[#This Row],[Asistidas]]))</f>
        <v>3</v>
      </c>
      <c r="P1200" s="1">
        <f>IF(OR(tblMatriculas[[#This Row],[Estado]]&lt;&gt;"activa",tblMatriculas[[#This Row],[Asistidas]]=""),"",tblMatriculas[[#This Row],[Asistencia]])</f>
        <v>6.7000000000000004E-2</v>
      </c>
      <c r="Q1200" t="b">
        <f>AND(tblMatriculas[[#This Row],[Estado]]="activa",ISNUMBER(tblMatriculas[[#This Row],[% asistencia]]),NOT(ISNUMBER(SEARCH(pPrueba,tblMatriculas[[#This Row],[Nombre]]))))</f>
        <v>1</v>
      </c>
      <c r="R12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00" s="23" t="str" cm="1">
        <f t="array" ref="S12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0" s="23" t="str" cm="1">
        <f t="array" ref="T12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0" s="14" t="str" cm="1">
        <f t="array" ref="U12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0" t="str" cm="1">
        <f t="array" ref="V12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0" t="str" cm="1">
        <f t="array" ref="W12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00" t="str">
        <f>IF(COUNTIFS('Base Estudiantes'!$C:$C,tblMatriculas[[#This Row],[Cédula]],'Base Estudiantes'!$I:$I,tblMatriculas[[#This Row],[Código]])&gt;0,"Sí","No")</f>
        <v>Sí</v>
      </c>
      <c r="Z1200" s="23" cm="1">
        <f t="array" ref="Z1200">_xlfn.XLOOKUP(tblMatriculas[[#This Row],[Cédula]]&amp;"|"&amp;tblMatriculas[[#This Row],[Código]],tblBase[Documento]&amp;"|"&amp;tblBase[Código grupo],tblBase[Fecha matrícula],"")</f>
        <v>46263</v>
      </c>
    </row>
    <row r="1201" spans="1:26" x14ac:dyDescent="0.2">
      <c r="A1201" t="s">
        <v>2544</v>
      </c>
      <c r="B1201" t="s">
        <v>2545</v>
      </c>
      <c r="C1201" t="s">
        <v>13</v>
      </c>
      <c r="D1201" t="s">
        <v>2522</v>
      </c>
      <c r="E1201" t="s">
        <v>2523</v>
      </c>
      <c r="F1201" t="s">
        <v>335</v>
      </c>
      <c r="G1201" s="1">
        <v>0.16699999999999998</v>
      </c>
      <c r="H1201" t="s">
        <v>229</v>
      </c>
      <c r="I1201" t="s">
        <v>1580</v>
      </c>
      <c r="J1201" t="s">
        <v>2077</v>
      </c>
      <c r="K1201" t="s">
        <v>24</v>
      </c>
      <c r="L1201" s="14">
        <f>IFERROR(VALUE(LEFT(tblMatriculas[[#This Row],[Clases]],FIND("/",tblMatriculas[[#This Row],[Clases]])-1)),"")</f>
        <v>5</v>
      </c>
      <c r="M1201" s="14">
        <f>IFERROR(VALUE(MID(tblMatriculas[[#This Row],[Clases]],FIND("/",tblMatriculas[[#This Row],[Clases]])+1,5)),"")</f>
        <v>30</v>
      </c>
      <c r="N12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1" s="14">
        <f>IF(OR(tblMatriculas[[#This Row],[Estado]]&lt;&gt;"activa",tblMatriculas[[#This Row],[Clases dictadas]]=""),"",MAX(0,tblMatriculas[[#This Row],[Clases dictadas]]-tblMatriculas[[#This Row],[Asistidas]]))</f>
        <v>0</v>
      </c>
      <c r="P1201" s="1">
        <f>IF(OR(tblMatriculas[[#This Row],[Estado]]&lt;&gt;"activa",tblMatriculas[[#This Row],[Asistidas]]=""),"",tblMatriculas[[#This Row],[Asistencia]])</f>
        <v>0.16699999999999998</v>
      </c>
      <c r="Q1201" t="b">
        <f>AND(tblMatriculas[[#This Row],[Estado]]="activa",ISNUMBER(tblMatriculas[[#This Row],[% asistencia]]),NOT(ISNUMBER(SEARCH(pPrueba,tblMatriculas[[#This Row],[Nombre]]))))</f>
        <v>1</v>
      </c>
      <c r="R12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1" s="23" t="str" cm="1">
        <f t="array" ref="S12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1" s="23" t="str" cm="1">
        <f t="array" ref="T12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1" s="14" t="str" cm="1">
        <f t="array" ref="U12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1" t="str" cm="1">
        <f t="array" ref="V12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1" t="str" cm="1">
        <f t="array" ref="W12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1" t="str">
        <f>IF(COUNTIFS('Base Estudiantes'!$C:$C,tblMatriculas[[#This Row],[Cédula]],'Base Estudiantes'!$I:$I,tblMatriculas[[#This Row],[Código]])&gt;0,"Sí","No")</f>
        <v>Sí</v>
      </c>
      <c r="Z1201" s="23" cm="1">
        <f t="array" ref="Z1201">_xlfn.XLOOKUP(tblMatriculas[[#This Row],[Cédula]]&amp;"|"&amp;tblMatriculas[[#This Row],[Código]],tblBase[Documento]&amp;"|"&amp;tblBase[Código grupo],tblBase[Fecha matrícula],"")</f>
        <v>46263</v>
      </c>
    </row>
    <row r="1202" spans="1:26" x14ac:dyDescent="0.2">
      <c r="A1202" t="s">
        <v>2546</v>
      </c>
      <c r="B1202" t="s">
        <v>2547</v>
      </c>
      <c r="C1202" t="s">
        <v>13</v>
      </c>
      <c r="D1202" t="s">
        <v>2522</v>
      </c>
      <c r="E1202" t="s">
        <v>2523</v>
      </c>
      <c r="F1202" t="s">
        <v>335</v>
      </c>
      <c r="G1202" s="1">
        <v>0.16699999999999998</v>
      </c>
      <c r="H1202" t="s">
        <v>229</v>
      </c>
      <c r="I1202" t="s">
        <v>1580</v>
      </c>
      <c r="J1202" t="s">
        <v>2077</v>
      </c>
      <c r="K1202" t="s">
        <v>24</v>
      </c>
      <c r="L1202" s="14">
        <f>IFERROR(VALUE(LEFT(tblMatriculas[[#This Row],[Clases]],FIND("/",tblMatriculas[[#This Row],[Clases]])-1)),"")</f>
        <v>5</v>
      </c>
      <c r="M1202" s="14">
        <f>IFERROR(VALUE(MID(tblMatriculas[[#This Row],[Clases]],FIND("/",tblMatriculas[[#This Row],[Clases]])+1,5)),"")</f>
        <v>30</v>
      </c>
      <c r="N12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2" s="14">
        <f>IF(OR(tblMatriculas[[#This Row],[Estado]]&lt;&gt;"activa",tblMatriculas[[#This Row],[Clases dictadas]]=""),"",MAX(0,tblMatriculas[[#This Row],[Clases dictadas]]-tblMatriculas[[#This Row],[Asistidas]]))</f>
        <v>0</v>
      </c>
      <c r="P1202" s="1">
        <f>IF(OR(tblMatriculas[[#This Row],[Estado]]&lt;&gt;"activa",tblMatriculas[[#This Row],[Asistidas]]=""),"",tblMatriculas[[#This Row],[Asistencia]])</f>
        <v>0.16699999999999998</v>
      </c>
      <c r="Q1202" t="b">
        <f>AND(tblMatriculas[[#This Row],[Estado]]="activa",ISNUMBER(tblMatriculas[[#This Row],[% asistencia]]),NOT(ISNUMBER(SEARCH(pPrueba,tblMatriculas[[#This Row],[Nombre]]))))</f>
        <v>1</v>
      </c>
      <c r="R12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2" s="23" t="str" cm="1">
        <f t="array" ref="S12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2" s="23" t="str" cm="1">
        <f t="array" ref="T12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2" s="14" t="str" cm="1">
        <f t="array" ref="U12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2" t="str" cm="1">
        <f t="array" ref="V12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2" t="str" cm="1">
        <f t="array" ref="W12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2" t="str">
        <f>IF(COUNTIFS('Base Estudiantes'!$C:$C,tblMatriculas[[#This Row],[Cédula]],'Base Estudiantes'!$I:$I,tblMatriculas[[#This Row],[Código]])&gt;0,"Sí","No")</f>
        <v>Sí</v>
      </c>
      <c r="Z1202" s="23" cm="1">
        <f t="array" ref="Z1202">_xlfn.XLOOKUP(tblMatriculas[[#This Row],[Cédula]]&amp;"|"&amp;tblMatriculas[[#This Row],[Código]],tblBase[Documento]&amp;"|"&amp;tblBase[Código grupo],tblBase[Fecha matrícula],"")</f>
        <v>46263</v>
      </c>
    </row>
    <row r="1203" spans="1:26" x14ac:dyDescent="0.2">
      <c r="A1203" t="s">
        <v>2548</v>
      </c>
      <c r="B1203" t="s">
        <v>2549</v>
      </c>
      <c r="C1203" t="s">
        <v>13</v>
      </c>
      <c r="D1203" t="s">
        <v>2522</v>
      </c>
      <c r="E1203" t="s">
        <v>2523</v>
      </c>
      <c r="F1203" t="s">
        <v>335</v>
      </c>
      <c r="G1203" s="1">
        <v>0.1</v>
      </c>
      <c r="H1203" t="s">
        <v>117</v>
      </c>
      <c r="I1203" t="s">
        <v>1580</v>
      </c>
      <c r="J1203" t="s">
        <v>2077</v>
      </c>
      <c r="K1203" t="s">
        <v>24</v>
      </c>
      <c r="L1203" s="14">
        <f>IFERROR(VALUE(LEFT(tblMatriculas[[#This Row],[Clases]],FIND("/",tblMatriculas[[#This Row],[Clases]])-1)),"")</f>
        <v>3</v>
      </c>
      <c r="M1203" s="14">
        <f>IFERROR(VALUE(MID(tblMatriculas[[#This Row],[Clases]],FIND("/",tblMatriculas[[#This Row],[Clases]])+1,5)),"")</f>
        <v>30</v>
      </c>
      <c r="N12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3" s="14">
        <f>IF(OR(tblMatriculas[[#This Row],[Estado]]&lt;&gt;"activa",tblMatriculas[[#This Row],[Clases dictadas]]=""),"",MAX(0,tblMatriculas[[#This Row],[Clases dictadas]]-tblMatriculas[[#This Row],[Asistidas]]))</f>
        <v>2</v>
      </c>
      <c r="P1203" s="1">
        <f>IF(OR(tblMatriculas[[#This Row],[Estado]]&lt;&gt;"activa",tblMatriculas[[#This Row],[Asistidas]]=""),"",tblMatriculas[[#This Row],[Asistencia]])</f>
        <v>0.1</v>
      </c>
      <c r="Q1203" t="b">
        <f>AND(tblMatriculas[[#This Row],[Estado]]="activa",ISNUMBER(tblMatriculas[[#This Row],[% asistencia]]),NOT(ISNUMBER(SEARCH(pPrueba,tblMatriculas[[#This Row],[Nombre]]))))</f>
        <v>1</v>
      </c>
      <c r="R12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3" s="23" t="str" cm="1">
        <f t="array" ref="S12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3" s="23" t="str" cm="1">
        <f t="array" ref="T12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3" s="14" t="str" cm="1">
        <f t="array" ref="U12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3" t="str" cm="1">
        <f t="array" ref="V12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3" t="str" cm="1">
        <f t="array" ref="W12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3" t="str">
        <f>IF(COUNTIFS('Base Estudiantes'!$C:$C,tblMatriculas[[#This Row],[Cédula]],'Base Estudiantes'!$I:$I,tblMatriculas[[#This Row],[Código]])&gt;0,"Sí","No")</f>
        <v>Sí</v>
      </c>
      <c r="Z1203" s="23" cm="1">
        <f t="array" ref="Z1203">_xlfn.XLOOKUP(tblMatriculas[[#This Row],[Cédula]]&amp;"|"&amp;tblMatriculas[[#This Row],[Código]],tblBase[Documento]&amp;"|"&amp;tblBase[Código grupo],tblBase[Fecha matrícula],"")</f>
        <v>46263</v>
      </c>
    </row>
    <row r="1204" spans="1:26" x14ac:dyDescent="0.2">
      <c r="A1204" t="s">
        <v>2550</v>
      </c>
      <c r="B1204" t="s">
        <v>2551</v>
      </c>
      <c r="C1204" t="s">
        <v>13</v>
      </c>
      <c r="D1204" t="s">
        <v>2522</v>
      </c>
      <c r="E1204" t="s">
        <v>2523</v>
      </c>
      <c r="F1204" t="s">
        <v>335</v>
      </c>
      <c r="G1204" s="1">
        <v>0</v>
      </c>
      <c r="H1204" t="s">
        <v>254</v>
      </c>
      <c r="I1204" t="s">
        <v>1580</v>
      </c>
      <c r="J1204" t="s">
        <v>2077</v>
      </c>
      <c r="K1204" t="s">
        <v>24</v>
      </c>
      <c r="L1204" s="14">
        <f>IFERROR(VALUE(LEFT(tblMatriculas[[#This Row],[Clases]],FIND("/",tblMatriculas[[#This Row],[Clases]])-1)),"")</f>
        <v>0</v>
      </c>
      <c r="M1204" s="14">
        <f>IFERROR(VALUE(MID(tblMatriculas[[#This Row],[Clases]],FIND("/",tblMatriculas[[#This Row],[Clases]])+1,5)),"")</f>
        <v>30</v>
      </c>
      <c r="N12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4" s="14">
        <f>IF(OR(tblMatriculas[[#This Row],[Estado]]&lt;&gt;"activa",tblMatriculas[[#This Row],[Clases dictadas]]=""),"",MAX(0,tblMatriculas[[#This Row],[Clases dictadas]]-tblMatriculas[[#This Row],[Asistidas]]))</f>
        <v>5</v>
      </c>
      <c r="P1204" s="1">
        <f>IF(OR(tblMatriculas[[#This Row],[Estado]]&lt;&gt;"activa",tblMatriculas[[#This Row],[Asistidas]]=""),"",tblMatriculas[[#This Row],[Asistencia]])</f>
        <v>0</v>
      </c>
      <c r="Q1204" t="b">
        <f>AND(tblMatriculas[[#This Row],[Estado]]="activa",ISNUMBER(tblMatriculas[[#This Row],[% asistencia]]),NOT(ISNUMBER(SEARCH(pPrueba,tblMatriculas[[#This Row],[Nombre]]))))</f>
        <v>1</v>
      </c>
      <c r="R12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04" s="23" t="str" cm="1">
        <f t="array" ref="S12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4" s="23" t="str" cm="1">
        <f t="array" ref="T12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4" s="14" t="str" cm="1">
        <f t="array" ref="U12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4" t="str" cm="1">
        <f t="array" ref="V12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4" t="str" cm="1">
        <f t="array" ref="W12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04" t="str">
        <f>IF(COUNTIFS('Base Estudiantes'!$C:$C,tblMatriculas[[#This Row],[Cédula]],'Base Estudiantes'!$I:$I,tblMatriculas[[#This Row],[Código]])&gt;0,"Sí","No")</f>
        <v>Sí</v>
      </c>
      <c r="Z1204" s="23" cm="1">
        <f t="array" ref="Z1204">_xlfn.XLOOKUP(tblMatriculas[[#This Row],[Cédula]]&amp;"|"&amp;tblMatriculas[[#This Row],[Código]],tblBase[Documento]&amp;"|"&amp;tblBase[Código grupo],tblBase[Fecha matrícula],"")</f>
        <v>46263</v>
      </c>
    </row>
    <row r="1205" spans="1:26" x14ac:dyDescent="0.2">
      <c r="A1205" t="s">
        <v>2552</v>
      </c>
      <c r="B1205" t="s">
        <v>2553</v>
      </c>
      <c r="C1205" t="s">
        <v>13</v>
      </c>
      <c r="D1205" t="s">
        <v>2522</v>
      </c>
      <c r="E1205" t="s">
        <v>2523</v>
      </c>
      <c r="F1205" t="s">
        <v>335</v>
      </c>
      <c r="G1205" s="1">
        <v>0</v>
      </c>
      <c r="H1205" t="s">
        <v>254</v>
      </c>
      <c r="I1205" t="s">
        <v>1580</v>
      </c>
      <c r="J1205" t="s">
        <v>2077</v>
      </c>
      <c r="K1205" t="s">
        <v>24</v>
      </c>
      <c r="L1205" s="14">
        <f>IFERROR(VALUE(LEFT(tblMatriculas[[#This Row],[Clases]],FIND("/",tblMatriculas[[#This Row],[Clases]])-1)),"")</f>
        <v>0</v>
      </c>
      <c r="M1205" s="14">
        <f>IFERROR(VALUE(MID(tblMatriculas[[#This Row],[Clases]],FIND("/",tblMatriculas[[#This Row],[Clases]])+1,5)),"")</f>
        <v>30</v>
      </c>
      <c r="N12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5" s="14">
        <f>IF(OR(tblMatriculas[[#This Row],[Estado]]&lt;&gt;"activa",tblMatriculas[[#This Row],[Clases dictadas]]=""),"",MAX(0,tblMatriculas[[#This Row],[Clases dictadas]]-tblMatriculas[[#This Row],[Asistidas]]))</f>
        <v>5</v>
      </c>
      <c r="P1205" s="1">
        <f>IF(OR(tblMatriculas[[#This Row],[Estado]]&lt;&gt;"activa",tblMatriculas[[#This Row],[Asistidas]]=""),"",tblMatriculas[[#This Row],[Asistencia]])</f>
        <v>0</v>
      </c>
      <c r="Q1205" t="b">
        <f>AND(tblMatriculas[[#This Row],[Estado]]="activa",ISNUMBER(tblMatriculas[[#This Row],[% asistencia]]),NOT(ISNUMBER(SEARCH(pPrueba,tblMatriculas[[#This Row],[Nombre]]))))</f>
        <v>1</v>
      </c>
      <c r="R12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05" s="23" t="str" cm="1">
        <f t="array" ref="S12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5" s="23" t="str" cm="1">
        <f t="array" ref="T12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5" s="14" t="str" cm="1">
        <f t="array" ref="U12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5" t="str" cm="1">
        <f t="array" ref="V12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5" t="str" cm="1">
        <f t="array" ref="W12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05" t="str">
        <f>IF(COUNTIFS('Base Estudiantes'!$C:$C,tblMatriculas[[#This Row],[Cédula]],'Base Estudiantes'!$I:$I,tblMatriculas[[#This Row],[Código]])&gt;0,"Sí","No")</f>
        <v>Sí</v>
      </c>
      <c r="Z1205" s="23" cm="1">
        <f t="array" ref="Z1205">_xlfn.XLOOKUP(tblMatriculas[[#This Row],[Cédula]]&amp;"|"&amp;tblMatriculas[[#This Row],[Código]],tblBase[Documento]&amp;"|"&amp;tblBase[Código grupo],tblBase[Fecha matrícula],"")</f>
        <v>46263</v>
      </c>
    </row>
    <row r="1206" spans="1:26" x14ac:dyDescent="0.2">
      <c r="A1206" t="s">
        <v>2554</v>
      </c>
      <c r="B1206" t="s">
        <v>2555</v>
      </c>
      <c r="C1206" t="s">
        <v>13</v>
      </c>
      <c r="D1206" t="s">
        <v>2522</v>
      </c>
      <c r="E1206" t="s">
        <v>2523</v>
      </c>
      <c r="F1206" t="s">
        <v>335</v>
      </c>
      <c r="G1206" s="1">
        <v>0.16699999999999998</v>
      </c>
      <c r="H1206" t="s">
        <v>229</v>
      </c>
      <c r="I1206" t="s">
        <v>1580</v>
      </c>
      <c r="J1206" t="s">
        <v>2077</v>
      </c>
      <c r="K1206" t="s">
        <v>24</v>
      </c>
      <c r="L1206" s="14">
        <f>IFERROR(VALUE(LEFT(tblMatriculas[[#This Row],[Clases]],FIND("/",tblMatriculas[[#This Row],[Clases]])-1)),"")</f>
        <v>5</v>
      </c>
      <c r="M1206" s="14">
        <f>IFERROR(VALUE(MID(tblMatriculas[[#This Row],[Clases]],FIND("/",tblMatriculas[[#This Row],[Clases]])+1,5)),"")</f>
        <v>30</v>
      </c>
      <c r="N12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6" s="14">
        <f>IF(OR(tblMatriculas[[#This Row],[Estado]]&lt;&gt;"activa",tblMatriculas[[#This Row],[Clases dictadas]]=""),"",MAX(0,tblMatriculas[[#This Row],[Clases dictadas]]-tblMatriculas[[#This Row],[Asistidas]]))</f>
        <v>0</v>
      </c>
      <c r="P1206" s="1">
        <f>IF(OR(tblMatriculas[[#This Row],[Estado]]&lt;&gt;"activa",tblMatriculas[[#This Row],[Asistidas]]=""),"",tblMatriculas[[#This Row],[Asistencia]])</f>
        <v>0.16699999999999998</v>
      </c>
      <c r="Q1206" t="b">
        <f>AND(tblMatriculas[[#This Row],[Estado]]="activa",ISNUMBER(tblMatriculas[[#This Row],[% asistencia]]),NOT(ISNUMBER(SEARCH(pPrueba,tblMatriculas[[#This Row],[Nombre]]))))</f>
        <v>1</v>
      </c>
      <c r="R12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6" s="23" t="str" cm="1">
        <f t="array" ref="S12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6" s="23" t="str" cm="1">
        <f t="array" ref="T12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6" s="14" t="str" cm="1">
        <f t="array" ref="U12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6" t="str" cm="1">
        <f t="array" ref="V12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6" t="str" cm="1">
        <f t="array" ref="W12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6" t="str">
        <f>IF(COUNTIFS('Base Estudiantes'!$C:$C,tblMatriculas[[#This Row],[Cédula]],'Base Estudiantes'!$I:$I,tblMatriculas[[#This Row],[Código]])&gt;0,"Sí","No")</f>
        <v>Sí</v>
      </c>
      <c r="Z1206" s="23" cm="1">
        <f t="array" ref="Z1206">_xlfn.XLOOKUP(tblMatriculas[[#This Row],[Cédula]]&amp;"|"&amp;tblMatriculas[[#This Row],[Código]],tblBase[Documento]&amp;"|"&amp;tblBase[Código grupo],tblBase[Fecha matrícula],"")</f>
        <v>46263</v>
      </c>
    </row>
    <row r="1207" spans="1:26" x14ac:dyDescent="0.2">
      <c r="A1207" t="s">
        <v>2556</v>
      </c>
      <c r="B1207" t="s">
        <v>2557</v>
      </c>
      <c r="C1207" t="s">
        <v>13</v>
      </c>
      <c r="D1207" t="s">
        <v>2522</v>
      </c>
      <c r="E1207" t="s">
        <v>2523</v>
      </c>
      <c r="F1207" t="s">
        <v>335</v>
      </c>
      <c r="G1207" s="1">
        <v>0.16699999999999998</v>
      </c>
      <c r="H1207" t="s">
        <v>229</v>
      </c>
      <c r="I1207" t="s">
        <v>1580</v>
      </c>
      <c r="J1207" t="s">
        <v>2077</v>
      </c>
      <c r="K1207" t="s">
        <v>24</v>
      </c>
      <c r="L1207" s="14">
        <f>IFERROR(VALUE(LEFT(tblMatriculas[[#This Row],[Clases]],FIND("/",tblMatriculas[[#This Row],[Clases]])-1)),"")</f>
        <v>5</v>
      </c>
      <c r="M1207" s="14">
        <f>IFERROR(VALUE(MID(tblMatriculas[[#This Row],[Clases]],FIND("/",tblMatriculas[[#This Row],[Clases]])+1,5)),"")</f>
        <v>30</v>
      </c>
      <c r="N12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7" s="14">
        <f>IF(OR(tblMatriculas[[#This Row],[Estado]]&lt;&gt;"activa",tblMatriculas[[#This Row],[Clases dictadas]]=""),"",MAX(0,tblMatriculas[[#This Row],[Clases dictadas]]-tblMatriculas[[#This Row],[Asistidas]]))</f>
        <v>0</v>
      </c>
      <c r="P1207" s="1">
        <f>IF(OR(tblMatriculas[[#This Row],[Estado]]&lt;&gt;"activa",tblMatriculas[[#This Row],[Asistidas]]=""),"",tblMatriculas[[#This Row],[Asistencia]])</f>
        <v>0.16699999999999998</v>
      </c>
      <c r="Q1207" t="b">
        <f>AND(tblMatriculas[[#This Row],[Estado]]="activa",ISNUMBER(tblMatriculas[[#This Row],[% asistencia]]),NOT(ISNUMBER(SEARCH(pPrueba,tblMatriculas[[#This Row],[Nombre]]))))</f>
        <v>1</v>
      </c>
      <c r="R12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7" s="23" t="str" cm="1">
        <f t="array" ref="S12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7" s="23" t="str" cm="1">
        <f t="array" ref="T12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7" s="14" t="str" cm="1">
        <f t="array" ref="U12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7" t="str" cm="1">
        <f t="array" ref="V12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7" t="str" cm="1">
        <f t="array" ref="W12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7" t="str">
        <f>IF(COUNTIFS('Base Estudiantes'!$C:$C,tblMatriculas[[#This Row],[Cédula]],'Base Estudiantes'!$I:$I,tblMatriculas[[#This Row],[Código]])&gt;0,"Sí","No")</f>
        <v>Sí</v>
      </c>
      <c r="Z1207" s="23" cm="1">
        <f t="array" ref="Z1207">_xlfn.XLOOKUP(tblMatriculas[[#This Row],[Cédula]]&amp;"|"&amp;tblMatriculas[[#This Row],[Código]],tblBase[Documento]&amp;"|"&amp;tblBase[Código grupo],tblBase[Fecha matrícula],"")</f>
        <v>46263</v>
      </c>
    </row>
    <row r="1208" spans="1:26" x14ac:dyDescent="0.2">
      <c r="A1208" t="s">
        <v>2558</v>
      </c>
      <c r="B1208" t="s">
        <v>2559</v>
      </c>
      <c r="C1208" t="s">
        <v>13</v>
      </c>
      <c r="D1208" t="s">
        <v>2522</v>
      </c>
      <c r="E1208" t="s">
        <v>2523</v>
      </c>
      <c r="F1208" t="s">
        <v>335</v>
      </c>
      <c r="G1208" s="1">
        <v>0.13300000000000001</v>
      </c>
      <c r="H1208" t="s">
        <v>112</v>
      </c>
      <c r="I1208" t="s">
        <v>1580</v>
      </c>
      <c r="J1208" t="s">
        <v>2077</v>
      </c>
      <c r="K1208" t="s">
        <v>24</v>
      </c>
      <c r="L1208" s="14">
        <f>IFERROR(VALUE(LEFT(tblMatriculas[[#This Row],[Clases]],FIND("/",tblMatriculas[[#This Row],[Clases]])-1)),"")</f>
        <v>4</v>
      </c>
      <c r="M1208" s="14">
        <f>IFERROR(VALUE(MID(tblMatriculas[[#This Row],[Clases]],FIND("/",tblMatriculas[[#This Row],[Clases]])+1,5)),"")</f>
        <v>30</v>
      </c>
      <c r="N12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8" s="14">
        <f>IF(OR(tblMatriculas[[#This Row],[Estado]]&lt;&gt;"activa",tblMatriculas[[#This Row],[Clases dictadas]]=""),"",MAX(0,tblMatriculas[[#This Row],[Clases dictadas]]-tblMatriculas[[#This Row],[Asistidas]]))</f>
        <v>1</v>
      </c>
      <c r="P1208" s="1">
        <f>IF(OR(tblMatriculas[[#This Row],[Estado]]&lt;&gt;"activa",tblMatriculas[[#This Row],[Asistidas]]=""),"",tblMatriculas[[#This Row],[Asistencia]])</f>
        <v>0.13300000000000001</v>
      </c>
      <c r="Q1208" t="b">
        <f>AND(tblMatriculas[[#This Row],[Estado]]="activa",ISNUMBER(tblMatriculas[[#This Row],[% asistencia]]),NOT(ISNUMBER(SEARCH(pPrueba,tblMatriculas[[#This Row],[Nombre]]))))</f>
        <v>1</v>
      </c>
      <c r="R12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8" s="23" t="str" cm="1">
        <f t="array" ref="S12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8" s="23" t="str" cm="1">
        <f t="array" ref="T12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8" s="14" t="str" cm="1">
        <f t="array" ref="U12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8" t="str" cm="1">
        <f t="array" ref="V12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8" t="str" cm="1">
        <f t="array" ref="W12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8" t="str">
        <f>IF(COUNTIFS('Base Estudiantes'!$C:$C,tblMatriculas[[#This Row],[Cédula]],'Base Estudiantes'!$I:$I,tblMatriculas[[#This Row],[Código]])&gt;0,"Sí","No")</f>
        <v>Sí</v>
      </c>
      <c r="Z1208" s="23" cm="1">
        <f t="array" ref="Z1208">_xlfn.XLOOKUP(tblMatriculas[[#This Row],[Cédula]]&amp;"|"&amp;tblMatriculas[[#This Row],[Código]],tblBase[Documento]&amp;"|"&amp;tblBase[Código grupo],tblBase[Fecha matrícula],"")</f>
        <v>46263</v>
      </c>
    </row>
    <row r="1209" spans="1:26" x14ac:dyDescent="0.2">
      <c r="A1209" t="s">
        <v>2560</v>
      </c>
      <c r="B1209" t="s">
        <v>2561</v>
      </c>
      <c r="C1209" t="s">
        <v>13</v>
      </c>
      <c r="D1209" t="s">
        <v>2522</v>
      </c>
      <c r="E1209" t="s">
        <v>2523</v>
      </c>
      <c r="F1209" t="s">
        <v>335</v>
      </c>
      <c r="G1209" s="1">
        <v>0.16699999999999998</v>
      </c>
      <c r="H1209" t="s">
        <v>229</v>
      </c>
      <c r="I1209" t="s">
        <v>1580</v>
      </c>
      <c r="J1209" t="s">
        <v>2077</v>
      </c>
      <c r="K1209" t="s">
        <v>24</v>
      </c>
      <c r="L1209" s="14">
        <f>IFERROR(VALUE(LEFT(tblMatriculas[[#This Row],[Clases]],FIND("/",tblMatriculas[[#This Row],[Clases]])-1)),"")</f>
        <v>5</v>
      </c>
      <c r="M1209" s="14">
        <f>IFERROR(VALUE(MID(tblMatriculas[[#This Row],[Clases]],FIND("/",tblMatriculas[[#This Row],[Clases]])+1,5)),"")</f>
        <v>30</v>
      </c>
      <c r="N12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09" s="14">
        <f>IF(OR(tblMatriculas[[#This Row],[Estado]]&lt;&gt;"activa",tblMatriculas[[#This Row],[Clases dictadas]]=""),"",MAX(0,tblMatriculas[[#This Row],[Clases dictadas]]-tblMatriculas[[#This Row],[Asistidas]]))</f>
        <v>0</v>
      </c>
      <c r="P1209" s="1">
        <f>IF(OR(tblMatriculas[[#This Row],[Estado]]&lt;&gt;"activa",tblMatriculas[[#This Row],[Asistidas]]=""),"",tblMatriculas[[#This Row],[Asistencia]])</f>
        <v>0.16699999999999998</v>
      </c>
      <c r="Q1209" t="b">
        <f>AND(tblMatriculas[[#This Row],[Estado]]="activa",ISNUMBER(tblMatriculas[[#This Row],[% asistencia]]),NOT(ISNUMBER(SEARCH(pPrueba,tblMatriculas[[#This Row],[Nombre]]))))</f>
        <v>1</v>
      </c>
      <c r="R12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09" s="23" t="str" cm="1">
        <f t="array" ref="S12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09" s="23" t="str" cm="1">
        <f t="array" ref="T12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09" s="14" t="str" cm="1">
        <f t="array" ref="U12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09" t="str" cm="1">
        <f t="array" ref="V12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09" t="str" cm="1">
        <f t="array" ref="W12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09" t="str">
        <f>IF(COUNTIFS('Base Estudiantes'!$C:$C,tblMatriculas[[#This Row],[Cédula]],'Base Estudiantes'!$I:$I,tblMatriculas[[#This Row],[Código]])&gt;0,"Sí","No")</f>
        <v>Sí</v>
      </c>
      <c r="Z1209" s="23" cm="1">
        <f t="array" ref="Z1209">_xlfn.XLOOKUP(tblMatriculas[[#This Row],[Cédula]]&amp;"|"&amp;tblMatriculas[[#This Row],[Código]],tblBase[Documento]&amp;"|"&amp;tblBase[Código grupo],tblBase[Fecha matrícula],"")</f>
        <v>46263</v>
      </c>
    </row>
    <row r="1210" spans="1:26" x14ac:dyDescent="0.2">
      <c r="A1210" t="s">
        <v>2562</v>
      </c>
      <c r="B1210" t="s">
        <v>2563</v>
      </c>
      <c r="C1210" t="s">
        <v>13</v>
      </c>
      <c r="D1210" t="s">
        <v>2522</v>
      </c>
      <c r="E1210" t="s">
        <v>2523</v>
      </c>
      <c r="F1210" t="s">
        <v>335</v>
      </c>
      <c r="G1210" s="1">
        <v>0.16699999999999998</v>
      </c>
      <c r="H1210" t="s">
        <v>229</v>
      </c>
      <c r="I1210" t="s">
        <v>1580</v>
      </c>
      <c r="J1210" t="s">
        <v>2077</v>
      </c>
      <c r="K1210" t="s">
        <v>24</v>
      </c>
      <c r="L1210" s="14">
        <f>IFERROR(VALUE(LEFT(tblMatriculas[[#This Row],[Clases]],FIND("/",tblMatriculas[[#This Row],[Clases]])-1)),"")</f>
        <v>5</v>
      </c>
      <c r="M1210" s="14">
        <f>IFERROR(VALUE(MID(tblMatriculas[[#This Row],[Clases]],FIND("/",tblMatriculas[[#This Row],[Clases]])+1,5)),"")</f>
        <v>30</v>
      </c>
      <c r="N12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0" s="14">
        <f>IF(OR(tblMatriculas[[#This Row],[Estado]]&lt;&gt;"activa",tblMatriculas[[#This Row],[Clases dictadas]]=""),"",MAX(0,tblMatriculas[[#This Row],[Clases dictadas]]-tblMatriculas[[#This Row],[Asistidas]]))</f>
        <v>0</v>
      </c>
      <c r="P1210" s="1">
        <f>IF(OR(tblMatriculas[[#This Row],[Estado]]&lt;&gt;"activa",tblMatriculas[[#This Row],[Asistidas]]=""),"",tblMatriculas[[#This Row],[Asistencia]])</f>
        <v>0.16699999999999998</v>
      </c>
      <c r="Q1210" t="b">
        <f>AND(tblMatriculas[[#This Row],[Estado]]="activa",ISNUMBER(tblMatriculas[[#This Row],[% asistencia]]),NOT(ISNUMBER(SEARCH(pPrueba,tblMatriculas[[#This Row],[Nombre]]))))</f>
        <v>1</v>
      </c>
      <c r="R12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0" s="23" t="str" cm="1">
        <f t="array" ref="S12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0" s="23" t="str" cm="1">
        <f t="array" ref="T12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0" s="14" t="str" cm="1">
        <f t="array" ref="U12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0" t="str" cm="1">
        <f t="array" ref="V12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0" t="str" cm="1">
        <f t="array" ref="W12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0" t="str">
        <f>IF(COUNTIFS('Base Estudiantes'!$C:$C,tblMatriculas[[#This Row],[Cédula]],'Base Estudiantes'!$I:$I,tblMatriculas[[#This Row],[Código]])&gt;0,"Sí","No")</f>
        <v>Sí</v>
      </c>
      <c r="Z1210" s="23" cm="1">
        <f t="array" ref="Z1210">_xlfn.XLOOKUP(tblMatriculas[[#This Row],[Cédula]]&amp;"|"&amp;tblMatriculas[[#This Row],[Código]],tblBase[Documento]&amp;"|"&amp;tblBase[Código grupo],tblBase[Fecha matrícula],"")</f>
        <v>46263</v>
      </c>
    </row>
    <row r="1211" spans="1:26" x14ac:dyDescent="0.2">
      <c r="A1211" t="s">
        <v>2068</v>
      </c>
      <c r="B1211" t="s">
        <v>2069</v>
      </c>
      <c r="C1211" t="s">
        <v>49</v>
      </c>
      <c r="D1211" t="s">
        <v>2522</v>
      </c>
      <c r="E1211" t="s">
        <v>2523</v>
      </c>
      <c r="F1211" t="s">
        <v>335</v>
      </c>
      <c r="G1211" s="1">
        <v>8.3000000000000004E-2</v>
      </c>
      <c r="H1211" t="s">
        <v>1867</v>
      </c>
      <c r="I1211" t="s">
        <v>1580</v>
      </c>
      <c r="J1211" t="s">
        <v>2077</v>
      </c>
      <c r="K1211" t="s">
        <v>24</v>
      </c>
      <c r="L1211" s="14">
        <f>IFERROR(VALUE(LEFT(tblMatriculas[[#This Row],[Clases]],FIND("/",tblMatriculas[[#This Row],[Clases]])-1)),"")</f>
        <v>5</v>
      </c>
      <c r="M1211" s="14">
        <f>IFERROR(VALUE(MID(tblMatriculas[[#This Row],[Clases]],FIND("/",tblMatriculas[[#This Row],[Clases]])+1,5)),"")</f>
        <v>60</v>
      </c>
      <c r="N12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211" s="14" t="str">
        <f>IF(OR(tblMatriculas[[#This Row],[Estado]]&lt;&gt;"activa",tblMatriculas[[#This Row],[Clases dictadas]]=""),"",MAX(0,tblMatriculas[[#This Row],[Clases dictadas]]-tblMatriculas[[#This Row],[Asistidas]]))</f>
        <v/>
      </c>
      <c r="P1211" s="1" t="str">
        <f>IF(OR(tblMatriculas[[#This Row],[Estado]]&lt;&gt;"activa",tblMatriculas[[#This Row],[Asistidas]]=""),"",tblMatriculas[[#This Row],[Asistencia]])</f>
        <v/>
      </c>
      <c r="Q1211" t="b">
        <f>AND(tblMatriculas[[#This Row],[Estado]]="activa",ISNUMBER(tblMatriculas[[#This Row],[% asistencia]]),NOT(ISNUMBER(SEARCH(pPrueba,tblMatriculas[[#This Row],[Nombre]]))))</f>
        <v>0</v>
      </c>
      <c r="R12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211" s="23" t="str" cm="1">
        <f t="array" ref="S12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1" s="23" t="str" cm="1">
        <f t="array" ref="T12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1" s="14" t="str" cm="1">
        <f t="array" ref="U12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1" t="str" cm="1">
        <f t="array" ref="V12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1" t="str" cm="1">
        <f t="array" ref="W12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1" t="str">
        <f>IF(COUNTIFS('Base Estudiantes'!$C:$C,tblMatriculas[[#This Row],[Cédula]],'Base Estudiantes'!$I:$I,tblMatriculas[[#This Row],[Código]])&gt;0,"Sí","No")</f>
        <v>No</v>
      </c>
      <c r="Z1211" s="23" t="str" cm="1">
        <f t="array" ref="Z1211">_xlfn.XLOOKUP(tblMatriculas[[#This Row],[Cédula]]&amp;"|"&amp;tblMatriculas[[#This Row],[Código]],tblBase[Documento]&amp;"|"&amp;tblBase[Código grupo],tblBase[Fecha matrícula],"")</f>
        <v/>
      </c>
    </row>
    <row r="1212" spans="1:26" x14ac:dyDescent="0.2">
      <c r="A1212" t="s">
        <v>2564</v>
      </c>
      <c r="B1212" t="s">
        <v>2565</v>
      </c>
      <c r="C1212" t="s">
        <v>13</v>
      </c>
      <c r="D1212" t="s">
        <v>2522</v>
      </c>
      <c r="E1212" t="s">
        <v>2523</v>
      </c>
      <c r="F1212" t="s">
        <v>335</v>
      </c>
      <c r="G1212" s="1">
        <v>0.1</v>
      </c>
      <c r="H1212" t="s">
        <v>117</v>
      </c>
      <c r="I1212" t="s">
        <v>1580</v>
      </c>
      <c r="J1212" t="s">
        <v>2077</v>
      </c>
      <c r="K1212" t="s">
        <v>24</v>
      </c>
      <c r="L1212" s="14">
        <f>IFERROR(VALUE(LEFT(tblMatriculas[[#This Row],[Clases]],FIND("/",tblMatriculas[[#This Row],[Clases]])-1)),"")</f>
        <v>3</v>
      </c>
      <c r="M1212" s="14">
        <f>IFERROR(VALUE(MID(tblMatriculas[[#This Row],[Clases]],FIND("/",tblMatriculas[[#This Row],[Clases]])+1,5)),"")</f>
        <v>30</v>
      </c>
      <c r="N12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2" s="14">
        <f>IF(OR(tblMatriculas[[#This Row],[Estado]]&lt;&gt;"activa",tblMatriculas[[#This Row],[Clases dictadas]]=""),"",MAX(0,tblMatriculas[[#This Row],[Clases dictadas]]-tblMatriculas[[#This Row],[Asistidas]]))</f>
        <v>2</v>
      </c>
      <c r="P1212" s="1">
        <f>IF(OR(tblMatriculas[[#This Row],[Estado]]&lt;&gt;"activa",tblMatriculas[[#This Row],[Asistidas]]=""),"",tblMatriculas[[#This Row],[Asistencia]])</f>
        <v>0.1</v>
      </c>
      <c r="Q1212" t="b">
        <f>AND(tblMatriculas[[#This Row],[Estado]]="activa",ISNUMBER(tblMatriculas[[#This Row],[% asistencia]]),NOT(ISNUMBER(SEARCH(pPrueba,tblMatriculas[[#This Row],[Nombre]]))))</f>
        <v>1</v>
      </c>
      <c r="R12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2" s="23" t="str" cm="1">
        <f t="array" ref="S12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2" s="23" t="str" cm="1">
        <f t="array" ref="T12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2" s="14" t="str" cm="1">
        <f t="array" ref="U12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2" t="str" cm="1">
        <f t="array" ref="V12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2" t="str" cm="1">
        <f t="array" ref="W12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2" t="str">
        <f>IF(COUNTIFS('Base Estudiantes'!$C:$C,tblMatriculas[[#This Row],[Cédula]],'Base Estudiantes'!$I:$I,tblMatriculas[[#This Row],[Código]])&gt;0,"Sí","No")</f>
        <v>Sí</v>
      </c>
      <c r="Z1212" s="23" cm="1">
        <f t="array" ref="Z1212">_xlfn.XLOOKUP(tblMatriculas[[#This Row],[Cédula]]&amp;"|"&amp;tblMatriculas[[#This Row],[Código]],tblBase[Documento]&amp;"|"&amp;tblBase[Código grupo],tblBase[Fecha matrícula],"")</f>
        <v>46263</v>
      </c>
    </row>
    <row r="1213" spans="1:26" x14ac:dyDescent="0.2">
      <c r="A1213" t="s">
        <v>2566</v>
      </c>
      <c r="B1213" t="s">
        <v>2567</v>
      </c>
      <c r="C1213" t="s">
        <v>13</v>
      </c>
      <c r="D1213" t="s">
        <v>2522</v>
      </c>
      <c r="E1213" t="s">
        <v>2523</v>
      </c>
      <c r="F1213" t="s">
        <v>335</v>
      </c>
      <c r="G1213" s="1">
        <v>3.3000000000000002E-2</v>
      </c>
      <c r="H1213" t="s">
        <v>225</v>
      </c>
      <c r="I1213" t="s">
        <v>1580</v>
      </c>
      <c r="J1213" t="s">
        <v>2077</v>
      </c>
      <c r="K1213" t="s">
        <v>24</v>
      </c>
      <c r="L1213" s="14">
        <f>IFERROR(VALUE(LEFT(tblMatriculas[[#This Row],[Clases]],FIND("/",tblMatriculas[[#This Row],[Clases]])-1)),"")</f>
        <v>1</v>
      </c>
      <c r="M1213" s="14">
        <f>IFERROR(VALUE(MID(tblMatriculas[[#This Row],[Clases]],FIND("/",tblMatriculas[[#This Row],[Clases]])+1,5)),"")</f>
        <v>30</v>
      </c>
      <c r="N12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3" s="14">
        <f>IF(OR(tblMatriculas[[#This Row],[Estado]]&lt;&gt;"activa",tblMatriculas[[#This Row],[Clases dictadas]]=""),"",MAX(0,tblMatriculas[[#This Row],[Clases dictadas]]-tblMatriculas[[#This Row],[Asistidas]]))</f>
        <v>4</v>
      </c>
      <c r="P1213" s="1">
        <f>IF(OR(tblMatriculas[[#This Row],[Estado]]&lt;&gt;"activa",tblMatriculas[[#This Row],[Asistidas]]=""),"",tblMatriculas[[#This Row],[Asistencia]])</f>
        <v>3.3000000000000002E-2</v>
      </c>
      <c r="Q1213" t="b">
        <f>AND(tblMatriculas[[#This Row],[Estado]]="activa",ISNUMBER(tblMatriculas[[#This Row],[% asistencia]]),NOT(ISNUMBER(SEARCH(pPrueba,tblMatriculas[[#This Row],[Nombre]]))))</f>
        <v>1</v>
      </c>
      <c r="R12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213" s="23" t="str" cm="1">
        <f t="array" ref="S12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3" s="23" t="str" cm="1">
        <f t="array" ref="T12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3" s="14" t="str" cm="1">
        <f t="array" ref="U12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3" t="str" cm="1">
        <f t="array" ref="V12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3" t="str" cm="1">
        <f t="array" ref="W12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2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213" t="str">
        <f>IF(COUNTIFS('Base Estudiantes'!$C:$C,tblMatriculas[[#This Row],[Cédula]],'Base Estudiantes'!$I:$I,tblMatriculas[[#This Row],[Código]])&gt;0,"Sí","No")</f>
        <v>Sí</v>
      </c>
      <c r="Z1213" s="23" cm="1">
        <f t="array" ref="Z1213">_xlfn.XLOOKUP(tblMatriculas[[#This Row],[Cédula]]&amp;"|"&amp;tblMatriculas[[#This Row],[Código]],tblBase[Documento]&amp;"|"&amp;tblBase[Código grupo],tblBase[Fecha matrícula],"")</f>
        <v>46263</v>
      </c>
    </row>
    <row r="1214" spans="1:26" x14ac:dyDescent="0.2">
      <c r="A1214" t="s">
        <v>2568</v>
      </c>
      <c r="B1214" t="s">
        <v>2569</v>
      </c>
      <c r="C1214" t="s">
        <v>13</v>
      </c>
      <c r="D1214" t="s">
        <v>2522</v>
      </c>
      <c r="E1214" t="s">
        <v>2523</v>
      </c>
      <c r="F1214" t="s">
        <v>335</v>
      </c>
      <c r="G1214" s="1">
        <v>0.1</v>
      </c>
      <c r="H1214" t="s">
        <v>117</v>
      </c>
      <c r="I1214" t="s">
        <v>1580</v>
      </c>
      <c r="J1214" t="s">
        <v>2077</v>
      </c>
      <c r="K1214" t="s">
        <v>24</v>
      </c>
      <c r="L1214" s="14">
        <f>IFERROR(VALUE(LEFT(tblMatriculas[[#This Row],[Clases]],FIND("/",tblMatriculas[[#This Row],[Clases]])-1)),"")</f>
        <v>3</v>
      </c>
      <c r="M1214" s="14">
        <f>IFERROR(VALUE(MID(tblMatriculas[[#This Row],[Clases]],FIND("/",tblMatriculas[[#This Row],[Clases]])+1,5)),"")</f>
        <v>30</v>
      </c>
      <c r="N12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4" s="14">
        <f>IF(OR(tblMatriculas[[#This Row],[Estado]]&lt;&gt;"activa",tblMatriculas[[#This Row],[Clases dictadas]]=""),"",MAX(0,tblMatriculas[[#This Row],[Clases dictadas]]-tblMatriculas[[#This Row],[Asistidas]]))</f>
        <v>2</v>
      </c>
      <c r="P1214" s="1">
        <f>IF(OR(tblMatriculas[[#This Row],[Estado]]&lt;&gt;"activa",tblMatriculas[[#This Row],[Asistidas]]=""),"",tblMatriculas[[#This Row],[Asistencia]])</f>
        <v>0.1</v>
      </c>
      <c r="Q1214" t="b">
        <f>AND(tblMatriculas[[#This Row],[Estado]]="activa",ISNUMBER(tblMatriculas[[#This Row],[% asistencia]]),NOT(ISNUMBER(SEARCH(pPrueba,tblMatriculas[[#This Row],[Nombre]]))))</f>
        <v>1</v>
      </c>
      <c r="R12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4" s="23" t="str" cm="1">
        <f t="array" ref="S12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4" s="23" t="str" cm="1">
        <f t="array" ref="T12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4" s="14" t="str" cm="1">
        <f t="array" ref="U12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4" t="str" cm="1">
        <f t="array" ref="V12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4" t="str" cm="1">
        <f t="array" ref="W12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4" t="str">
        <f>IF(COUNTIFS('Base Estudiantes'!$C:$C,tblMatriculas[[#This Row],[Cédula]],'Base Estudiantes'!$I:$I,tblMatriculas[[#This Row],[Código]])&gt;0,"Sí","No")</f>
        <v>Sí</v>
      </c>
      <c r="Z1214" s="23" cm="1">
        <f t="array" ref="Z1214">_xlfn.XLOOKUP(tblMatriculas[[#This Row],[Cédula]]&amp;"|"&amp;tblMatriculas[[#This Row],[Código]],tblBase[Documento]&amp;"|"&amp;tblBase[Código grupo],tblBase[Fecha matrícula],"")</f>
        <v>46263</v>
      </c>
    </row>
    <row r="1215" spans="1:26" x14ac:dyDescent="0.2">
      <c r="A1215" t="s">
        <v>2570</v>
      </c>
      <c r="B1215" t="s">
        <v>2571</v>
      </c>
      <c r="C1215" t="s">
        <v>13</v>
      </c>
      <c r="D1215" t="s">
        <v>2522</v>
      </c>
      <c r="E1215" t="s">
        <v>2523</v>
      </c>
      <c r="F1215" t="s">
        <v>335</v>
      </c>
      <c r="G1215" s="1">
        <v>0.13300000000000001</v>
      </c>
      <c r="H1215" t="s">
        <v>112</v>
      </c>
      <c r="I1215" t="s">
        <v>1580</v>
      </c>
      <c r="J1215" t="s">
        <v>2077</v>
      </c>
      <c r="K1215" t="s">
        <v>24</v>
      </c>
      <c r="L1215" s="14">
        <f>IFERROR(VALUE(LEFT(tblMatriculas[[#This Row],[Clases]],FIND("/",tblMatriculas[[#This Row],[Clases]])-1)),"")</f>
        <v>4</v>
      </c>
      <c r="M1215" s="14">
        <f>IFERROR(VALUE(MID(tblMatriculas[[#This Row],[Clases]],FIND("/",tblMatriculas[[#This Row],[Clases]])+1,5)),"")</f>
        <v>30</v>
      </c>
      <c r="N12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5" s="14">
        <f>IF(OR(tblMatriculas[[#This Row],[Estado]]&lt;&gt;"activa",tblMatriculas[[#This Row],[Clases dictadas]]=""),"",MAX(0,tblMatriculas[[#This Row],[Clases dictadas]]-tblMatriculas[[#This Row],[Asistidas]]))</f>
        <v>1</v>
      </c>
      <c r="P1215" s="1">
        <f>IF(OR(tblMatriculas[[#This Row],[Estado]]&lt;&gt;"activa",tblMatriculas[[#This Row],[Asistidas]]=""),"",tblMatriculas[[#This Row],[Asistencia]])</f>
        <v>0.13300000000000001</v>
      </c>
      <c r="Q1215" t="b">
        <f>AND(tblMatriculas[[#This Row],[Estado]]="activa",ISNUMBER(tblMatriculas[[#This Row],[% asistencia]]),NOT(ISNUMBER(SEARCH(pPrueba,tblMatriculas[[#This Row],[Nombre]]))))</f>
        <v>1</v>
      </c>
      <c r="R12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5" s="23" t="str" cm="1">
        <f t="array" ref="S12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5" s="23" t="str" cm="1">
        <f t="array" ref="T12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5" s="14" t="str" cm="1">
        <f t="array" ref="U12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5" t="str" cm="1">
        <f t="array" ref="V12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5" t="str" cm="1">
        <f t="array" ref="W12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5" t="str">
        <f>IF(COUNTIFS('Base Estudiantes'!$C:$C,tblMatriculas[[#This Row],[Cédula]],'Base Estudiantes'!$I:$I,tblMatriculas[[#This Row],[Código]])&gt;0,"Sí","No")</f>
        <v>Sí</v>
      </c>
      <c r="Z1215" s="23" cm="1">
        <f t="array" ref="Z1215">_xlfn.XLOOKUP(tblMatriculas[[#This Row],[Cédula]]&amp;"|"&amp;tblMatriculas[[#This Row],[Código]],tblBase[Documento]&amp;"|"&amp;tblBase[Código grupo],tblBase[Fecha matrícula],"")</f>
        <v>46263</v>
      </c>
    </row>
    <row r="1216" spans="1:26" x14ac:dyDescent="0.2">
      <c r="A1216" t="s">
        <v>2572</v>
      </c>
      <c r="B1216" t="s">
        <v>2573</v>
      </c>
      <c r="C1216" t="s">
        <v>13</v>
      </c>
      <c r="D1216" t="s">
        <v>2522</v>
      </c>
      <c r="E1216" t="s">
        <v>2523</v>
      </c>
      <c r="F1216" t="s">
        <v>335</v>
      </c>
      <c r="G1216" s="1">
        <v>0.13300000000000001</v>
      </c>
      <c r="H1216" t="s">
        <v>112</v>
      </c>
      <c r="I1216" t="s">
        <v>1580</v>
      </c>
      <c r="J1216" t="s">
        <v>2077</v>
      </c>
      <c r="K1216" t="s">
        <v>24</v>
      </c>
      <c r="L1216" s="14">
        <f>IFERROR(VALUE(LEFT(tblMatriculas[[#This Row],[Clases]],FIND("/",tblMatriculas[[#This Row],[Clases]])-1)),"")</f>
        <v>4</v>
      </c>
      <c r="M1216" s="14">
        <f>IFERROR(VALUE(MID(tblMatriculas[[#This Row],[Clases]],FIND("/",tblMatriculas[[#This Row],[Clases]])+1,5)),"")</f>
        <v>30</v>
      </c>
      <c r="N12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6" s="14">
        <f>IF(OR(tblMatriculas[[#This Row],[Estado]]&lt;&gt;"activa",tblMatriculas[[#This Row],[Clases dictadas]]=""),"",MAX(0,tblMatriculas[[#This Row],[Clases dictadas]]-tblMatriculas[[#This Row],[Asistidas]]))</f>
        <v>1</v>
      </c>
      <c r="P1216" s="1">
        <f>IF(OR(tblMatriculas[[#This Row],[Estado]]&lt;&gt;"activa",tblMatriculas[[#This Row],[Asistidas]]=""),"",tblMatriculas[[#This Row],[Asistencia]])</f>
        <v>0.13300000000000001</v>
      </c>
      <c r="Q1216" t="b">
        <f>AND(tblMatriculas[[#This Row],[Estado]]="activa",ISNUMBER(tblMatriculas[[#This Row],[% asistencia]]),NOT(ISNUMBER(SEARCH(pPrueba,tblMatriculas[[#This Row],[Nombre]]))))</f>
        <v>1</v>
      </c>
      <c r="R12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6" s="23" t="str" cm="1">
        <f t="array" ref="S12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6" s="23" t="str" cm="1">
        <f t="array" ref="T12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6" s="14" t="str" cm="1">
        <f t="array" ref="U12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6" t="str" cm="1">
        <f t="array" ref="V12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6" t="str" cm="1">
        <f t="array" ref="W12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6" t="str">
        <f>IF(COUNTIFS('Base Estudiantes'!$C:$C,tblMatriculas[[#This Row],[Cédula]],'Base Estudiantes'!$I:$I,tblMatriculas[[#This Row],[Código]])&gt;0,"Sí","No")</f>
        <v>Sí</v>
      </c>
      <c r="Z1216" s="23" cm="1">
        <f t="array" ref="Z1216">_xlfn.XLOOKUP(tblMatriculas[[#This Row],[Cédula]]&amp;"|"&amp;tblMatriculas[[#This Row],[Código]],tblBase[Documento]&amp;"|"&amp;tblBase[Código grupo],tblBase[Fecha matrícula],"")</f>
        <v>46263</v>
      </c>
    </row>
    <row r="1217" spans="1:26" x14ac:dyDescent="0.2">
      <c r="A1217" t="s">
        <v>2574</v>
      </c>
      <c r="B1217" t="s">
        <v>2575</v>
      </c>
      <c r="C1217" t="s">
        <v>13</v>
      </c>
      <c r="D1217" t="s">
        <v>2522</v>
      </c>
      <c r="E1217" t="s">
        <v>2523</v>
      </c>
      <c r="F1217" t="s">
        <v>335</v>
      </c>
      <c r="G1217" s="1">
        <v>3.3000000000000002E-2</v>
      </c>
      <c r="H1217" t="s">
        <v>225</v>
      </c>
      <c r="I1217" t="s">
        <v>1580</v>
      </c>
      <c r="J1217" t="s">
        <v>2077</v>
      </c>
      <c r="K1217" t="s">
        <v>24</v>
      </c>
      <c r="L1217" s="14">
        <f>IFERROR(VALUE(LEFT(tblMatriculas[[#This Row],[Clases]],FIND("/",tblMatriculas[[#This Row],[Clases]])-1)),"")</f>
        <v>1</v>
      </c>
      <c r="M1217" s="14">
        <f>IFERROR(VALUE(MID(tblMatriculas[[#This Row],[Clases]],FIND("/",tblMatriculas[[#This Row],[Clases]])+1,5)),"")</f>
        <v>30</v>
      </c>
      <c r="N12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7" s="14">
        <f>IF(OR(tblMatriculas[[#This Row],[Estado]]&lt;&gt;"activa",tblMatriculas[[#This Row],[Clases dictadas]]=""),"",MAX(0,tblMatriculas[[#This Row],[Clases dictadas]]-tblMatriculas[[#This Row],[Asistidas]]))</f>
        <v>4</v>
      </c>
      <c r="P1217" s="1">
        <f>IF(OR(tblMatriculas[[#This Row],[Estado]]&lt;&gt;"activa",tblMatriculas[[#This Row],[Asistidas]]=""),"",tblMatriculas[[#This Row],[Asistencia]])</f>
        <v>3.3000000000000002E-2</v>
      </c>
      <c r="Q1217" t="b">
        <f>AND(tblMatriculas[[#This Row],[Estado]]="activa",ISNUMBER(tblMatriculas[[#This Row],[% asistencia]]),NOT(ISNUMBER(SEARCH(pPrueba,tblMatriculas[[#This Row],[Nombre]]))))</f>
        <v>1</v>
      </c>
      <c r="R12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217" s="23" t="str" cm="1">
        <f t="array" ref="S12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7" s="23" t="str" cm="1">
        <f t="array" ref="T12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7" s="14" t="str" cm="1">
        <f t="array" ref="U12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7" t="str" cm="1">
        <f t="array" ref="V12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7" t="str" cm="1">
        <f t="array" ref="W12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2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217" t="str">
        <f>IF(COUNTIFS('Base Estudiantes'!$C:$C,tblMatriculas[[#This Row],[Cédula]],'Base Estudiantes'!$I:$I,tblMatriculas[[#This Row],[Código]])&gt;0,"Sí","No")</f>
        <v>Sí</v>
      </c>
      <c r="Z1217" s="23" cm="1">
        <f t="array" ref="Z1217">_xlfn.XLOOKUP(tblMatriculas[[#This Row],[Cédula]]&amp;"|"&amp;tblMatriculas[[#This Row],[Código]],tblBase[Documento]&amp;"|"&amp;tblBase[Código grupo],tblBase[Fecha matrícula],"")</f>
        <v>46263</v>
      </c>
    </row>
    <row r="1218" spans="1:26" x14ac:dyDescent="0.2">
      <c r="A1218" t="s">
        <v>2576</v>
      </c>
      <c r="B1218" t="s">
        <v>2577</v>
      </c>
      <c r="C1218" t="s">
        <v>13</v>
      </c>
      <c r="D1218" t="s">
        <v>2522</v>
      </c>
      <c r="E1218" t="s">
        <v>2523</v>
      </c>
      <c r="F1218" t="s">
        <v>335</v>
      </c>
      <c r="G1218" s="1">
        <v>1.7000000000000001E-2</v>
      </c>
      <c r="H1218" t="s">
        <v>578</v>
      </c>
      <c r="I1218" t="s">
        <v>1580</v>
      </c>
      <c r="J1218" t="s">
        <v>2077</v>
      </c>
      <c r="K1218" t="s">
        <v>2188</v>
      </c>
      <c r="L1218" s="14">
        <f>IFERROR(VALUE(LEFT(tblMatriculas[[#This Row],[Clases]],FIND("/",tblMatriculas[[#This Row],[Clases]])-1)),"")</f>
        <v>1</v>
      </c>
      <c r="M1218" s="14">
        <f>IFERROR(VALUE(MID(tblMatriculas[[#This Row],[Clases]],FIND("/",tblMatriculas[[#This Row],[Clases]])+1,5)),"")</f>
        <v>60</v>
      </c>
      <c r="N12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218" s="14">
        <f>IF(OR(tblMatriculas[[#This Row],[Estado]]&lt;&gt;"activa",tblMatriculas[[#This Row],[Clases dictadas]]=""),"",MAX(0,tblMatriculas[[#This Row],[Clases dictadas]]-tblMatriculas[[#This Row],[Asistidas]]))</f>
        <v>7</v>
      </c>
      <c r="P1218" s="1">
        <f>IF(OR(tblMatriculas[[#This Row],[Estado]]&lt;&gt;"activa",tblMatriculas[[#This Row],[Asistidas]]=""),"",tblMatriculas[[#This Row],[Asistencia]])</f>
        <v>1.7000000000000001E-2</v>
      </c>
      <c r="Q1218" t="b">
        <f>AND(tblMatriculas[[#This Row],[Estado]]="activa",ISNUMBER(tblMatriculas[[#This Row],[% asistencia]]),NOT(ISNUMBER(SEARCH(pPrueba,tblMatriculas[[#This Row],[Nombre]]))))</f>
        <v>1</v>
      </c>
      <c r="R12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218" s="23" t="str" cm="1">
        <f t="array" ref="S12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8" s="23" t="str" cm="1">
        <f t="array" ref="T12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8" s="14" t="str" cm="1">
        <f t="array" ref="U12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8" t="str" cm="1">
        <f t="array" ref="V12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8" t="str" cm="1">
        <f t="array" ref="W12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2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218" t="str">
        <f>IF(COUNTIFS('Base Estudiantes'!$C:$C,tblMatriculas[[#This Row],[Cédula]],'Base Estudiantes'!$I:$I,tblMatriculas[[#This Row],[Código]])&gt;0,"Sí","No")</f>
        <v>Sí</v>
      </c>
      <c r="Z1218" s="23" cm="1">
        <f t="array" ref="Z1218">_xlfn.XLOOKUP(tblMatriculas[[#This Row],[Cédula]]&amp;"|"&amp;tblMatriculas[[#This Row],[Código]],tblBase[Documento]&amp;"|"&amp;tblBase[Código grupo],tblBase[Fecha matrícula],"")</f>
        <v>46263</v>
      </c>
    </row>
    <row r="1219" spans="1:26" x14ac:dyDescent="0.2">
      <c r="A1219" t="s">
        <v>2578</v>
      </c>
      <c r="B1219" t="s">
        <v>2579</v>
      </c>
      <c r="C1219" t="s">
        <v>13</v>
      </c>
      <c r="D1219" t="s">
        <v>2522</v>
      </c>
      <c r="E1219" t="s">
        <v>2523</v>
      </c>
      <c r="F1219" t="s">
        <v>335</v>
      </c>
      <c r="G1219" s="1">
        <v>0.13300000000000001</v>
      </c>
      <c r="H1219" t="s">
        <v>112</v>
      </c>
      <c r="I1219" t="s">
        <v>1580</v>
      </c>
      <c r="J1219" t="s">
        <v>2077</v>
      </c>
      <c r="K1219" t="s">
        <v>1715</v>
      </c>
      <c r="L1219" s="14">
        <f>IFERROR(VALUE(LEFT(tblMatriculas[[#This Row],[Clases]],FIND("/",tblMatriculas[[#This Row],[Clases]])-1)),"")</f>
        <v>4</v>
      </c>
      <c r="M1219" s="14">
        <f>IFERROR(VALUE(MID(tblMatriculas[[#This Row],[Clases]],FIND("/",tblMatriculas[[#This Row],[Clases]])+1,5)),"")</f>
        <v>30</v>
      </c>
      <c r="N12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19" s="14">
        <f>IF(OR(tblMatriculas[[#This Row],[Estado]]&lt;&gt;"activa",tblMatriculas[[#This Row],[Clases dictadas]]=""),"",MAX(0,tblMatriculas[[#This Row],[Clases dictadas]]-tblMatriculas[[#This Row],[Asistidas]]))</f>
        <v>1</v>
      </c>
      <c r="P1219" s="1">
        <f>IF(OR(tblMatriculas[[#This Row],[Estado]]&lt;&gt;"activa",tblMatriculas[[#This Row],[Asistidas]]=""),"",tblMatriculas[[#This Row],[Asistencia]])</f>
        <v>0.13300000000000001</v>
      </c>
      <c r="Q1219" t="b">
        <f>AND(tblMatriculas[[#This Row],[Estado]]="activa",ISNUMBER(tblMatriculas[[#This Row],[% asistencia]]),NOT(ISNUMBER(SEARCH(pPrueba,tblMatriculas[[#This Row],[Nombre]]))))</f>
        <v>1</v>
      </c>
      <c r="R12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19" s="23" t="str" cm="1">
        <f t="array" ref="S12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19" s="23" t="str" cm="1">
        <f t="array" ref="T12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19" s="14" t="str" cm="1">
        <f t="array" ref="U12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19" t="str" cm="1">
        <f t="array" ref="V12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19" t="str" cm="1">
        <f t="array" ref="W12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19" t="str">
        <f>IF(COUNTIFS('Base Estudiantes'!$C:$C,tblMatriculas[[#This Row],[Cédula]],'Base Estudiantes'!$I:$I,tblMatriculas[[#This Row],[Código]])&gt;0,"Sí","No")</f>
        <v>Sí</v>
      </c>
      <c r="Z1219" s="23" cm="1">
        <f t="array" ref="Z1219">_xlfn.XLOOKUP(tblMatriculas[[#This Row],[Cédula]]&amp;"|"&amp;tblMatriculas[[#This Row],[Código]],tblBase[Documento]&amp;"|"&amp;tblBase[Código grupo],tblBase[Fecha matrícula],"")</f>
        <v>46263</v>
      </c>
    </row>
    <row r="1220" spans="1:26" x14ac:dyDescent="0.2">
      <c r="A1220" t="s">
        <v>2580</v>
      </c>
      <c r="B1220" t="s">
        <v>2581</v>
      </c>
      <c r="C1220" t="s">
        <v>13</v>
      </c>
      <c r="D1220" t="s">
        <v>2522</v>
      </c>
      <c r="E1220" t="s">
        <v>2523</v>
      </c>
      <c r="F1220" t="s">
        <v>335</v>
      </c>
      <c r="G1220" s="1">
        <v>0.16699999999999998</v>
      </c>
      <c r="H1220" t="s">
        <v>229</v>
      </c>
      <c r="I1220" t="s">
        <v>1580</v>
      </c>
      <c r="J1220" t="s">
        <v>2077</v>
      </c>
      <c r="K1220" t="s">
        <v>1868</v>
      </c>
      <c r="L1220" s="14">
        <f>IFERROR(VALUE(LEFT(tblMatriculas[[#This Row],[Clases]],FIND("/",tblMatriculas[[#This Row],[Clases]])-1)),"")</f>
        <v>5</v>
      </c>
      <c r="M1220" s="14">
        <f>IFERROR(VALUE(MID(tblMatriculas[[#This Row],[Clases]],FIND("/",tblMatriculas[[#This Row],[Clases]])+1,5)),"")</f>
        <v>30</v>
      </c>
      <c r="N12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20" s="14">
        <f>IF(OR(tblMatriculas[[#This Row],[Estado]]&lt;&gt;"activa",tblMatriculas[[#This Row],[Clases dictadas]]=""),"",MAX(0,tblMatriculas[[#This Row],[Clases dictadas]]-tblMatriculas[[#This Row],[Asistidas]]))</f>
        <v>0</v>
      </c>
      <c r="P1220" s="1">
        <f>IF(OR(tblMatriculas[[#This Row],[Estado]]&lt;&gt;"activa",tblMatriculas[[#This Row],[Asistidas]]=""),"",tblMatriculas[[#This Row],[Asistencia]])</f>
        <v>0.16699999999999998</v>
      </c>
      <c r="Q1220" t="b">
        <f>AND(tblMatriculas[[#This Row],[Estado]]="activa",ISNUMBER(tblMatriculas[[#This Row],[% asistencia]]),NOT(ISNUMBER(SEARCH(pPrueba,tblMatriculas[[#This Row],[Nombre]]))))</f>
        <v>1</v>
      </c>
      <c r="R12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0" s="23" t="str" cm="1">
        <f t="array" ref="S12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0" s="23" t="str" cm="1">
        <f t="array" ref="T12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0" s="14" t="str" cm="1">
        <f t="array" ref="U12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0" t="str" cm="1">
        <f t="array" ref="V12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0" t="str" cm="1">
        <f t="array" ref="W12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0" t="str">
        <f>IF(COUNTIFS('Base Estudiantes'!$C:$C,tblMatriculas[[#This Row],[Cédula]],'Base Estudiantes'!$I:$I,tblMatriculas[[#This Row],[Código]])&gt;0,"Sí","No")</f>
        <v>Sí</v>
      </c>
      <c r="Z1220" s="23" cm="1">
        <f t="array" ref="Z1220">_xlfn.XLOOKUP(tblMatriculas[[#This Row],[Cédula]]&amp;"|"&amp;tblMatriculas[[#This Row],[Código]],tblBase[Documento]&amp;"|"&amp;tblBase[Código grupo],tblBase[Fecha matrícula],"")</f>
        <v>46263</v>
      </c>
    </row>
    <row r="1221" spans="1:26" x14ac:dyDescent="0.2">
      <c r="A1221" t="s">
        <v>2582</v>
      </c>
      <c r="B1221" t="s">
        <v>2583</v>
      </c>
      <c r="C1221" t="s">
        <v>13</v>
      </c>
      <c r="D1221" t="s">
        <v>2522</v>
      </c>
      <c r="E1221" t="s">
        <v>2523</v>
      </c>
      <c r="F1221" t="s">
        <v>335</v>
      </c>
      <c r="G1221" s="1">
        <v>0.13300000000000001</v>
      </c>
      <c r="H1221" t="s">
        <v>112</v>
      </c>
      <c r="I1221" t="s">
        <v>1580</v>
      </c>
      <c r="J1221" t="s">
        <v>2077</v>
      </c>
      <c r="K1221" t="s">
        <v>1715</v>
      </c>
      <c r="L1221" s="14">
        <f>IFERROR(VALUE(LEFT(tblMatriculas[[#This Row],[Clases]],FIND("/",tblMatriculas[[#This Row],[Clases]])-1)),"")</f>
        <v>4</v>
      </c>
      <c r="M1221" s="14">
        <f>IFERROR(VALUE(MID(tblMatriculas[[#This Row],[Clases]],FIND("/",tblMatriculas[[#This Row],[Clases]])+1,5)),"")</f>
        <v>30</v>
      </c>
      <c r="N12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21" s="14">
        <f>IF(OR(tblMatriculas[[#This Row],[Estado]]&lt;&gt;"activa",tblMatriculas[[#This Row],[Clases dictadas]]=""),"",MAX(0,tblMatriculas[[#This Row],[Clases dictadas]]-tblMatriculas[[#This Row],[Asistidas]]))</f>
        <v>1</v>
      </c>
      <c r="P1221" s="1">
        <f>IF(OR(tblMatriculas[[#This Row],[Estado]]&lt;&gt;"activa",tblMatriculas[[#This Row],[Asistidas]]=""),"",tblMatriculas[[#This Row],[Asistencia]])</f>
        <v>0.13300000000000001</v>
      </c>
      <c r="Q1221" t="b">
        <f>AND(tblMatriculas[[#This Row],[Estado]]="activa",ISNUMBER(tblMatriculas[[#This Row],[% asistencia]]),NOT(ISNUMBER(SEARCH(pPrueba,tblMatriculas[[#This Row],[Nombre]]))))</f>
        <v>1</v>
      </c>
      <c r="R12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1" s="23" t="str" cm="1">
        <f t="array" ref="S12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1" s="23" t="str" cm="1">
        <f t="array" ref="T12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1" s="14" t="str" cm="1">
        <f t="array" ref="U12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1" t="str" cm="1">
        <f t="array" ref="V12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1" t="str" cm="1">
        <f t="array" ref="W12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1" t="str">
        <f>IF(COUNTIFS('Base Estudiantes'!$C:$C,tblMatriculas[[#This Row],[Cédula]],'Base Estudiantes'!$I:$I,tblMatriculas[[#This Row],[Código]])&gt;0,"Sí","No")</f>
        <v>Sí</v>
      </c>
      <c r="Z1221" s="23" cm="1">
        <f t="array" ref="Z1221">_xlfn.XLOOKUP(tblMatriculas[[#This Row],[Cédula]]&amp;"|"&amp;tblMatriculas[[#This Row],[Código]],tblBase[Documento]&amp;"|"&amp;tblBase[Código grupo],tblBase[Fecha matrícula],"")</f>
        <v>46263</v>
      </c>
    </row>
    <row r="1222" spans="1:26" x14ac:dyDescent="0.2">
      <c r="A1222" t="s">
        <v>2584</v>
      </c>
      <c r="B1222" t="s">
        <v>2585</v>
      </c>
      <c r="C1222" t="s">
        <v>13</v>
      </c>
      <c r="D1222" t="s">
        <v>2522</v>
      </c>
      <c r="E1222" t="s">
        <v>2523</v>
      </c>
      <c r="F1222" t="s">
        <v>335</v>
      </c>
      <c r="G1222" s="1">
        <v>0.13300000000000001</v>
      </c>
      <c r="H1222" t="s">
        <v>112</v>
      </c>
      <c r="I1222" t="s">
        <v>1580</v>
      </c>
      <c r="J1222" t="s">
        <v>2077</v>
      </c>
      <c r="K1222" t="s">
        <v>1999</v>
      </c>
      <c r="L1222" s="14">
        <f>IFERROR(VALUE(LEFT(tblMatriculas[[#This Row],[Clases]],FIND("/",tblMatriculas[[#This Row],[Clases]])-1)),"")</f>
        <v>4</v>
      </c>
      <c r="M1222" s="14">
        <f>IFERROR(VALUE(MID(tblMatriculas[[#This Row],[Clases]],FIND("/",tblMatriculas[[#This Row],[Clases]])+1,5)),"")</f>
        <v>30</v>
      </c>
      <c r="N12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22" s="14">
        <f>IF(OR(tblMatriculas[[#This Row],[Estado]]&lt;&gt;"activa",tblMatriculas[[#This Row],[Clases dictadas]]=""),"",MAX(0,tblMatriculas[[#This Row],[Clases dictadas]]-tblMatriculas[[#This Row],[Asistidas]]))</f>
        <v>1</v>
      </c>
      <c r="P1222" s="1">
        <f>IF(OR(tblMatriculas[[#This Row],[Estado]]&lt;&gt;"activa",tblMatriculas[[#This Row],[Asistidas]]=""),"",tblMatriculas[[#This Row],[Asistencia]])</f>
        <v>0.13300000000000001</v>
      </c>
      <c r="Q1222" t="b">
        <f>AND(tblMatriculas[[#This Row],[Estado]]="activa",ISNUMBER(tblMatriculas[[#This Row],[% asistencia]]),NOT(ISNUMBER(SEARCH(pPrueba,tblMatriculas[[#This Row],[Nombre]]))))</f>
        <v>1</v>
      </c>
      <c r="R12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2" s="23" t="str" cm="1">
        <f t="array" ref="S12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2" s="23" t="str" cm="1">
        <f t="array" ref="T12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2" s="14" t="str" cm="1">
        <f t="array" ref="U12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2" t="str" cm="1">
        <f t="array" ref="V12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2" t="str" cm="1">
        <f t="array" ref="W12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2" t="str">
        <f>IF(COUNTIFS('Base Estudiantes'!$C:$C,tblMatriculas[[#This Row],[Cédula]],'Base Estudiantes'!$I:$I,tblMatriculas[[#This Row],[Código]])&gt;0,"Sí","No")</f>
        <v>Sí</v>
      </c>
      <c r="Z1222" s="23" cm="1">
        <f t="array" ref="Z1222">_xlfn.XLOOKUP(tblMatriculas[[#This Row],[Cédula]]&amp;"|"&amp;tblMatriculas[[#This Row],[Código]],tblBase[Documento]&amp;"|"&amp;tblBase[Código grupo],tblBase[Fecha matrícula],"")</f>
        <v>46263</v>
      </c>
    </row>
    <row r="1223" spans="1:26" x14ac:dyDescent="0.2">
      <c r="A1223" t="s">
        <v>2586</v>
      </c>
      <c r="B1223" t="s">
        <v>2587</v>
      </c>
      <c r="C1223" t="s">
        <v>13</v>
      </c>
      <c r="D1223" t="s">
        <v>2522</v>
      </c>
      <c r="E1223" t="s">
        <v>2523</v>
      </c>
      <c r="F1223" t="s">
        <v>335</v>
      </c>
      <c r="G1223" s="1">
        <v>0.13300000000000001</v>
      </c>
      <c r="H1223" t="s">
        <v>112</v>
      </c>
      <c r="I1223" t="s">
        <v>1580</v>
      </c>
      <c r="J1223" t="s">
        <v>2077</v>
      </c>
      <c r="K1223" t="s">
        <v>1788</v>
      </c>
      <c r="L1223" s="14">
        <f>IFERROR(VALUE(LEFT(tblMatriculas[[#This Row],[Clases]],FIND("/",tblMatriculas[[#This Row],[Clases]])-1)),"")</f>
        <v>4</v>
      </c>
      <c r="M1223" s="14">
        <f>IFERROR(VALUE(MID(tblMatriculas[[#This Row],[Clases]],FIND("/",tblMatriculas[[#This Row],[Clases]])+1,5)),"")</f>
        <v>30</v>
      </c>
      <c r="N12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23" s="14">
        <f>IF(OR(tblMatriculas[[#This Row],[Estado]]&lt;&gt;"activa",tblMatriculas[[#This Row],[Clases dictadas]]=""),"",MAX(0,tblMatriculas[[#This Row],[Clases dictadas]]-tblMatriculas[[#This Row],[Asistidas]]))</f>
        <v>1</v>
      </c>
      <c r="P1223" s="1">
        <f>IF(OR(tblMatriculas[[#This Row],[Estado]]&lt;&gt;"activa",tblMatriculas[[#This Row],[Asistidas]]=""),"",tblMatriculas[[#This Row],[Asistencia]])</f>
        <v>0.13300000000000001</v>
      </c>
      <c r="Q1223" t="b">
        <f>AND(tblMatriculas[[#This Row],[Estado]]="activa",ISNUMBER(tblMatriculas[[#This Row],[% asistencia]]),NOT(ISNUMBER(SEARCH(pPrueba,tblMatriculas[[#This Row],[Nombre]]))))</f>
        <v>1</v>
      </c>
      <c r="R12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3" s="23" t="str" cm="1">
        <f t="array" ref="S12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3" s="23" t="str" cm="1">
        <f t="array" ref="T12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3" s="14" t="str" cm="1">
        <f t="array" ref="U12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3" t="str" cm="1">
        <f t="array" ref="V12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3" t="str" cm="1">
        <f t="array" ref="W12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3" t="str">
        <f>IF(COUNTIFS('Base Estudiantes'!$C:$C,tblMatriculas[[#This Row],[Cédula]],'Base Estudiantes'!$I:$I,tblMatriculas[[#This Row],[Código]])&gt;0,"Sí","No")</f>
        <v>Sí</v>
      </c>
      <c r="Z1223" s="23" cm="1">
        <f t="array" ref="Z1223">_xlfn.XLOOKUP(tblMatriculas[[#This Row],[Cédula]]&amp;"|"&amp;tblMatriculas[[#This Row],[Código]],tblBase[Documento]&amp;"|"&amp;tblBase[Código grupo],tblBase[Fecha matrícula],"")</f>
        <v>46263</v>
      </c>
    </row>
    <row r="1224" spans="1:26" x14ac:dyDescent="0.2">
      <c r="A1224" t="s">
        <v>2588</v>
      </c>
      <c r="B1224" t="s">
        <v>2589</v>
      </c>
      <c r="C1224" t="s">
        <v>13</v>
      </c>
      <c r="D1224" t="s">
        <v>2522</v>
      </c>
      <c r="E1224" t="s">
        <v>2523</v>
      </c>
      <c r="F1224" t="s">
        <v>335</v>
      </c>
      <c r="G1224" s="1">
        <v>0.16699999999999998</v>
      </c>
      <c r="H1224" t="s">
        <v>229</v>
      </c>
      <c r="I1224" t="s">
        <v>1580</v>
      </c>
      <c r="J1224" t="s">
        <v>2077</v>
      </c>
      <c r="K1224" t="s">
        <v>1585</v>
      </c>
      <c r="L1224" s="14">
        <f>IFERROR(VALUE(LEFT(tblMatriculas[[#This Row],[Clases]],FIND("/",tblMatriculas[[#This Row],[Clases]])-1)),"")</f>
        <v>5</v>
      </c>
      <c r="M1224" s="14">
        <f>IFERROR(VALUE(MID(tblMatriculas[[#This Row],[Clases]],FIND("/",tblMatriculas[[#This Row],[Clases]])+1,5)),"")</f>
        <v>30</v>
      </c>
      <c r="N12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24" s="14">
        <f>IF(OR(tblMatriculas[[#This Row],[Estado]]&lt;&gt;"activa",tblMatriculas[[#This Row],[Clases dictadas]]=""),"",MAX(0,tblMatriculas[[#This Row],[Clases dictadas]]-tblMatriculas[[#This Row],[Asistidas]]))</f>
        <v>0</v>
      </c>
      <c r="P1224" s="1">
        <f>IF(OR(tblMatriculas[[#This Row],[Estado]]&lt;&gt;"activa",tblMatriculas[[#This Row],[Asistidas]]=""),"",tblMatriculas[[#This Row],[Asistencia]])</f>
        <v>0.16699999999999998</v>
      </c>
      <c r="Q1224" t="b">
        <f>AND(tblMatriculas[[#This Row],[Estado]]="activa",ISNUMBER(tblMatriculas[[#This Row],[% asistencia]]),NOT(ISNUMBER(SEARCH(pPrueba,tblMatriculas[[#This Row],[Nombre]]))))</f>
        <v>1</v>
      </c>
      <c r="R12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4" s="23" t="str" cm="1">
        <f t="array" ref="S12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4" s="23" t="str" cm="1">
        <f t="array" ref="T12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4" s="14" t="str" cm="1">
        <f t="array" ref="U12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4" t="str" cm="1">
        <f t="array" ref="V12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4" t="str" cm="1">
        <f t="array" ref="W12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4" t="str">
        <f>IF(COUNTIFS('Base Estudiantes'!$C:$C,tblMatriculas[[#This Row],[Cédula]],'Base Estudiantes'!$I:$I,tblMatriculas[[#This Row],[Código]])&gt;0,"Sí","No")</f>
        <v>Sí</v>
      </c>
      <c r="Z1224" s="23" cm="1">
        <f t="array" ref="Z1224">_xlfn.XLOOKUP(tblMatriculas[[#This Row],[Cédula]]&amp;"|"&amp;tblMatriculas[[#This Row],[Código]],tblBase[Documento]&amp;"|"&amp;tblBase[Código grupo],tblBase[Fecha matrícula],"")</f>
        <v>46263</v>
      </c>
    </row>
    <row r="1225" spans="1:26" x14ac:dyDescent="0.2">
      <c r="A1225" t="s">
        <v>1291</v>
      </c>
      <c r="B1225" t="s">
        <v>1292</v>
      </c>
      <c r="C1225" t="s">
        <v>13</v>
      </c>
      <c r="D1225" t="s">
        <v>2522</v>
      </c>
      <c r="E1225" t="s">
        <v>2523</v>
      </c>
      <c r="F1225" t="s">
        <v>335</v>
      </c>
      <c r="G1225" s="1">
        <v>0.11699999999999999</v>
      </c>
      <c r="H1225" t="s">
        <v>2191</v>
      </c>
      <c r="I1225" t="s">
        <v>1580</v>
      </c>
      <c r="J1225" t="s">
        <v>2077</v>
      </c>
      <c r="K1225" t="s">
        <v>24</v>
      </c>
      <c r="L1225" s="14">
        <f>IFERROR(VALUE(LEFT(tblMatriculas[[#This Row],[Clases]],FIND("/",tblMatriculas[[#This Row],[Clases]])-1)),"")</f>
        <v>7</v>
      </c>
      <c r="M1225" s="14">
        <f>IFERROR(VALUE(MID(tblMatriculas[[#This Row],[Clases]],FIND("/",tblMatriculas[[#This Row],[Clases]])+1,5)),"")</f>
        <v>60</v>
      </c>
      <c r="N12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225" s="14">
        <f>IF(OR(tblMatriculas[[#This Row],[Estado]]&lt;&gt;"activa",tblMatriculas[[#This Row],[Clases dictadas]]=""),"",MAX(0,tblMatriculas[[#This Row],[Clases dictadas]]-tblMatriculas[[#This Row],[Asistidas]]))</f>
        <v>3</v>
      </c>
      <c r="P1225" s="1">
        <f>IF(OR(tblMatriculas[[#This Row],[Estado]]&lt;&gt;"activa",tblMatriculas[[#This Row],[Asistidas]]=""),"",tblMatriculas[[#This Row],[Asistencia]])</f>
        <v>0.11699999999999999</v>
      </c>
      <c r="Q1225" t="b">
        <f>AND(tblMatriculas[[#This Row],[Estado]]="activa",ISNUMBER(tblMatriculas[[#This Row],[% asistencia]]),NOT(ISNUMBER(SEARCH(pPrueba,tblMatriculas[[#This Row],[Nombre]]))))</f>
        <v>1</v>
      </c>
      <c r="R12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5" s="23" t="str" cm="1">
        <f t="array" ref="S12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5" s="23" t="str" cm="1">
        <f t="array" ref="T12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5" s="14" t="str" cm="1">
        <f t="array" ref="U12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5" t="str" cm="1">
        <f t="array" ref="V12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5" t="str" cm="1">
        <f t="array" ref="W12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5" t="str">
        <f>IF(COUNTIFS('Base Estudiantes'!$C:$C,tblMatriculas[[#This Row],[Cédula]],'Base Estudiantes'!$I:$I,tblMatriculas[[#This Row],[Código]])&gt;0,"Sí","No")</f>
        <v>Sí</v>
      </c>
      <c r="Z1225" s="23" cm="1">
        <f t="array" ref="Z1225">_xlfn.XLOOKUP(tblMatriculas[[#This Row],[Cédula]]&amp;"|"&amp;tblMatriculas[[#This Row],[Código]],tblBase[Documento]&amp;"|"&amp;tblBase[Código grupo],tblBase[Fecha matrícula],"")</f>
        <v>46282</v>
      </c>
    </row>
    <row r="1226" spans="1:26" x14ac:dyDescent="0.2">
      <c r="A1226" t="s">
        <v>2590</v>
      </c>
      <c r="B1226" t="s">
        <v>2591</v>
      </c>
      <c r="C1226" t="s">
        <v>13</v>
      </c>
      <c r="D1226" t="s">
        <v>2592</v>
      </c>
      <c r="E1226" t="s">
        <v>2593</v>
      </c>
      <c r="F1226" t="s">
        <v>2594</v>
      </c>
      <c r="G1226" s="1">
        <v>1.7000000000000001E-2</v>
      </c>
      <c r="H1226" t="s">
        <v>578</v>
      </c>
      <c r="I1226" t="s">
        <v>1580</v>
      </c>
      <c r="J1226" t="s">
        <v>1777</v>
      </c>
      <c r="K1226" t="s">
        <v>1778</v>
      </c>
      <c r="L1226" s="14">
        <f>IFERROR(VALUE(LEFT(tblMatriculas[[#This Row],[Clases]],FIND("/",tblMatriculas[[#This Row],[Clases]])-1)),"")</f>
        <v>1</v>
      </c>
      <c r="M1226" s="14">
        <f>IFERROR(VALUE(MID(tblMatriculas[[#This Row],[Clases]],FIND("/",tblMatriculas[[#This Row],[Clases]])+1,5)),"")</f>
        <v>60</v>
      </c>
      <c r="N12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226" s="14">
        <f>IF(OR(tblMatriculas[[#This Row],[Estado]]&lt;&gt;"activa",tblMatriculas[[#This Row],[Clases dictadas]]=""),"",MAX(0,tblMatriculas[[#This Row],[Clases dictadas]]-tblMatriculas[[#This Row],[Asistidas]]))</f>
        <v>10</v>
      </c>
      <c r="P1226" s="1">
        <f>IF(OR(tblMatriculas[[#This Row],[Estado]]&lt;&gt;"activa",tblMatriculas[[#This Row],[Asistidas]]=""),"",tblMatriculas[[#This Row],[Asistencia]])</f>
        <v>1.7000000000000001E-2</v>
      </c>
      <c r="Q1226" t="b">
        <f>AND(tblMatriculas[[#This Row],[Estado]]="activa",ISNUMBER(tblMatriculas[[#This Row],[% asistencia]]),NOT(ISNUMBER(SEARCH(pPrueba,tblMatriculas[[#This Row],[Nombre]]))))</f>
        <v>1</v>
      </c>
      <c r="R12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226" s="23" t="str" cm="1">
        <f t="array" ref="S12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6" s="23" t="str" cm="1">
        <f t="array" ref="T12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6" s="14" t="str" cm="1">
        <f t="array" ref="U12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6" t="str" cm="1">
        <f t="array" ref="V12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6" t="str" cm="1">
        <f t="array" ref="W12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22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226" t="str">
        <f>IF(COUNTIFS('Base Estudiantes'!$C:$C,tblMatriculas[[#This Row],[Cédula]],'Base Estudiantes'!$I:$I,tblMatriculas[[#This Row],[Código]])&gt;0,"Sí","No")</f>
        <v>Sí</v>
      </c>
      <c r="Z1226" s="23" cm="1">
        <f t="array" ref="Z1226">_xlfn.XLOOKUP(tblMatriculas[[#This Row],[Cédula]]&amp;"|"&amp;tblMatriculas[[#This Row],[Código]],tblBase[Documento]&amp;"|"&amp;tblBase[Código grupo],tblBase[Fecha matrícula],"")</f>
        <v>46263</v>
      </c>
    </row>
    <row r="1227" spans="1:26" x14ac:dyDescent="0.2">
      <c r="A1227" t="s">
        <v>2595</v>
      </c>
      <c r="B1227" t="s">
        <v>2596</v>
      </c>
      <c r="C1227" t="s">
        <v>13</v>
      </c>
      <c r="D1227" t="s">
        <v>2592</v>
      </c>
      <c r="E1227" t="s">
        <v>2593</v>
      </c>
      <c r="F1227" t="s">
        <v>2594</v>
      </c>
      <c r="G1227" s="1">
        <v>0</v>
      </c>
      <c r="H1227" t="s">
        <v>254</v>
      </c>
      <c r="I1227" t="s">
        <v>1580</v>
      </c>
      <c r="J1227" t="s">
        <v>1777</v>
      </c>
      <c r="K1227" t="s">
        <v>24</v>
      </c>
      <c r="L1227" s="14">
        <f>IFERROR(VALUE(LEFT(tblMatriculas[[#This Row],[Clases]],FIND("/",tblMatriculas[[#This Row],[Clases]])-1)),"")</f>
        <v>0</v>
      </c>
      <c r="M1227" s="14">
        <f>IFERROR(VALUE(MID(tblMatriculas[[#This Row],[Clases]],FIND("/",tblMatriculas[[#This Row],[Clases]])+1,5)),"")</f>
        <v>30</v>
      </c>
      <c r="N12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27" s="14">
        <f>IF(OR(tblMatriculas[[#This Row],[Estado]]&lt;&gt;"activa",tblMatriculas[[#This Row],[Clases dictadas]]=""),"",MAX(0,tblMatriculas[[#This Row],[Clases dictadas]]-tblMatriculas[[#This Row],[Asistidas]]))</f>
        <v>6</v>
      </c>
      <c r="P1227" s="1">
        <f>IF(OR(tblMatriculas[[#This Row],[Estado]]&lt;&gt;"activa",tblMatriculas[[#This Row],[Asistidas]]=""),"",tblMatriculas[[#This Row],[Asistencia]])</f>
        <v>0</v>
      </c>
      <c r="Q1227" t="b">
        <f>AND(tblMatriculas[[#This Row],[Estado]]="activa",ISNUMBER(tblMatriculas[[#This Row],[% asistencia]]),NOT(ISNUMBER(SEARCH(pPrueba,tblMatriculas[[#This Row],[Nombre]]))))</f>
        <v>1</v>
      </c>
      <c r="R12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27" s="23" t="str" cm="1">
        <f t="array" ref="S12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7" s="23" t="str" cm="1">
        <f t="array" ref="T12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7" s="14" t="str" cm="1">
        <f t="array" ref="U12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7" t="str" cm="1">
        <f t="array" ref="V12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7" t="str" cm="1">
        <f t="array" ref="W12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27" t="str">
        <f>IF(COUNTIFS('Base Estudiantes'!$C:$C,tblMatriculas[[#This Row],[Cédula]],'Base Estudiantes'!$I:$I,tblMatriculas[[#This Row],[Código]])&gt;0,"Sí","No")</f>
        <v>Sí</v>
      </c>
      <c r="Z1227" s="23" cm="1">
        <f t="array" ref="Z1227">_xlfn.XLOOKUP(tblMatriculas[[#This Row],[Cédula]]&amp;"|"&amp;tblMatriculas[[#This Row],[Código]],tblBase[Documento]&amp;"|"&amp;tblBase[Código grupo],tblBase[Fecha matrícula],"")</f>
        <v>46263</v>
      </c>
    </row>
    <row r="1228" spans="1:26" x14ac:dyDescent="0.2">
      <c r="A1228" t="s">
        <v>2597</v>
      </c>
      <c r="B1228" t="s">
        <v>2598</v>
      </c>
      <c r="C1228" t="s">
        <v>13</v>
      </c>
      <c r="D1228" t="s">
        <v>2592</v>
      </c>
      <c r="E1228" t="s">
        <v>2593</v>
      </c>
      <c r="F1228" t="s">
        <v>2594</v>
      </c>
      <c r="G1228" s="1">
        <v>0.2</v>
      </c>
      <c r="H1228" t="s">
        <v>232</v>
      </c>
      <c r="I1228" t="s">
        <v>1580</v>
      </c>
      <c r="J1228" t="s">
        <v>1777</v>
      </c>
      <c r="K1228" t="s">
        <v>24</v>
      </c>
      <c r="L1228" s="14">
        <f>IFERROR(VALUE(LEFT(tblMatriculas[[#This Row],[Clases]],FIND("/",tblMatriculas[[#This Row],[Clases]])-1)),"")</f>
        <v>6</v>
      </c>
      <c r="M1228" s="14">
        <f>IFERROR(VALUE(MID(tblMatriculas[[#This Row],[Clases]],FIND("/",tblMatriculas[[#This Row],[Clases]])+1,5)),"")</f>
        <v>30</v>
      </c>
      <c r="N12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28" s="14">
        <f>IF(OR(tblMatriculas[[#This Row],[Estado]]&lt;&gt;"activa",tblMatriculas[[#This Row],[Clases dictadas]]=""),"",MAX(0,tblMatriculas[[#This Row],[Clases dictadas]]-tblMatriculas[[#This Row],[Asistidas]]))</f>
        <v>0</v>
      </c>
      <c r="P1228" s="1">
        <f>IF(OR(tblMatriculas[[#This Row],[Estado]]&lt;&gt;"activa",tblMatriculas[[#This Row],[Asistidas]]=""),"",tblMatriculas[[#This Row],[Asistencia]])</f>
        <v>0.2</v>
      </c>
      <c r="Q1228" t="b">
        <f>AND(tblMatriculas[[#This Row],[Estado]]="activa",ISNUMBER(tblMatriculas[[#This Row],[% asistencia]]),NOT(ISNUMBER(SEARCH(pPrueba,tblMatriculas[[#This Row],[Nombre]]))))</f>
        <v>1</v>
      </c>
      <c r="R12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8" s="23" t="str" cm="1">
        <f t="array" ref="S12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8" s="23" t="str" cm="1">
        <f t="array" ref="T12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8" s="14" t="str" cm="1">
        <f t="array" ref="U12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8" t="str" cm="1">
        <f t="array" ref="V12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8" t="str" cm="1">
        <f t="array" ref="W12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8" t="str">
        <f>IF(COUNTIFS('Base Estudiantes'!$C:$C,tblMatriculas[[#This Row],[Cédula]],'Base Estudiantes'!$I:$I,tblMatriculas[[#This Row],[Código]])&gt;0,"Sí","No")</f>
        <v>Sí</v>
      </c>
      <c r="Z1228" s="23" cm="1">
        <f t="array" ref="Z1228">_xlfn.XLOOKUP(tblMatriculas[[#This Row],[Cédula]]&amp;"|"&amp;tblMatriculas[[#This Row],[Código]],tblBase[Documento]&amp;"|"&amp;tblBase[Código grupo],tblBase[Fecha matrícula],"")</f>
        <v>46263</v>
      </c>
    </row>
    <row r="1229" spans="1:26" x14ac:dyDescent="0.2">
      <c r="A1229" t="s">
        <v>2599</v>
      </c>
      <c r="B1229" t="s">
        <v>2600</v>
      </c>
      <c r="C1229" t="s">
        <v>13</v>
      </c>
      <c r="D1229" t="s">
        <v>2592</v>
      </c>
      <c r="E1229" t="s">
        <v>2593</v>
      </c>
      <c r="F1229" t="s">
        <v>2594</v>
      </c>
      <c r="G1229" s="1">
        <v>0.2</v>
      </c>
      <c r="H1229" t="s">
        <v>232</v>
      </c>
      <c r="I1229" t="s">
        <v>1580</v>
      </c>
      <c r="J1229" t="s">
        <v>1777</v>
      </c>
      <c r="K1229" t="s">
        <v>24</v>
      </c>
      <c r="L1229" s="14">
        <f>IFERROR(VALUE(LEFT(tblMatriculas[[#This Row],[Clases]],FIND("/",tblMatriculas[[#This Row],[Clases]])-1)),"")</f>
        <v>6</v>
      </c>
      <c r="M1229" s="14">
        <f>IFERROR(VALUE(MID(tblMatriculas[[#This Row],[Clases]],FIND("/",tblMatriculas[[#This Row],[Clases]])+1,5)),"")</f>
        <v>30</v>
      </c>
      <c r="N12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29" s="14">
        <f>IF(OR(tblMatriculas[[#This Row],[Estado]]&lt;&gt;"activa",tblMatriculas[[#This Row],[Clases dictadas]]=""),"",MAX(0,tblMatriculas[[#This Row],[Clases dictadas]]-tblMatriculas[[#This Row],[Asistidas]]))</f>
        <v>0</v>
      </c>
      <c r="P1229" s="1">
        <f>IF(OR(tblMatriculas[[#This Row],[Estado]]&lt;&gt;"activa",tblMatriculas[[#This Row],[Asistidas]]=""),"",tblMatriculas[[#This Row],[Asistencia]])</f>
        <v>0.2</v>
      </c>
      <c r="Q1229" t="b">
        <f>AND(tblMatriculas[[#This Row],[Estado]]="activa",ISNUMBER(tblMatriculas[[#This Row],[% asistencia]]),NOT(ISNUMBER(SEARCH(pPrueba,tblMatriculas[[#This Row],[Nombre]]))))</f>
        <v>1</v>
      </c>
      <c r="R12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29" s="23" t="str" cm="1">
        <f t="array" ref="S12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29" s="23" t="str" cm="1">
        <f t="array" ref="T12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29" s="14" t="str" cm="1">
        <f t="array" ref="U12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29" t="str" cm="1">
        <f t="array" ref="V12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29" t="str" cm="1">
        <f t="array" ref="W12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29" t="str">
        <f>IF(COUNTIFS('Base Estudiantes'!$C:$C,tblMatriculas[[#This Row],[Cédula]],'Base Estudiantes'!$I:$I,tblMatriculas[[#This Row],[Código]])&gt;0,"Sí","No")</f>
        <v>Sí</v>
      </c>
      <c r="Z1229" s="23" cm="1">
        <f t="array" ref="Z1229">_xlfn.XLOOKUP(tblMatriculas[[#This Row],[Cédula]]&amp;"|"&amp;tblMatriculas[[#This Row],[Código]],tblBase[Documento]&amp;"|"&amp;tblBase[Código grupo],tblBase[Fecha matrícula],"")</f>
        <v>46263</v>
      </c>
    </row>
    <row r="1230" spans="1:26" x14ac:dyDescent="0.2">
      <c r="A1230" t="s">
        <v>2601</v>
      </c>
      <c r="B1230" t="s">
        <v>2602</v>
      </c>
      <c r="C1230" t="s">
        <v>13</v>
      </c>
      <c r="D1230" t="s">
        <v>2592</v>
      </c>
      <c r="E1230" t="s">
        <v>2593</v>
      </c>
      <c r="F1230" t="s">
        <v>2594</v>
      </c>
      <c r="G1230" s="1">
        <v>0.2</v>
      </c>
      <c r="H1230" t="s">
        <v>232</v>
      </c>
      <c r="I1230" t="s">
        <v>1580</v>
      </c>
      <c r="J1230" t="s">
        <v>1777</v>
      </c>
      <c r="K1230" t="s">
        <v>24</v>
      </c>
      <c r="L1230" s="14">
        <f>IFERROR(VALUE(LEFT(tblMatriculas[[#This Row],[Clases]],FIND("/",tblMatriculas[[#This Row],[Clases]])-1)),"")</f>
        <v>6</v>
      </c>
      <c r="M1230" s="14">
        <f>IFERROR(VALUE(MID(tblMatriculas[[#This Row],[Clases]],FIND("/",tblMatriculas[[#This Row],[Clases]])+1,5)),"")</f>
        <v>30</v>
      </c>
      <c r="N12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0" s="14">
        <f>IF(OR(tblMatriculas[[#This Row],[Estado]]&lt;&gt;"activa",tblMatriculas[[#This Row],[Clases dictadas]]=""),"",MAX(0,tblMatriculas[[#This Row],[Clases dictadas]]-tblMatriculas[[#This Row],[Asistidas]]))</f>
        <v>0</v>
      </c>
      <c r="P1230" s="1">
        <f>IF(OR(tblMatriculas[[#This Row],[Estado]]&lt;&gt;"activa",tblMatriculas[[#This Row],[Asistidas]]=""),"",tblMatriculas[[#This Row],[Asistencia]])</f>
        <v>0.2</v>
      </c>
      <c r="Q1230" t="b">
        <f>AND(tblMatriculas[[#This Row],[Estado]]="activa",ISNUMBER(tblMatriculas[[#This Row],[% asistencia]]),NOT(ISNUMBER(SEARCH(pPrueba,tblMatriculas[[#This Row],[Nombre]]))))</f>
        <v>1</v>
      </c>
      <c r="R12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0" s="23" t="str" cm="1">
        <f t="array" ref="S12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0" s="23" t="str" cm="1">
        <f t="array" ref="T12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0" s="14" t="str" cm="1">
        <f t="array" ref="U12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0" t="str" cm="1">
        <f t="array" ref="V12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0" t="str" cm="1">
        <f t="array" ref="W12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0" t="str">
        <f>IF(COUNTIFS('Base Estudiantes'!$C:$C,tblMatriculas[[#This Row],[Cédula]],'Base Estudiantes'!$I:$I,tblMatriculas[[#This Row],[Código]])&gt;0,"Sí","No")</f>
        <v>Sí</v>
      </c>
      <c r="Z1230" s="23" cm="1">
        <f t="array" ref="Z1230">_xlfn.XLOOKUP(tblMatriculas[[#This Row],[Cédula]]&amp;"|"&amp;tblMatriculas[[#This Row],[Código]],tblBase[Documento]&amp;"|"&amp;tblBase[Código grupo],tblBase[Fecha matrícula],"")</f>
        <v>46263</v>
      </c>
    </row>
    <row r="1231" spans="1:26" x14ac:dyDescent="0.2">
      <c r="A1231" t="s">
        <v>2603</v>
      </c>
      <c r="B1231" t="s">
        <v>2604</v>
      </c>
      <c r="C1231" t="s">
        <v>13</v>
      </c>
      <c r="D1231" t="s">
        <v>2592</v>
      </c>
      <c r="E1231" t="s">
        <v>2593</v>
      </c>
      <c r="F1231" t="s">
        <v>2594</v>
      </c>
      <c r="G1231" s="1">
        <v>0.2</v>
      </c>
      <c r="H1231" t="s">
        <v>232</v>
      </c>
      <c r="I1231" t="s">
        <v>1580</v>
      </c>
      <c r="J1231" t="s">
        <v>1777</v>
      </c>
      <c r="K1231" t="s">
        <v>24</v>
      </c>
      <c r="L1231" s="14">
        <f>IFERROR(VALUE(LEFT(tblMatriculas[[#This Row],[Clases]],FIND("/",tblMatriculas[[#This Row],[Clases]])-1)),"")</f>
        <v>6</v>
      </c>
      <c r="M1231" s="14">
        <f>IFERROR(VALUE(MID(tblMatriculas[[#This Row],[Clases]],FIND("/",tblMatriculas[[#This Row],[Clases]])+1,5)),"")</f>
        <v>30</v>
      </c>
      <c r="N12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1" s="14">
        <f>IF(OR(tblMatriculas[[#This Row],[Estado]]&lt;&gt;"activa",tblMatriculas[[#This Row],[Clases dictadas]]=""),"",MAX(0,tblMatriculas[[#This Row],[Clases dictadas]]-tblMatriculas[[#This Row],[Asistidas]]))</f>
        <v>0</v>
      </c>
      <c r="P1231" s="1">
        <f>IF(OR(tblMatriculas[[#This Row],[Estado]]&lt;&gt;"activa",tblMatriculas[[#This Row],[Asistidas]]=""),"",tblMatriculas[[#This Row],[Asistencia]])</f>
        <v>0.2</v>
      </c>
      <c r="Q1231" t="b">
        <f>AND(tblMatriculas[[#This Row],[Estado]]="activa",ISNUMBER(tblMatriculas[[#This Row],[% asistencia]]),NOT(ISNUMBER(SEARCH(pPrueba,tblMatriculas[[#This Row],[Nombre]]))))</f>
        <v>1</v>
      </c>
      <c r="R12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1" s="23" t="str" cm="1">
        <f t="array" ref="S12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1" s="23" t="str" cm="1">
        <f t="array" ref="T12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1" s="14" t="str" cm="1">
        <f t="array" ref="U12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1" t="str" cm="1">
        <f t="array" ref="V12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1" t="str" cm="1">
        <f t="array" ref="W12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1" t="str">
        <f>IF(COUNTIFS('Base Estudiantes'!$C:$C,tblMatriculas[[#This Row],[Cédula]],'Base Estudiantes'!$I:$I,tblMatriculas[[#This Row],[Código]])&gt;0,"Sí","No")</f>
        <v>Sí</v>
      </c>
      <c r="Z1231" s="23" cm="1">
        <f t="array" ref="Z1231">_xlfn.XLOOKUP(tblMatriculas[[#This Row],[Cédula]]&amp;"|"&amp;tblMatriculas[[#This Row],[Código]],tblBase[Documento]&amp;"|"&amp;tblBase[Código grupo],tblBase[Fecha matrícula],"")</f>
        <v>46263</v>
      </c>
    </row>
    <row r="1232" spans="1:26" x14ac:dyDescent="0.2">
      <c r="A1232" t="s">
        <v>2605</v>
      </c>
      <c r="B1232" t="s">
        <v>2606</v>
      </c>
      <c r="C1232" t="s">
        <v>13</v>
      </c>
      <c r="D1232" t="s">
        <v>2592</v>
      </c>
      <c r="E1232" t="s">
        <v>2593</v>
      </c>
      <c r="F1232" t="s">
        <v>2594</v>
      </c>
      <c r="G1232" s="1">
        <v>0.16699999999999998</v>
      </c>
      <c r="H1232" t="s">
        <v>229</v>
      </c>
      <c r="I1232" t="s">
        <v>1580</v>
      </c>
      <c r="J1232" t="s">
        <v>1777</v>
      </c>
      <c r="K1232" t="s">
        <v>24</v>
      </c>
      <c r="L1232" s="14">
        <f>IFERROR(VALUE(LEFT(tblMatriculas[[#This Row],[Clases]],FIND("/",tblMatriculas[[#This Row],[Clases]])-1)),"")</f>
        <v>5</v>
      </c>
      <c r="M1232" s="14">
        <f>IFERROR(VALUE(MID(tblMatriculas[[#This Row],[Clases]],FIND("/",tblMatriculas[[#This Row],[Clases]])+1,5)),"")</f>
        <v>30</v>
      </c>
      <c r="N12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2" s="14">
        <f>IF(OR(tblMatriculas[[#This Row],[Estado]]&lt;&gt;"activa",tblMatriculas[[#This Row],[Clases dictadas]]=""),"",MAX(0,tblMatriculas[[#This Row],[Clases dictadas]]-tblMatriculas[[#This Row],[Asistidas]]))</f>
        <v>1</v>
      </c>
      <c r="P1232" s="1">
        <f>IF(OR(tblMatriculas[[#This Row],[Estado]]&lt;&gt;"activa",tblMatriculas[[#This Row],[Asistidas]]=""),"",tblMatriculas[[#This Row],[Asistencia]])</f>
        <v>0.16699999999999998</v>
      </c>
      <c r="Q1232" t="b">
        <f>AND(tblMatriculas[[#This Row],[Estado]]="activa",ISNUMBER(tblMatriculas[[#This Row],[% asistencia]]),NOT(ISNUMBER(SEARCH(pPrueba,tblMatriculas[[#This Row],[Nombre]]))))</f>
        <v>1</v>
      </c>
      <c r="R12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2" s="23" t="str" cm="1">
        <f t="array" ref="S12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2" s="23" t="str" cm="1">
        <f t="array" ref="T12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2" s="14" t="str" cm="1">
        <f t="array" ref="U12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2" t="str" cm="1">
        <f t="array" ref="V12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2" t="str" cm="1">
        <f t="array" ref="W12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2" t="str">
        <f>IF(COUNTIFS('Base Estudiantes'!$C:$C,tblMatriculas[[#This Row],[Cédula]],'Base Estudiantes'!$I:$I,tblMatriculas[[#This Row],[Código]])&gt;0,"Sí","No")</f>
        <v>Sí</v>
      </c>
      <c r="Z1232" s="23" cm="1">
        <f t="array" ref="Z1232">_xlfn.XLOOKUP(tblMatriculas[[#This Row],[Cédula]]&amp;"|"&amp;tblMatriculas[[#This Row],[Código]],tblBase[Documento]&amp;"|"&amp;tblBase[Código grupo],tblBase[Fecha matrícula],"")</f>
        <v>46263</v>
      </c>
    </row>
    <row r="1233" spans="1:26" x14ac:dyDescent="0.2">
      <c r="A1233" t="s">
        <v>2607</v>
      </c>
      <c r="B1233" t="s">
        <v>2608</v>
      </c>
      <c r="C1233" t="s">
        <v>13</v>
      </c>
      <c r="D1233" t="s">
        <v>2592</v>
      </c>
      <c r="E1233" t="s">
        <v>2593</v>
      </c>
      <c r="F1233" t="s">
        <v>2594</v>
      </c>
      <c r="G1233" s="1">
        <v>0</v>
      </c>
      <c r="H1233" t="s">
        <v>254</v>
      </c>
      <c r="I1233" t="s">
        <v>1580</v>
      </c>
      <c r="J1233" t="s">
        <v>1777</v>
      </c>
      <c r="K1233" t="s">
        <v>24</v>
      </c>
      <c r="L1233" s="14">
        <f>IFERROR(VALUE(LEFT(tblMatriculas[[#This Row],[Clases]],FIND("/",tblMatriculas[[#This Row],[Clases]])-1)),"")</f>
        <v>0</v>
      </c>
      <c r="M1233" s="14">
        <f>IFERROR(VALUE(MID(tblMatriculas[[#This Row],[Clases]],FIND("/",tblMatriculas[[#This Row],[Clases]])+1,5)),"")</f>
        <v>30</v>
      </c>
      <c r="N12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3" s="14">
        <f>IF(OR(tblMatriculas[[#This Row],[Estado]]&lt;&gt;"activa",tblMatriculas[[#This Row],[Clases dictadas]]=""),"",MAX(0,tblMatriculas[[#This Row],[Clases dictadas]]-tblMatriculas[[#This Row],[Asistidas]]))</f>
        <v>6</v>
      </c>
      <c r="P1233" s="1">
        <f>IF(OR(tblMatriculas[[#This Row],[Estado]]&lt;&gt;"activa",tblMatriculas[[#This Row],[Asistidas]]=""),"",tblMatriculas[[#This Row],[Asistencia]])</f>
        <v>0</v>
      </c>
      <c r="Q1233" t="b">
        <f>AND(tblMatriculas[[#This Row],[Estado]]="activa",ISNUMBER(tblMatriculas[[#This Row],[% asistencia]]),NOT(ISNUMBER(SEARCH(pPrueba,tblMatriculas[[#This Row],[Nombre]]))))</f>
        <v>1</v>
      </c>
      <c r="R12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33" s="23" t="str" cm="1">
        <f t="array" ref="S12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3" s="23" t="str" cm="1">
        <f t="array" ref="T12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3" s="14" t="str" cm="1">
        <f t="array" ref="U12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3" t="str" cm="1">
        <f t="array" ref="V12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3" t="str" cm="1">
        <f t="array" ref="W12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3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33" t="str">
        <f>IF(COUNTIFS('Base Estudiantes'!$C:$C,tblMatriculas[[#This Row],[Cédula]],'Base Estudiantes'!$I:$I,tblMatriculas[[#This Row],[Código]])&gt;0,"Sí","No")</f>
        <v>Sí</v>
      </c>
      <c r="Z1233" s="23" cm="1">
        <f t="array" ref="Z1233">_xlfn.XLOOKUP(tblMatriculas[[#This Row],[Cédula]]&amp;"|"&amp;tblMatriculas[[#This Row],[Código]],tblBase[Documento]&amp;"|"&amp;tblBase[Código grupo],tblBase[Fecha matrícula],"")</f>
        <v>46263</v>
      </c>
    </row>
    <row r="1234" spans="1:26" x14ac:dyDescent="0.2">
      <c r="A1234" t="s">
        <v>2609</v>
      </c>
      <c r="B1234" t="s">
        <v>2610</v>
      </c>
      <c r="C1234" t="s">
        <v>13</v>
      </c>
      <c r="D1234" t="s">
        <v>2592</v>
      </c>
      <c r="E1234" t="s">
        <v>2593</v>
      </c>
      <c r="F1234" t="s">
        <v>2594</v>
      </c>
      <c r="G1234" s="1">
        <v>0.1</v>
      </c>
      <c r="H1234" t="s">
        <v>117</v>
      </c>
      <c r="I1234" t="s">
        <v>1580</v>
      </c>
      <c r="J1234" t="s">
        <v>1777</v>
      </c>
      <c r="K1234" t="s">
        <v>24</v>
      </c>
      <c r="L1234" s="14">
        <f>IFERROR(VALUE(LEFT(tblMatriculas[[#This Row],[Clases]],FIND("/",tblMatriculas[[#This Row],[Clases]])-1)),"")</f>
        <v>3</v>
      </c>
      <c r="M1234" s="14">
        <f>IFERROR(VALUE(MID(tblMatriculas[[#This Row],[Clases]],FIND("/",tblMatriculas[[#This Row],[Clases]])+1,5)),"")</f>
        <v>30</v>
      </c>
      <c r="N12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4" s="14">
        <f>IF(OR(tblMatriculas[[#This Row],[Estado]]&lt;&gt;"activa",tblMatriculas[[#This Row],[Clases dictadas]]=""),"",MAX(0,tblMatriculas[[#This Row],[Clases dictadas]]-tblMatriculas[[#This Row],[Asistidas]]))</f>
        <v>3</v>
      </c>
      <c r="P1234" s="1">
        <f>IF(OR(tblMatriculas[[#This Row],[Estado]]&lt;&gt;"activa",tblMatriculas[[#This Row],[Asistidas]]=""),"",tblMatriculas[[#This Row],[Asistencia]])</f>
        <v>0.1</v>
      </c>
      <c r="Q1234" t="b">
        <f>AND(tblMatriculas[[#This Row],[Estado]]="activa",ISNUMBER(tblMatriculas[[#This Row],[% asistencia]]),NOT(ISNUMBER(SEARCH(pPrueba,tblMatriculas[[#This Row],[Nombre]]))))</f>
        <v>1</v>
      </c>
      <c r="R12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4" s="23" t="str" cm="1">
        <f t="array" ref="S12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4" s="23" t="str" cm="1">
        <f t="array" ref="T12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4" s="14" t="str" cm="1">
        <f t="array" ref="U12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4" t="str" cm="1">
        <f t="array" ref="V12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4" t="str" cm="1">
        <f t="array" ref="W12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4" t="str">
        <f>IF(COUNTIFS('Base Estudiantes'!$C:$C,tblMatriculas[[#This Row],[Cédula]],'Base Estudiantes'!$I:$I,tblMatriculas[[#This Row],[Código]])&gt;0,"Sí","No")</f>
        <v>Sí</v>
      </c>
      <c r="Z1234" s="23" cm="1">
        <f t="array" ref="Z1234">_xlfn.XLOOKUP(tblMatriculas[[#This Row],[Cédula]]&amp;"|"&amp;tblMatriculas[[#This Row],[Código]],tblBase[Documento]&amp;"|"&amp;tblBase[Código grupo],tblBase[Fecha matrícula],"")</f>
        <v>46263</v>
      </c>
    </row>
    <row r="1235" spans="1:26" x14ac:dyDescent="0.2">
      <c r="A1235" t="s">
        <v>2611</v>
      </c>
      <c r="B1235" t="s">
        <v>2612</v>
      </c>
      <c r="C1235" t="s">
        <v>13</v>
      </c>
      <c r="D1235" t="s">
        <v>2592</v>
      </c>
      <c r="E1235" t="s">
        <v>2593</v>
      </c>
      <c r="F1235" t="s">
        <v>2594</v>
      </c>
      <c r="G1235" s="1">
        <v>0.2</v>
      </c>
      <c r="H1235" t="s">
        <v>232</v>
      </c>
      <c r="I1235" t="s">
        <v>1580</v>
      </c>
      <c r="J1235" t="s">
        <v>1777</v>
      </c>
      <c r="K1235" t="s">
        <v>24</v>
      </c>
      <c r="L1235" s="14">
        <f>IFERROR(VALUE(LEFT(tblMatriculas[[#This Row],[Clases]],FIND("/",tblMatriculas[[#This Row],[Clases]])-1)),"")</f>
        <v>6</v>
      </c>
      <c r="M1235" s="14">
        <f>IFERROR(VALUE(MID(tblMatriculas[[#This Row],[Clases]],FIND("/",tblMatriculas[[#This Row],[Clases]])+1,5)),"")</f>
        <v>30</v>
      </c>
      <c r="N12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5" s="14">
        <f>IF(OR(tblMatriculas[[#This Row],[Estado]]&lt;&gt;"activa",tblMatriculas[[#This Row],[Clases dictadas]]=""),"",MAX(0,tblMatriculas[[#This Row],[Clases dictadas]]-tblMatriculas[[#This Row],[Asistidas]]))</f>
        <v>0</v>
      </c>
      <c r="P1235" s="1">
        <f>IF(OR(tblMatriculas[[#This Row],[Estado]]&lt;&gt;"activa",tblMatriculas[[#This Row],[Asistidas]]=""),"",tblMatriculas[[#This Row],[Asistencia]])</f>
        <v>0.2</v>
      </c>
      <c r="Q1235" t="b">
        <f>AND(tblMatriculas[[#This Row],[Estado]]="activa",ISNUMBER(tblMatriculas[[#This Row],[% asistencia]]),NOT(ISNUMBER(SEARCH(pPrueba,tblMatriculas[[#This Row],[Nombre]]))))</f>
        <v>1</v>
      </c>
      <c r="R12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5" s="23" t="str" cm="1">
        <f t="array" ref="S12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5" s="23" t="str" cm="1">
        <f t="array" ref="T12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5" s="14" t="str" cm="1">
        <f t="array" ref="U12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5" t="str" cm="1">
        <f t="array" ref="V12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5" t="str" cm="1">
        <f t="array" ref="W12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5" t="str">
        <f>IF(COUNTIFS('Base Estudiantes'!$C:$C,tblMatriculas[[#This Row],[Cédula]],'Base Estudiantes'!$I:$I,tblMatriculas[[#This Row],[Código]])&gt;0,"Sí","No")</f>
        <v>Sí</v>
      </c>
      <c r="Z1235" s="23" cm="1">
        <f t="array" ref="Z1235">_xlfn.XLOOKUP(tblMatriculas[[#This Row],[Cédula]]&amp;"|"&amp;tblMatriculas[[#This Row],[Código]],tblBase[Documento]&amp;"|"&amp;tblBase[Código grupo],tblBase[Fecha matrícula],"")</f>
        <v>46263</v>
      </c>
    </row>
    <row r="1236" spans="1:26" x14ac:dyDescent="0.2">
      <c r="A1236" t="s">
        <v>2613</v>
      </c>
      <c r="B1236" t="s">
        <v>2614</v>
      </c>
      <c r="C1236" t="s">
        <v>13</v>
      </c>
      <c r="D1236" t="s">
        <v>2592</v>
      </c>
      <c r="E1236" t="s">
        <v>2593</v>
      </c>
      <c r="F1236" t="s">
        <v>2594</v>
      </c>
      <c r="G1236" s="1">
        <v>0.2</v>
      </c>
      <c r="H1236" t="s">
        <v>232</v>
      </c>
      <c r="I1236" t="s">
        <v>1580</v>
      </c>
      <c r="J1236" t="s">
        <v>1777</v>
      </c>
      <c r="K1236" t="s">
        <v>24</v>
      </c>
      <c r="L1236" s="14">
        <f>IFERROR(VALUE(LEFT(tblMatriculas[[#This Row],[Clases]],FIND("/",tblMatriculas[[#This Row],[Clases]])-1)),"")</f>
        <v>6</v>
      </c>
      <c r="M1236" s="14">
        <f>IFERROR(VALUE(MID(tblMatriculas[[#This Row],[Clases]],FIND("/",tblMatriculas[[#This Row],[Clases]])+1,5)),"")</f>
        <v>30</v>
      </c>
      <c r="N12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6" s="14">
        <f>IF(OR(tblMatriculas[[#This Row],[Estado]]&lt;&gt;"activa",tblMatriculas[[#This Row],[Clases dictadas]]=""),"",MAX(0,tblMatriculas[[#This Row],[Clases dictadas]]-tblMatriculas[[#This Row],[Asistidas]]))</f>
        <v>0</v>
      </c>
      <c r="P1236" s="1">
        <f>IF(OR(tblMatriculas[[#This Row],[Estado]]&lt;&gt;"activa",tblMatriculas[[#This Row],[Asistidas]]=""),"",tblMatriculas[[#This Row],[Asistencia]])</f>
        <v>0.2</v>
      </c>
      <c r="Q1236" t="b">
        <f>AND(tblMatriculas[[#This Row],[Estado]]="activa",ISNUMBER(tblMatriculas[[#This Row],[% asistencia]]),NOT(ISNUMBER(SEARCH(pPrueba,tblMatriculas[[#This Row],[Nombre]]))))</f>
        <v>1</v>
      </c>
      <c r="R12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6" s="23" t="str" cm="1">
        <f t="array" ref="S12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6" s="23" t="str" cm="1">
        <f t="array" ref="T12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6" s="14" t="str" cm="1">
        <f t="array" ref="U12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6" t="str" cm="1">
        <f t="array" ref="V12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6" t="str" cm="1">
        <f t="array" ref="W12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6" t="str">
        <f>IF(COUNTIFS('Base Estudiantes'!$C:$C,tblMatriculas[[#This Row],[Cédula]],'Base Estudiantes'!$I:$I,tblMatriculas[[#This Row],[Código]])&gt;0,"Sí","No")</f>
        <v>Sí</v>
      </c>
      <c r="Z1236" s="23" cm="1">
        <f t="array" ref="Z1236">_xlfn.XLOOKUP(tblMatriculas[[#This Row],[Cédula]]&amp;"|"&amp;tblMatriculas[[#This Row],[Código]],tblBase[Documento]&amp;"|"&amp;tblBase[Código grupo],tblBase[Fecha matrícula],"")</f>
        <v>46263</v>
      </c>
    </row>
    <row r="1237" spans="1:26" x14ac:dyDescent="0.2">
      <c r="A1237" t="s">
        <v>2615</v>
      </c>
      <c r="B1237" t="s">
        <v>2616</v>
      </c>
      <c r="C1237" t="s">
        <v>13</v>
      </c>
      <c r="D1237" t="s">
        <v>2592</v>
      </c>
      <c r="E1237" t="s">
        <v>2593</v>
      </c>
      <c r="F1237" t="s">
        <v>2594</v>
      </c>
      <c r="G1237" s="1">
        <v>0.13300000000000001</v>
      </c>
      <c r="H1237" t="s">
        <v>112</v>
      </c>
      <c r="I1237" t="s">
        <v>1580</v>
      </c>
      <c r="J1237" t="s">
        <v>1777</v>
      </c>
      <c r="K1237" t="s">
        <v>24</v>
      </c>
      <c r="L1237" s="14">
        <f>IFERROR(VALUE(LEFT(tblMatriculas[[#This Row],[Clases]],FIND("/",tblMatriculas[[#This Row],[Clases]])-1)),"")</f>
        <v>4</v>
      </c>
      <c r="M1237" s="14">
        <f>IFERROR(VALUE(MID(tblMatriculas[[#This Row],[Clases]],FIND("/",tblMatriculas[[#This Row],[Clases]])+1,5)),"")</f>
        <v>30</v>
      </c>
      <c r="N12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7" s="14">
        <f>IF(OR(tblMatriculas[[#This Row],[Estado]]&lt;&gt;"activa",tblMatriculas[[#This Row],[Clases dictadas]]=""),"",MAX(0,tblMatriculas[[#This Row],[Clases dictadas]]-tblMatriculas[[#This Row],[Asistidas]]))</f>
        <v>2</v>
      </c>
      <c r="P1237" s="1">
        <f>IF(OR(tblMatriculas[[#This Row],[Estado]]&lt;&gt;"activa",tblMatriculas[[#This Row],[Asistidas]]=""),"",tblMatriculas[[#This Row],[Asistencia]])</f>
        <v>0.13300000000000001</v>
      </c>
      <c r="Q1237" t="b">
        <f>AND(tblMatriculas[[#This Row],[Estado]]="activa",ISNUMBER(tblMatriculas[[#This Row],[% asistencia]]),NOT(ISNUMBER(SEARCH(pPrueba,tblMatriculas[[#This Row],[Nombre]]))))</f>
        <v>1</v>
      </c>
      <c r="R12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7" s="23" t="str" cm="1">
        <f t="array" ref="S12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7" s="23" t="str" cm="1">
        <f t="array" ref="T12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7" s="14" t="str" cm="1">
        <f t="array" ref="U12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7" t="str" cm="1">
        <f t="array" ref="V12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7" t="str" cm="1">
        <f t="array" ref="W12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7" t="str">
        <f>IF(COUNTIFS('Base Estudiantes'!$C:$C,tblMatriculas[[#This Row],[Cédula]],'Base Estudiantes'!$I:$I,tblMatriculas[[#This Row],[Código]])&gt;0,"Sí","No")</f>
        <v>Sí</v>
      </c>
      <c r="Z1237" s="23" cm="1">
        <f t="array" ref="Z1237">_xlfn.XLOOKUP(tblMatriculas[[#This Row],[Cédula]]&amp;"|"&amp;tblMatriculas[[#This Row],[Código]],tblBase[Documento]&amp;"|"&amp;tblBase[Código grupo],tblBase[Fecha matrícula],"")</f>
        <v>46263</v>
      </c>
    </row>
    <row r="1238" spans="1:26" x14ac:dyDescent="0.2">
      <c r="A1238" t="s">
        <v>2617</v>
      </c>
      <c r="B1238" t="s">
        <v>2618</v>
      </c>
      <c r="C1238" t="s">
        <v>13</v>
      </c>
      <c r="D1238" t="s">
        <v>2592</v>
      </c>
      <c r="E1238" t="s">
        <v>2593</v>
      </c>
      <c r="F1238" t="s">
        <v>2594</v>
      </c>
      <c r="G1238" s="1">
        <v>0.2</v>
      </c>
      <c r="H1238" t="s">
        <v>232</v>
      </c>
      <c r="I1238" t="s">
        <v>1580</v>
      </c>
      <c r="J1238" t="s">
        <v>1777</v>
      </c>
      <c r="K1238" t="s">
        <v>24</v>
      </c>
      <c r="L1238" s="14">
        <f>IFERROR(VALUE(LEFT(tblMatriculas[[#This Row],[Clases]],FIND("/",tblMatriculas[[#This Row],[Clases]])-1)),"")</f>
        <v>6</v>
      </c>
      <c r="M1238" s="14">
        <f>IFERROR(VALUE(MID(tblMatriculas[[#This Row],[Clases]],FIND("/",tblMatriculas[[#This Row],[Clases]])+1,5)),"")</f>
        <v>30</v>
      </c>
      <c r="N12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8" s="14">
        <f>IF(OR(tblMatriculas[[#This Row],[Estado]]&lt;&gt;"activa",tblMatriculas[[#This Row],[Clases dictadas]]=""),"",MAX(0,tblMatriculas[[#This Row],[Clases dictadas]]-tblMatriculas[[#This Row],[Asistidas]]))</f>
        <v>0</v>
      </c>
      <c r="P1238" s="1">
        <f>IF(OR(tblMatriculas[[#This Row],[Estado]]&lt;&gt;"activa",tblMatriculas[[#This Row],[Asistidas]]=""),"",tblMatriculas[[#This Row],[Asistencia]])</f>
        <v>0.2</v>
      </c>
      <c r="Q1238" t="b">
        <f>AND(tblMatriculas[[#This Row],[Estado]]="activa",ISNUMBER(tblMatriculas[[#This Row],[% asistencia]]),NOT(ISNUMBER(SEARCH(pPrueba,tblMatriculas[[#This Row],[Nombre]]))))</f>
        <v>1</v>
      </c>
      <c r="R12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8" s="23" t="str" cm="1">
        <f t="array" ref="S12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8" s="23" t="str" cm="1">
        <f t="array" ref="T12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8" s="14" t="str" cm="1">
        <f t="array" ref="U12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8" t="str" cm="1">
        <f t="array" ref="V12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8" t="str" cm="1">
        <f t="array" ref="W12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8" t="str">
        <f>IF(COUNTIFS('Base Estudiantes'!$C:$C,tblMatriculas[[#This Row],[Cédula]],'Base Estudiantes'!$I:$I,tblMatriculas[[#This Row],[Código]])&gt;0,"Sí","No")</f>
        <v>Sí</v>
      </c>
      <c r="Z1238" s="23" cm="1">
        <f t="array" ref="Z1238">_xlfn.XLOOKUP(tblMatriculas[[#This Row],[Cédula]]&amp;"|"&amp;tblMatriculas[[#This Row],[Código]],tblBase[Documento]&amp;"|"&amp;tblBase[Código grupo],tblBase[Fecha matrícula],"")</f>
        <v>46263</v>
      </c>
    </row>
    <row r="1239" spans="1:26" x14ac:dyDescent="0.2">
      <c r="A1239" t="s">
        <v>2619</v>
      </c>
      <c r="B1239" t="s">
        <v>2620</v>
      </c>
      <c r="C1239" t="s">
        <v>13</v>
      </c>
      <c r="D1239" t="s">
        <v>2592</v>
      </c>
      <c r="E1239" t="s">
        <v>2593</v>
      </c>
      <c r="F1239" t="s">
        <v>2594</v>
      </c>
      <c r="G1239" s="1">
        <v>0.2</v>
      </c>
      <c r="H1239" t="s">
        <v>232</v>
      </c>
      <c r="I1239" t="s">
        <v>1580</v>
      </c>
      <c r="J1239" t="s">
        <v>1777</v>
      </c>
      <c r="K1239" t="s">
        <v>24</v>
      </c>
      <c r="L1239" s="14">
        <f>IFERROR(VALUE(LEFT(tblMatriculas[[#This Row],[Clases]],FIND("/",tblMatriculas[[#This Row],[Clases]])-1)),"")</f>
        <v>6</v>
      </c>
      <c r="M1239" s="14">
        <f>IFERROR(VALUE(MID(tblMatriculas[[#This Row],[Clases]],FIND("/",tblMatriculas[[#This Row],[Clases]])+1,5)),"")</f>
        <v>30</v>
      </c>
      <c r="N12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39" s="14">
        <f>IF(OR(tblMatriculas[[#This Row],[Estado]]&lt;&gt;"activa",tblMatriculas[[#This Row],[Clases dictadas]]=""),"",MAX(0,tblMatriculas[[#This Row],[Clases dictadas]]-tblMatriculas[[#This Row],[Asistidas]]))</f>
        <v>0</v>
      </c>
      <c r="P1239" s="1">
        <f>IF(OR(tblMatriculas[[#This Row],[Estado]]&lt;&gt;"activa",tblMatriculas[[#This Row],[Asistidas]]=""),"",tblMatriculas[[#This Row],[Asistencia]])</f>
        <v>0.2</v>
      </c>
      <c r="Q1239" t="b">
        <f>AND(tblMatriculas[[#This Row],[Estado]]="activa",ISNUMBER(tblMatriculas[[#This Row],[% asistencia]]),NOT(ISNUMBER(SEARCH(pPrueba,tblMatriculas[[#This Row],[Nombre]]))))</f>
        <v>1</v>
      </c>
      <c r="R12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39" s="23" t="str" cm="1">
        <f t="array" ref="S12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39" s="23" t="str" cm="1">
        <f t="array" ref="T12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39" s="14" t="str" cm="1">
        <f t="array" ref="U12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39" t="str" cm="1">
        <f t="array" ref="V12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39" t="str" cm="1">
        <f t="array" ref="W12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39" t="str">
        <f>IF(COUNTIFS('Base Estudiantes'!$C:$C,tblMatriculas[[#This Row],[Cédula]],'Base Estudiantes'!$I:$I,tblMatriculas[[#This Row],[Código]])&gt;0,"Sí","No")</f>
        <v>Sí</v>
      </c>
      <c r="Z1239" s="23" cm="1">
        <f t="array" ref="Z1239">_xlfn.XLOOKUP(tblMatriculas[[#This Row],[Cédula]]&amp;"|"&amp;tblMatriculas[[#This Row],[Código]],tblBase[Documento]&amp;"|"&amp;tblBase[Código grupo],tblBase[Fecha matrícula],"")</f>
        <v>46263</v>
      </c>
    </row>
    <row r="1240" spans="1:26" x14ac:dyDescent="0.2">
      <c r="A1240" t="s">
        <v>2621</v>
      </c>
      <c r="B1240" t="s">
        <v>2622</v>
      </c>
      <c r="C1240" t="s">
        <v>13</v>
      </c>
      <c r="D1240" t="s">
        <v>2592</v>
      </c>
      <c r="E1240" t="s">
        <v>2593</v>
      </c>
      <c r="F1240" t="s">
        <v>2594</v>
      </c>
      <c r="G1240" s="1">
        <v>0.2</v>
      </c>
      <c r="H1240" t="s">
        <v>232</v>
      </c>
      <c r="I1240" t="s">
        <v>1580</v>
      </c>
      <c r="J1240" t="s">
        <v>1777</v>
      </c>
      <c r="K1240" t="s">
        <v>24</v>
      </c>
      <c r="L1240" s="14">
        <f>IFERROR(VALUE(LEFT(tblMatriculas[[#This Row],[Clases]],FIND("/",tblMatriculas[[#This Row],[Clases]])-1)),"")</f>
        <v>6</v>
      </c>
      <c r="M1240" s="14">
        <f>IFERROR(VALUE(MID(tblMatriculas[[#This Row],[Clases]],FIND("/",tblMatriculas[[#This Row],[Clases]])+1,5)),"")</f>
        <v>30</v>
      </c>
      <c r="N12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0" s="14">
        <f>IF(OR(tblMatriculas[[#This Row],[Estado]]&lt;&gt;"activa",tblMatriculas[[#This Row],[Clases dictadas]]=""),"",MAX(0,tblMatriculas[[#This Row],[Clases dictadas]]-tblMatriculas[[#This Row],[Asistidas]]))</f>
        <v>0</v>
      </c>
      <c r="P1240" s="1">
        <f>IF(OR(tblMatriculas[[#This Row],[Estado]]&lt;&gt;"activa",tblMatriculas[[#This Row],[Asistidas]]=""),"",tblMatriculas[[#This Row],[Asistencia]])</f>
        <v>0.2</v>
      </c>
      <c r="Q1240" t="b">
        <f>AND(tblMatriculas[[#This Row],[Estado]]="activa",ISNUMBER(tblMatriculas[[#This Row],[% asistencia]]),NOT(ISNUMBER(SEARCH(pPrueba,tblMatriculas[[#This Row],[Nombre]]))))</f>
        <v>1</v>
      </c>
      <c r="R12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0" s="23" t="str" cm="1">
        <f t="array" ref="S12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0" s="23" t="str" cm="1">
        <f t="array" ref="T12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0" s="14" t="str" cm="1">
        <f t="array" ref="U12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0" t="str" cm="1">
        <f t="array" ref="V12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0" t="str" cm="1">
        <f t="array" ref="W12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0" t="str">
        <f>IF(COUNTIFS('Base Estudiantes'!$C:$C,tblMatriculas[[#This Row],[Cédula]],'Base Estudiantes'!$I:$I,tblMatriculas[[#This Row],[Código]])&gt;0,"Sí","No")</f>
        <v>Sí</v>
      </c>
      <c r="Z1240" s="23" cm="1">
        <f t="array" ref="Z1240">_xlfn.XLOOKUP(tblMatriculas[[#This Row],[Cédula]]&amp;"|"&amp;tblMatriculas[[#This Row],[Código]],tblBase[Documento]&amp;"|"&amp;tblBase[Código grupo],tblBase[Fecha matrícula],"")</f>
        <v>46263</v>
      </c>
    </row>
    <row r="1241" spans="1:26" x14ac:dyDescent="0.2">
      <c r="A1241" t="s">
        <v>2623</v>
      </c>
      <c r="B1241" t="s">
        <v>2624</v>
      </c>
      <c r="C1241" t="s">
        <v>13</v>
      </c>
      <c r="D1241" t="s">
        <v>2592</v>
      </c>
      <c r="E1241" t="s">
        <v>2593</v>
      </c>
      <c r="F1241" t="s">
        <v>2594</v>
      </c>
      <c r="G1241" s="1">
        <v>6.7000000000000004E-2</v>
      </c>
      <c r="H1241" t="s">
        <v>166</v>
      </c>
      <c r="I1241" t="s">
        <v>1580</v>
      </c>
      <c r="J1241" t="s">
        <v>1777</v>
      </c>
      <c r="K1241" t="s">
        <v>24</v>
      </c>
      <c r="L1241" s="14">
        <f>IFERROR(VALUE(LEFT(tblMatriculas[[#This Row],[Clases]],FIND("/",tblMatriculas[[#This Row],[Clases]])-1)),"")</f>
        <v>2</v>
      </c>
      <c r="M1241" s="14">
        <f>IFERROR(VALUE(MID(tblMatriculas[[#This Row],[Clases]],FIND("/",tblMatriculas[[#This Row],[Clases]])+1,5)),"")</f>
        <v>30</v>
      </c>
      <c r="N12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1" s="14">
        <f>IF(OR(tblMatriculas[[#This Row],[Estado]]&lt;&gt;"activa",tblMatriculas[[#This Row],[Clases dictadas]]=""),"",MAX(0,tblMatriculas[[#This Row],[Clases dictadas]]-tblMatriculas[[#This Row],[Asistidas]]))</f>
        <v>4</v>
      </c>
      <c r="P1241" s="1">
        <f>IF(OR(tblMatriculas[[#This Row],[Estado]]&lt;&gt;"activa",tblMatriculas[[#This Row],[Asistidas]]=""),"",tblMatriculas[[#This Row],[Asistencia]])</f>
        <v>6.7000000000000004E-2</v>
      </c>
      <c r="Q1241" t="b">
        <f>AND(tblMatriculas[[#This Row],[Estado]]="activa",ISNUMBER(tblMatriculas[[#This Row],[% asistencia]]),NOT(ISNUMBER(SEARCH(pPrueba,tblMatriculas[[#This Row],[Nombre]]))))</f>
        <v>1</v>
      </c>
      <c r="R12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41" s="23" t="str" cm="1">
        <f t="array" ref="S12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1" s="23" t="str" cm="1">
        <f t="array" ref="T12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1" s="14" t="str" cm="1">
        <f t="array" ref="U12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1" t="str" cm="1">
        <f t="array" ref="V12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1" t="str" cm="1">
        <f t="array" ref="W12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41" t="str">
        <f>IF(COUNTIFS('Base Estudiantes'!$C:$C,tblMatriculas[[#This Row],[Cédula]],'Base Estudiantes'!$I:$I,tblMatriculas[[#This Row],[Código]])&gt;0,"Sí","No")</f>
        <v>Sí</v>
      </c>
      <c r="Z1241" s="23" cm="1">
        <f t="array" ref="Z1241">_xlfn.XLOOKUP(tblMatriculas[[#This Row],[Cédula]]&amp;"|"&amp;tblMatriculas[[#This Row],[Código]],tblBase[Documento]&amp;"|"&amp;tblBase[Código grupo],tblBase[Fecha matrícula],"")</f>
        <v>46263</v>
      </c>
    </row>
    <row r="1242" spans="1:26" x14ac:dyDescent="0.2">
      <c r="A1242" t="s">
        <v>2625</v>
      </c>
      <c r="B1242" t="s">
        <v>2626</v>
      </c>
      <c r="C1242" t="s">
        <v>13</v>
      </c>
      <c r="D1242" t="s">
        <v>2592</v>
      </c>
      <c r="E1242" t="s">
        <v>2593</v>
      </c>
      <c r="F1242" t="s">
        <v>2594</v>
      </c>
      <c r="G1242" s="1">
        <v>0.1</v>
      </c>
      <c r="H1242" t="s">
        <v>117</v>
      </c>
      <c r="I1242" t="s">
        <v>1580</v>
      </c>
      <c r="J1242" t="s">
        <v>1777</v>
      </c>
      <c r="K1242" t="s">
        <v>24</v>
      </c>
      <c r="L1242" s="14">
        <f>IFERROR(VALUE(LEFT(tblMatriculas[[#This Row],[Clases]],FIND("/",tblMatriculas[[#This Row],[Clases]])-1)),"")</f>
        <v>3</v>
      </c>
      <c r="M1242" s="14">
        <f>IFERROR(VALUE(MID(tblMatriculas[[#This Row],[Clases]],FIND("/",tblMatriculas[[#This Row],[Clases]])+1,5)),"")</f>
        <v>30</v>
      </c>
      <c r="N12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2" s="14">
        <f>IF(OR(tblMatriculas[[#This Row],[Estado]]&lt;&gt;"activa",tblMatriculas[[#This Row],[Clases dictadas]]=""),"",MAX(0,tblMatriculas[[#This Row],[Clases dictadas]]-tblMatriculas[[#This Row],[Asistidas]]))</f>
        <v>3</v>
      </c>
      <c r="P1242" s="1">
        <f>IF(OR(tblMatriculas[[#This Row],[Estado]]&lt;&gt;"activa",tblMatriculas[[#This Row],[Asistidas]]=""),"",tblMatriculas[[#This Row],[Asistencia]])</f>
        <v>0.1</v>
      </c>
      <c r="Q1242" t="b">
        <f>AND(tblMatriculas[[#This Row],[Estado]]="activa",ISNUMBER(tblMatriculas[[#This Row],[% asistencia]]),NOT(ISNUMBER(SEARCH(pPrueba,tblMatriculas[[#This Row],[Nombre]]))))</f>
        <v>1</v>
      </c>
      <c r="R12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2" s="23" t="str" cm="1">
        <f t="array" ref="S12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2" s="23" t="str" cm="1">
        <f t="array" ref="T12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2" s="14" t="str" cm="1">
        <f t="array" ref="U12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2" t="str" cm="1">
        <f t="array" ref="V12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2" t="str" cm="1">
        <f t="array" ref="W12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2" t="str">
        <f>IF(COUNTIFS('Base Estudiantes'!$C:$C,tblMatriculas[[#This Row],[Cédula]],'Base Estudiantes'!$I:$I,tblMatriculas[[#This Row],[Código]])&gt;0,"Sí","No")</f>
        <v>Sí</v>
      </c>
      <c r="Z1242" s="23" cm="1">
        <f t="array" ref="Z1242">_xlfn.XLOOKUP(tblMatriculas[[#This Row],[Cédula]]&amp;"|"&amp;tblMatriculas[[#This Row],[Código]],tblBase[Documento]&amp;"|"&amp;tblBase[Código grupo],tblBase[Fecha matrícula],"")</f>
        <v>46263</v>
      </c>
    </row>
    <row r="1243" spans="1:26" x14ac:dyDescent="0.2">
      <c r="A1243" t="s">
        <v>2627</v>
      </c>
      <c r="B1243" t="s">
        <v>2628</v>
      </c>
      <c r="C1243" t="s">
        <v>13</v>
      </c>
      <c r="D1243" t="s">
        <v>2592</v>
      </c>
      <c r="E1243" t="s">
        <v>2593</v>
      </c>
      <c r="F1243" t="s">
        <v>2594</v>
      </c>
      <c r="G1243" s="1">
        <v>0.2</v>
      </c>
      <c r="H1243" t="s">
        <v>232</v>
      </c>
      <c r="I1243" t="s">
        <v>1580</v>
      </c>
      <c r="J1243" t="s">
        <v>1777</v>
      </c>
      <c r="K1243" t="s">
        <v>24</v>
      </c>
      <c r="L1243" s="14">
        <f>IFERROR(VALUE(LEFT(tblMatriculas[[#This Row],[Clases]],FIND("/",tblMatriculas[[#This Row],[Clases]])-1)),"")</f>
        <v>6</v>
      </c>
      <c r="M1243" s="14">
        <f>IFERROR(VALUE(MID(tblMatriculas[[#This Row],[Clases]],FIND("/",tblMatriculas[[#This Row],[Clases]])+1,5)),"")</f>
        <v>30</v>
      </c>
      <c r="N12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3" s="14">
        <f>IF(OR(tblMatriculas[[#This Row],[Estado]]&lt;&gt;"activa",tblMatriculas[[#This Row],[Clases dictadas]]=""),"",MAX(0,tblMatriculas[[#This Row],[Clases dictadas]]-tblMatriculas[[#This Row],[Asistidas]]))</f>
        <v>0</v>
      </c>
      <c r="P1243" s="1">
        <f>IF(OR(tblMatriculas[[#This Row],[Estado]]&lt;&gt;"activa",tblMatriculas[[#This Row],[Asistidas]]=""),"",tblMatriculas[[#This Row],[Asistencia]])</f>
        <v>0.2</v>
      </c>
      <c r="Q1243" t="b">
        <f>AND(tblMatriculas[[#This Row],[Estado]]="activa",ISNUMBER(tblMatriculas[[#This Row],[% asistencia]]),NOT(ISNUMBER(SEARCH(pPrueba,tblMatriculas[[#This Row],[Nombre]]))))</f>
        <v>1</v>
      </c>
      <c r="R12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3" s="23" t="str" cm="1">
        <f t="array" ref="S12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3" s="23" t="str" cm="1">
        <f t="array" ref="T12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3" s="14" t="str" cm="1">
        <f t="array" ref="U12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3" t="str" cm="1">
        <f t="array" ref="V12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3" t="str" cm="1">
        <f t="array" ref="W12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3" t="str">
        <f>IF(COUNTIFS('Base Estudiantes'!$C:$C,tblMatriculas[[#This Row],[Cédula]],'Base Estudiantes'!$I:$I,tblMatriculas[[#This Row],[Código]])&gt;0,"Sí","No")</f>
        <v>Sí</v>
      </c>
      <c r="Z1243" s="23" cm="1">
        <f t="array" ref="Z1243">_xlfn.XLOOKUP(tblMatriculas[[#This Row],[Cédula]]&amp;"|"&amp;tblMatriculas[[#This Row],[Código]],tblBase[Documento]&amp;"|"&amp;tblBase[Código grupo],tblBase[Fecha matrícula],"")</f>
        <v>46263</v>
      </c>
    </row>
    <row r="1244" spans="1:26" x14ac:dyDescent="0.2">
      <c r="A1244" t="s">
        <v>2629</v>
      </c>
      <c r="B1244" t="s">
        <v>2630</v>
      </c>
      <c r="C1244" t="s">
        <v>13</v>
      </c>
      <c r="D1244" t="s">
        <v>2592</v>
      </c>
      <c r="E1244" t="s">
        <v>2593</v>
      </c>
      <c r="F1244" t="s">
        <v>2594</v>
      </c>
      <c r="G1244" s="1">
        <v>0.2</v>
      </c>
      <c r="H1244" t="s">
        <v>232</v>
      </c>
      <c r="I1244" t="s">
        <v>1580</v>
      </c>
      <c r="J1244" t="s">
        <v>1777</v>
      </c>
      <c r="K1244" t="s">
        <v>24</v>
      </c>
      <c r="L1244" s="14">
        <f>IFERROR(VALUE(LEFT(tblMatriculas[[#This Row],[Clases]],FIND("/",tblMatriculas[[#This Row],[Clases]])-1)),"")</f>
        <v>6</v>
      </c>
      <c r="M1244" s="14">
        <f>IFERROR(VALUE(MID(tblMatriculas[[#This Row],[Clases]],FIND("/",tblMatriculas[[#This Row],[Clases]])+1,5)),"")</f>
        <v>30</v>
      </c>
      <c r="N12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4" s="14">
        <f>IF(OR(tblMatriculas[[#This Row],[Estado]]&lt;&gt;"activa",tblMatriculas[[#This Row],[Clases dictadas]]=""),"",MAX(0,tblMatriculas[[#This Row],[Clases dictadas]]-tblMatriculas[[#This Row],[Asistidas]]))</f>
        <v>0</v>
      </c>
      <c r="P1244" s="1">
        <f>IF(OR(tblMatriculas[[#This Row],[Estado]]&lt;&gt;"activa",tblMatriculas[[#This Row],[Asistidas]]=""),"",tblMatriculas[[#This Row],[Asistencia]])</f>
        <v>0.2</v>
      </c>
      <c r="Q1244" t="b">
        <f>AND(tblMatriculas[[#This Row],[Estado]]="activa",ISNUMBER(tblMatriculas[[#This Row],[% asistencia]]),NOT(ISNUMBER(SEARCH(pPrueba,tblMatriculas[[#This Row],[Nombre]]))))</f>
        <v>1</v>
      </c>
      <c r="R12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4" s="23" t="str" cm="1">
        <f t="array" ref="S12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4" s="23" t="str" cm="1">
        <f t="array" ref="T12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4" s="14" t="str" cm="1">
        <f t="array" ref="U12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4" t="str" cm="1">
        <f t="array" ref="V12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4" t="str" cm="1">
        <f t="array" ref="W12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4" t="str">
        <f>IF(COUNTIFS('Base Estudiantes'!$C:$C,tblMatriculas[[#This Row],[Cédula]],'Base Estudiantes'!$I:$I,tblMatriculas[[#This Row],[Código]])&gt;0,"Sí","No")</f>
        <v>Sí</v>
      </c>
      <c r="Z1244" s="23" cm="1">
        <f t="array" ref="Z1244">_xlfn.XLOOKUP(tblMatriculas[[#This Row],[Cédula]]&amp;"|"&amp;tblMatriculas[[#This Row],[Código]],tblBase[Documento]&amp;"|"&amp;tblBase[Código grupo],tblBase[Fecha matrícula],"")</f>
        <v>46263</v>
      </c>
    </row>
    <row r="1245" spans="1:26" x14ac:dyDescent="0.2">
      <c r="A1245" t="s">
        <v>2631</v>
      </c>
      <c r="B1245" t="s">
        <v>2632</v>
      </c>
      <c r="C1245" t="s">
        <v>13</v>
      </c>
      <c r="D1245" t="s">
        <v>2592</v>
      </c>
      <c r="E1245" t="s">
        <v>2593</v>
      </c>
      <c r="F1245" t="s">
        <v>2594</v>
      </c>
      <c r="G1245" s="1">
        <v>0.2</v>
      </c>
      <c r="H1245" t="s">
        <v>232</v>
      </c>
      <c r="I1245" t="s">
        <v>1580</v>
      </c>
      <c r="J1245" t="s">
        <v>1777</v>
      </c>
      <c r="K1245" t="s">
        <v>24</v>
      </c>
      <c r="L1245" s="14">
        <f>IFERROR(VALUE(LEFT(tblMatriculas[[#This Row],[Clases]],FIND("/",tblMatriculas[[#This Row],[Clases]])-1)),"")</f>
        <v>6</v>
      </c>
      <c r="M1245" s="14">
        <f>IFERROR(VALUE(MID(tblMatriculas[[#This Row],[Clases]],FIND("/",tblMatriculas[[#This Row],[Clases]])+1,5)),"")</f>
        <v>30</v>
      </c>
      <c r="N12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5" s="14">
        <f>IF(OR(tblMatriculas[[#This Row],[Estado]]&lt;&gt;"activa",tblMatriculas[[#This Row],[Clases dictadas]]=""),"",MAX(0,tblMatriculas[[#This Row],[Clases dictadas]]-tblMatriculas[[#This Row],[Asistidas]]))</f>
        <v>0</v>
      </c>
      <c r="P1245" s="1">
        <f>IF(OR(tblMatriculas[[#This Row],[Estado]]&lt;&gt;"activa",tblMatriculas[[#This Row],[Asistidas]]=""),"",tblMatriculas[[#This Row],[Asistencia]])</f>
        <v>0.2</v>
      </c>
      <c r="Q1245" t="b">
        <f>AND(tblMatriculas[[#This Row],[Estado]]="activa",ISNUMBER(tblMatriculas[[#This Row],[% asistencia]]),NOT(ISNUMBER(SEARCH(pPrueba,tblMatriculas[[#This Row],[Nombre]]))))</f>
        <v>1</v>
      </c>
      <c r="R12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5" s="23" t="str" cm="1">
        <f t="array" ref="S12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5" s="23" t="str" cm="1">
        <f t="array" ref="T12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5" s="14" t="str" cm="1">
        <f t="array" ref="U12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5" t="str" cm="1">
        <f t="array" ref="V12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5" t="str" cm="1">
        <f t="array" ref="W12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5" t="str">
        <f>IF(COUNTIFS('Base Estudiantes'!$C:$C,tblMatriculas[[#This Row],[Cédula]],'Base Estudiantes'!$I:$I,tblMatriculas[[#This Row],[Código]])&gt;0,"Sí","No")</f>
        <v>Sí</v>
      </c>
      <c r="Z1245" s="23" cm="1">
        <f t="array" ref="Z1245">_xlfn.XLOOKUP(tblMatriculas[[#This Row],[Cédula]]&amp;"|"&amp;tblMatriculas[[#This Row],[Código]],tblBase[Documento]&amp;"|"&amp;tblBase[Código grupo],tblBase[Fecha matrícula],"")</f>
        <v>46263</v>
      </c>
    </row>
    <row r="1246" spans="1:26" x14ac:dyDescent="0.2">
      <c r="A1246" t="s">
        <v>2633</v>
      </c>
      <c r="B1246" t="s">
        <v>2634</v>
      </c>
      <c r="C1246" t="s">
        <v>13</v>
      </c>
      <c r="D1246" t="s">
        <v>2592</v>
      </c>
      <c r="E1246" t="s">
        <v>2593</v>
      </c>
      <c r="F1246" t="s">
        <v>2594</v>
      </c>
      <c r="G1246" s="1">
        <v>0</v>
      </c>
      <c r="H1246" t="s">
        <v>254</v>
      </c>
      <c r="I1246" t="s">
        <v>1580</v>
      </c>
      <c r="J1246" t="s">
        <v>1777</v>
      </c>
      <c r="K1246" t="s">
        <v>24</v>
      </c>
      <c r="L1246" s="14">
        <f>IFERROR(VALUE(LEFT(tblMatriculas[[#This Row],[Clases]],FIND("/",tblMatriculas[[#This Row],[Clases]])-1)),"")</f>
        <v>0</v>
      </c>
      <c r="M1246" s="14">
        <f>IFERROR(VALUE(MID(tblMatriculas[[#This Row],[Clases]],FIND("/",tblMatriculas[[#This Row],[Clases]])+1,5)),"")</f>
        <v>30</v>
      </c>
      <c r="N12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6" s="14">
        <f>IF(OR(tblMatriculas[[#This Row],[Estado]]&lt;&gt;"activa",tblMatriculas[[#This Row],[Clases dictadas]]=""),"",MAX(0,tblMatriculas[[#This Row],[Clases dictadas]]-tblMatriculas[[#This Row],[Asistidas]]))</f>
        <v>6</v>
      </c>
      <c r="P1246" s="1">
        <f>IF(OR(tblMatriculas[[#This Row],[Estado]]&lt;&gt;"activa",tblMatriculas[[#This Row],[Asistidas]]=""),"",tblMatriculas[[#This Row],[Asistencia]])</f>
        <v>0</v>
      </c>
      <c r="Q1246" t="b">
        <f>AND(tblMatriculas[[#This Row],[Estado]]="activa",ISNUMBER(tblMatriculas[[#This Row],[% asistencia]]),NOT(ISNUMBER(SEARCH(pPrueba,tblMatriculas[[#This Row],[Nombre]]))))</f>
        <v>1</v>
      </c>
      <c r="R12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46" s="23" t="str" cm="1">
        <f t="array" ref="S12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6" s="23" t="str" cm="1">
        <f t="array" ref="T12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6" s="14" t="str" cm="1">
        <f t="array" ref="U12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6" t="str" cm="1">
        <f t="array" ref="V12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6" t="str" cm="1">
        <f t="array" ref="W12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46" t="str">
        <f>IF(COUNTIFS('Base Estudiantes'!$C:$C,tblMatriculas[[#This Row],[Cédula]],'Base Estudiantes'!$I:$I,tblMatriculas[[#This Row],[Código]])&gt;0,"Sí","No")</f>
        <v>Sí</v>
      </c>
      <c r="Z1246" s="23" cm="1">
        <f t="array" ref="Z1246">_xlfn.XLOOKUP(tblMatriculas[[#This Row],[Cédula]]&amp;"|"&amp;tblMatriculas[[#This Row],[Código]],tblBase[Documento]&amp;"|"&amp;tblBase[Código grupo],tblBase[Fecha matrícula],"")</f>
        <v>46263</v>
      </c>
    </row>
    <row r="1247" spans="1:26" x14ac:dyDescent="0.2">
      <c r="A1247" t="s">
        <v>2635</v>
      </c>
      <c r="B1247" t="s">
        <v>2636</v>
      </c>
      <c r="C1247" t="s">
        <v>13</v>
      </c>
      <c r="D1247" t="s">
        <v>2592</v>
      </c>
      <c r="E1247" t="s">
        <v>2593</v>
      </c>
      <c r="F1247" t="s">
        <v>2594</v>
      </c>
      <c r="G1247" s="1">
        <v>0.16699999999999998</v>
      </c>
      <c r="H1247" t="s">
        <v>229</v>
      </c>
      <c r="I1247" t="s">
        <v>1580</v>
      </c>
      <c r="J1247" t="s">
        <v>1777</v>
      </c>
      <c r="K1247" t="s">
        <v>24</v>
      </c>
      <c r="L1247" s="14">
        <f>IFERROR(VALUE(LEFT(tblMatriculas[[#This Row],[Clases]],FIND("/",tblMatriculas[[#This Row],[Clases]])-1)),"")</f>
        <v>5</v>
      </c>
      <c r="M1247" s="14">
        <f>IFERROR(VALUE(MID(tblMatriculas[[#This Row],[Clases]],FIND("/",tblMatriculas[[#This Row],[Clases]])+1,5)),"")</f>
        <v>30</v>
      </c>
      <c r="N12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7" s="14">
        <f>IF(OR(tblMatriculas[[#This Row],[Estado]]&lt;&gt;"activa",tblMatriculas[[#This Row],[Clases dictadas]]=""),"",MAX(0,tblMatriculas[[#This Row],[Clases dictadas]]-tblMatriculas[[#This Row],[Asistidas]]))</f>
        <v>1</v>
      </c>
      <c r="P1247" s="1">
        <f>IF(OR(tblMatriculas[[#This Row],[Estado]]&lt;&gt;"activa",tblMatriculas[[#This Row],[Asistidas]]=""),"",tblMatriculas[[#This Row],[Asistencia]])</f>
        <v>0.16699999999999998</v>
      </c>
      <c r="Q1247" t="b">
        <f>AND(tblMatriculas[[#This Row],[Estado]]="activa",ISNUMBER(tblMatriculas[[#This Row],[% asistencia]]),NOT(ISNUMBER(SEARCH(pPrueba,tblMatriculas[[#This Row],[Nombre]]))))</f>
        <v>1</v>
      </c>
      <c r="R12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7" s="23" t="str" cm="1">
        <f t="array" ref="S12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7" s="23" t="str" cm="1">
        <f t="array" ref="T12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7" s="14" t="str" cm="1">
        <f t="array" ref="U12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7" t="str" cm="1">
        <f t="array" ref="V12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7" t="str" cm="1">
        <f t="array" ref="W12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7" t="str">
        <f>IF(COUNTIFS('Base Estudiantes'!$C:$C,tblMatriculas[[#This Row],[Cédula]],'Base Estudiantes'!$I:$I,tblMatriculas[[#This Row],[Código]])&gt;0,"Sí","No")</f>
        <v>Sí</v>
      </c>
      <c r="Z1247" s="23" cm="1">
        <f t="array" ref="Z1247">_xlfn.XLOOKUP(tblMatriculas[[#This Row],[Cédula]]&amp;"|"&amp;tblMatriculas[[#This Row],[Código]],tblBase[Documento]&amp;"|"&amp;tblBase[Código grupo],tblBase[Fecha matrícula],"")</f>
        <v>46263</v>
      </c>
    </row>
    <row r="1248" spans="1:26" x14ac:dyDescent="0.2">
      <c r="A1248" t="s">
        <v>2637</v>
      </c>
      <c r="B1248" t="s">
        <v>2638</v>
      </c>
      <c r="C1248" t="s">
        <v>13</v>
      </c>
      <c r="D1248" t="s">
        <v>2592</v>
      </c>
      <c r="E1248" t="s">
        <v>2593</v>
      </c>
      <c r="F1248" t="s">
        <v>2594</v>
      </c>
      <c r="G1248" s="1">
        <v>0.13300000000000001</v>
      </c>
      <c r="H1248" t="s">
        <v>112</v>
      </c>
      <c r="I1248" t="s">
        <v>1580</v>
      </c>
      <c r="J1248" t="s">
        <v>1777</v>
      </c>
      <c r="K1248" t="s">
        <v>24</v>
      </c>
      <c r="L1248" s="14">
        <f>IFERROR(VALUE(LEFT(tblMatriculas[[#This Row],[Clases]],FIND("/",tblMatriculas[[#This Row],[Clases]])-1)),"")</f>
        <v>4</v>
      </c>
      <c r="M1248" s="14">
        <f>IFERROR(VALUE(MID(tblMatriculas[[#This Row],[Clases]],FIND("/",tblMatriculas[[#This Row],[Clases]])+1,5)),"")</f>
        <v>30</v>
      </c>
      <c r="N12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8" s="14">
        <f>IF(OR(tblMatriculas[[#This Row],[Estado]]&lt;&gt;"activa",tblMatriculas[[#This Row],[Clases dictadas]]=""),"",MAX(0,tblMatriculas[[#This Row],[Clases dictadas]]-tblMatriculas[[#This Row],[Asistidas]]))</f>
        <v>2</v>
      </c>
      <c r="P1248" s="1">
        <f>IF(OR(tblMatriculas[[#This Row],[Estado]]&lt;&gt;"activa",tblMatriculas[[#This Row],[Asistidas]]=""),"",tblMatriculas[[#This Row],[Asistencia]])</f>
        <v>0.13300000000000001</v>
      </c>
      <c r="Q1248" t="b">
        <f>AND(tblMatriculas[[#This Row],[Estado]]="activa",ISNUMBER(tblMatriculas[[#This Row],[% asistencia]]),NOT(ISNUMBER(SEARCH(pPrueba,tblMatriculas[[#This Row],[Nombre]]))))</f>
        <v>1</v>
      </c>
      <c r="R12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8" s="23" t="str" cm="1">
        <f t="array" ref="S12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8" s="23" t="str" cm="1">
        <f t="array" ref="T12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8" s="14" t="str" cm="1">
        <f t="array" ref="U12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8" t="str" cm="1">
        <f t="array" ref="V12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8" t="str" cm="1">
        <f t="array" ref="W12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8" t="str">
        <f>IF(COUNTIFS('Base Estudiantes'!$C:$C,tblMatriculas[[#This Row],[Cédula]],'Base Estudiantes'!$I:$I,tblMatriculas[[#This Row],[Código]])&gt;0,"Sí","No")</f>
        <v>Sí</v>
      </c>
      <c r="Z1248" s="23" cm="1">
        <f t="array" ref="Z1248">_xlfn.XLOOKUP(tblMatriculas[[#This Row],[Cédula]]&amp;"|"&amp;tblMatriculas[[#This Row],[Código]],tblBase[Documento]&amp;"|"&amp;tblBase[Código grupo],tblBase[Fecha matrícula],"")</f>
        <v>46263</v>
      </c>
    </row>
    <row r="1249" spans="1:26" x14ac:dyDescent="0.2">
      <c r="A1249" t="s">
        <v>2639</v>
      </c>
      <c r="B1249" t="s">
        <v>2640</v>
      </c>
      <c r="C1249" t="s">
        <v>13</v>
      </c>
      <c r="D1249" t="s">
        <v>2592</v>
      </c>
      <c r="E1249" t="s">
        <v>2593</v>
      </c>
      <c r="F1249" t="s">
        <v>2594</v>
      </c>
      <c r="G1249" s="1">
        <v>0.2</v>
      </c>
      <c r="H1249" t="s">
        <v>232</v>
      </c>
      <c r="I1249" t="s">
        <v>1580</v>
      </c>
      <c r="J1249" t="s">
        <v>1777</v>
      </c>
      <c r="K1249" t="s">
        <v>1868</v>
      </c>
      <c r="L1249" s="14">
        <f>IFERROR(VALUE(LEFT(tblMatriculas[[#This Row],[Clases]],FIND("/",tblMatriculas[[#This Row],[Clases]])-1)),"")</f>
        <v>6</v>
      </c>
      <c r="M1249" s="14">
        <f>IFERROR(VALUE(MID(tblMatriculas[[#This Row],[Clases]],FIND("/",tblMatriculas[[#This Row],[Clases]])+1,5)),"")</f>
        <v>30</v>
      </c>
      <c r="N12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49" s="14">
        <f>IF(OR(tblMatriculas[[#This Row],[Estado]]&lt;&gt;"activa",tblMatriculas[[#This Row],[Clases dictadas]]=""),"",MAX(0,tblMatriculas[[#This Row],[Clases dictadas]]-tblMatriculas[[#This Row],[Asistidas]]))</f>
        <v>0</v>
      </c>
      <c r="P1249" s="1">
        <f>IF(OR(tblMatriculas[[#This Row],[Estado]]&lt;&gt;"activa",tblMatriculas[[#This Row],[Asistidas]]=""),"",tblMatriculas[[#This Row],[Asistencia]])</f>
        <v>0.2</v>
      </c>
      <c r="Q1249" t="b">
        <f>AND(tblMatriculas[[#This Row],[Estado]]="activa",ISNUMBER(tblMatriculas[[#This Row],[% asistencia]]),NOT(ISNUMBER(SEARCH(pPrueba,tblMatriculas[[#This Row],[Nombre]]))))</f>
        <v>1</v>
      </c>
      <c r="R12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49" s="23" t="str" cm="1">
        <f t="array" ref="S12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49" s="23" t="str" cm="1">
        <f t="array" ref="T12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49" s="14" t="str" cm="1">
        <f t="array" ref="U12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49" t="str" cm="1">
        <f t="array" ref="V12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49" t="str" cm="1">
        <f t="array" ref="W12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49" t="str">
        <f>IF(COUNTIFS('Base Estudiantes'!$C:$C,tblMatriculas[[#This Row],[Cédula]],'Base Estudiantes'!$I:$I,tblMatriculas[[#This Row],[Código]])&gt;0,"Sí","No")</f>
        <v>Sí</v>
      </c>
      <c r="Z1249" s="23" cm="1">
        <f t="array" ref="Z1249">_xlfn.XLOOKUP(tblMatriculas[[#This Row],[Cédula]]&amp;"|"&amp;tblMatriculas[[#This Row],[Código]],tblBase[Documento]&amp;"|"&amp;tblBase[Código grupo],tblBase[Fecha matrícula],"")</f>
        <v>46263</v>
      </c>
    </row>
    <row r="1250" spans="1:26" x14ac:dyDescent="0.2">
      <c r="A1250" t="s">
        <v>2641</v>
      </c>
      <c r="B1250" t="s">
        <v>2642</v>
      </c>
      <c r="C1250" t="s">
        <v>13</v>
      </c>
      <c r="D1250" t="s">
        <v>2592</v>
      </c>
      <c r="E1250" t="s">
        <v>2593</v>
      </c>
      <c r="F1250" t="s">
        <v>2594</v>
      </c>
      <c r="G1250" s="1">
        <v>0.13300000000000001</v>
      </c>
      <c r="H1250" t="s">
        <v>112</v>
      </c>
      <c r="I1250" t="s">
        <v>1580</v>
      </c>
      <c r="J1250" t="s">
        <v>1777</v>
      </c>
      <c r="K1250" t="s">
        <v>1788</v>
      </c>
      <c r="L1250" s="14">
        <f>IFERROR(VALUE(LEFT(tblMatriculas[[#This Row],[Clases]],FIND("/",tblMatriculas[[#This Row],[Clases]])-1)),"")</f>
        <v>4</v>
      </c>
      <c r="M1250" s="14">
        <f>IFERROR(VALUE(MID(tblMatriculas[[#This Row],[Clases]],FIND("/",tblMatriculas[[#This Row],[Clases]])+1,5)),"")</f>
        <v>30</v>
      </c>
      <c r="N12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250" s="14">
        <f>IF(OR(tblMatriculas[[#This Row],[Estado]]&lt;&gt;"activa",tblMatriculas[[#This Row],[Clases dictadas]]=""),"",MAX(0,tblMatriculas[[#This Row],[Clases dictadas]]-tblMatriculas[[#This Row],[Asistidas]]))</f>
        <v>2</v>
      </c>
      <c r="P1250" s="1">
        <f>IF(OR(tblMatriculas[[#This Row],[Estado]]&lt;&gt;"activa",tblMatriculas[[#This Row],[Asistidas]]=""),"",tblMatriculas[[#This Row],[Asistencia]])</f>
        <v>0.13300000000000001</v>
      </c>
      <c r="Q1250" t="b">
        <f>AND(tblMatriculas[[#This Row],[Estado]]="activa",ISNUMBER(tblMatriculas[[#This Row],[% asistencia]]),NOT(ISNUMBER(SEARCH(pPrueba,tblMatriculas[[#This Row],[Nombre]]))))</f>
        <v>1</v>
      </c>
      <c r="R12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0" s="23" t="str" cm="1">
        <f t="array" ref="S12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0" s="23" t="str" cm="1">
        <f t="array" ref="T12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0" s="14" t="str" cm="1">
        <f t="array" ref="U12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0" t="str" cm="1">
        <f t="array" ref="V12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0" t="str" cm="1">
        <f t="array" ref="W12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0" t="str">
        <f>IF(COUNTIFS('Base Estudiantes'!$C:$C,tblMatriculas[[#This Row],[Cédula]],'Base Estudiantes'!$I:$I,tblMatriculas[[#This Row],[Código]])&gt;0,"Sí","No")</f>
        <v>Sí</v>
      </c>
      <c r="Z1250" s="23" cm="1">
        <f t="array" ref="Z1250">_xlfn.XLOOKUP(tblMatriculas[[#This Row],[Cédula]]&amp;"|"&amp;tblMatriculas[[#This Row],[Código]],tblBase[Documento]&amp;"|"&amp;tblBase[Código grupo],tblBase[Fecha matrícula],"")</f>
        <v>46263</v>
      </c>
    </row>
    <row r="1251" spans="1:26" x14ac:dyDescent="0.2">
      <c r="A1251" t="s">
        <v>2643</v>
      </c>
      <c r="B1251" t="s">
        <v>2644</v>
      </c>
      <c r="C1251" t="s">
        <v>13</v>
      </c>
      <c r="D1251" t="s">
        <v>2592</v>
      </c>
      <c r="E1251" t="s">
        <v>2593</v>
      </c>
      <c r="F1251" t="s">
        <v>2594</v>
      </c>
      <c r="G1251" s="1">
        <v>8.3000000000000004E-2</v>
      </c>
      <c r="H1251" t="s">
        <v>1867</v>
      </c>
      <c r="I1251" t="s">
        <v>1580</v>
      </c>
      <c r="J1251" t="s">
        <v>1777</v>
      </c>
      <c r="K1251" t="s">
        <v>24</v>
      </c>
      <c r="L1251" s="14">
        <f>IFERROR(VALUE(LEFT(tblMatriculas[[#This Row],[Clases]],FIND("/",tblMatriculas[[#This Row],[Clases]])-1)),"")</f>
        <v>5</v>
      </c>
      <c r="M1251" s="14">
        <f>IFERROR(VALUE(MID(tblMatriculas[[#This Row],[Clases]],FIND("/",tblMatriculas[[#This Row],[Clases]])+1,5)),"")</f>
        <v>60</v>
      </c>
      <c r="N12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12</v>
      </c>
      <c r="O1251" s="14">
        <f>IF(OR(tblMatriculas[[#This Row],[Estado]]&lt;&gt;"activa",tblMatriculas[[#This Row],[Clases dictadas]]=""),"",MAX(0,tblMatriculas[[#This Row],[Clases dictadas]]-tblMatriculas[[#This Row],[Asistidas]]))</f>
        <v>7</v>
      </c>
      <c r="P1251" s="1">
        <f>IF(OR(tblMatriculas[[#This Row],[Estado]]&lt;&gt;"activa",tblMatriculas[[#This Row],[Asistidas]]=""),"",tblMatriculas[[#This Row],[Asistencia]])</f>
        <v>8.3000000000000004E-2</v>
      </c>
      <c r="Q1251" t="b">
        <f>AND(tblMatriculas[[#This Row],[Estado]]="activa",ISNUMBER(tblMatriculas[[#This Row],[% asistencia]]),NOT(ISNUMBER(SEARCH(pPrueba,tblMatriculas[[#This Row],[Nombre]]))))</f>
        <v>1</v>
      </c>
      <c r="R12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1" s="23" t="str" cm="1">
        <f t="array" ref="S12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1" s="23" t="str" cm="1">
        <f t="array" ref="T12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1" s="14" t="str" cm="1">
        <f t="array" ref="U12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1" t="str" cm="1">
        <f t="array" ref="V12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1" t="str" cm="1">
        <f t="array" ref="W12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1" t="str">
        <f>IF(COUNTIFS('Base Estudiantes'!$C:$C,tblMatriculas[[#This Row],[Cédula]],'Base Estudiantes'!$I:$I,tblMatriculas[[#This Row],[Código]])&gt;0,"Sí","No")</f>
        <v>Sí</v>
      </c>
      <c r="Z1251" s="23" cm="1">
        <f t="array" ref="Z1251">_xlfn.XLOOKUP(tblMatriculas[[#This Row],[Cédula]]&amp;"|"&amp;tblMatriculas[[#This Row],[Código]],tblBase[Documento]&amp;"|"&amp;tblBase[Código grupo],tblBase[Fecha matrícula],"")</f>
        <v>46273</v>
      </c>
    </row>
    <row r="1252" spans="1:26" x14ac:dyDescent="0.2">
      <c r="A1252" t="s">
        <v>2645</v>
      </c>
      <c r="B1252" t="s">
        <v>2646</v>
      </c>
      <c r="C1252" t="s">
        <v>13</v>
      </c>
      <c r="D1252" t="s">
        <v>2647</v>
      </c>
      <c r="E1252" t="s">
        <v>2648</v>
      </c>
      <c r="F1252" t="s">
        <v>2594</v>
      </c>
      <c r="G1252" s="1">
        <v>0.13300000000000001</v>
      </c>
      <c r="H1252" t="s">
        <v>112</v>
      </c>
      <c r="I1252" t="s">
        <v>1580</v>
      </c>
      <c r="J1252" t="s">
        <v>2649</v>
      </c>
      <c r="K1252" t="s">
        <v>24</v>
      </c>
      <c r="L1252" s="14">
        <f>IFERROR(VALUE(LEFT(tblMatriculas[[#This Row],[Clases]],FIND("/",tblMatriculas[[#This Row],[Clases]])-1)),"")</f>
        <v>4</v>
      </c>
      <c r="M1252" s="14">
        <f>IFERROR(VALUE(MID(tblMatriculas[[#This Row],[Clases]],FIND("/",tblMatriculas[[#This Row],[Clases]])+1,5)),"")</f>
        <v>30</v>
      </c>
      <c r="N12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2" s="14">
        <f>IF(OR(tblMatriculas[[#This Row],[Estado]]&lt;&gt;"activa",tblMatriculas[[#This Row],[Clases dictadas]]=""),"",MAX(0,tblMatriculas[[#This Row],[Clases dictadas]]-tblMatriculas[[#This Row],[Asistidas]]))</f>
        <v>1</v>
      </c>
      <c r="P1252" s="1">
        <f>IF(OR(tblMatriculas[[#This Row],[Estado]]&lt;&gt;"activa",tblMatriculas[[#This Row],[Asistidas]]=""),"",tblMatriculas[[#This Row],[Asistencia]])</f>
        <v>0.13300000000000001</v>
      </c>
      <c r="Q1252" t="b">
        <f>AND(tblMatriculas[[#This Row],[Estado]]="activa",ISNUMBER(tblMatriculas[[#This Row],[% asistencia]]),NOT(ISNUMBER(SEARCH(pPrueba,tblMatriculas[[#This Row],[Nombre]]))))</f>
        <v>1</v>
      </c>
      <c r="R12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2" s="23" t="str" cm="1">
        <f t="array" ref="S12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2" s="23" t="str" cm="1">
        <f t="array" ref="T12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2" s="14" t="str" cm="1">
        <f t="array" ref="U12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2" t="str" cm="1">
        <f t="array" ref="V12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2" t="str" cm="1">
        <f t="array" ref="W12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2" t="str">
        <f>IF(COUNTIFS('Base Estudiantes'!$C:$C,tblMatriculas[[#This Row],[Cédula]],'Base Estudiantes'!$I:$I,tblMatriculas[[#This Row],[Código]])&gt;0,"Sí","No")</f>
        <v>Sí</v>
      </c>
      <c r="Z1252" s="23" cm="1">
        <f t="array" ref="Z1252">_xlfn.XLOOKUP(tblMatriculas[[#This Row],[Cédula]]&amp;"|"&amp;tblMatriculas[[#This Row],[Código]],tblBase[Documento]&amp;"|"&amp;tblBase[Código grupo],tblBase[Fecha matrícula],"")</f>
        <v>46263</v>
      </c>
    </row>
    <row r="1253" spans="1:26" x14ac:dyDescent="0.2">
      <c r="A1253" t="s">
        <v>2650</v>
      </c>
      <c r="B1253" t="s">
        <v>2651</v>
      </c>
      <c r="C1253" t="s">
        <v>13</v>
      </c>
      <c r="D1253" t="s">
        <v>2647</v>
      </c>
      <c r="E1253" t="s">
        <v>2648</v>
      </c>
      <c r="F1253" t="s">
        <v>2594</v>
      </c>
      <c r="G1253" s="1">
        <v>0.16699999999999998</v>
      </c>
      <c r="H1253" t="s">
        <v>229</v>
      </c>
      <c r="I1253" t="s">
        <v>1580</v>
      </c>
      <c r="J1253" t="s">
        <v>2649</v>
      </c>
      <c r="K1253" t="s">
        <v>24</v>
      </c>
      <c r="L1253" s="14">
        <f>IFERROR(VALUE(LEFT(tblMatriculas[[#This Row],[Clases]],FIND("/",tblMatriculas[[#This Row],[Clases]])-1)),"")</f>
        <v>5</v>
      </c>
      <c r="M1253" s="14">
        <f>IFERROR(VALUE(MID(tblMatriculas[[#This Row],[Clases]],FIND("/",tblMatriculas[[#This Row],[Clases]])+1,5)),"")</f>
        <v>30</v>
      </c>
      <c r="N12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3" s="14">
        <f>IF(OR(tblMatriculas[[#This Row],[Estado]]&lt;&gt;"activa",tblMatriculas[[#This Row],[Clases dictadas]]=""),"",MAX(0,tblMatriculas[[#This Row],[Clases dictadas]]-tblMatriculas[[#This Row],[Asistidas]]))</f>
        <v>0</v>
      </c>
      <c r="P1253" s="1">
        <f>IF(OR(tblMatriculas[[#This Row],[Estado]]&lt;&gt;"activa",tblMatriculas[[#This Row],[Asistidas]]=""),"",tblMatriculas[[#This Row],[Asistencia]])</f>
        <v>0.16699999999999998</v>
      </c>
      <c r="Q1253" t="b">
        <f>AND(tblMatriculas[[#This Row],[Estado]]="activa",ISNUMBER(tblMatriculas[[#This Row],[% asistencia]]),NOT(ISNUMBER(SEARCH(pPrueba,tblMatriculas[[#This Row],[Nombre]]))))</f>
        <v>1</v>
      </c>
      <c r="R12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3" s="23" t="str" cm="1">
        <f t="array" ref="S12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3" s="23" t="str" cm="1">
        <f t="array" ref="T12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3" s="14" t="str" cm="1">
        <f t="array" ref="U12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3" t="str" cm="1">
        <f t="array" ref="V12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3" t="str" cm="1">
        <f t="array" ref="W12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3" t="str">
        <f>IF(COUNTIFS('Base Estudiantes'!$C:$C,tblMatriculas[[#This Row],[Cédula]],'Base Estudiantes'!$I:$I,tblMatriculas[[#This Row],[Código]])&gt;0,"Sí","No")</f>
        <v>Sí</v>
      </c>
      <c r="Z1253" s="23" cm="1">
        <f t="array" ref="Z1253">_xlfn.XLOOKUP(tblMatriculas[[#This Row],[Cédula]]&amp;"|"&amp;tblMatriculas[[#This Row],[Código]],tblBase[Documento]&amp;"|"&amp;tblBase[Código grupo],tblBase[Fecha matrícula],"")</f>
        <v>46263</v>
      </c>
    </row>
    <row r="1254" spans="1:26" x14ac:dyDescent="0.2">
      <c r="A1254" t="s">
        <v>2652</v>
      </c>
      <c r="B1254" t="s">
        <v>2653</v>
      </c>
      <c r="C1254" t="s">
        <v>13</v>
      </c>
      <c r="D1254" t="s">
        <v>2647</v>
      </c>
      <c r="E1254" t="s">
        <v>2648</v>
      </c>
      <c r="F1254" t="s">
        <v>2594</v>
      </c>
      <c r="G1254" s="1">
        <v>0.16699999999999998</v>
      </c>
      <c r="H1254" t="s">
        <v>229</v>
      </c>
      <c r="I1254" t="s">
        <v>1580</v>
      </c>
      <c r="J1254" t="s">
        <v>2649</v>
      </c>
      <c r="K1254" t="s">
        <v>24</v>
      </c>
      <c r="L1254" s="14">
        <f>IFERROR(VALUE(LEFT(tblMatriculas[[#This Row],[Clases]],FIND("/",tblMatriculas[[#This Row],[Clases]])-1)),"")</f>
        <v>5</v>
      </c>
      <c r="M1254" s="14">
        <f>IFERROR(VALUE(MID(tblMatriculas[[#This Row],[Clases]],FIND("/",tblMatriculas[[#This Row],[Clases]])+1,5)),"")</f>
        <v>30</v>
      </c>
      <c r="N12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4" s="14">
        <f>IF(OR(tblMatriculas[[#This Row],[Estado]]&lt;&gt;"activa",tblMatriculas[[#This Row],[Clases dictadas]]=""),"",MAX(0,tblMatriculas[[#This Row],[Clases dictadas]]-tblMatriculas[[#This Row],[Asistidas]]))</f>
        <v>0</v>
      </c>
      <c r="P1254" s="1">
        <f>IF(OR(tblMatriculas[[#This Row],[Estado]]&lt;&gt;"activa",tblMatriculas[[#This Row],[Asistidas]]=""),"",tblMatriculas[[#This Row],[Asistencia]])</f>
        <v>0.16699999999999998</v>
      </c>
      <c r="Q1254" t="b">
        <f>AND(tblMatriculas[[#This Row],[Estado]]="activa",ISNUMBER(tblMatriculas[[#This Row],[% asistencia]]),NOT(ISNUMBER(SEARCH(pPrueba,tblMatriculas[[#This Row],[Nombre]]))))</f>
        <v>1</v>
      </c>
      <c r="R12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4" s="23" t="str" cm="1">
        <f t="array" ref="S12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4" s="23" t="str" cm="1">
        <f t="array" ref="T12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4" s="14" t="str" cm="1">
        <f t="array" ref="U12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4" t="str" cm="1">
        <f t="array" ref="V12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4" t="str" cm="1">
        <f t="array" ref="W12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4" t="str">
        <f>IF(COUNTIFS('Base Estudiantes'!$C:$C,tblMatriculas[[#This Row],[Cédula]],'Base Estudiantes'!$I:$I,tblMatriculas[[#This Row],[Código]])&gt;0,"Sí","No")</f>
        <v>Sí</v>
      </c>
      <c r="Z1254" s="23" cm="1">
        <f t="array" ref="Z1254">_xlfn.XLOOKUP(tblMatriculas[[#This Row],[Cédula]]&amp;"|"&amp;tblMatriculas[[#This Row],[Código]],tblBase[Documento]&amp;"|"&amp;tblBase[Código grupo],tblBase[Fecha matrícula],"")</f>
        <v>46263</v>
      </c>
    </row>
    <row r="1255" spans="1:26" x14ac:dyDescent="0.2">
      <c r="A1255" t="s">
        <v>2654</v>
      </c>
      <c r="B1255" t="s">
        <v>2655</v>
      </c>
      <c r="C1255" t="s">
        <v>13</v>
      </c>
      <c r="D1255" t="s">
        <v>2647</v>
      </c>
      <c r="E1255" t="s">
        <v>2648</v>
      </c>
      <c r="F1255" t="s">
        <v>2594</v>
      </c>
      <c r="G1255" s="1">
        <v>0.16699999999999998</v>
      </c>
      <c r="H1255" t="s">
        <v>229</v>
      </c>
      <c r="I1255" t="s">
        <v>1580</v>
      </c>
      <c r="J1255" t="s">
        <v>2649</v>
      </c>
      <c r="K1255" t="s">
        <v>24</v>
      </c>
      <c r="L1255" s="14">
        <f>IFERROR(VALUE(LEFT(tblMatriculas[[#This Row],[Clases]],FIND("/",tblMatriculas[[#This Row],[Clases]])-1)),"")</f>
        <v>5</v>
      </c>
      <c r="M1255" s="14">
        <f>IFERROR(VALUE(MID(tblMatriculas[[#This Row],[Clases]],FIND("/",tblMatriculas[[#This Row],[Clases]])+1,5)),"")</f>
        <v>30</v>
      </c>
      <c r="N12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5" s="14">
        <f>IF(OR(tblMatriculas[[#This Row],[Estado]]&lt;&gt;"activa",tblMatriculas[[#This Row],[Clases dictadas]]=""),"",MAX(0,tblMatriculas[[#This Row],[Clases dictadas]]-tblMatriculas[[#This Row],[Asistidas]]))</f>
        <v>0</v>
      </c>
      <c r="P1255" s="1">
        <f>IF(OR(tblMatriculas[[#This Row],[Estado]]&lt;&gt;"activa",tblMatriculas[[#This Row],[Asistidas]]=""),"",tblMatriculas[[#This Row],[Asistencia]])</f>
        <v>0.16699999999999998</v>
      </c>
      <c r="Q1255" t="b">
        <f>AND(tblMatriculas[[#This Row],[Estado]]="activa",ISNUMBER(tblMatriculas[[#This Row],[% asistencia]]),NOT(ISNUMBER(SEARCH(pPrueba,tblMatriculas[[#This Row],[Nombre]]))))</f>
        <v>1</v>
      </c>
      <c r="R12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5" s="23" t="str" cm="1">
        <f t="array" ref="S12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5" s="23" t="str" cm="1">
        <f t="array" ref="T12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5" s="14" t="str" cm="1">
        <f t="array" ref="U12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5" t="str" cm="1">
        <f t="array" ref="V12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5" t="str" cm="1">
        <f t="array" ref="W12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5" t="str">
        <f>IF(COUNTIFS('Base Estudiantes'!$C:$C,tblMatriculas[[#This Row],[Cédula]],'Base Estudiantes'!$I:$I,tblMatriculas[[#This Row],[Código]])&gt;0,"Sí","No")</f>
        <v>Sí</v>
      </c>
      <c r="Z1255" s="23" cm="1">
        <f t="array" ref="Z1255">_xlfn.XLOOKUP(tblMatriculas[[#This Row],[Cédula]]&amp;"|"&amp;tblMatriculas[[#This Row],[Código]],tblBase[Documento]&amp;"|"&amp;tblBase[Código grupo],tblBase[Fecha matrícula],"")</f>
        <v>46263</v>
      </c>
    </row>
    <row r="1256" spans="1:26" x14ac:dyDescent="0.2">
      <c r="A1256" t="s">
        <v>2656</v>
      </c>
      <c r="B1256" t="s">
        <v>2657</v>
      </c>
      <c r="C1256" t="s">
        <v>49</v>
      </c>
      <c r="D1256" t="s">
        <v>2647</v>
      </c>
      <c r="E1256" t="s">
        <v>2648</v>
      </c>
      <c r="F1256" t="s">
        <v>2594</v>
      </c>
      <c r="G1256" s="1">
        <v>0</v>
      </c>
      <c r="H1256" t="s">
        <v>254</v>
      </c>
      <c r="I1256" t="s">
        <v>1580</v>
      </c>
      <c r="J1256" t="s">
        <v>2649</v>
      </c>
      <c r="K1256" t="s">
        <v>24</v>
      </c>
      <c r="L1256" s="14">
        <f>IFERROR(VALUE(LEFT(tblMatriculas[[#This Row],[Clases]],FIND("/",tblMatriculas[[#This Row],[Clases]])-1)),"")</f>
        <v>0</v>
      </c>
      <c r="M1256" s="14">
        <f>IFERROR(VALUE(MID(tblMatriculas[[#This Row],[Clases]],FIND("/",tblMatriculas[[#This Row],[Clases]])+1,5)),"")</f>
        <v>30</v>
      </c>
      <c r="N12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6" s="14" t="str">
        <f>IF(OR(tblMatriculas[[#This Row],[Estado]]&lt;&gt;"activa",tblMatriculas[[#This Row],[Clases dictadas]]=""),"",MAX(0,tblMatriculas[[#This Row],[Clases dictadas]]-tblMatriculas[[#This Row],[Asistidas]]))</f>
        <v/>
      </c>
      <c r="P1256" s="1" t="str">
        <f>IF(OR(tblMatriculas[[#This Row],[Estado]]&lt;&gt;"activa",tblMatriculas[[#This Row],[Asistidas]]=""),"",tblMatriculas[[#This Row],[Asistencia]])</f>
        <v/>
      </c>
      <c r="Q1256" t="b">
        <f>AND(tblMatriculas[[#This Row],[Estado]]="activa",ISNUMBER(tblMatriculas[[#This Row],[% asistencia]]),NOT(ISNUMBER(SEARCH(pPrueba,tblMatriculas[[#This Row],[Nombre]]))))</f>
        <v>0</v>
      </c>
      <c r="R12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256" s="23" t="str" cm="1">
        <f t="array" ref="S12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6" s="23" t="str" cm="1">
        <f t="array" ref="T12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6" s="14" t="str" cm="1">
        <f t="array" ref="U12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6" t="str" cm="1">
        <f t="array" ref="V12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6" t="str" cm="1">
        <f t="array" ref="W12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6" t="str">
        <f>IF(COUNTIFS('Base Estudiantes'!$C:$C,tblMatriculas[[#This Row],[Cédula]],'Base Estudiantes'!$I:$I,tblMatriculas[[#This Row],[Código]])&gt;0,"Sí","No")</f>
        <v>No</v>
      </c>
      <c r="Z1256" s="23" t="str" cm="1">
        <f t="array" ref="Z1256">_xlfn.XLOOKUP(tblMatriculas[[#This Row],[Cédula]]&amp;"|"&amp;tblMatriculas[[#This Row],[Código]],tblBase[Documento]&amp;"|"&amp;tblBase[Código grupo],tblBase[Fecha matrícula],"")</f>
        <v/>
      </c>
    </row>
    <row r="1257" spans="1:26" x14ac:dyDescent="0.2">
      <c r="A1257" t="s">
        <v>2658</v>
      </c>
      <c r="B1257" t="s">
        <v>2659</v>
      </c>
      <c r="C1257" t="s">
        <v>13</v>
      </c>
      <c r="D1257" t="s">
        <v>2647</v>
      </c>
      <c r="E1257" t="s">
        <v>2648</v>
      </c>
      <c r="F1257" t="s">
        <v>2594</v>
      </c>
      <c r="G1257" s="1">
        <v>6.7000000000000004E-2</v>
      </c>
      <c r="H1257" t="s">
        <v>166</v>
      </c>
      <c r="I1257" t="s">
        <v>1580</v>
      </c>
      <c r="J1257" t="s">
        <v>2649</v>
      </c>
      <c r="K1257" t="s">
        <v>24</v>
      </c>
      <c r="L1257" s="14">
        <f>IFERROR(VALUE(LEFT(tblMatriculas[[#This Row],[Clases]],FIND("/",tblMatriculas[[#This Row],[Clases]])-1)),"")</f>
        <v>2</v>
      </c>
      <c r="M1257" s="14">
        <f>IFERROR(VALUE(MID(tblMatriculas[[#This Row],[Clases]],FIND("/",tblMatriculas[[#This Row],[Clases]])+1,5)),"")</f>
        <v>30</v>
      </c>
      <c r="N12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7" s="14">
        <f>IF(OR(tblMatriculas[[#This Row],[Estado]]&lt;&gt;"activa",tblMatriculas[[#This Row],[Clases dictadas]]=""),"",MAX(0,tblMatriculas[[#This Row],[Clases dictadas]]-tblMatriculas[[#This Row],[Asistidas]]))</f>
        <v>3</v>
      </c>
      <c r="P1257" s="1">
        <f>IF(OR(tblMatriculas[[#This Row],[Estado]]&lt;&gt;"activa",tblMatriculas[[#This Row],[Asistidas]]=""),"",tblMatriculas[[#This Row],[Asistencia]])</f>
        <v>6.7000000000000004E-2</v>
      </c>
      <c r="Q1257" t="b">
        <f>AND(tblMatriculas[[#This Row],[Estado]]="activa",ISNUMBER(tblMatriculas[[#This Row],[% asistencia]]),NOT(ISNUMBER(SEARCH(pPrueba,tblMatriculas[[#This Row],[Nombre]]))))</f>
        <v>1</v>
      </c>
      <c r="R12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57" s="23" t="str" cm="1">
        <f t="array" ref="S12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7" s="23" t="str" cm="1">
        <f t="array" ref="T12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7" s="14" t="str" cm="1">
        <f t="array" ref="U12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7" t="str" cm="1">
        <f t="array" ref="V12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7" t="str" cm="1">
        <f t="array" ref="W12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57" t="str">
        <f>IF(COUNTIFS('Base Estudiantes'!$C:$C,tblMatriculas[[#This Row],[Cédula]],'Base Estudiantes'!$I:$I,tblMatriculas[[#This Row],[Código]])&gt;0,"Sí","No")</f>
        <v>Sí</v>
      </c>
      <c r="Z1257" s="23" cm="1">
        <f t="array" ref="Z1257">_xlfn.XLOOKUP(tblMatriculas[[#This Row],[Cédula]]&amp;"|"&amp;tblMatriculas[[#This Row],[Código]],tblBase[Documento]&amp;"|"&amp;tblBase[Código grupo],tblBase[Fecha matrícula],"")</f>
        <v>46263</v>
      </c>
    </row>
    <row r="1258" spans="1:26" x14ac:dyDescent="0.2">
      <c r="A1258" t="s">
        <v>2660</v>
      </c>
      <c r="B1258" t="s">
        <v>2661</v>
      </c>
      <c r="C1258" t="s">
        <v>13</v>
      </c>
      <c r="D1258" t="s">
        <v>2647</v>
      </c>
      <c r="E1258" t="s">
        <v>2648</v>
      </c>
      <c r="F1258" t="s">
        <v>2594</v>
      </c>
      <c r="G1258" s="1">
        <v>0.16699999999999998</v>
      </c>
      <c r="H1258" t="s">
        <v>229</v>
      </c>
      <c r="I1258" t="s">
        <v>1580</v>
      </c>
      <c r="J1258" t="s">
        <v>2649</v>
      </c>
      <c r="K1258" t="s">
        <v>24</v>
      </c>
      <c r="L1258" s="14">
        <f>IFERROR(VALUE(LEFT(tblMatriculas[[#This Row],[Clases]],FIND("/",tblMatriculas[[#This Row],[Clases]])-1)),"")</f>
        <v>5</v>
      </c>
      <c r="M1258" s="14">
        <f>IFERROR(VALUE(MID(tblMatriculas[[#This Row],[Clases]],FIND("/",tblMatriculas[[#This Row],[Clases]])+1,5)),"")</f>
        <v>30</v>
      </c>
      <c r="N12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8" s="14">
        <f>IF(OR(tblMatriculas[[#This Row],[Estado]]&lt;&gt;"activa",tblMatriculas[[#This Row],[Clases dictadas]]=""),"",MAX(0,tblMatriculas[[#This Row],[Clases dictadas]]-tblMatriculas[[#This Row],[Asistidas]]))</f>
        <v>0</v>
      </c>
      <c r="P1258" s="1">
        <f>IF(OR(tblMatriculas[[#This Row],[Estado]]&lt;&gt;"activa",tblMatriculas[[#This Row],[Asistidas]]=""),"",tblMatriculas[[#This Row],[Asistencia]])</f>
        <v>0.16699999999999998</v>
      </c>
      <c r="Q1258" t="b">
        <f>AND(tblMatriculas[[#This Row],[Estado]]="activa",ISNUMBER(tblMatriculas[[#This Row],[% asistencia]]),NOT(ISNUMBER(SEARCH(pPrueba,tblMatriculas[[#This Row],[Nombre]]))))</f>
        <v>1</v>
      </c>
      <c r="R12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58" s="23" t="str" cm="1">
        <f t="array" ref="S12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8" s="23" t="str" cm="1">
        <f t="array" ref="T12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8" s="14" t="str" cm="1">
        <f t="array" ref="U12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8" t="str" cm="1">
        <f t="array" ref="V12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8" t="str" cm="1">
        <f t="array" ref="W12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58" t="str">
        <f>IF(COUNTIFS('Base Estudiantes'!$C:$C,tblMatriculas[[#This Row],[Cédula]],'Base Estudiantes'!$I:$I,tblMatriculas[[#This Row],[Código]])&gt;0,"Sí","No")</f>
        <v>Sí</v>
      </c>
      <c r="Z1258" s="23" cm="1">
        <f t="array" ref="Z1258">_xlfn.XLOOKUP(tblMatriculas[[#This Row],[Cédula]]&amp;"|"&amp;tblMatriculas[[#This Row],[Código]],tblBase[Documento]&amp;"|"&amp;tblBase[Código grupo],tblBase[Fecha matrícula],"")</f>
        <v>46263</v>
      </c>
    </row>
    <row r="1259" spans="1:26" x14ac:dyDescent="0.2">
      <c r="A1259" t="s">
        <v>2662</v>
      </c>
      <c r="B1259" t="s">
        <v>2663</v>
      </c>
      <c r="C1259" t="s">
        <v>13</v>
      </c>
      <c r="D1259" t="s">
        <v>2647</v>
      </c>
      <c r="E1259" t="s">
        <v>2648</v>
      </c>
      <c r="F1259" t="s">
        <v>2594</v>
      </c>
      <c r="G1259" s="1">
        <v>0</v>
      </c>
      <c r="H1259" t="s">
        <v>254</v>
      </c>
      <c r="I1259" t="s">
        <v>1580</v>
      </c>
      <c r="J1259" t="s">
        <v>2649</v>
      </c>
      <c r="K1259" t="s">
        <v>24</v>
      </c>
      <c r="L1259" s="14">
        <f>IFERROR(VALUE(LEFT(tblMatriculas[[#This Row],[Clases]],FIND("/",tblMatriculas[[#This Row],[Clases]])-1)),"")</f>
        <v>0</v>
      </c>
      <c r="M1259" s="14">
        <f>IFERROR(VALUE(MID(tblMatriculas[[#This Row],[Clases]],FIND("/",tblMatriculas[[#This Row],[Clases]])+1,5)),"")</f>
        <v>30</v>
      </c>
      <c r="N12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59" s="14">
        <f>IF(OR(tblMatriculas[[#This Row],[Estado]]&lt;&gt;"activa",tblMatriculas[[#This Row],[Clases dictadas]]=""),"",MAX(0,tblMatriculas[[#This Row],[Clases dictadas]]-tblMatriculas[[#This Row],[Asistidas]]))</f>
        <v>5</v>
      </c>
      <c r="P1259" s="1">
        <f>IF(OR(tblMatriculas[[#This Row],[Estado]]&lt;&gt;"activa",tblMatriculas[[#This Row],[Asistidas]]=""),"",tblMatriculas[[#This Row],[Asistencia]])</f>
        <v>0</v>
      </c>
      <c r="Q1259" t="b">
        <f>AND(tblMatriculas[[#This Row],[Estado]]="activa",ISNUMBER(tblMatriculas[[#This Row],[% asistencia]]),NOT(ISNUMBER(SEARCH(pPrueba,tblMatriculas[[#This Row],[Nombre]]))))</f>
        <v>1</v>
      </c>
      <c r="R12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59" s="23" t="str" cm="1">
        <f t="array" ref="S12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59" s="23" t="str" cm="1">
        <f t="array" ref="T12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59" s="14" t="str" cm="1">
        <f t="array" ref="U12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59" t="str" cm="1">
        <f t="array" ref="V12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59" t="str" cm="1">
        <f t="array" ref="W12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59" t="str">
        <f>IF(COUNTIFS('Base Estudiantes'!$C:$C,tblMatriculas[[#This Row],[Cédula]],'Base Estudiantes'!$I:$I,tblMatriculas[[#This Row],[Código]])&gt;0,"Sí","No")</f>
        <v>Sí</v>
      </c>
      <c r="Z1259" s="23" cm="1">
        <f t="array" ref="Z1259">_xlfn.XLOOKUP(tblMatriculas[[#This Row],[Cédula]]&amp;"|"&amp;tblMatriculas[[#This Row],[Código]],tblBase[Documento]&amp;"|"&amp;tblBase[Código grupo],tblBase[Fecha matrícula],"")</f>
        <v>46263</v>
      </c>
    </row>
    <row r="1260" spans="1:26" x14ac:dyDescent="0.2">
      <c r="A1260" t="s">
        <v>2664</v>
      </c>
      <c r="B1260" t="s">
        <v>2665</v>
      </c>
      <c r="C1260" t="s">
        <v>13</v>
      </c>
      <c r="D1260" t="s">
        <v>2647</v>
      </c>
      <c r="E1260" t="s">
        <v>2648</v>
      </c>
      <c r="F1260" t="s">
        <v>2594</v>
      </c>
      <c r="G1260" s="1">
        <v>6.7000000000000004E-2</v>
      </c>
      <c r="H1260" t="s">
        <v>166</v>
      </c>
      <c r="I1260" t="s">
        <v>1580</v>
      </c>
      <c r="J1260" t="s">
        <v>2649</v>
      </c>
      <c r="K1260" t="s">
        <v>24</v>
      </c>
      <c r="L1260" s="14">
        <f>IFERROR(VALUE(LEFT(tblMatriculas[[#This Row],[Clases]],FIND("/",tblMatriculas[[#This Row],[Clases]])-1)),"")</f>
        <v>2</v>
      </c>
      <c r="M1260" s="14">
        <f>IFERROR(VALUE(MID(tblMatriculas[[#This Row],[Clases]],FIND("/",tblMatriculas[[#This Row],[Clases]])+1,5)),"")</f>
        <v>30</v>
      </c>
      <c r="N12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0" s="14">
        <f>IF(OR(tblMatriculas[[#This Row],[Estado]]&lt;&gt;"activa",tblMatriculas[[#This Row],[Clases dictadas]]=""),"",MAX(0,tblMatriculas[[#This Row],[Clases dictadas]]-tblMatriculas[[#This Row],[Asistidas]]))</f>
        <v>3</v>
      </c>
      <c r="P1260" s="1">
        <f>IF(OR(tblMatriculas[[#This Row],[Estado]]&lt;&gt;"activa",tblMatriculas[[#This Row],[Asistidas]]=""),"",tblMatriculas[[#This Row],[Asistencia]])</f>
        <v>6.7000000000000004E-2</v>
      </c>
      <c r="Q1260" t="b">
        <f>AND(tblMatriculas[[#This Row],[Estado]]="activa",ISNUMBER(tblMatriculas[[#This Row],[% asistencia]]),NOT(ISNUMBER(SEARCH(pPrueba,tblMatriculas[[#This Row],[Nombre]]))))</f>
        <v>1</v>
      </c>
      <c r="R12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60" s="23" t="str" cm="1">
        <f t="array" ref="S12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0" s="23" t="str" cm="1">
        <f t="array" ref="T12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0" s="14" t="str" cm="1">
        <f t="array" ref="U12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0" t="str" cm="1">
        <f t="array" ref="V12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0" t="str" cm="1">
        <f t="array" ref="W12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60" t="str">
        <f>IF(COUNTIFS('Base Estudiantes'!$C:$C,tblMatriculas[[#This Row],[Cédula]],'Base Estudiantes'!$I:$I,tblMatriculas[[#This Row],[Código]])&gt;0,"Sí","No")</f>
        <v>Sí</v>
      </c>
      <c r="Z1260" s="23" cm="1">
        <f t="array" ref="Z1260">_xlfn.XLOOKUP(tblMatriculas[[#This Row],[Cédula]]&amp;"|"&amp;tblMatriculas[[#This Row],[Código]],tblBase[Documento]&amp;"|"&amp;tblBase[Código grupo],tblBase[Fecha matrícula],"")</f>
        <v>46263</v>
      </c>
    </row>
    <row r="1261" spans="1:26" x14ac:dyDescent="0.2">
      <c r="A1261" t="s">
        <v>2666</v>
      </c>
      <c r="B1261" t="s">
        <v>2667</v>
      </c>
      <c r="C1261" t="s">
        <v>13</v>
      </c>
      <c r="D1261" t="s">
        <v>2647</v>
      </c>
      <c r="E1261" t="s">
        <v>2648</v>
      </c>
      <c r="F1261" t="s">
        <v>2594</v>
      </c>
      <c r="G1261" s="1">
        <v>0.16699999999999998</v>
      </c>
      <c r="H1261" t="s">
        <v>229</v>
      </c>
      <c r="I1261" t="s">
        <v>1580</v>
      </c>
      <c r="J1261" t="s">
        <v>2649</v>
      </c>
      <c r="K1261" t="s">
        <v>24</v>
      </c>
      <c r="L1261" s="14">
        <f>IFERROR(VALUE(LEFT(tblMatriculas[[#This Row],[Clases]],FIND("/",tblMatriculas[[#This Row],[Clases]])-1)),"")</f>
        <v>5</v>
      </c>
      <c r="M1261" s="14">
        <f>IFERROR(VALUE(MID(tblMatriculas[[#This Row],[Clases]],FIND("/",tblMatriculas[[#This Row],[Clases]])+1,5)),"")</f>
        <v>30</v>
      </c>
      <c r="N12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1" s="14">
        <f>IF(OR(tblMatriculas[[#This Row],[Estado]]&lt;&gt;"activa",tblMatriculas[[#This Row],[Clases dictadas]]=""),"",MAX(0,tblMatriculas[[#This Row],[Clases dictadas]]-tblMatriculas[[#This Row],[Asistidas]]))</f>
        <v>0</v>
      </c>
      <c r="P1261" s="1">
        <f>IF(OR(tblMatriculas[[#This Row],[Estado]]&lt;&gt;"activa",tblMatriculas[[#This Row],[Asistidas]]=""),"",tblMatriculas[[#This Row],[Asistencia]])</f>
        <v>0.16699999999999998</v>
      </c>
      <c r="Q1261" t="b">
        <f>AND(tblMatriculas[[#This Row],[Estado]]="activa",ISNUMBER(tblMatriculas[[#This Row],[% asistencia]]),NOT(ISNUMBER(SEARCH(pPrueba,tblMatriculas[[#This Row],[Nombre]]))))</f>
        <v>1</v>
      </c>
      <c r="R12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1" s="23" t="str" cm="1">
        <f t="array" ref="S12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1" s="23" t="str" cm="1">
        <f t="array" ref="T12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1" s="14" t="str" cm="1">
        <f t="array" ref="U12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1" t="str" cm="1">
        <f t="array" ref="V12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1" t="str" cm="1">
        <f t="array" ref="W12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1" t="str">
        <f>IF(COUNTIFS('Base Estudiantes'!$C:$C,tblMatriculas[[#This Row],[Cédula]],'Base Estudiantes'!$I:$I,tblMatriculas[[#This Row],[Código]])&gt;0,"Sí","No")</f>
        <v>Sí</v>
      </c>
      <c r="Z1261" s="23" cm="1">
        <f t="array" ref="Z1261">_xlfn.XLOOKUP(tblMatriculas[[#This Row],[Cédula]]&amp;"|"&amp;tblMatriculas[[#This Row],[Código]],tblBase[Documento]&amp;"|"&amp;tblBase[Código grupo],tblBase[Fecha matrícula],"")</f>
        <v>46263</v>
      </c>
    </row>
    <row r="1262" spans="1:26" x14ac:dyDescent="0.2">
      <c r="A1262" t="s">
        <v>2668</v>
      </c>
      <c r="B1262" t="s">
        <v>2669</v>
      </c>
      <c r="C1262" t="s">
        <v>13</v>
      </c>
      <c r="D1262" t="s">
        <v>2647</v>
      </c>
      <c r="E1262" t="s">
        <v>2648</v>
      </c>
      <c r="F1262" t="s">
        <v>2594</v>
      </c>
      <c r="G1262" s="1">
        <v>0.16699999999999998</v>
      </c>
      <c r="H1262" t="s">
        <v>229</v>
      </c>
      <c r="I1262" t="s">
        <v>1580</v>
      </c>
      <c r="J1262" t="s">
        <v>2649</v>
      </c>
      <c r="K1262" t="s">
        <v>24</v>
      </c>
      <c r="L1262" s="14">
        <f>IFERROR(VALUE(LEFT(tblMatriculas[[#This Row],[Clases]],FIND("/",tblMatriculas[[#This Row],[Clases]])-1)),"")</f>
        <v>5</v>
      </c>
      <c r="M1262" s="14">
        <f>IFERROR(VALUE(MID(tblMatriculas[[#This Row],[Clases]],FIND("/",tblMatriculas[[#This Row],[Clases]])+1,5)),"")</f>
        <v>30</v>
      </c>
      <c r="N12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2" s="14">
        <f>IF(OR(tblMatriculas[[#This Row],[Estado]]&lt;&gt;"activa",tblMatriculas[[#This Row],[Clases dictadas]]=""),"",MAX(0,tblMatriculas[[#This Row],[Clases dictadas]]-tblMatriculas[[#This Row],[Asistidas]]))</f>
        <v>0</v>
      </c>
      <c r="P1262" s="1">
        <f>IF(OR(tblMatriculas[[#This Row],[Estado]]&lt;&gt;"activa",tblMatriculas[[#This Row],[Asistidas]]=""),"",tblMatriculas[[#This Row],[Asistencia]])</f>
        <v>0.16699999999999998</v>
      </c>
      <c r="Q1262" t="b">
        <f>AND(tblMatriculas[[#This Row],[Estado]]="activa",ISNUMBER(tblMatriculas[[#This Row],[% asistencia]]),NOT(ISNUMBER(SEARCH(pPrueba,tblMatriculas[[#This Row],[Nombre]]))))</f>
        <v>1</v>
      </c>
      <c r="R12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2" s="23" t="str" cm="1">
        <f t="array" ref="S12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2" s="23" t="str" cm="1">
        <f t="array" ref="T12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2" s="14" t="str" cm="1">
        <f t="array" ref="U12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2" t="str" cm="1">
        <f t="array" ref="V12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2" t="str" cm="1">
        <f t="array" ref="W12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2" t="str">
        <f>IF(COUNTIFS('Base Estudiantes'!$C:$C,tblMatriculas[[#This Row],[Cédula]],'Base Estudiantes'!$I:$I,tblMatriculas[[#This Row],[Código]])&gt;0,"Sí","No")</f>
        <v>Sí</v>
      </c>
      <c r="Z1262" s="23" cm="1">
        <f t="array" ref="Z1262">_xlfn.XLOOKUP(tblMatriculas[[#This Row],[Cédula]]&amp;"|"&amp;tblMatriculas[[#This Row],[Código]],tblBase[Documento]&amp;"|"&amp;tblBase[Código grupo],tblBase[Fecha matrícula],"")</f>
        <v>46263</v>
      </c>
    </row>
    <row r="1263" spans="1:26" x14ac:dyDescent="0.2">
      <c r="A1263" t="s">
        <v>2670</v>
      </c>
      <c r="B1263" t="s">
        <v>2671</v>
      </c>
      <c r="C1263" t="s">
        <v>13</v>
      </c>
      <c r="D1263" t="s">
        <v>2647</v>
      </c>
      <c r="E1263" t="s">
        <v>2648</v>
      </c>
      <c r="F1263" t="s">
        <v>2594</v>
      </c>
      <c r="G1263" s="1">
        <v>0.16699999999999998</v>
      </c>
      <c r="H1263" t="s">
        <v>229</v>
      </c>
      <c r="I1263" t="s">
        <v>1580</v>
      </c>
      <c r="J1263" t="s">
        <v>2649</v>
      </c>
      <c r="K1263" t="s">
        <v>24</v>
      </c>
      <c r="L1263" s="14">
        <f>IFERROR(VALUE(LEFT(tblMatriculas[[#This Row],[Clases]],FIND("/",tblMatriculas[[#This Row],[Clases]])-1)),"")</f>
        <v>5</v>
      </c>
      <c r="M1263" s="14">
        <f>IFERROR(VALUE(MID(tblMatriculas[[#This Row],[Clases]],FIND("/",tblMatriculas[[#This Row],[Clases]])+1,5)),"")</f>
        <v>30</v>
      </c>
      <c r="N12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3" s="14">
        <f>IF(OR(tblMatriculas[[#This Row],[Estado]]&lt;&gt;"activa",tblMatriculas[[#This Row],[Clases dictadas]]=""),"",MAX(0,tblMatriculas[[#This Row],[Clases dictadas]]-tblMatriculas[[#This Row],[Asistidas]]))</f>
        <v>0</v>
      </c>
      <c r="P1263" s="1">
        <f>IF(OR(tblMatriculas[[#This Row],[Estado]]&lt;&gt;"activa",tblMatriculas[[#This Row],[Asistidas]]=""),"",tblMatriculas[[#This Row],[Asistencia]])</f>
        <v>0.16699999999999998</v>
      </c>
      <c r="Q1263" t="b">
        <f>AND(tblMatriculas[[#This Row],[Estado]]="activa",ISNUMBER(tblMatriculas[[#This Row],[% asistencia]]),NOT(ISNUMBER(SEARCH(pPrueba,tblMatriculas[[#This Row],[Nombre]]))))</f>
        <v>1</v>
      </c>
      <c r="R12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3" s="23" t="str" cm="1">
        <f t="array" ref="S12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3" s="23" t="str" cm="1">
        <f t="array" ref="T12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3" s="14" t="str" cm="1">
        <f t="array" ref="U12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3" t="str" cm="1">
        <f t="array" ref="V12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3" t="str" cm="1">
        <f t="array" ref="W12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3" t="str">
        <f>IF(COUNTIFS('Base Estudiantes'!$C:$C,tblMatriculas[[#This Row],[Cédula]],'Base Estudiantes'!$I:$I,tblMatriculas[[#This Row],[Código]])&gt;0,"Sí","No")</f>
        <v>Sí</v>
      </c>
      <c r="Z1263" s="23" cm="1">
        <f t="array" ref="Z1263">_xlfn.XLOOKUP(tblMatriculas[[#This Row],[Cédula]]&amp;"|"&amp;tblMatriculas[[#This Row],[Código]],tblBase[Documento]&amp;"|"&amp;tblBase[Código grupo],tblBase[Fecha matrícula],"")</f>
        <v>46263</v>
      </c>
    </row>
    <row r="1264" spans="1:26" x14ac:dyDescent="0.2">
      <c r="A1264" t="s">
        <v>2672</v>
      </c>
      <c r="B1264" t="s">
        <v>2673</v>
      </c>
      <c r="C1264" t="s">
        <v>13</v>
      </c>
      <c r="D1264" t="s">
        <v>2647</v>
      </c>
      <c r="E1264" t="s">
        <v>2648</v>
      </c>
      <c r="F1264" t="s">
        <v>2594</v>
      </c>
      <c r="G1264" s="1">
        <v>0.1</v>
      </c>
      <c r="H1264" t="s">
        <v>117</v>
      </c>
      <c r="I1264" t="s">
        <v>1580</v>
      </c>
      <c r="J1264" t="s">
        <v>2649</v>
      </c>
      <c r="K1264" t="s">
        <v>24</v>
      </c>
      <c r="L1264" s="14">
        <f>IFERROR(VALUE(LEFT(tblMatriculas[[#This Row],[Clases]],FIND("/",tblMatriculas[[#This Row],[Clases]])-1)),"")</f>
        <v>3</v>
      </c>
      <c r="M1264" s="14">
        <f>IFERROR(VALUE(MID(tblMatriculas[[#This Row],[Clases]],FIND("/",tblMatriculas[[#This Row],[Clases]])+1,5)),"")</f>
        <v>30</v>
      </c>
      <c r="N12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4" s="14">
        <f>IF(OR(tblMatriculas[[#This Row],[Estado]]&lt;&gt;"activa",tblMatriculas[[#This Row],[Clases dictadas]]=""),"",MAX(0,tblMatriculas[[#This Row],[Clases dictadas]]-tblMatriculas[[#This Row],[Asistidas]]))</f>
        <v>2</v>
      </c>
      <c r="P1264" s="1">
        <f>IF(OR(tblMatriculas[[#This Row],[Estado]]&lt;&gt;"activa",tblMatriculas[[#This Row],[Asistidas]]=""),"",tblMatriculas[[#This Row],[Asistencia]])</f>
        <v>0.1</v>
      </c>
      <c r="Q1264" t="b">
        <f>AND(tblMatriculas[[#This Row],[Estado]]="activa",ISNUMBER(tblMatriculas[[#This Row],[% asistencia]]),NOT(ISNUMBER(SEARCH(pPrueba,tblMatriculas[[#This Row],[Nombre]]))))</f>
        <v>1</v>
      </c>
      <c r="R12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4" s="23" t="str" cm="1">
        <f t="array" ref="S12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4" s="23" t="str" cm="1">
        <f t="array" ref="T12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4" s="14" t="str" cm="1">
        <f t="array" ref="U12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4" t="str" cm="1">
        <f t="array" ref="V12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4" t="str" cm="1">
        <f t="array" ref="W12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4" t="str">
        <f>IF(COUNTIFS('Base Estudiantes'!$C:$C,tblMatriculas[[#This Row],[Cédula]],'Base Estudiantes'!$I:$I,tblMatriculas[[#This Row],[Código]])&gt;0,"Sí","No")</f>
        <v>Sí</v>
      </c>
      <c r="Z1264" s="23" cm="1">
        <f t="array" ref="Z1264">_xlfn.XLOOKUP(tblMatriculas[[#This Row],[Cédula]]&amp;"|"&amp;tblMatriculas[[#This Row],[Código]],tblBase[Documento]&amp;"|"&amp;tblBase[Código grupo],tblBase[Fecha matrícula],"")</f>
        <v>46263</v>
      </c>
    </row>
    <row r="1265" spans="1:26" x14ac:dyDescent="0.2">
      <c r="A1265" t="s">
        <v>2674</v>
      </c>
      <c r="B1265" t="s">
        <v>2675</v>
      </c>
      <c r="C1265" t="s">
        <v>13</v>
      </c>
      <c r="D1265" t="s">
        <v>2647</v>
      </c>
      <c r="E1265" t="s">
        <v>2648</v>
      </c>
      <c r="F1265" t="s">
        <v>2594</v>
      </c>
      <c r="G1265" s="1">
        <v>0.16699999999999998</v>
      </c>
      <c r="H1265" t="s">
        <v>229</v>
      </c>
      <c r="I1265" t="s">
        <v>1580</v>
      </c>
      <c r="J1265" t="s">
        <v>2649</v>
      </c>
      <c r="K1265" t="s">
        <v>24</v>
      </c>
      <c r="L1265" s="14">
        <f>IFERROR(VALUE(LEFT(tblMatriculas[[#This Row],[Clases]],FIND("/",tblMatriculas[[#This Row],[Clases]])-1)),"")</f>
        <v>5</v>
      </c>
      <c r="M1265" s="14">
        <f>IFERROR(VALUE(MID(tblMatriculas[[#This Row],[Clases]],FIND("/",tblMatriculas[[#This Row],[Clases]])+1,5)),"")</f>
        <v>30</v>
      </c>
      <c r="N12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5" s="14">
        <f>IF(OR(tblMatriculas[[#This Row],[Estado]]&lt;&gt;"activa",tblMatriculas[[#This Row],[Clases dictadas]]=""),"",MAX(0,tblMatriculas[[#This Row],[Clases dictadas]]-tblMatriculas[[#This Row],[Asistidas]]))</f>
        <v>0</v>
      </c>
      <c r="P1265" s="1">
        <f>IF(OR(tblMatriculas[[#This Row],[Estado]]&lt;&gt;"activa",tblMatriculas[[#This Row],[Asistidas]]=""),"",tblMatriculas[[#This Row],[Asistencia]])</f>
        <v>0.16699999999999998</v>
      </c>
      <c r="Q1265" t="b">
        <f>AND(tblMatriculas[[#This Row],[Estado]]="activa",ISNUMBER(tblMatriculas[[#This Row],[% asistencia]]),NOT(ISNUMBER(SEARCH(pPrueba,tblMatriculas[[#This Row],[Nombre]]))))</f>
        <v>1</v>
      </c>
      <c r="R12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5" s="23" t="str" cm="1">
        <f t="array" ref="S12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5" s="23" t="str" cm="1">
        <f t="array" ref="T12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5" s="14" t="str" cm="1">
        <f t="array" ref="U12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5" t="str" cm="1">
        <f t="array" ref="V12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5" t="str" cm="1">
        <f t="array" ref="W12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5" t="str">
        <f>IF(COUNTIFS('Base Estudiantes'!$C:$C,tblMatriculas[[#This Row],[Cédula]],'Base Estudiantes'!$I:$I,tblMatriculas[[#This Row],[Código]])&gt;0,"Sí","No")</f>
        <v>Sí</v>
      </c>
      <c r="Z1265" s="23" cm="1">
        <f t="array" ref="Z1265">_xlfn.XLOOKUP(tblMatriculas[[#This Row],[Cédula]]&amp;"|"&amp;tblMatriculas[[#This Row],[Código]],tblBase[Documento]&amp;"|"&amp;tblBase[Código grupo],tblBase[Fecha matrícula],"")</f>
        <v>46263</v>
      </c>
    </row>
    <row r="1266" spans="1:26" x14ac:dyDescent="0.2">
      <c r="A1266" t="s">
        <v>2676</v>
      </c>
      <c r="B1266" t="s">
        <v>2677</v>
      </c>
      <c r="C1266" t="s">
        <v>13</v>
      </c>
      <c r="D1266" t="s">
        <v>2647</v>
      </c>
      <c r="E1266" t="s">
        <v>2648</v>
      </c>
      <c r="F1266" t="s">
        <v>2594</v>
      </c>
      <c r="G1266" s="1">
        <v>0</v>
      </c>
      <c r="H1266" t="s">
        <v>254</v>
      </c>
      <c r="I1266" t="s">
        <v>1580</v>
      </c>
      <c r="J1266" t="s">
        <v>2649</v>
      </c>
      <c r="K1266" t="s">
        <v>24</v>
      </c>
      <c r="L1266" s="14">
        <f>IFERROR(VALUE(LEFT(tblMatriculas[[#This Row],[Clases]],FIND("/",tblMatriculas[[#This Row],[Clases]])-1)),"")</f>
        <v>0</v>
      </c>
      <c r="M1266" s="14">
        <f>IFERROR(VALUE(MID(tblMatriculas[[#This Row],[Clases]],FIND("/",tblMatriculas[[#This Row],[Clases]])+1,5)),"")</f>
        <v>30</v>
      </c>
      <c r="N12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6" s="14">
        <f>IF(OR(tblMatriculas[[#This Row],[Estado]]&lt;&gt;"activa",tblMatriculas[[#This Row],[Clases dictadas]]=""),"",MAX(0,tblMatriculas[[#This Row],[Clases dictadas]]-tblMatriculas[[#This Row],[Asistidas]]))</f>
        <v>5</v>
      </c>
      <c r="P1266" s="1">
        <f>IF(OR(tblMatriculas[[#This Row],[Estado]]&lt;&gt;"activa",tblMatriculas[[#This Row],[Asistidas]]=""),"",tblMatriculas[[#This Row],[Asistencia]])</f>
        <v>0</v>
      </c>
      <c r="Q1266" t="b">
        <f>AND(tblMatriculas[[#This Row],[Estado]]="activa",ISNUMBER(tblMatriculas[[#This Row],[% asistencia]]),NOT(ISNUMBER(SEARCH(pPrueba,tblMatriculas[[#This Row],[Nombre]]))))</f>
        <v>1</v>
      </c>
      <c r="R12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66" s="23" t="str" cm="1">
        <f t="array" ref="S12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6" s="23" t="str" cm="1">
        <f t="array" ref="T12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6" s="14" t="str" cm="1">
        <f t="array" ref="U12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6" t="str" cm="1">
        <f t="array" ref="V12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6" t="str" cm="1">
        <f t="array" ref="W12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66" t="str">
        <f>IF(COUNTIFS('Base Estudiantes'!$C:$C,tblMatriculas[[#This Row],[Cédula]],'Base Estudiantes'!$I:$I,tblMatriculas[[#This Row],[Código]])&gt;0,"Sí","No")</f>
        <v>Sí</v>
      </c>
      <c r="Z1266" s="23" cm="1">
        <f t="array" ref="Z1266">_xlfn.XLOOKUP(tblMatriculas[[#This Row],[Cédula]]&amp;"|"&amp;tblMatriculas[[#This Row],[Código]],tblBase[Documento]&amp;"|"&amp;tblBase[Código grupo],tblBase[Fecha matrícula],"")</f>
        <v>46263</v>
      </c>
    </row>
    <row r="1267" spans="1:26" x14ac:dyDescent="0.2">
      <c r="A1267" t="s">
        <v>2643</v>
      </c>
      <c r="B1267" t="s">
        <v>2644</v>
      </c>
      <c r="C1267" t="s">
        <v>49</v>
      </c>
      <c r="D1267" t="s">
        <v>2647</v>
      </c>
      <c r="E1267" t="s">
        <v>2648</v>
      </c>
      <c r="F1267" t="s">
        <v>2594</v>
      </c>
      <c r="G1267" s="1">
        <v>8.3000000000000004E-2</v>
      </c>
      <c r="H1267" t="s">
        <v>1867</v>
      </c>
      <c r="I1267" t="s">
        <v>1580</v>
      </c>
      <c r="J1267" t="s">
        <v>2649</v>
      </c>
      <c r="K1267" t="s">
        <v>24</v>
      </c>
      <c r="L1267" s="14">
        <f>IFERROR(VALUE(LEFT(tblMatriculas[[#This Row],[Clases]],FIND("/",tblMatriculas[[#This Row],[Clases]])-1)),"")</f>
        <v>5</v>
      </c>
      <c r="M1267" s="14">
        <f>IFERROR(VALUE(MID(tblMatriculas[[#This Row],[Clases]],FIND("/",tblMatriculas[[#This Row],[Clases]])+1,5)),"")</f>
        <v>60</v>
      </c>
      <c r="N12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267" s="14" t="str">
        <f>IF(OR(tblMatriculas[[#This Row],[Estado]]&lt;&gt;"activa",tblMatriculas[[#This Row],[Clases dictadas]]=""),"",MAX(0,tblMatriculas[[#This Row],[Clases dictadas]]-tblMatriculas[[#This Row],[Asistidas]]))</f>
        <v/>
      </c>
      <c r="P1267" s="1" t="str">
        <f>IF(OR(tblMatriculas[[#This Row],[Estado]]&lt;&gt;"activa",tblMatriculas[[#This Row],[Asistidas]]=""),"",tblMatriculas[[#This Row],[Asistencia]])</f>
        <v/>
      </c>
      <c r="Q1267" t="b">
        <f>AND(tblMatriculas[[#This Row],[Estado]]="activa",ISNUMBER(tblMatriculas[[#This Row],[% asistencia]]),NOT(ISNUMBER(SEARCH(pPrueba,tblMatriculas[[#This Row],[Nombre]]))))</f>
        <v>0</v>
      </c>
      <c r="R12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267" s="23" t="str" cm="1">
        <f t="array" ref="S12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7" s="23" t="str" cm="1">
        <f t="array" ref="T12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7" s="14" t="str" cm="1">
        <f t="array" ref="U12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7" t="str" cm="1">
        <f t="array" ref="V12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7" t="str" cm="1">
        <f t="array" ref="W12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7" t="str">
        <f>IF(COUNTIFS('Base Estudiantes'!$C:$C,tblMatriculas[[#This Row],[Cédula]],'Base Estudiantes'!$I:$I,tblMatriculas[[#This Row],[Código]])&gt;0,"Sí","No")</f>
        <v>No</v>
      </c>
      <c r="Z1267" s="23" t="str" cm="1">
        <f t="array" ref="Z1267">_xlfn.XLOOKUP(tblMatriculas[[#This Row],[Cédula]]&amp;"|"&amp;tblMatriculas[[#This Row],[Código]],tblBase[Documento]&amp;"|"&amp;tblBase[Código grupo],tblBase[Fecha matrícula],"")</f>
        <v/>
      </c>
    </row>
    <row r="1268" spans="1:26" x14ac:dyDescent="0.2">
      <c r="A1268" t="s">
        <v>2678</v>
      </c>
      <c r="B1268" t="s">
        <v>2679</v>
      </c>
      <c r="C1268" t="s">
        <v>13</v>
      </c>
      <c r="D1268" t="s">
        <v>2647</v>
      </c>
      <c r="E1268" t="s">
        <v>2648</v>
      </c>
      <c r="F1268" t="s">
        <v>2594</v>
      </c>
      <c r="G1268" s="1">
        <v>0.16699999999999998</v>
      </c>
      <c r="H1268" t="s">
        <v>229</v>
      </c>
      <c r="I1268" t="s">
        <v>1580</v>
      </c>
      <c r="J1268" t="s">
        <v>2649</v>
      </c>
      <c r="K1268" t="s">
        <v>24</v>
      </c>
      <c r="L1268" s="14">
        <f>IFERROR(VALUE(LEFT(tblMatriculas[[#This Row],[Clases]],FIND("/",tblMatriculas[[#This Row],[Clases]])-1)),"")</f>
        <v>5</v>
      </c>
      <c r="M1268" s="14">
        <f>IFERROR(VALUE(MID(tblMatriculas[[#This Row],[Clases]],FIND("/",tblMatriculas[[#This Row],[Clases]])+1,5)),"")</f>
        <v>30</v>
      </c>
      <c r="N12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8" s="14">
        <f>IF(OR(tblMatriculas[[#This Row],[Estado]]&lt;&gt;"activa",tblMatriculas[[#This Row],[Clases dictadas]]=""),"",MAX(0,tblMatriculas[[#This Row],[Clases dictadas]]-tblMatriculas[[#This Row],[Asistidas]]))</f>
        <v>0</v>
      </c>
      <c r="P1268" s="1">
        <f>IF(OR(tblMatriculas[[#This Row],[Estado]]&lt;&gt;"activa",tblMatriculas[[#This Row],[Asistidas]]=""),"",tblMatriculas[[#This Row],[Asistencia]])</f>
        <v>0.16699999999999998</v>
      </c>
      <c r="Q1268" t="b">
        <f>AND(tblMatriculas[[#This Row],[Estado]]="activa",ISNUMBER(tblMatriculas[[#This Row],[% asistencia]]),NOT(ISNUMBER(SEARCH(pPrueba,tblMatriculas[[#This Row],[Nombre]]))))</f>
        <v>1</v>
      </c>
      <c r="R12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8" s="23" t="str" cm="1">
        <f t="array" ref="S12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8" s="23" t="str" cm="1">
        <f t="array" ref="T12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8" s="14" t="str" cm="1">
        <f t="array" ref="U12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8" t="str" cm="1">
        <f t="array" ref="V12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8" t="str" cm="1">
        <f t="array" ref="W12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8" t="str">
        <f>IF(COUNTIFS('Base Estudiantes'!$C:$C,tblMatriculas[[#This Row],[Cédula]],'Base Estudiantes'!$I:$I,tblMatriculas[[#This Row],[Código]])&gt;0,"Sí","No")</f>
        <v>Sí</v>
      </c>
      <c r="Z1268" s="23" cm="1">
        <f t="array" ref="Z1268">_xlfn.XLOOKUP(tblMatriculas[[#This Row],[Cédula]]&amp;"|"&amp;tblMatriculas[[#This Row],[Código]],tblBase[Documento]&amp;"|"&amp;tblBase[Código grupo],tblBase[Fecha matrícula],"")</f>
        <v>46263</v>
      </c>
    </row>
    <row r="1269" spans="1:26" x14ac:dyDescent="0.2">
      <c r="A1269" t="s">
        <v>2680</v>
      </c>
      <c r="B1269" t="s">
        <v>2681</v>
      </c>
      <c r="C1269" t="s">
        <v>13</v>
      </c>
      <c r="D1269" t="s">
        <v>2647</v>
      </c>
      <c r="E1269" t="s">
        <v>2648</v>
      </c>
      <c r="F1269" t="s">
        <v>2594</v>
      </c>
      <c r="G1269" s="1">
        <v>0.16699999999999998</v>
      </c>
      <c r="H1269" t="s">
        <v>229</v>
      </c>
      <c r="I1269" t="s">
        <v>1580</v>
      </c>
      <c r="J1269" t="s">
        <v>2649</v>
      </c>
      <c r="K1269" t="s">
        <v>24</v>
      </c>
      <c r="L1269" s="14">
        <f>IFERROR(VALUE(LEFT(tblMatriculas[[#This Row],[Clases]],FIND("/",tblMatriculas[[#This Row],[Clases]])-1)),"")</f>
        <v>5</v>
      </c>
      <c r="M1269" s="14">
        <f>IFERROR(VALUE(MID(tblMatriculas[[#This Row],[Clases]],FIND("/",tblMatriculas[[#This Row],[Clases]])+1,5)),"")</f>
        <v>30</v>
      </c>
      <c r="N12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69" s="14">
        <f>IF(OR(tblMatriculas[[#This Row],[Estado]]&lt;&gt;"activa",tblMatriculas[[#This Row],[Clases dictadas]]=""),"",MAX(0,tblMatriculas[[#This Row],[Clases dictadas]]-tblMatriculas[[#This Row],[Asistidas]]))</f>
        <v>0</v>
      </c>
      <c r="P1269" s="1">
        <f>IF(OR(tblMatriculas[[#This Row],[Estado]]&lt;&gt;"activa",tblMatriculas[[#This Row],[Asistidas]]=""),"",tblMatriculas[[#This Row],[Asistencia]])</f>
        <v>0.16699999999999998</v>
      </c>
      <c r="Q1269" t="b">
        <f>AND(tblMatriculas[[#This Row],[Estado]]="activa",ISNUMBER(tblMatriculas[[#This Row],[% asistencia]]),NOT(ISNUMBER(SEARCH(pPrueba,tblMatriculas[[#This Row],[Nombre]]))))</f>
        <v>1</v>
      </c>
      <c r="R12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69" s="23" t="str" cm="1">
        <f t="array" ref="S12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69" s="23" t="str" cm="1">
        <f t="array" ref="T12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69" s="14" t="str" cm="1">
        <f t="array" ref="U12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69" t="str" cm="1">
        <f t="array" ref="V12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69" t="str" cm="1">
        <f t="array" ref="W12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69" t="str">
        <f>IF(COUNTIFS('Base Estudiantes'!$C:$C,tblMatriculas[[#This Row],[Cédula]],'Base Estudiantes'!$I:$I,tblMatriculas[[#This Row],[Código]])&gt;0,"Sí","No")</f>
        <v>Sí</v>
      </c>
      <c r="Z1269" s="23" cm="1">
        <f t="array" ref="Z1269">_xlfn.XLOOKUP(tblMatriculas[[#This Row],[Cédula]]&amp;"|"&amp;tblMatriculas[[#This Row],[Código]],tblBase[Documento]&amp;"|"&amp;tblBase[Código grupo],tblBase[Fecha matrícula],"")</f>
        <v>46263</v>
      </c>
    </row>
    <row r="1270" spans="1:26" x14ac:dyDescent="0.2">
      <c r="A1270" t="s">
        <v>2682</v>
      </c>
      <c r="B1270" t="s">
        <v>2683</v>
      </c>
      <c r="C1270" t="s">
        <v>13</v>
      </c>
      <c r="D1270" t="s">
        <v>2647</v>
      </c>
      <c r="E1270" t="s">
        <v>2648</v>
      </c>
      <c r="F1270" t="s">
        <v>2594</v>
      </c>
      <c r="G1270" s="1">
        <v>0.13300000000000001</v>
      </c>
      <c r="H1270" t="s">
        <v>112</v>
      </c>
      <c r="I1270" t="s">
        <v>1580</v>
      </c>
      <c r="J1270" t="s">
        <v>2649</v>
      </c>
      <c r="K1270" t="s">
        <v>24</v>
      </c>
      <c r="L1270" s="14">
        <f>IFERROR(VALUE(LEFT(tblMatriculas[[#This Row],[Clases]],FIND("/",tblMatriculas[[#This Row],[Clases]])-1)),"")</f>
        <v>4</v>
      </c>
      <c r="M1270" s="14">
        <f>IFERROR(VALUE(MID(tblMatriculas[[#This Row],[Clases]],FIND("/",tblMatriculas[[#This Row],[Clases]])+1,5)),"")</f>
        <v>30</v>
      </c>
      <c r="N12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0" s="14">
        <f>IF(OR(tblMatriculas[[#This Row],[Estado]]&lt;&gt;"activa",tblMatriculas[[#This Row],[Clases dictadas]]=""),"",MAX(0,tblMatriculas[[#This Row],[Clases dictadas]]-tblMatriculas[[#This Row],[Asistidas]]))</f>
        <v>1</v>
      </c>
      <c r="P1270" s="1">
        <f>IF(OR(tblMatriculas[[#This Row],[Estado]]&lt;&gt;"activa",tblMatriculas[[#This Row],[Asistidas]]=""),"",tblMatriculas[[#This Row],[Asistencia]])</f>
        <v>0.13300000000000001</v>
      </c>
      <c r="Q1270" t="b">
        <f>AND(tblMatriculas[[#This Row],[Estado]]="activa",ISNUMBER(tblMatriculas[[#This Row],[% asistencia]]),NOT(ISNUMBER(SEARCH(pPrueba,tblMatriculas[[#This Row],[Nombre]]))))</f>
        <v>1</v>
      </c>
      <c r="R12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70" s="23" t="str" cm="1">
        <f t="array" ref="S12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0" s="23" t="str" cm="1">
        <f t="array" ref="T12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0" s="14" t="str" cm="1">
        <f t="array" ref="U12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0" t="str" cm="1">
        <f t="array" ref="V12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0" t="str" cm="1">
        <f t="array" ref="W12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70" t="str">
        <f>IF(COUNTIFS('Base Estudiantes'!$C:$C,tblMatriculas[[#This Row],[Cédula]],'Base Estudiantes'!$I:$I,tblMatriculas[[#This Row],[Código]])&gt;0,"Sí","No")</f>
        <v>Sí</v>
      </c>
      <c r="Z1270" s="23" cm="1">
        <f t="array" ref="Z1270">_xlfn.XLOOKUP(tblMatriculas[[#This Row],[Cédula]]&amp;"|"&amp;tblMatriculas[[#This Row],[Código]],tblBase[Documento]&amp;"|"&amp;tblBase[Código grupo],tblBase[Fecha matrícula],"")</f>
        <v>46263</v>
      </c>
    </row>
    <row r="1271" spans="1:26" x14ac:dyDescent="0.2">
      <c r="A1271" t="s">
        <v>2684</v>
      </c>
      <c r="B1271" t="s">
        <v>2685</v>
      </c>
      <c r="C1271" t="s">
        <v>13</v>
      </c>
      <c r="D1271" t="s">
        <v>2647</v>
      </c>
      <c r="E1271" t="s">
        <v>2648</v>
      </c>
      <c r="F1271" t="s">
        <v>2594</v>
      </c>
      <c r="G1271" s="1">
        <v>0.16699999999999998</v>
      </c>
      <c r="H1271" t="s">
        <v>229</v>
      </c>
      <c r="I1271" t="s">
        <v>1580</v>
      </c>
      <c r="J1271" t="s">
        <v>2649</v>
      </c>
      <c r="K1271" t="s">
        <v>24</v>
      </c>
      <c r="L1271" s="14">
        <f>IFERROR(VALUE(LEFT(tblMatriculas[[#This Row],[Clases]],FIND("/",tblMatriculas[[#This Row],[Clases]])-1)),"")</f>
        <v>5</v>
      </c>
      <c r="M1271" s="14">
        <f>IFERROR(VALUE(MID(tblMatriculas[[#This Row],[Clases]],FIND("/",tblMatriculas[[#This Row],[Clases]])+1,5)),"")</f>
        <v>30</v>
      </c>
      <c r="N12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1" s="14">
        <f>IF(OR(tblMatriculas[[#This Row],[Estado]]&lt;&gt;"activa",tblMatriculas[[#This Row],[Clases dictadas]]=""),"",MAX(0,tblMatriculas[[#This Row],[Clases dictadas]]-tblMatriculas[[#This Row],[Asistidas]]))</f>
        <v>0</v>
      </c>
      <c r="P1271" s="1">
        <f>IF(OR(tblMatriculas[[#This Row],[Estado]]&lt;&gt;"activa",tblMatriculas[[#This Row],[Asistidas]]=""),"",tblMatriculas[[#This Row],[Asistencia]])</f>
        <v>0.16699999999999998</v>
      </c>
      <c r="Q1271" t="b">
        <f>AND(tblMatriculas[[#This Row],[Estado]]="activa",ISNUMBER(tblMatriculas[[#This Row],[% asistencia]]),NOT(ISNUMBER(SEARCH(pPrueba,tblMatriculas[[#This Row],[Nombre]]))))</f>
        <v>1</v>
      </c>
      <c r="R12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71" s="23" t="str" cm="1">
        <f t="array" ref="S12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1" s="23" t="str" cm="1">
        <f t="array" ref="T12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1" s="14" t="str" cm="1">
        <f t="array" ref="U12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1" t="str" cm="1">
        <f t="array" ref="V12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1" t="str" cm="1">
        <f t="array" ref="W12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71" t="str">
        <f>IF(COUNTIFS('Base Estudiantes'!$C:$C,tblMatriculas[[#This Row],[Cédula]],'Base Estudiantes'!$I:$I,tblMatriculas[[#This Row],[Código]])&gt;0,"Sí","No")</f>
        <v>Sí</v>
      </c>
      <c r="Z1271" s="23" cm="1">
        <f t="array" ref="Z1271">_xlfn.XLOOKUP(tblMatriculas[[#This Row],[Cédula]]&amp;"|"&amp;tblMatriculas[[#This Row],[Código]],tblBase[Documento]&amp;"|"&amp;tblBase[Código grupo],tblBase[Fecha matrícula],"")</f>
        <v>46263</v>
      </c>
    </row>
    <row r="1272" spans="1:26" x14ac:dyDescent="0.2">
      <c r="A1272" t="s">
        <v>2686</v>
      </c>
      <c r="B1272" t="s">
        <v>2687</v>
      </c>
      <c r="C1272" t="s">
        <v>13</v>
      </c>
      <c r="D1272" t="s">
        <v>2647</v>
      </c>
      <c r="E1272" t="s">
        <v>2648</v>
      </c>
      <c r="F1272" t="s">
        <v>2594</v>
      </c>
      <c r="G1272" s="1">
        <v>6.7000000000000004E-2</v>
      </c>
      <c r="H1272" t="s">
        <v>166</v>
      </c>
      <c r="I1272" t="s">
        <v>1580</v>
      </c>
      <c r="J1272" t="s">
        <v>2649</v>
      </c>
      <c r="K1272" t="s">
        <v>24</v>
      </c>
      <c r="L1272" s="14">
        <f>IFERROR(VALUE(LEFT(tblMatriculas[[#This Row],[Clases]],FIND("/",tblMatriculas[[#This Row],[Clases]])-1)),"")</f>
        <v>2</v>
      </c>
      <c r="M1272" s="14">
        <f>IFERROR(VALUE(MID(tblMatriculas[[#This Row],[Clases]],FIND("/",tblMatriculas[[#This Row],[Clases]])+1,5)),"")</f>
        <v>30</v>
      </c>
      <c r="N12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2" s="14">
        <f>IF(OR(tblMatriculas[[#This Row],[Estado]]&lt;&gt;"activa",tblMatriculas[[#This Row],[Clases dictadas]]=""),"",MAX(0,tblMatriculas[[#This Row],[Clases dictadas]]-tblMatriculas[[#This Row],[Asistidas]]))</f>
        <v>3</v>
      </c>
      <c r="P1272" s="1">
        <f>IF(OR(tblMatriculas[[#This Row],[Estado]]&lt;&gt;"activa",tblMatriculas[[#This Row],[Asistidas]]=""),"",tblMatriculas[[#This Row],[Asistencia]])</f>
        <v>6.7000000000000004E-2</v>
      </c>
      <c r="Q1272" t="b">
        <f>AND(tblMatriculas[[#This Row],[Estado]]="activa",ISNUMBER(tblMatriculas[[#This Row],[% asistencia]]),NOT(ISNUMBER(SEARCH(pPrueba,tblMatriculas[[#This Row],[Nombre]]))))</f>
        <v>1</v>
      </c>
      <c r="R12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72" s="23" t="str" cm="1">
        <f t="array" ref="S12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2" s="23" t="str" cm="1">
        <f t="array" ref="T12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2" s="14" t="str" cm="1">
        <f t="array" ref="U12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2" t="str" cm="1">
        <f t="array" ref="V12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2" t="str" cm="1">
        <f t="array" ref="W12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72" t="str">
        <f>IF(COUNTIFS('Base Estudiantes'!$C:$C,tblMatriculas[[#This Row],[Cédula]],'Base Estudiantes'!$I:$I,tblMatriculas[[#This Row],[Código]])&gt;0,"Sí","No")</f>
        <v>Sí</v>
      </c>
      <c r="Z1272" s="23" cm="1">
        <f t="array" ref="Z1272">_xlfn.XLOOKUP(tblMatriculas[[#This Row],[Cédula]]&amp;"|"&amp;tblMatriculas[[#This Row],[Código]],tblBase[Documento]&amp;"|"&amp;tblBase[Código grupo],tblBase[Fecha matrícula],"")</f>
        <v>46263</v>
      </c>
    </row>
    <row r="1273" spans="1:26" x14ac:dyDescent="0.2">
      <c r="A1273" t="s">
        <v>2688</v>
      </c>
      <c r="B1273" t="s">
        <v>2689</v>
      </c>
      <c r="C1273" t="s">
        <v>13</v>
      </c>
      <c r="D1273" t="s">
        <v>2647</v>
      </c>
      <c r="E1273" t="s">
        <v>2648</v>
      </c>
      <c r="F1273" t="s">
        <v>2594</v>
      </c>
      <c r="G1273" s="1">
        <v>3.3000000000000002E-2</v>
      </c>
      <c r="H1273" t="s">
        <v>225</v>
      </c>
      <c r="I1273" t="s">
        <v>1580</v>
      </c>
      <c r="J1273" t="s">
        <v>2649</v>
      </c>
      <c r="K1273" t="s">
        <v>24</v>
      </c>
      <c r="L1273" s="14">
        <f>IFERROR(VALUE(LEFT(tblMatriculas[[#This Row],[Clases]],FIND("/",tblMatriculas[[#This Row],[Clases]])-1)),"")</f>
        <v>1</v>
      </c>
      <c r="M1273" s="14">
        <f>IFERROR(VALUE(MID(tblMatriculas[[#This Row],[Clases]],FIND("/",tblMatriculas[[#This Row],[Clases]])+1,5)),"")</f>
        <v>30</v>
      </c>
      <c r="N12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3" s="14">
        <f>IF(OR(tblMatriculas[[#This Row],[Estado]]&lt;&gt;"activa",tblMatriculas[[#This Row],[Clases dictadas]]=""),"",MAX(0,tblMatriculas[[#This Row],[Clases dictadas]]-tblMatriculas[[#This Row],[Asistidas]]))</f>
        <v>4</v>
      </c>
      <c r="P1273" s="1">
        <f>IF(OR(tblMatriculas[[#This Row],[Estado]]&lt;&gt;"activa",tblMatriculas[[#This Row],[Asistidas]]=""),"",tblMatriculas[[#This Row],[Asistencia]])</f>
        <v>3.3000000000000002E-2</v>
      </c>
      <c r="Q1273" t="b">
        <f>AND(tblMatriculas[[#This Row],[Estado]]="activa",ISNUMBER(tblMatriculas[[#This Row],[% asistencia]]),NOT(ISNUMBER(SEARCH(pPrueba,tblMatriculas[[#This Row],[Nombre]]))))</f>
        <v>1</v>
      </c>
      <c r="R12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273" s="23" t="str" cm="1">
        <f t="array" ref="S12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3" s="23" t="str" cm="1">
        <f t="array" ref="T12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3" s="14" t="str" cm="1">
        <f t="array" ref="U12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3" t="str" cm="1">
        <f t="array" ref="V12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3" t="str" cm="1">
        <f t="array" ref="W12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2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273" t="str">
        <f>IF(COUNTIFS('Base Estudiantes'!$C:$C,tblMatriculas[[#This Row],[Cédula]],'Base Estudiantes'!$I:$I,tblMatriculas[[#This Row],[Código]])&gt;0,"Sí","No")</f>
        <v>Sí</v>
      </c>
      <c r="Z1273" s="23" cm="1">
        <f t="array" ref="Z1273">_xlfn.XLOOKUP(tblMatriculas[[#This Row],[Cédula]]&amp;"|"&amp;tblMatriculas[[#This Row],[Código]],tblBase[Documento]&amp;"|"&amp;tblBase[Código grupo],tblBase[Fecha matrícula],"")</f>
        <v>46263</v>
      </c>
    </row>
    <row r="1274" spans="1:26" x14ac:dyDescent="0.2">
      <c r="A1274" t="s">
        <v>2690</v>
      </c>
      <c r="B1274" t="s">
        <v>2691</v>
      </c>
      <c r="C1274" t="s">
        <v>13</v>
      </c>
      <c r="D1274" t="s">
        <v>2647</v>
      </c>
      <c r="E1274" t="s">
        <v>2648</v>
      </c>
      <c r="F1274" t="s">
        <v>2594</v>
      </c>
      <c r="G1274" s="1">
        <v>0.13300000000000001</v>
      </c>
      <c r="H1274" t="s">
        <v>112</v>
      </c>
      <c r="I1274" t="s">
        <v>1580</v>
      </c>
      <c r="J1274" t="s">
        <v>2649</v>
      </c>
      <c r="K1274" t="s">
        <v>24</v>
      </c>
      <c r="L1274" s="14">
        <f>IFERROR(VALUE(LEFT(tblMatriculas[[#This Row],[Clases]],FIND("/",tblMatriculas[[#This Row],[Clases]])-1)),"")</f>
        <v>4</v>
      </c>
      <c r="M1274" s="14">
        <f>IFERROR(VALUE(MID(tblMatriculas[[#This Row],[Clases]],FIND("/",tblMatriculas[[#This Row],[Clases]])+1,5)),"")</f>
        <v>30</v>
      </c>
      <c r="N12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4" s="14">
        <f>IF(OR(tblMatriculas[[#This Row],[Estado]]&lt;&gt;"activa",tblMatriculas[[#This Row],[Clases dictadas]]=""),"",MAX(0,tblMatriculas[[#This Row],[Clases dictadas]]-tblMatriculas[[#This Row],[Asistidas]]))</f>
        <v>1</v>
      </c>
      <c r="P1274" s="1">
        <f>IF(OR(tblMatriculas[[#This Row],[Estado]]&lt;&gt;"activa",tblMatriculas[[#This Row],[Asistidas]]=""),"",tblMatriculas[[#This Row],[Asistencia]])</f>
        <v>0.13300000000000001</v>
      </c>
      <c r="Q1274" t="b">
        <f>AND(tblMatriculas[[#This Row],[Estado]]="activa",ISNUMBER(tblMatriculas[[#This Row],[% asistencia]]),NOT(ISNUMBER(SEARCH(pPrueba,tblMatriculas[[#This Row],[Nombre]]))))</f>
        <v>1</v>
      </c>
      <c r="R12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74" s="23" t="str" cm="1">
        <f t="array" ref="S12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4" s="23" t="str" cm="1">
        <f t="array" ref="T12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4" s="14" t="str" cm="1">
        <f t="array" ref="U12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4" t="str" cm="1">
        <f t="array" ref="V12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4" t="str" cm="1">
        <f t="array" ref="W12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74" t="str">
        <f>IF(COUNTIFS('Base Estudiantes'!$C:$C,tblMatriculas[[#This Row],[Cédula]],'Base Estudiantes'!$I:$I,tblMatriculas[[#This Row],[Código]])&gt;0,"Sí","No")</f>
        <v>Sí</v>
      </c>
      <c r="Z1274" s="23" cm="1">
        <f t="array" ref="Z1274">_xlfn.XLOOKUP(tblMatriculas[[#This Row],[Cédula]]&amp;"|"&amp;tblMatriculas[[#This Row],[Código]],tblBase[Documento]&amp;"|"&amp;tblBase[Código grupo],tblBase[Fecha matrícula],"")</f>
        <v>46263</v>
      </c>
    </row>
    <row r="1275" spans="1:26" x14ac:dyDescent="0.2">
      <c r="A1275" t="s">
        <v>2692</v>
      </c>
      <c r="B1275" t="s">
        <v>2693</v>
      </c>
      <c r="C1275" t="s">
        <v>13</v>
      </c>
      <c r="D1275" t="s">
        <v>2647</v>
      </c>
      <c r="E1275" t="s">
        <v>2648</v>
      </c>
      <c r="F1275" t="s">
        <v>2594</v>
      </c>
      <c r="G1275" s="1">
        <v>0.1</v>
      </c>
      <c r="H1275" t="s">
        <v>117</v>
      </c>
      <c r="I1275" t="s">
        <v>1580</v>
      </c>
      <c r="J1275" t="s">
        <v>2649</v>
      </c>
      <c r="K1275" t="s">
        <v>1989</v>
      </c>
      <c r="L1275" s="14">
        <f>IFERROR(VALUE(LEFT(tblMatriculas[[#This Row],[Clases]],FIND("/",tblMatriculas[[#This Row],[Clases]])-1)),"")</f>
        <v>3</v>
      </c>
      <c r="M1275" s="14">
        <f>IFERROR(VALUE(MID(tblMatriculas[[#This Row],[Clases]],FIND("/",tblMatriculas[[#This Row],[Clases]])+1,5)),"")</f>
        <v>30</v>
      </c>
      <c r="N12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275" s="14">
        <f>IF(OR(tblMatriculas[[#This Row],[Estado]]&lt;&gt;"activa",tblMatriculas[[#This Row],[Clases dictadas]]=""),"",MAX(0,tblMatriculas[[#This Row],[Clases dictadas]]-tblMatriculas[[#This Row],[Asistidas]]))</f>
        <v>2</v>
      </c>
      <c r="P1275" s="1">
        <f>IF(OR(tblMatriculas[[#This Row],[Estado]]&lt;&gt;"activa",tblMatriculas[[#This Row],[Asistidas]]=""),"",tblMatriculas[[#This Row],[Asistencia]])</f>
        <v>0.1</v>
      </c>
      <c r="Q1275" t="b">
        <f>AND(tblMatriculas[[#This Row],[Estado]]="activa",ISNUMBER(tblMatriculas[[#This Row],[% asistencia]]),NOT(ISNUMBER(SEARCH(pPrueba,tblMatriculas[[#This Row],[Nombre]]))))</f>
        <v>1</v>
      </c>
      <c r="R12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275" s="23" t="str" cm="1">
        <f t="array" ref="S12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5" s="23" t="str" cm="1">
        <f t="array" ref="T12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5" s="14" t="str" cm="1">
        <f t="array" ref="U12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5" t="str" cm="1">
        <f t="array" ref="V12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5" t="str" cm="1">
        <f t="array" ref="W12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75" t="str">
        <f>IF(COUNTIFS('Base Estudiantes'!$C:$C,tblMatriculas[[#This Row],[Cédula]],'Base Estudiantes'!$I:$I,tblMatriculas[[#This Row],[Código]])&gt;0,"Sí","No")</f>
        <v>Sí</v>
      </c>
      <c r="Z1275" s="23" cm="1">
        <f t="array" ref="Z1275">_xlfn.XLOOKUP(tblMatriculas[[#This Row],[Cédula]]&amp;"|"&amp;tblMatriculas[[#This Row],[Código]],tblBase[Documento]&amp;"|"&amp;tblBase[Código grupo],tblBase[Fecha matrícula],"")</f>
        <v>46263</v>
      </c>
    </row>
    <row r="1276" spans="1:26" x14ac:dyDescent="0.2">
      <c r="A1276" t="s">
        <v>2694</v>
      </c>
      <c r="B1276" t="s">
        <v>2695</v>
      </c>
      <c r="C1276" t="s">
        <v>13</v>
      </c>
      <c r="D1276" t="s">
        <v>2696</v>
      </c>
      <c r="E1276" t="s">
        <v>2697</v>
      </c>
      <c r="F1276" t="s">
        <v>750</v>
      </c>
      <c r="G1276" s="1">
        <v>6.7000000000000004E-2</v>
      </c>
      <c r="H1276" t="s">
        <v>166</v>
      </c>
      <c r="I1276" t="s">
        <v>1580</v>
      </c>
      <c r="J1276" t="s">
        <v>2451</v>
      </c>
      <c r="K1276" t="s">
        <v>2078</v>
      </c>
      <c r="L1276" s="14">
        <f>IFERROR(VALUE(LEFT(tblMatriculas[[#This Row],[Clases]],FIND("/",tblMatriculas[[#This Row],[Clases]])-1)),"")</f>
        <v>2</v>
      </c>
      <c r="M1276" s="14">
        <f>IFERROR(VALUE(MID(tblMatriculas[[#This Row],[Clases]],FIND("/",tblMatriculas[[#This Row],[Clases]])+1,5)),"")</f>
        <v>30</v>
      </c>
      <c r="N12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76" s="14">
        <f>IF(OR(tblMatriculas[[#This Row],[Estado]]&lt;&gt;"activa",tblMatriculas[[#This Row],[Clases dictadas]]=""),"",MAX(0,tblMatriculas[[#This Row],[Clases dictadas]]-tblMatriculas[[#This Row],[Asistidas]]))</f>
        <v>0</v>
      </c>
      <c r="P1276" s="1">
        <f>IF(OR(tblMatriculas[[#This Row],[Estado]]&lt;&gt;"activa",tblMatriculas[[#This Row],[Asistidas]]=""),"",tblMatriculas[[#This Row],[Asistencia]])</f>
        <v>6.7000000000000004E-2</v>
      </c>
      <c r="Q1276" t="b">
        <f>AND(tblMatriculas[[#This Row],[Estado]]="activa",ISNUMBER(tblMatriculas[[#This Row],[% asistencia]]),NOT(ISNUMBER(SEARCH(pPrueba,tblMatriculas[[#This Row],[Nombre]]))))</f>
        <v>1</v>
      </c>
      <c r="R12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76" s="23" t="str" cm="1">
        <f t="array" ref="S12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6" s="23" t="str" cm="1">
        <f t="array" ref="T12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6" s="14" t="str" cm="1">
        <f t="array" ref="U12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6" t="str" cm="1">
        <f t="array" ref="V12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6" t="str" cm="1">
        <f t="array" ref="W12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76" t="str">
        <f>IF(COUNTIFS('Base Estudiantes'!$C:$C,tblMatriculas[[#This Row],[Cédula]],'Base Estudiantes'!$I:$I,tblMatriculas[[#This Row],[Código]])&gt;0,"Sí","No")</f>
        <v>Sí</v>
      </c>
      <c r="Z1276" s="23" cm="1">
        <f t="array" ref="Z1276">_xlfn.XLOOKUP(tblMatriculas[[#This Row],[Cédula]]&amp;"|"&amp;tblMatriculas[[#This Row],[Código]],tblBase[Documento]&amp;"|"&amp;tblBase[Código grupo],tblBase[Fecha matrícula],"")</f>
        <v>46263</v>
      </c>
    </row>
    <row r="1277" spans="1:26" x14ac:dyDescent="0.2">
      <c r="A1277" t="s">
        <v>2698</v>
      </c>
      <c r="B1277" t="s">
        <v>2699</v>
      </c>
      <c r="C1277" t="s">
        <v>13</v>
      </c>
      <c r="D1277" t="s">
        <v>2696</v>
      </c>
      <c r="E1277" t="s">
        <v>2697</v>
      </c>
      <c r="F1277" t="s">
        <v>750</v>
      </c>
      <c r="G1277" s="1">
        <v>6.7000000000000004E-2</v>
      </c>
      <c r="H1277" t="s">
        <v>166</v>
      </c>
      <c r="I1277" t="s">
        <v>1580</v>
      </c>
      <c r="J1277" t="s">
        <v>2451</v>
      </c>
      <c r="K1277" t="s">
        <v>24</v>
      </c>
      <c r="L1277" s="14">
        <f>IFERROR(VALUE(LEFT(tblMatriculas[[#This Row],[Clases]],FIND("/",tblMatriculas[[#This Row],[Clases]])-1)),"")</f>
        <v>2</v>
      </c>
      <c r="M1277" s="14">
        <f>IFERROR(VALUE(MID(tblMatriculas[[#This Row],[Clases]],FIND("/",tblMatriculas[[#This Row],[Clases]])+1,5)),"")</f>
        <v>30</v>
      </c>
      <c r="N12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77" s="14">
        <f>IF(OR(tblMatriculas[[#This Row],[Estado]]&lt;&gt;"activa",tblMatriculas[[#This Row],[Clases dictadas]]=""),"",MAX(0,tblMatriculas[[#This Row],[Clases dictadas]]-tblMatriculas[[#This Row],[Asistidas]]))</f>
        <v>0</v>
      </c>
      <c r="P1277" s="1">
        <f>IF(OR(tblMatriculas[[#This Row],[Estado]]&lt;&gt;"activa",tblMatriculas[[#This Row],[Asistidas]]=""),"",tblMatriculas[[#This Row],[Asistencia]])</f>
        <v>6.7000000000000004E-2</v>
      </c>
      <c r="Q1277" t="b">
        <f>AND(tblMatriculas[[#This Row],[Estado]]="activa",ISNUMBER(tblMatriculas[[#This Row],[% asistencia]]),NOT(ISNUMBER(SEARCH(pPrueba,tblMatriculas[[#This Row],[Nombre]]))))</f>
        <v>1</v>
      </c>
      <c r="R12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77" s="23" t="str" cm="1">
        <f t="array" ref="S12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7" s="23" t="str" cm="1">
        <f t="array" ref="T12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7" s="14" t="str" cm="1">
        <f t="array" ref="U12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7" t="str" cm="1">
        <f t="array" ref="V12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7" t="str" cm="1">
        <f t="array" ref="W12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77" t="str">
        <f>IF(COUNTIFS('Base Estudiantes'!$C:$C,tblMatriculas[[#This Row],[Cédula]],'Base Estudiantes'!$I:$I,tblMatriculas[[#This Row],[Código]])&gt;0,"Sí","No")</f>
        <v>Sí</v>
      </c>
      <c r="Z1277" s="23" cm="1">
        <f t="array" ref="Z1277">_xlfn.XLOOKUP(tblMatriculas[[#This Row],[Cédula]]&amp;"|"&amp;tblMatriculas[[#This Row],[Código]],tblBase[Documento]&amp;"|"&amp;tblBase[Código grupo],tblBase[Fecha matrícula],"")</f>
        <v>46263</v>
      </c>
    </row>
    <row r="1278" spans="1:26" x14ac:dyDescent="0.2">
      <c r="A1278" t="s">
        <v>2700</v>
      </c>
      <c r="B1278" t="s">
        <v>2701</v>
      </c>
      <c r="C1278" t="s">
        <v>13</v>
      </c>
      <c r="D1278" t="s">
        <v>2696</v>
      </c>
      <c r="E1278" t="s">
        <v>2697</v>
      </c>
      <c r="F1278" t="s">
        <v>750</v>
      </c>
      <c r="G1278" s="1">
        <v>6.7000000000000004E-2</v>
      </c>
      <c r="H1278" t="s">
        <v>166</v>
      </c>
      <c r="I1278" t="s">
        <v>1580</v>
      </c>
      <c r="J1278" t="s">
        <v>2451</v>
      </c>
      <c r="K1278" t="s">
        <v>24</v>
      </c>
      <c r="L1278" s="14">
        <f>IFERROR(VALUE(LEFT(tblMatriculas[[#This Row],[Clases]],FIND("/",tblMatriculas[[#This Row],[Clases]])-1)),"")</f>
        <v>2</v>
      </c>
      <c r="M1278" s="14">
        <f>IFERROR(VALUE(MID(tblMatriculas[[#This Row],[Clases]],FIND("/",tblMatriculas[[#This Row],[Clases]])+1,5)),"")</f>
        <v>30</v>
      </c>
      <c r="N12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78" s="14">
        <f>IF(OR(tblMatriculas[[#This Row],[Estado]]&lt;&gt;"activa",tblMatriculas[[#This Row],[Clases dictadas]]=""),"",MAX(0,tblMatriculas[[#This Row],[Clases dictadas]]-tblMatriculas[[#This Row],[Asistidas]]))</f>
        <v>0</v>
      </c>
      <c r="P1278" s="1">
        <f>IF(OR(tblMatriculas[[#This Row],[Estado]]&lt;&gt;"activa",tblMatriculas[[#This Row],[Asistidas]]=""),"",tblMatriculas[[#This Row],[Asistencia]])</f>
        <v>6.7000000000000004E-2</v>
      </c>
      <c r="Q1278" t="b">
        <f>AND(tblMatriculas[[#This Row],[Estado]]="activa",ISNUMBER(tblMatriculas[[#This Row],[% asistencia]]),NOT(ISNUMBER(SEARCH(pPrueba,tblMatriculas[[#This Row],[Nombre]]))))</f>
        <v>1</v>
      </c>
      <c r="R12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78" s="23" t="str" cm="1">
        <f t="array" ref="S12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8" s="23" t="str" cm="1">
        <f t="array" ref="T12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8" s="14" t="str" cm="1">
        <f t="array" ref="U12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8" t="str" cm="1">
        <f t="array" ref="V12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8" t="str" cm="1">
        <f t="array" ref="W12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78" t="str">
        <f>IF(COUNTIFS('Base Estudiantes'!$C:$C,tblMatriculas[[#This Row],[Cédula]],'Base Estudiantes'!$I:$I,tblMatriculas[[#This Row],[Código]])&gt;0,"Sí","No")</f>
        <v>Sí</v>
      </c>
      <c r="Z1278" s="23" cm="1">
        <f t="array" ref="Z1278">_xlfn.XLOOKUP(tblMatriculas[[#This Row],[Cédula]]&amp;"|"&amp;tblMatriculas[[#This Row],[Código]],tblBase[Documento]&amp;"|"&amp;tblBase[Código grupo],tblBase[Fecha matrícula],"")</f>
        <v>46263</v>
      </c>
    </row>
    <row r="1279" spans="1:26" x14ac:dyDescent="0.2">
      <c r="A1279" t="s">
        <v>2702</v>
      </c>
      <c r="B1279" t="s">
        <v>2703</v>
      </c>
      <c r="C1279" t="s">
        <v>13</v>
      </c>
      <c r="D1279" t="s">
        <v>2696</v>
      </c>
      <c r="E1279" t="s">
        <v>2697</v>
      </c>
      <c r="F1279" t="s">
        <v>750</v>
      </c>
      <c r="G1279" s="1">
        <v>0</v>
      </c>
      <c r="H1279" t="s">
        <v>254</v>
      </c>
      <c r="I1279" t="s">
        <v>1580</v>
      </c>
      <c r="J1279" t="s">
        <v>2451</v>
      </c>
      <c r="K1279" t="s">
        <v>24</v>
      </c>
      <c r="L1279" s="14">
        <f>IFERROR(VALUE(LEFT(tblMatriculas[[#This Row],[Clases]],FIND("/",tblMatriculas[[#This Row],[Clases]])-1)),"")</f>
        <v>0</v>
      </c>
      <c r="M1279" s="14">
        <f>IFERROR(VALUE(MID(tblMatriculas[[#This Row],[Clases]],FIND("/",tblMatriculas[[#This Row],[Clases]])+1,5)),"")</f>
        <v>30</v>
      </c>
      <c r="N12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79" s="14">
        <f>IF(OR(tblMatriculas[[#This Row],[Estado]]&lt;&gt;"activa",tblMatriculas[[#This Row],[Clases dictadas]]=""),"",MAX(0,tblMatriculas[[#This Row],[Clases dictadas]]-tblMatriculas[[#This Row],[Asistidas]]))</f>
        <v>2</v>
      </c>
      <c r="P1279" s="1">
        <f>IF(OR(tblMatriculas[[#This Row],[Estado]]&lt;&gt;"activa",tblMatriculas[[#This Row],[Asistidas]]=""),"",tblMatriculas[[#This Row],[Asistencia]])</f>
        <v>0</v>
      </c>
      <c r="Q1279" t="b">
        <f>AND(tblMatriculas[[#This Row],[Estado]]="activa",ISNUMBER(tblMatriculas[[#This Row],[% asistencia]]),NOT(ISNUMBER(SEARCH(pPrueba,tblMatriculas[[#This Row],[Nombre]]))))</f>
        <v>1</v>
      </c>
      <c r="R12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79" s="23" t="str" cm="1">
        <f t="array" ref="S12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79" s="23" t="str" cm="1">
        <f t="array" ref="T12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79" s="14" t="str" cm="1">
        <f t="array" ref="U12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79" t="str" cm="1">
        <f t="array" ref="V12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79" t="str" cm="1">
        <f t="array" ref="W12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79" t="str">
        <f>IF(COUNTIFS('Base Estudiantes'!$C:$C,tblMatriculas[[#This Row],[Cédula]],'Base Estudiantes'!$I:$I,tblMatriculas[[#This Row],[Código]])&gt;0,"Sí","No")</f>
        <v>Sí</v>
      </c>
      <c r="Z1279" s="23" cm="1">
        <f t="array" ref="Z1279">_xlfn.XLOOKUP(tblMatriculas[[#This Row],[Cédula]]&amp;"|"&amp;tblMatriculas[[#This Row],[Código]],tblBase[Documento]&amp;"|"&amp;tblBase[Código grupo],tblBase[Fecha matrícula],"")</f>
        <v>46263</v>
      </c>
    </row>
    <row r="1280" spans="1:26" x14ac:dyDescent="0.2">
      <c r="A1280" t="s">
        <v>2704</v>
      </c>
      <c r="B1280" t="s">
        <v>2705</v>
      </c>
      <c r="C1280" t="s">
        <v>13</v>
      </c>
      <c r="D1280" t="s">
        <v>2696</v>
      </c>
      <c r="E1280" t="s">
        <v>2697</v>
      </c>
      <c r="F1280" t="s">
        <v>750</v>
      </c>
      <c r="G1280" s="1">
        <v>0</v>
      </c>
      <c r="H1280" t="s">
        <v>254</v>
      </c>
      <c r="I1280" t="s">
        <v>1580</v>
      </c>
      <c r="J1280" t="s">
        <v>2451</v>
      </c>
      <c r="K1280" t="s">
        <v>24</v>
      </c>
      <c r="L1280" s="14">
        <f>IFERROR(VALUE(LEFT(tblMatriculas[[#This Row],[Clases]],FIND("/",tblMatriculas[[#This Row],[Clases]])-1)),"")</f>
        <v>0</v>
      </c>
      <c r="M1280" s="14">
        <f>IFERROR(VALUE(MID(tblMatriculas[[#This Row],[Clases]],FIND("/",tblMatriculas[[#This Row],[Clases]])+1,5)),"")</f>
        <v>30</v>
      </c>
      <c r="N12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0" s="14">
        <f>IF(OR(tblMatriculas[[#This Row],[Estado]]&lt;&gt;"activa",tblMatriculas[[#This Row],[Clases dictadas]]=""),"",MAX(0,tblMatriculas[[#This Row],[Clases dictadas]]-tblMatriculas[[#This Row],[Asistidas]]))</f>
        <v>2</v>
      </c>
      <c r="P1280" s="1">
        <f>IF(OR(tblMatriculas[[#This Row],[Estado]]&lt;&gt;"activa",tblMatriculas[[#This Row],[Asistidas]]=""),"",tblMatriculas[[#This Row],[Asistencia]])</f>
        <v>0</v>
      </c>
      <c r="Q1280" t="b">
        <f>AND(tblMatriculas[[#This Row],[Estado]]="activa",ISNUMBER(tblMatriculas[[#This Row],[% asistencia]]),NOT(ISNUMBER(SEARCH(pPrueba,tblMatriculas[[#This Row],[Nombre]]))))</f>
        <v>1</v>
      </c>
      <c r="R12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80" s="23" t="str" cm="1">
        <f t="array" ref="S12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0" s="23" t="str" cm="1">
        <f t="array" ref="T12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0" s="14" t="str" cm="1">
        <f t="array" ref="U12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0" t="str" cm="1">
        <f t="array" ref="V12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0" t="str" cm="1">
        <f t="array" ref="W12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80" t="str">
        <f>IF(COUNTIFS('Base Estudiantes'!$C:$C,tblMatriculas[[#This Row],[Cédula]],'Base Estudiantes'!$I:$I,tblMatriculas[[#This Row],[Código]])&gt;0,"Sí","No")</f>
        <v>Sí</v>
      </c>
      <c r="Z1280" s="23" cm="1">
        <f t="array" ref="Z1280">_xlfn.XLOOKUP(tblMatriculas[[#This Row],[Cédula]]&amp;"|"&amp;tblMatriculas[[#This Row],[Código]],tblBase[Documento]&amp;"|"&amp;tblBase[Código grupo],tblBase[Fecha matrícula],"")</f>
        <v>46263</v>
      </c>
    </row>
    <row r="1281" spans="1:26" x14ac:dyDescent="0.2">
      <c r="A1281" t="s">
        <v>2706</v>
      </c>
      <c r="B1281" t="s">
        <v>2707</v>
      </c>
      <c r="C1281" t="s">
        <v>13</v>
      </c>
      <c r="D1281" t="s">
        <v>2696</v>
      </c>
      <c r="E1281" t="s">
        <v>2697</v>
      </c>
      <c r="F1281" t="s">
        <v>750</v>
      </c>
      <c r="G1281" s="1">
        <v>0</v>
      </c>
      <c r="H1281" t="s">
        <v>254</v>
      </c>
      <c r="I1281" t="s">
        <v>1580</v>
      </c>
      <c r="J1281" t="s">
        <v>2451</v>
      </c>
      <c r="K1281" t="s">
        <v>24</v>
      </c>
      <c r="L1281" s="14">
        <f>IFERROR(VALUE(LEFT(tblMatriculas[[#This Row],[Clases]],FIND("/",tblMatriculas[[#This Row],[Clases]])-1)),"")</f>
        <v>0</v>
      </c>
      <c r="M1281" s="14">
        <f>IFERROR(VALUE(MID(tblMatriculas[[#This Row],[Clases]],FIND("/",tblMatriculas[[#This Row],[Clases]])+1,5)),"")</f>
        <v>30</v>
      </c>
      <c r="N12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1" s="14">
        <f>IF(OR(tblMatriculas[[#This Row],[Estado]]&lt;&gt;"activa",tblMatriculas[[#This Row],[Clases dictadas]]=""),"",MAX(0,tblMatriculas[[#This Row],[Clases dictadas]]-tblMatriculas[[#This Row],[Asistidas]]))</f>
        <v>2</v>
      </c>
      <c r="P1281" s="1">
        <f>IF(OR(tblMatriculas[[#This Row],[Estado]]&lt;&gt;"activa",tblMatriculas[[#This Row],[Asistidas]]=""),"",tblMatriculas[[#This Row],[Asistencia]])</f>
        <v>0</v>
      </c>
      <c r="Q1281" t="b">
        <f>AND(tblMatriculas[[#This Row],[Estado]]="activa",ISNUMBER(tblMatriculas[[#This Row],[% asistencia]]),NOT(ISNUMBER(SEARCH(pPrueba,tblMatriculas[[#This Row],[Nombre]]))))</f>
        <v>1</v>
      </c>
      <c r="R12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81" s="23" t="str" cm="1">
        <f t="array" ref="S12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1" s="23" t="str" cm="1">
        <f t="array" ref="T12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1" s="14" t="str" cm="1">
        <f t="array" ref="U12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1" t="str" cm="1">
        <f t="array" ref="V12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1" t="str" cm="1">
        <f t="array" ref="W12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81" t="str">
        <f>IF(COUNTIFS('Base Estudiantes'!$C:$C,tblMatriculas[[#This Row],[Cédula]],'Base Estudiantes'!$I:$I,tblMatriculas[[#This Row],[Código]])&gt;0,"Sí","No")</f>
        <v>Sí</v>
      </c>
      <c r="Z1281" s="23" cm="1">
        <f t="array" ref="Z1281">_xlfn.XLOOKUP(tblMatriculas[[#This Row],[Cédula]]&amp;"|"&amp;tblMatriculas[[#This Row],[Código]],tblBase[Documento]&amp;"|"&amp;tblBase[Código grupo],tblBase[Fecha matrícula],"")</f>
        <v>46263</v>
      </c>
    </row>
    <row r="1282" spans="1:26" x14ac:dyDescent="0.2">
      <c r="A1282" t="s">
        <v>2708</v>
      </c>
      <c r="B1282" t="s">
        <v>2709</v>
      </c>
      <c r="C1282" t="s">
        <v>13</v>
      </c>
      <c r="D1282" t="s">
        <v>2696</v>
      </c>
      <c r="E1282" t="s">
        <v>2697</v>
      </c>
      <c r="F1282" t="s">
        <v>750</v>
      </c>
      <c r="G1282" s="1">
        <v>6.7000000000000004E-2</v>
      </c>
      <c r="H1282" t="s">
        <v>166</v>
      </c>
      <c r="I1282" t="s">
        <v>1580</v>
      </c>
      <c r="J1282" t="s">
        <v>2451</v>
      </c>
      <c r="K1282" t="s">
        <v>24</v>
      </c>
      <c r="L1282" s="14">
        <f>IFERROR(VALUE(LEFT(tblMatriculas[[#This Row],[Clases]],FIND("/",tblMatriculas[[#This Row],[Clases]])-1)),"")</f>
        <v>2</v>
      </c>
      <c r="M1282" s="14">
        <f>IFERROR(VALUE(MID(tblMatriculas[[#This Row],[Clases]],FIND("/",tblMatriculas[[#This Row],[Clases]])+1,5)),"")</f>
        <v>30</v>
      </c>
      <c r="N12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2" s="14">
        <f>IF(OR(tblMatriculas[[#This Row],[Estado]]&lt;&gt;"activa",tblMatriculas[[#This Row],[Clases dictadas]]=""),"",MAX(0,tblMatriculas[[#This Row],[Clases dictadas]]-tblMatriculas[[#This Row],[Asistidas]]))</f>
        <v>0</v>
      </c>
      <c r="P1282" s="1">
        <f>IF(OR(tblMatriculas[[#This Row],[Estado]]&lt;&gt;"activa",tblMatriculas[[#This Row],[Asistidas]]=""),"",tblMatriculas[[#This Row],[Asistencia]])</f>
        <v>6.7000000000000004E-2</v>
      </c>
      <c r="Q1282" t="b">
        <f>AND(tblMatriculas[[#This Row],[Estado]]="activa",ISNUMBER(tblMatriculas[[#This Row],[% asistencia]]),NOT(ISNUMBER(SEARCH(pPrueba,tblMatriculas[[#This Row],[Nombre]]))))</f>
        <v>1</v>
      </c>
      <c r="R12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82" s="23" t="str" cm="1">
        <f t="array" ref="S12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2" s="23" t="str" cm="1">
        <f t="array" ref="T12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2" s="14" t="str" cm="1">
        <f t="array" ref="U12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2" t="str" cm="1">
        <f t="array" ref="V12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2" t="str" cm="1">
        <f t="array" ref="W12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82" t="str">
        <f>IF(COUNTIFS('Base Estudiantes'!$C:$C,tblMatriculas[[#This Row],[Cédula]],'Base Estudiantes'!$I:$I,tblMatriculas[[#This Row],[Código]])&gt;0,"Sí","No")</f>
        <v>Sí</v>
      </c>
      <c r="Z1282" s="23" cm="1">
        <f t="array" ref="Z1282">_xlfn.XLOOKUP(tblMatriculas[[#This Row],[Cédula]]&amp;"|"&amp;tblMatriculas[[#This Row],[Código]],tblBase[Documento]&amp;"|"&amp;tblBase[Código grupo],tblBase[Fecha matrícula],"")</f>
        <v>46263</v>
      </c>
    </row>
    <row r="1283" spans="1:26" x14ac:dyDescent="0.2">
      <c r="A1283" t="s">
        <v>2710</v>
      </c>
      <c r="B1283" t="s">
        <v>2711</v>
      </c>
      <c r="C1283" t="s">
        <v>13</v>
      </c>
      <c r="D1283" t="s">
        <v>2696</v>
      </c>
      <c r="E1283" t="s">
        <v>2697</v>
      </c>
      <c r="F1283" t="s">
        <v>750</v>
      </c>
      <c r="G1283" s="1">
        <v>6.7000000000000004E-2</v>
      </c>
      <c r="H1283" t="s">
        <v>166</v>
      </c>
      <c r="I1283" t="s">
        <v>1580</v>
      </c>
      <c r="J1283" t="s">
        <v>2451</v>
      </c>
      <c r="K1283" t="s">
        <v>24</v>
      </c>
      <c r="L1283" s="14">
        <f>IFERROR(VALUE(LEFT(tblMatriculas[[#This Row],[Clases]],FIND("/",tblMatriculas[[#This Row],[Clases]])-1)),"")</f>
        <v>2</v>
      </c>
      <c r="M1283" s="14">
        <f>IFERROR(VALUE(MID(tblMatriculas[[#This Row],[Clases]],FIND("/",tblMatriculas[[#This Row],[Clases]])+1,5)),"")</f>
        <v>30</v>
      </c>
      <c r="N12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3" s="14">
        <f>IF(OR(tblMatriculas[[#This Row],[Estado]]&lt;&gt;"activa",tblMatriculas[[#This Row],[Clases dictadas]]=""),"",MAX(0,tblMatriculas[[#This Row],[Clases dictadas]]-tblMatriculas[[#This Row],[Asistidas]]))</f>
        <v>0</v>
      </c>
      <c r="P1283" s="1">
        <f>IF(OR(tblMatriculas[[#This Row],[Estado]]&lt;&gt;"activa",tblMatriculas[[#This Row],[Asistidas]]=""),"",tblMatriculas[[#This Row],[Asistencia]])</f>
        <v>6.7000000000000004E-2</v>
      </c>
      <c r="Q1283" t="b">
        <f>AND(tblMatriculas[[#This Row],[Estado]]="activa",ISNUMBER(tblMatriculas[[#This Row],[% asistencia]]),NOT(ISNUMBER(SEARCH(pPrueba,tblMatriculas[[#This Row],[Nombre]]))))</f>
        <v>1</v>
      </c>
      <c r="R12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83" s="23" t="str" cm="1">
        <f t="array" ref="S12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3" s="23" t="str" cm="1">
        <f t="array" ref="T12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3" s="14" t="str" cm="1">
        <f t="array" ref="U12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3" t="str" cm="1">
        <f t="array" ref="V12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3" t="str" cm="1">
        <f t="array" ref="W12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83" t="str">
        <f>IF(COUNTIFS('Base Estudiantes'!$C:$C,tblMatriculas[[#This Row],[Cédula]],'Base Estudiantes'!$I:$I,tblMatriculas[[#This Row],[Código]])&gt;0,"Sí","No")</f>
        <v>Sí</v>
      </c>
      <c r="Z1283" s="23" cm="1">
        <f t="array" ref="Z1283">_xlfn.XLOOKUP(tblMatriculas[[#This Row],[Cédula]]&amp;"|"&amp;tblMatriculas[[#This Row],[Código]],tblBase[Documento]&amp;"|"&amp;tblBase[Código grupo],tblBase[Fecha matrícula],"")</f>
        <v>46263</v>
      </c>
    </row>
    <row r="1284" spans="1:26" x14ac:dyDescent="0.2">
      <c r="A1284" t="s">
        <v>2712</v>
      </c>
      <c r="B1284" t="s">
        <v>2713</v>
      </c>
      <c r="C1284" t="s">
        <v>13</v>
      </c>
      <c r="D1284" t="s">
        <v>2696</v>
      </c>
      <c r="E1284" t="s">
        <v>2697</v>
      </c>
      <c r="F1284" t="s">
        <v>750</v>
      </c>
      <c r="G1284" s="1">
        <v>0</v>
      </c>
      <c r="H1284" t="s">
        <v>254</v>
      </c>
      <c r="I1284" t="s">
        <v>1580</v>
      </c>
      <c r="J1284" t="s">
        <v>2451</v>
      </c>
      <c r="K1284" t="s">
        <v>24</v>
      </c>
      <c r="L1284" s="14">
        <f>IFERROR(VALUE(LEFT(tblMatriculas[[#This Row],[Clases]],FIND("/",tblMatriculas[[#This Row],[Clases]])-1)),"")</f>
        <v>0</v>
      </c>
      <c r="M1284" s="14">
        <f>IFERROR(VALUE(MID(tblMatriculas[[#This Row],[Clases]],FIND("/",tblMatriculas[[#This Row],[Clases]])+1,5)),"")</f>
        <v>30</v>
      </c>
      <c r="N12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4" s="14">
        <f>IF(OR(tblMatriculas[[#This Row],[Estado]]&lt;&gt;"activa",tblMatriculas[[#This Row],[Clases dictadas]]=""),"",MAX(0,tblMatriculas[[#This Row],[Clases dictadas]]-tblMatriculas[[#This Row],[Asistidas]]))</f>
        <v>2</v>
      </c>
      <c r="P1284" s="1">
        <f>IF(OR(tblMatriculas[[#This Row],[Estado]]&lt;&gt;"activa",tblMatriculas[[#This Row],[Asistidas]]=""),"",tblMatriculas[[#This Row],[Asistencia]])</f>
        <v>0</v>
      </c>
      <c r="Q1284" t="b">
        <f>AND(tblMatriculas[[#This Row],[Estado]]="activa",ISNUMBER(tblMatriculas[[#This Row],[% asistencia]]),NOT(ISNUMBER(SEARCH(pPrueba,tblMatriculas[[#This Row],[Nombre]]))))</f>
        <v>1</v>
      </c>
      <c r="R12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84" s="23" t="str" cm="1">
        <f t="array" ref="S12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4" s="23" t="str" cm="1">
        <f t="array" ref="T12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4" s="14" t="str" cm="1">
        <f t="array" ref="U12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4" t="str" cm="1">
        <f t="array" ref="V12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4" t="str" cm="1">
        <f t="array" ref="W12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84" t="str">
        <f>IF(COUNTIFS('Base Estudiantes'!$C:$C,tblMatriculas[[#This Row],[Cédula]],'Base Estudiantes'!$I:$I,tblMatriculas[[#This Row],[Código]])&gt;0,"Sí","No")</f>
        <v>Sí</v>
      </c>
      <c r="Z1284" s="23" cm="1">
        <f t="array" ref="Z1284">_xlfn.XLOOKUP(tblMatriculas[[#This Row],[Cédula]]&amp;"|"&amp;tblMatriculas[[#This Row],[Código]],tblBase[Documento]&amp;"|"&amp;tblBase[Código grupo],tblBase[Fecha matrícula],"")</f>
        <v>46263</v>
      </c>
    </row>
    <row r="1285" spans="1:26" x14ac:dyDescent="0.2">
      <c r="A1285" t="s">
        <v>2714</v>
      </c>
      <c r="B1285" t="s">
        <v>2715</v>
      </c>
      <c r="C1285" t="s">
        <v>13</v>
      </c>
      <c r="D1285" t="s">
        <v>2696</v>
      </c>
      <c r="E1285" t="s">
        <v>2697</v>
      </c>
      <c r="F1285" t="s">
        <v>750</v>
      </c>
      <c r="G1285" s="1">
        <v>6.7000000000000004E-2</v>
      </c>
      <c r="H1285" t="s">
        <v>166</v>
      </c>
      <c r="I1285" t="s">
        <v>1580</v>
      </c>
      <c r="J1285" t="s">
        <v>2451</v>
      </c>
      <c r="K1285" t="s">
        <v>24</v>
      </c>
      <c r="L1285" s="14">
        <f>IFERROR(VALUE(LEFT(tblMatriculas[[#This Row],[Clases]],FIND("/",tblMatriculas[[#This Row],[Clases]])-1)),"")</f>
        <v>2</v>
      </c>
      <c r="M1285" s="14">
        <f>IFERROR(VALUE(MID(tblMatriculas[[#This Row],[Clases]],FIND("/",tblMatriculas[[#This Row],[Clases]])+1,5)),"")</f>
        <v>30</v>
      </c>
      <c r="N12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5" s="14">
        <f>IF(OR(tblMatriculas[[#This Row],[Estado]]&lt;&gt;"activa",tblMatriculas[[#This Row],[Clases dictadas]]=""),"",MAX(0,tblMatriculas[[#This Row],[Clases dictadas]]-tblMatriculas[[#This Row],[Asistidas]]))</f>
        <v>0</v>
      </c>
      <c r="P1285" s="1">
        <f>IF(OR(tblMatriculas[[#This Row],[Estado]]&lt;&gt;"activa",tblMatriculas[[#This Row],[Asistidas]]=""),"",tblMatriculas[[#This Row],[Asistencia]])</f>
        <v>6.7000000000000004E-2</v>
      </c>
      <c r="Q1285" t="b">
        <f>AND(tblMatriculas[[#This Row],[Estado]]="activa",ISNUMBER(tblMatriculas[[#This Row],[% asistencia]]),NOT(ISNUMBER(SEARCH(pPrueba,tblMatriculas[[#This Row],[Nombre]]))))</f>
        <v>1</v>
      </c>
      <c r="R12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85" s="23" t="str" cm="1">
        <f t="array" ref="S12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5" s="23" t="str" cm="1">
        <f t="array" ref="T12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5" s="14" t="str" cm="1">
        <f t="array" ref="U12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5" t="str" cm="1">
        <f t="array" ref="V12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5" t="str" cm="1">
        <f t="array" ref="W12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85" t="str">
        <f>IF(COUNTIFS('Base Estudiantes'!$C:$C,tblMatriculas[[#This Row],[Cédula]],'Base Estudiantes'!$I:$I,tblMatriculas[[#This Row],[Código]])&gt;0,"Sí","No")</f>
        <v>Sí</v>
      </c>
      <c r="Z1285" s="23" cm="1">
        <f t="array" ref="Z1285">_xlfn.XLOOKUP(tblMatriculas[[#This Row],[Cédula]]&amp;"|"&amp;tblMatriculas[[#This Row],[Código]],tblBase[Documento]&amp;"|"&amp;tblBase[Código grupo],tblBase[Fecha matrícula],"")</f>
        <v>46263</v>
      </c>
    </row>
    <row r="1286" spans="1:26" x14ac:dyDescent="0.2">
      <c r="A1286" t="s">
        <v>2716</v>
      </c>
      <c r="B1286" t="s">
        <v>2717</v>
      </c>
      <c r="C1286" t="s">
        <v>49</v>
      </c>
      <c r="D1286" t="s">
        <v>2696</v>
      </c>
      <c r="E1286" t="s">
        <v>2697</v>
      </c>
      <c r="F1286" t="s">
        <v>750</v>
      </c>
      <c r="G1286" s="1">
        <v>0</v>
      </c>
      <c r="H1286" t="s">
        <v>254</v>
      </c>
      <c r="I1286" t="s">
        <v>1580</v>
      </c>
      <c r="J1286" t="s">
        <v>2451</v>
      </c>
      <c r="K1286" t="s">
        <v>24</v>
      </c>
      <c r="L1286" s="14">
        <f>IFERROR(VALUE(LEFT(tblMatriculas[[#This Row],[Clases]],FIND("/",tblMatriculas[[#This Row],[Clases]])-1)),"")</f>
        <v>0</v>
      </c>
      <c r="M1286" s="14">
        <f>IFERROR(VALUE(MID(tblMatriculas[[#This Row],[Clases]],FIND("/",tblMatriculas[[#This Row],[Clases]])+1,5)),"")</f>
        <v>30</v>
      </c>
      <c r="N12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6" s="14" t="str">
        <f>IF(OR(tblMatriculas[[#This Row],[Estado]]&lt;&gt;"activa",tblMatriculas[[#This Row],[Clases dictadas]]=""),"",MAX(0,tblMatriculas[[#This Row],[Clases dictadas]]-tblMatriculas[[#This Row],[Asistidas]]))</f>
        <v/>
      </c>
      <c r="P1286" s="1" t="str">
        <f>IF(OR(tblMatriculas[[#This Row],[Estado]]&lt;&gt;"activa",tblMatriculas[[#This Row],[Asistidas]]=""),"",tblMatriculas[[#This Row],[Asistencia]])</f>
        <v/>
      </c>
      <c r="Q1286" t="b">
        <f>AND(tblMatriculas[[#This Row],[Estado]]="activa",ISNUMBER(tblMatriculas[[#This Row],[% asistencia]]),NOT(ISNUMBER(SEARCH(pPrueba,tblMatriculas[[#This Row],[Nombre]]))))</f>
        <v>0</v>
      </c>
      <c r="R12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286" s="23" t="str" cm="1">
        <f t="array" ref="S12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6" s="23" t="str" cm="1">
        <f t="array" ref="T12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6" s="14" t="str" cm="1">
        <f t="array" ref="U12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6" t="str" cm="1">
        <f t="array" ref="V12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6" t="str" cm="1">
        <f t="array" ref="W12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2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286" t="str">
        <f>IF(COUNTIFS('Base Estudiantes'!$C:$C,tblMatriculas[[#This Row],[Cédula]],'Base Estudiantes'!$I:$I,tblMatriculas[[#This Row],[Código]])&gt;0,"Sí","No")</f>
        <v>No</v>
      </c>
      <c r="Z1286" s="23" t="str" cm="1">
        <f t="array" ref="Z1286">_xlfn.XLOOKUP(tblMatriculas[[#This Row],[Cédula]]&amp;"|"&amp;tblMatriculas[[#This Row],[Código]],tblBase[Documento]&amp;"|"&amp;tblBase[Código grupo],tblBase[Fecha matrícula],"")</f>
        <v/>
      </c>
    </row>
    <row r="1287" spans="1:26" x14ac:dyDescent="0.2">
      <c r="A1287" t="s">
        <v>2718</v>
      </c>
      <c r="B1287" t="s">
        <v>2719</v>
      </c>
      <c r="C1287" t="s">
        <v>13</v>
      </c>
      <c r="D1287" t="s">
        <v>2696</v>
      </c>
      <c r="E1287" t="s">
        <v>2697</v>
      </c>
      <c r="F1287" t="s">
        <v>750</v>
      </c>
      <c r="G1287" s="1">
        <v>6.7000000000000004E-2</v>
      </c>
      <c r="H1287" t="s">
        <v>166</v>
      </c>
      <c r="I1287" t="s">
        <v>1580</v>
      </c>
      <c r="J1287" t="s">
        <v>2451</v>
      </c>
      <c r="K1287" t="s">
        <v>24</v>
      </c>
      <c r="L1287" s="14">
        <f>IFERROR(VALUE(LEFT(tblMatriculas[[#This Row],[Clases]],FIND("/",tblMatriculas[[#This Row],[Clases]])-1)),"")</f>
        <v>2</v>
      </c>
      <c r="M1287" s="14">
        <f>IFERROR(VALUE(MID(tblMatriculas[[#This Row],[Clases]],FIND("/",tblMatriculas[[#This Row],[Clases]])+1,5)),"")</f>
        <v>30</v>
      </c>
      <c r="N12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7" s="14">
        <f>IF(OR(tblMatriculas[[#This Row],[Estado]]&lt;&gt;"activa",tblMatriculas[[#This Row],[Clases dictadas]]=""),"",MAX(0,tblMatriculas[[#This Row],[Clases dictadas]]-tblMatriculas[[#This Row],[Asistidas]]))</f>
        <v>0</v>
      </c>
      <c r="P1287" s="1">
        <f>IF(OR(tblMatriculas[[#This Row],[Estado]]&lt;&gt;"activa",tblMatriculas[[#This Row],[Asistidas]]=""),"",tblMatriculas[[#This Row],[Asistencia]])</f>
        <v>6.7000000000000004E-2</v>
      </c>
      <c r="Q1287" t="b">
        <f>AND(tblMatriculas[[#This Row],[Estado]]="activa",ISNUMBER(tblMatriculas[[#This Row],[% asistencia]]),NOT(ISNUMBER(SEARCH(pPrueba,tblMatriculas[[#This Row],[Nombre]]))))</f>
        <v>1</v>
      </c>
      <c r="R12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87" s="23" t="str" cm="1">
        <f t="array" ref="S12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7" s="23" t="str" cm="1">
        <f t="array" ref="T12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7" s="14" t="str" cm="1">
        <f t="array" ref="U12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7" t="str" cm="1">
        <f t="array" ref="V12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7" t="str" cm="1">
        <f t="array" ref="W12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87" t="str">
        <f>IF(COUNTIFS('Base Estudiantes'!$C:$C,tblMatriculas[[#This Row],[Cédula]],'Base Estudiantes'!$I:$I,tblMatriculas[[#This Row],[Código]])&gt;0,"Sí","No")</f>
        <v>Sí</v>
      </c>
      <c r="Z1287" s="23" cm="1">
        <f t="array" ref="Z1287">_xlfn.XLOOKUP(tblMatriculas[[#This Row],[Cédula]]&amp;"|"&amp;tblMatriculas[[#This Row],[Código]],tblBase[Documento]&amp;"|"&amp;tblBase[Código grupo],tblBase[Fecha matrícula],"")</f>
        <v>46263</v>
      </c>
    </row>
    <row r="1288" spans="1:26" x14ac:dyDescent="0.2">
      <c r="A1288" t="s">
        <v>2720</v>
      </c>
      <c r="B1288" t="s">
        <v>2721</v>
      </c>
      <c r="C1288" t="s">
        <v>13</v>
      </c>
      <c r="D1288" t="s">
        <v>2696</v>
      </c>
      <c r="E1288" t="s">
        <v>2697</v>
      </c>
      <c r="F1288" t="s">
        <v>750</v>
      </c>
      <c r="G1288" s="1">
        <v>6.7000000000000004E-2</v>
      </c>
      <c r="H1288" t="s">
        <v>166</v>
      </c>
      <c r="I1288" t="s">
        <v>1580</v>
      </c>
      <c r="J1288" t="s">
        <v>2451</v>
      </c>
      <c r="K1288" t="s">
        <v>24</v>
      </c>
      <c r="L1288" s="14">
        <f>IFERROR(VALUE(LEFT(tblMatriculas[[#This Row],[Clases]],FIND("/",tblMatriculas[[#This Row],[Clases]])-1)),"")</f>
        <v>2</v>
      </c>
      <c r="M1288" s="14">
        <f>IFERROR(VALUE(MID(tblMatriculas[[#This Row],[Clases]],FIND("/",tblMatriculas[[#This Row],[Clases]])+1,5)),"")</f>
        <v>30</v>
      </c>
      <c r="N12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8" s="14">
        <f>IF(OR(tblMatriculas[[#This Row],[Estado]]&lt;&gt;"activa",tblMatriculas[[#This Row],[Clases dictadas]]=""),"",MAX(0,tblMatriculas[[#This Row],[Clases dictadas]]-tblMatriculas[[#This Row],[Asistidas]]))</f>
        <v>0</v>
      </c>
      <c r="P1288" s="1">
        <f>IF(OR(tblMatriculas[[#This Row],[Estado]]&lt;&gt;"activa",tblMatriculas[[#This Row],[Asistidas]]=""),"",tblMatriculas[[#This Row],[Asistencia]])</f>
        <v>6.7000000000000004E-2</v>
      </c>
      <c r="Q1288" t="b">
        <f>AND(tblMatriculas[[#This Row],[Estado]]="activa",ISNUMBER(tblMatriculas[[#This Row],[% asistencia]]),NOT(ISNUMBER(SEARCH(pPrueba,tblMatriculas[[#This Row],[Nombre]]))))</f>
        <v>1</v>
      </c>
      <c r="R12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88" s="23" t="str" cm="1">
        <f t="array" ref="S12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8" s="23" t="str" cm="1">
        <f t="array" ref="T12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8" s="14" t="str" cm="1">
        <f t="array" ref="U12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8" t="str" cm="1">
        <f t="array" ref="V12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8" t="str" cm="1">
        <f t="array" ref="W12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88" t="str">
        <f>IF(COUNTIFS('Base Estudiantes'!$C:$C,tblMatriculas[[#This Row],[Cédula]],'Base Estudiantes'!$I:$I,tblMatriculas[[#This Row],[Código]])&gt;0,"Sí","No")</f>
        <v>Sí</v>
      </c>
      <c r="Z1288" s="23" cm="1">
        <f t="array" ref="Z1288">_xlfn.XLOOKUP(tblMatriculas[[#This Row],[Cédula]]&amp;"|"&amp;tblMatriculas[[#This Row],[Código]],tblBase[Documento]&amp;"|"&amp;tblBase[Código grupo],tblBase[Fecha matrícula],"")</f>
        <v>46263</v>
      </c>
    </row>
    <row r="1289" spans="1:26" x14ac:dyDescent="0.2">
      <c r="A1289" t="s">
        <v>2722</v>
      </c>
      <c r="B1289" t="s">
        <v>2723</v>
      </c>
      <c r="C1289" t="s">
        <v>13</v>
      </c>
      <c r="D1289" t="s">
        <v>2696</v>
      </c>
      <c r="E1289" t="s">
        <v>2697</v>
      </c>
      <c r="F1289" t="s">
        <v>750</v>
      </c>
      <c r="G1289" s="1">
        <v>0</v>
      </c>
      <c r="H1289" t="s">
        <v>254</v>
      </c>
      <c r="I1289" t="s">
        <v>1580</v>
      </c>
      <c r="J1289" t="s">
        <v>2451</v>
      </c>
      <c r="K1289" t="s">
        <v>24</v>
      </c>
      <c r="L1289" s="14">
        <f>IFERROR(VALUE(LEFT(tblMatriculas[[#This Row],[Clases]],FIND("/",tblMatriculas[[#This Row],[Clases]])-1)),"")</f>
        <v>0</v>
      </c>
      <c r="M1289" s="14">
        <f>IFERROR(VALUE(MID(tblMatriculas[[#This Row],[Clases]],FIND("/",tblMatriculas[[#This Row],[Clases]])+1,5)),"")</f>
        <v>30</v>
      </c>
      <c r="N12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89" s="14">
        <f>IF(OR(tblMatriculas[[#This Row],[Estado]]&lt;&gt;"activa",tblMatriculas[[#This Row],[Clases dictadas]]=""),"",MAX(0,tblMatriculas[[#This Row],[Clases dictadas]]-tblMatriculas[[#This Row],[Asistidas]]))</f>
        <v>2</v>
      </c>
      <c r="P1289" s="1">
        <f>IF(OR(tblMatriculas[[#This Row],[Estado]]&lt;&gt;"activa",tblMatriculas[[#This Row],[Asistidas]]=""),"",tblMatriculas[[#This Row],[Asistencia]])</f>
        <v>0</v>
      </c>
      <c r="Q1289" t="b">
        <f>AND(tblMatriculas[[#This Row],[Estado]]="activa",ISNUMBER(tblMatriculas[[#This Row],[% asistencia]]),NOT(ISNUMBER(SEARCH(pPrueba,tblMatriculas[[#This Row],[Nombre]]))))</f>
        <v>1</v>
      </c>
      <c r="R12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89" s="23" t="str" cm="1">
        <f t="array" ref="S12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89" s="23" t="str" cm="1">
        <f t="array" ref="T12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89" s="14" t="str" cm="1">
        <f t="array" ref="U12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89" t="str" cm="1">
        <f t="array" ref="V12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89" t="str" cm="1">
        <f t="array" ref="W12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89" t="str">
        <f>IF(COUNTIFS('Base Estudiantes'!$C:$C,tblMatriculas[[#This Row],[Cédula]],'Base Estudiantes'!$I:$I,tblMatriculas[[#This Row],[Código]])&gt;0,"Sí","No")</f>
        <v>Sí</v>
      </c>
      <c r="Z1289" s="23" cm="1">
        <f t="array" ref="Z1289">_xlfn.XLOOKUP(tblMatriculas[[#This Row],[Cédula]]&amp;"|"&amp;tblMatriculas[[#This Row],[Código]],tblBase[Documento]&amp;"|"&amp;tblBase[Código grupo],tblBase[Fecha matrícula],"")</f>
        <v>46263</v>
      </c>
    </row>
    <row r="1290" spans="1:26" x14ac:dyDescent="0.2">
      <c r="A1290" t="s">
        <v>2724</v>
      </c>
      <c r="B1290" t="s">
        <v>2725</v>
      </c>
      <c r="C1290" t="s">
        <v>13</v>
      </c>
      <c r="D1290" t="s">
        <v>2696</v>
      </c>
      <c r="E1290" t="s">
        <v>2697</v>
      </c>
      <c r="F1290" t="s">
        <v>750</v>
      </c>
      <c r="G1290" s="1">
        <v>6.7000000000000004E-2</v>
      </c>
      <c r="H1290" t="s">
        <v>166</v>
      </c>
      <c r="I1290" t="s">
        <v>1580</v>
      </c>
      <c r="J1290" t="s">
        <v>2451</v>
      </c>
      <c r="K1290" t="s">
        <v>24</v>
      </c>
      <c r="L1290" s="14">
        <f>IFERROR(VALUE(LEFT(tblMatriculas[[#This Row],[Clases]],FIND("/",tblMatriculas[[#This Row],[Clases]])-1)),"")</f>
        <v>2</v>
      </c>
      <c r="M1290" s="14">
        <f>IFERROR(VALUE(MID(tblMatriculas[[#This Row],[Clases]],FIND("/",tblMatriculas[[#This Row],[Clases]])+1,5)),"")</f>
        <v>30</v>
      </c>
      <c r="N12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0" s="14">
        <f>IF(OR(tblMatriculas[[#This Row],[Estado]]&lt;&gt;"activa",tblMatriculas[[#This Row],[Clases dictadas]]=""),"",MAX(0,tblMatriculas[[#This Row],[Clases dictadas]]-tblMatriculas[[#This Row],[Asistidas]]))</f>
        <v>0</v>
      </c>
      <c r="P1290" s="1">
        <f>IF(OR(tblMatriculas[[#This Row],[Estado]]&lt;&gt;"activa",tblMatriculas[[#This Row],[Asistidas]]=""),"",tblMatriculas[[#This Row],[Asistencia]])</f>
        <v>6.7000000000000004E-2</v>
      </c>
      <c r="Q1290" t="b">
        <f>AND(tblMatriculas[[#This Row],[Estado]]="activa",ISNUMBER(tblMatriculas[[#This Row],[% asistencia]]),NOT(ISNUMBER(SEARCH(pPrueba,tblMatriculas[[#This Row],[Nombre]]))))</f>
        <v>1</v>
      </c>
      <c r="R12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0" s="23" t="str" cm="1">
        <f t="array" ref="S12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0" s="23" t="str" cm="1">
        <f t="array" ref="T12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0" s="14" t="str" cm="1">
        <f t="array" ref="U12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0" t="str" cm="1">
        <f t="array" ref="V12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0" t="str" cm="1">
        <f t="array" ref="W12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0" t="str">
        <f>IF(COUNTIFS('Base Estudiantes'!$C:$C,tblMatriculas[[#This Row],[Cédula]],'Base Estudiantes'!$I:$I,tblMatriculas[[#This Row],[Código]])&gt;0,"Sí","No")</f>
        <v>Sí</v>
      </c>
      <c r="Z1290" s="23" cm="1">
        <f t="array" ref="Z1290">_xlfn.XLOOKUP(tblMatriculas[[#This Row],[Cédula]]&amp;"|"&amp;tblMatriculas[[#This Row],[Código]],tblBase[Documento]&amp;"|"&amp;tblBase[Código grupo],tblBase[Fecha matrícula],"")</f>
        <v>46263</v>
      </c>
    </row>
    <row r="1291" spans="1:26" x14ac:dyDescent="0.2">
      <c r="A1291" t="s">
        <v>2726</v>
      </c>
      <c r="B1291" t="s">
        <v>2727</v>
      </c>
      <c r="C1291" t="s">
        <v>13</v>
      </c>
      <c r="D1291" t="s">
        <v>2696</v>
      </c>
      <c r="E1291" t="s">
        <v>2697</v>
      </c>
      <c r="F1291" t="s">
        <v>750</v>
      </c>
      <c r="G1291" s="1">
        <v>6.7000000000000004E-2</v>
      </c>
      <c r="H1291" t="s">
        <v>166</v>
      </c>
      <c r="I1291" t="s">
        <v>1580</v>
      </c>
      <c r="J1291" t="s">
        <v>2451</v>
      </c>
      <c r="K1291" t="s">
        <v>24</v>
      </c>
      <c r="L1291" s="14">
        <f>IFERROR(VALUE(LEFT(tblMatriculas[[#This Row],[Clases]],FIND("/",tblMatriculas[[#This Row],[Clases]])-1)),"")</f>
        <v>2</v>
      </c>
      <c r="M1291" s="14">
        <f>IFERROR(VALUE(MID(tblMatriculas[[#This Row],[Clases]],FIND("/",tblMatriculas[[#This Row],[Clases]])+1,5)),"")</f>
        <v>30</v>
      </c>
      <c r="N12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1" s="14">
        <f>IF(OR(tblMatriculas[[#This Row],[Estado]]&lt;&gt;"activa",tblMatriculas[[#This Row],[Clases dictadas]]=""),"",MAX(0,tblMatriculas[[#This Row],[Clases dictadas]]-tblMatriculas[[#This Row],[Asistidas]]))</f>
        <v>0</v>
      </c>
      <c r="P1291" s="1">
        <f>IF(OR(tblMatriculas[[#This Row],[Estado]]&lt;&gt;"activa",tblMatriculas[[#This Row],[Asistidas]]=""),"",tblMatriculas[[#This Row],[Asistencia]])</f>
        <v>6.7000000000000004E-2</v>
      </c>
      <c r="Q1291" t="b">
        <f>AND(tblMatriculas[[#This Row],[Estado]]="activa",ISNUMBER(tblMatriculas[[#This Row],[% asistencia]]),NOT(ISNUMBER(SEARCH(pPrueba,tblMatriculas[[#This Row],[Nombre]]))))</f>
        <v>1</v>
      </c>
      <c r="R12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1" s="23" t="str" cm="1">
        <f t="array" ref="S12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1" s="23" t="str" cm="1">
        <f t="array" ref="T12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1" s="14" t="str" cm="1">
        <f t="array" ref="U12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1" t="str" cm="1">
        <f t="array" ref="V12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1" t="str" cm="1">
        <f t="array" ref="W12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1" t="str">
        <f>IF(COUNTIFS('Base Estudiantes'!$C:$C,tblMatriculas[[#This Row],[Cédula]],'Base Estudiantes'!$I:$I,tblMatriculas[[#This Row],[Código]])&gt;0,"Sí","No")</f>
        <v>Sí</v>
      </c>
      <c r="Z1291" s="23" cm="1">
        <f t="array" ref="Z1291">_xlfn.XLOOKUP(tblMatriculas[[#This Row],[Cédula]]&amp;"|"&amp;tblMatriculas[[#This Row],[Código]],tblBase[Documento]&amp;"|"&amp;tblBase[Código grupo],tblBase[Fecha matrícula],"")</f>
        <v>46263</v>
      </c>
    </row>
    <row r="1292" spans="1:26" x14ac:dyDescent="0.2">
      <c r="A1292" t="s">
        <v>2728</v>
      </c>
      <c r="B1292" t="s">
        <v>2729</v>
      </c>
      <c r="C1292" t="s">
        <v>13</v>
      </c>
      <c r="D1292" t="s">
        <v>2696</v>
      </c>
      <c r="E1292" t="s">
        <v>2697</v>
      </c>
      <c r="F1292" t="s">
        <v>750</v>
      </c>
      <c r="G1292" s="1">
        <v>6.7000000000000004E-2</v>
      </c>
      <c r="H1292" t="s">
        <v>166</v>
      </c>
      <c r="I1292" t="s">
        <v>1580</v>
      </c>
      <c r="J1292" t="s">
        <v>2451</v>
      </c>
      <c r="K1292" t="s">
        <v>24</v>
      </c>
      <c r="L1292" s="14">
        <f>IFERROR(VALUE(LEFT(tblMatriculas[[#This Row],[Clases]],FIND("/",tblMatriculas[[#This Row],[Clases]])-1)),"")</f>
        <v>2</v>
      </c>
      <c r="M1292" s="14">
        <f>IFERROR(VALUE(MID(tblMatriculas[[#This Row],[Clases]],FIND("/",tblMatriculas[[#This Row],[Clases]])+1,5)),"")</f>
        <v>30</v>
      </c>
      <c r="N12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2" s="14">
        <f>IF(OR(tblMatriculas[[#This Row],[Estado]]&lt;&gt;"activa",tblMatriculas[[#This Row],[Clases dictadas]]=""),"",MAX(0,tblMatriculas[[#This Row],[Clases dictadas]]-tblMatriculas[[#This Row],[Asistidas]]))</f>
        <v>0</v>
      </c>
      <c r="P1292" s="1">
        <f>IF(OR(tblMatriculas[[#This Row],[Estado]]&lt;&gt;"activa",tblMatriculas[[#This Row],[Asistidas]]=""),"",tblMatriculas[[#This Row],[Asistencia]])</f>
        <v>6.7000000000000004E-2</v>
      </c>
      <c r="Q1292" t="b">
        <f>AND(tblMatriculas[[#This Row],[Estado]]="activa",ISNUMBER(tblMatriculas[[#This Row],[% asistencia]]),NOT(ISNUMBER(SEARCH(pPrueba,tblMatriculas[[#This Row],[Nombre]]))))</f>
        <v>1</v>
      </c>
      <c r="R12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2" s="23" t="str" cm="1">
        <f t="array" ref="S12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2" s="23" t="str" cm="1">
        <f t="array" ref="T12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2" s="14" t="str" cm="1">
        <f t="array" ref="U12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2" t="str" cm="1">
        <f t="array" ref="V12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2" t="str" cm="1">
        <f t="array" ref="W12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2" t="str">
        <f>IF(COUNTIFS('Base Estudiantes'!$C:$C,tblMatriculas[[#This Row],[Cédula]],'Base Estudiantes'!$I:$I,tblMatriculas[[#This Row],[Código]])&gt;0,"Sí","No")</f>
        <v>Sí</v>
      </c>
      <c r="Z1292" s="23" cm="1">
        <f t="array" ref="Z1292">_xlfn.XLOOKUP(tblMatriculas[[#This Row],[Cédula]]&amp;"|"&amp;tblMatriculas[[#This Row],[Código]],tblBase[Documento]&amp;"|"&amp;tblBase[Código grupo],tblBase[Fecha matrícula],"")</f>
        <v>46263</v>
      </c>
    </row>
    <row r="1293" spans="1:26" x14ac:dyDescent="0.2">
      <c r="A1293" t="s">
        <v>2730</v>
      </c>
      <c r="B1293" t="s">
        <v>2731</v>
      </c>
      <c r="C1293" t="s">
        <v>13</v>
      </c>
      <c r="D1293" t="s">
        <v>2696</v>
      </c>
      <c r="E1293" t="s">
        <v>2697</v>
      </c>
      <c r="F1293" t="s">
        <v>750</v>
      </c>
      <c r="G1293" s="1">
        <v>6.7000000000000004E-2</v>
      </c>
      <c r="H1293" t="s">
        <v>166</v>
      </c>
      <c r="I1293" t="s">
        <v>1580</v>
      </c>
      <c r="J1293" t="s">
        <v>2451</v>
      </c>
      <c r="K1293" t="s">
        <v>24</v>
      </c>
      <c r="L1293" s="14">
        <f>IFERROR(VALUE(LEFT(tblMatriculas[[#This Row],[Clases]],FIND("/",tblMatriculas[[#This Row],[Clases]])-1)),"")</f>
        <v>2</v>
      </c>
      <c r="M1293" s="14">
        <f>IFERROR(VALUE(MID(tblMatriculas[[#This Row],[Clases]],FIND("/",tblMatriculas[[#This Row],[Clases]])+1,5)),"")</f>
        <v>30</v>
      </c>
      <c r="N12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3" s="14">
        <f>IF(OR(tblMatriculas[[#This Row],[Estado]]&lt;&gt;"activa",tblMatriculas[[#This Row],[Clases dictadas]]=""),"",MAX(0,tblMatriculas[[#This Row],[Clases dictadas]]-tblMatriculas[[#This Row],[Asistidas]]))</f>
        <v>0</v>
      </c>
      <c r="P1293" s="1">
        <f>IF(OR(tblMatriculas[[#This Row],[Estado]]&lt;&gt;"activa",tblMatriculas[[#This Row],[Asistidas]]=""),"",tblMatriculas[[#This Row],[Asistencia]])</f>
        <v>6.7000000000000004E-2</v>
      </c>
      <c r="Q1293" t="b">
        <f>AND(tblMatriculas[[#This Row],[Estado]]="activa",ISNUMBER(tblMatriculas[[#This Row],[% asistencia]]),NOT(ISNUMBER(SEARCH(pPrueba,tblMatriculas[[#This Row],[Nombre]]))))</f>
        <v>1</v>
      </c>
      <c r="R12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3" s="23" t="str" cm="1">
        <f t="array" ref="S12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3" s="23" t="str" cm="1">
        <f t="array" ref="T12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3" s="14" t="str" cm="1">
        <f t="array" ref="U12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3" t="str" cm="1">
        <f t="array" ref="V12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3" t="str" cm="1">
        <f t="array" ref="W12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3" t="str">
        <f>IF(COUNTIFS('Base Estudiantes'!$C:$C,tblMatriculas[[#This Row],[Cédula]],'Base Estudiantes'!$I:$I,tblMatriculas[[#This Row],[Código]])&gt;0,"Sí","No")</f>
        <v>Sí</v>
      </c>
      <c r="Z1293" s="23" cm="1">
        <f t="array" ref="Z1293">_xlfn.XLOOKUP(tblMatriculas[[#This Row],[Cédula]]&amp;"|"&amp;tblMatriculas[[#This Row],[Código]],tblBase[Documento]&amp;"|"&amp;tblBase[Código grupo],tblBase[Fecha matrícula],"")</f>
        <v>46263</v>
      </c>
    </row>
    <row r="1294" spans="1:26" x14ac:dyDescent="0.2">
      <c r="A1294" t="s">
        <v>2732</v>
      </c>
      <c r="B1294" t="s">
        <v>2733</v>
      </c>
      <c r="C1294" t="s">
        <v>13</v>
      </c>
      <c r="D1294" t="s">
        <v>2696</v>
      </c>
      <c r="E1294" t="s">
        <v>2697</v>
      </c>
      <c r="F1294" t="s">
        <v>750</v>
      </c>
      <c r="G1294" s="1">
        <v>6.7000000000000004E-2</v>
      </c>
      <c r="H1294" t="s">
        <v>166</v>
      </c>
      <c r="I1294" t="s">
        <v>1580</v>
      </c>
      <c r="J1294" t="s">
        <v>2451</v>
      </c>
      <c r="K1294" t="s">
        <v>24</v>
      </c>
      <c r="L1294" s="14">
        <f>IFERROR(VALUE(LEFT(tblMatriculas[[#This Row],[Clases]],FIND("/",tblMatriculas[[#This Row],[Clases]])-1)),"")</f>
        <v>2</v>
      </c>
      <c r="M1294" s="14">
        <f>IFERROR(VALUE(MID(tblMatriculas[[#This Row],[Clases]],FIND("/",tblMatriculas[[#This Row],[Clases]])+1,5)),"")</f>
        <v>30</v>
      </c>
      <c r="N12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4" s="14">
        <f>IF(OR(tblMatriculas[[#This Row],[Estado]]&lt;&gt;"activa",tblMatriculas[[#This Row],[Clases dictadas]]=""),"",MAX(0,tblMatriculas[[#This Row],[Clases dictadas]]-tblMatriculas[[#This Row],[Asistidas]]))</f>
        <v>0</v>
      </c>
      <c r="P1294" s="1">
        <f>IF(OR(tblMatriculas[[#This Row],[Estado]]&lt;&gt;"activa",tblMatriculas[[#This Row],[Asistidas]]=""),"",tblMatriculas[[#This Row],[Asistencia]])</f>
        <v>6.7000000000000004E-2</v>
      </c>
      <c r="Q1294" t="b">
        <f>AND(tblMatriculas[[#This Row],[Estado]]="activa",ISNUMBER(tblMatriculas[[#This Row],[% asistencia]]),NOT(ISNUMBER(SEARCH(pPrueba,tblMatriculas[[#This Row],[Nombre]]))))</f>
        <v>1</v>
      </c>
      <c r="R12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4" s="23" t="str" cm="1">
        <f t="array" ref="S12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4" s="23" t="str" cm="1">
        <f t="array" ref="T12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4" s="14" t="str" cm="1">
        <f t="array" ref="U12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4" t="str" cm="1">
        <f t="array" ref="V12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4" t="str" cm="1">
        <f t="array" ref="W12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4" t="str">
        <f>IF(COUNTIFS('Base Estudiantes'!$C:$C,tblMatriculas[[#This Row],[Cédula]],'Base Estudiantes'!$I:$I,tblMatriculas[[#This Row],[Código]])&gt;0,"Sí","No")</f>
        <v>Sí</v>
      </c>
      <c r="Z1294" s="23" cm="1">
        <f t="array" ref="Z1294">_xlfn.XLOOKUP(tblMatriculas[[#This Row],[Cédula]]&amp;"|"&amp;tblMatriculas[[#This Row],[Código]],tblBase[Documento]&amp;"|"&amp;tblBase[Código grupo],tblBase[Fecha matrícula],"")</f>
        <v>46263</v>
      </c>
    </row>
    <row r="1295" spans="1:26" x14ac:dyDescent="0.2">
      <c r="A1295" t="s">
        <v>2734</v>
      </c>
      <c r="B1295" t="s">
        <v>2735</v>
      </c>
      <c r="C1295" t="s">
        <v>13</v>
      </c>
      <c r="D1295" t="s">
        <v>2696</v>
      </c>
      <c r="E1295" t="s">
        <v>2697</v>
      </c>
      <c r="F1295" t="s">
        <v>750</v>
      </c>
      <c r="G1295" s="1">
        <v>6.7000000000000004E-2</v>
      </c>
      <c r="H1295" t="s">
        <v>166</v>
      </c>
      <c r="I1295" t="s">
        <v>1580</v>
      </c>
      <c r="J1295" t="s">
        <v>2451</v>
      </c>
      <c r="K1295" t="s">
        <v>24</v>
      </c>
      <c r="L1295" s="14">
        <f>IFERROR(VALUE(LEFT(tblMatriculas[[#This Row],[Clases]],FIND("/",tblMatriculas[[#This Row],[Clases]])-1)),"")</f>
        <v>2</v>
      </c>
      <c r="M1295" s="14">
        <f>IFERROR(VALUE(MID(tblMatriculas[[#This Row],[Clases]],FIND("/",tblMatriculas[[#This Row],[Clases]])+1,5)),"")</f>
        <v>30</v>
      </c>
      <c r="N12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5" s="14">
        <f>IF(OR(tblMatriculas[[#This Row],[Estado]]&lt;&gt;"activa",tblMatriculas[[#This Row],[Clases dictadas]]=""),"",MAX(0,tblMatriculas[[#This Row],[Clases dictadas]]-tblMatriculas[[#This Row],[Asistidas]]))</f>
        <v>0</v>
      </c>
      <c r="P1295" s="1">
        <f>IF(OR(tblMatriculas[[#This Row],[Estado]]&lt;&gt;"activa",tblMatriculas[[#This Row],[Asistidas]]=""),"",tblMatriculas[[#This Row],[Asistencia]])</f>
        <v>6.7000000000000004E-2</v>
      </c>
      <c r="Q1295" t="b">
        <f>AND(tblMatriculas[[#This Row],[Estado]]="activa",ISNUMBER(tblMatriculas[[#This Row],[% asistencia]]),NOT(ISNUMBER(SEARCH(pPrueba,tblMatriculas[[#This Row],[Nombre]]))))</f>
        <v>1</v>
      </c>
      <c r="R12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5" s="23" t="str" cm="1">
        <f t="array" ref="S12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5" s="23" t="str" cm="1">
        <f t="array" ref="T12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5" s="14" t="str" cm="1">
        <f t="array" ref="U12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5" t="str" cm="1">
        <f t="array" ref="V12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5" t="str" cm="1">
        <f t="array" ref="W12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5" t="str">
        <f>IF(COUNTIFS('Base Estudiantes'!$C:$C,tblMatriculas[[#This Row],[Cédula]],'Base Estudiantes'!$I:$I,tblMatriculas[[#This Row],[Código]])&gt;0,"Sí","No")</f>
        <v>Sí</v>
      </c>
      <c r="Z1295" s="23" cm="1">
        <f t="array" ref="Z1295">_xlfn.XLOOKUP(tblMatriculas[[#This Row],[Cédula]]&amp;"|"&amp;tblMatriculas[[#This Row],[Código]],tblBase[Documento]&amp;"|"&amp;tblBase[Código grupo],tblBase[Fecha matrícula],"")</f>
        <v>46263</v>
      </c>
    </row>
    <row r="1296" spans="1:26" x14ac:dyDescent="0.2">
      <c r="A1296" t="s">
        <v>2736</v>
      </c>
      <c r="B1296" t="s">
        <v>2737</v>
      </c>
      <c r="C1296" t="s">
        <v>13</v>
      </c>
      <c r="D1296" t="s">
        <v>2696</v>
      </c>
      <c r="E1296" t="s">
        <v>2697</v>
      </c>
      <c r="F1296" t="s">
        <v>750</v>
      </c>
      <c r="G1296" s="1">
        <v>6.7000000000000004E-2</v>
      </c>
      <c r="H1296" t="s">
        <v>166</v>
      </c>
      <c r="I1296" t="s">
        <v>1580</v>
      </c>
      <c r="J1296" t="s">
        <v>2451</v>
      </c>
      <c r="K1296" t="s">
        <v>24</v>
      </c>
      <c r="L1296" s="14">
        <f>IFERROR(VALUE(LEFT(tblMatriculas[[#This Row],[Clases]],FIND("/",tblMatriculas[[#This Row],[Clases]])-1)),"")</f>
        <v>2</v>
      </c>
      <c r="M1296" s="14">
        <f>IFERROR(VALUE(MID(tblMatriculas[[#This Row],[Clases]],FIND("/",tblMatriculas[[#This Row],[Clases]])+1,5)),"")</f>
        <v>30</v>
      </c>
      <c r="N12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6" s="14">
        <f>IF(OR(tblMatriculas[[#This Row],[Estado]]&lt;&gt;"activa",tblMatriculas[[#This Row],[Clases dictadas]]=""),"",MAX(0,tblMatriculas[[#This Row],[Clases dictadas]]-tblMatriculas[[#This Row],[Asistidas]]))</f>
        <v>0</v>
      </c>
      <c r="P1296" s="1">
        <f>IF(OR(tblMatriculas[[#This Row],[Estado]]&lt;&gt;"activa",tblMatriculas[[#This Row],[Asistidas]]=""),"",tblMatriculas[[#This Row],[Asistencia]])</f>
        <v>6.7000000000000004E-2</v>
      </c>
      <c r="Q1296" t="b">
        <f>AND(tblMatriculas[[#This Row],[Estado]]="activa",ISNUMBER(tblMatriculas[[#This Row],[% asistencia]]),NOT(ISNUMBER(SEARCH(pPrueba,tblMatriculas[[#This Row],[Nombre]]))))</f>
        <v>1</v>
      </c>
      <c r="R12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6" s="23" t="str" cm="1">
        <f t="array" ref="S12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6" s="23" t="str" cm="1">
        <f t="array" ref="T12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6" s="14" t="str" cm="1">
        <f t="array" ref="U12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6" t="str" cm="1">
        <f t="array" ref="V12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6" t="str" cm="1">
        <f t="array" ref="W12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6" t="str">
        <f>IF(COUNTIFS('Base Estudiantes'!$C:$C,tblMatriculas[[#This Row],[Cédula]],'Base Estudiantes'!$I:$I,tblMatriculas[[#This Row],[Código]])&gt;0,"Sí","No")</f>
        <v>Sí</v>
      </c>
      <c r="Z1296" s="23" cm="1">
        <f t="array" ref="Z1296">_xlfn.XLOOKUP(tblMatriculas[[#This Row],[Cédula]]&amp;"|"&amp;tblMatriculas[[#This Row],[Código]],tblBase[Documento]&amp;"|"&amp;tblBase[Código grupo],tblBase[Fecha matrícula],"")</f>
        <v>46263</v>
      </c>
    </row>
    <row r="1297" spans="1:26" x14ac:dyDescent="0.2">
      <c r="A1297" t="s">
        <v>2738</v>
      </c>
      <c r="B1297" t="s">
        <v>2739</v>
      </c>
      <c r="C1297" t="s">
        <v>13</v>
      </c>
      <c r="D1297" t="s">
        <v>2696</v>
      </c>
      <c r="E1297" t="s">
        <v>2697</v>
      </c>
      <c r="F1297" t="s">
        <v>750</v>
      </c>
      <c r="G1297" s="1">
        <v>0</v>
      </c>
      <c r="H1297" t="s">
        <v>254</v>
      </c>
      <c r="I1297" t="s">
        <v>1580</v>
      </c>
      <c r="J1297" t="s">
        <v>2451</v>
      </c>
      <c r="K1297" t="s">
        <v>24</v>
      </c>
      <c r="L1297" s="14">
        <f>IFERROR(VALUE(LEFT(tblMatriculas[[#This Row],[Clases]],FIND("/",tblMatriculas[[#This Row],[Clases]])-1)),"")</f>
        <v>0</v>
      </c>
      <c r="M1297" s="14">
        <f>IFERROR(VALUE(MID(tblMatriculas[[#This Row],[Clases]],FIND("/",tblMatriculas[[#This Row],[Clases]])+1,5)),"")</f>
        <v>30</v>
      </c>
      <c r="N12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7" s="14">
        <f>IF(OR(tblMatriculas[[#This Row],[Estado]]&lt;&gt;"activa",tblMatriculas[[#This Row],[Clases dictadas]]=""),"",MAX(0,tblMatriculas[[#This Row],[Clases dictadas]]-tblMatriculas[[#This Row],[Asistidas]]))</f>
        <v>2</v>
      </c>
      <c r="P1297" s="1">
        <f>IF(OR(tblMatriculas[[#This Row],[Estado]]&lt;&gt;"activa",tblMatriculas[[#This Row],[Asistidas]]=""),"",tblMatriculas[[#This Row],[Asistencia]])</f>
        <v>0</v>
      </c>
      <c r="Q1297" t="b">
        <f>AND(tblMatriculas[[#This Row],[Estado]]="activa",ISNUMBER(tblMatriculas[[#This Row],[% asistencia]]),NOT(ISNUMBER(SEARCH(pPrueba,tblMatriculas[[#This Row],[Nombre]]))))</f>
        <v>1</v>
      </c>
      <c r="R12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297" s="23" t="str" cm="1">
        <f t="array" ref="S12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7" s="23" t="str" cm="1">
        <f t="array" ref="T12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7" s="14" t="str" cm="1">
        <f t="array" ref="U12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7" t="str" cm="1">
        <f t="array" ref="V12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7" t="str" cm="1">
        <f t="array" ref="W12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2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297" t="str">
        <f>IF(COUNTIFS('Base Estudiantes'!$C:$C,tblMatriculas[[#This Row],[Cédula]],'Base Estudiantes'!$I:$I,tblMatriculas[[#This Row],[Código]])&gt;0,"Sí","No")</f>
        <v>Sí</v>
      </c>
      <c r="Z1297" s="23" cm="1">
        <f t="array" ref="Z1297">_xlfn.XLOOKUP(tblMatriculas[[#This Row],[Cédula]]&amp;"|"&amp;tblMatriculas[[#This Row],[Código]],tblBase[Documento]&amp;"|"&amp;tblBase[Código grupo],tblBase[Fecha matrícula],"")</f>
        <v>46263</v>
      </c>
    </row>
    <row r="1298" spans="1:26" x14ac:dyDescent="0.2">
      <c r="A1298" t="s">
        <v>2740</v>
      </c>
      <c r="B1298" t="s">
        <v>2741</v>
      </c>
      <c r="C1298" t="s">
        <v>13</v>
      </c>
      <c r="D1298" t="s">
        <v>2696</v>
      </c>
      <c r="E1298" t="s">
        <v>2697</v>
      </c>
      <c r="F1298" t="s">
        <v>750</v>
      </c>
      <c r="G1298" s="1">
        <v>6.7000000000000004E-2</v>
      </c>
      <c r="H1298" t="s">
        <v>166</v>
      </c>
      <c r="I1298" t="s">
        <v>1580</v>
      </c>
      <c r="J1298" t="s">
        <v>2451</v>
      </c>
      <c r="K1298" t="s">
        <v>24</v>
      </c>
      <c r="L1298" s="14">
        <f>IFERROR(VALUE(LEFT(tblMatriculas[[#This Row],[Clases]],FIND("/",tblMatriculas[[#This Row],[Clases]])-1)),"")</f>
        <v>2</v>
      </c>
      <c r="M1298" s="14">
        <f>IFERROR(VALUE(MID(tblMatriculas[[#This Row],[Clases]],FIND("/",tblMatriculas[[#This Row],[Clases]])+1,5)),"")</f>
        <v>30</v>
      </c>
      <c r="N12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8" s="14">
        <f>IF(OR(tblMatriculas[[#This Row],[Estado]]&lt;&gt;"activa",tblMatriculas[[#This Row],[Clases dictadas]]=""),"",MAX(0,tblMatriculas[[#This Row],[Clases dictadas]]-tblMatriculas[[#This Row],[Asistidas]]))</f>
        <v>0</v>
      </c>
      <c r="P1298" s="1">
        <f>IF(OR(tblMatriculas[[#This Row],[Estado]]&lt;&gt;"activa",tblMatriculas[[#This Row],[Asistidas]]=""),"",tblMatriculas[[#This Row],[Asistencia]])</f>
        <v>6.7000000000000004E-2</v>
      </c>
      <c r="Q1298" t="b">
        <f>AND(tblMatriculas[[#This Row],[Estado]]="activa",ISNUMBER(tblMatriculas[[#This Row],[% asistencia]]),NOT(ISNUMBER(SEARCH(pPrueba,tblMatriculas[[#This Row],[Nombre]]))))</f>
        <v>1</v>
      </c>
      <c r="R12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8" s="23" t="str" cm="1">
        <f t="array" ref="S12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8" s="23" t="str" cm="1">
        <f t="array" ref="T12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8" s="14" t="str" cm="1">
        <f t="array" ref="U12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8" t="str" cm="1">
        <f t="array" ref="V12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8" t="str" cm="1">
        <f t="array" ref="W12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8" t="str">
        <f>IF(COUNTIFS('Base Estudiantes'!$C:$C,tblMatriculas[[#This Row],[Cédula]],'Base Estudiantes'!$I:$I,tblMatriculas[[#This Row],[Código]])&gt;0,"Sí","No")</f>
        <v>Sí</v>
      </c>
      <c r="Z1298" s="23" cm="1">
        <f t="array" ref="Z1298">_xlfn.XLOOKUP(tblMatriculas[[#This Row],[Cédula]]&amp;"|"&amp;tblMatriculas[[#This Row],[Código]],tblBase[Documento]&amp;"|"&amp;tblBase[Código grupo],tblBase[Fecha matrícula],"")</f>
        <v>46263</v>
      </c>
    </row>
    <row r="1299" spans="1:26" x14ac:dyDescent="0.2">
      <c r="A1299" t="s">
        <v>2742</v>
      </c>
      <c r="B1299" t="s">
        <v>2743</v>
      </c>
      <c r="C1299" t="s">
        <v>13</v>
      </c>
      <c r="D1299" t="s">
        <v>2696</v>
      </c>
      <c r="E1299" t="s">
        <v>2697</v>
      </c>
      <c r="F1299" t="s">
        <v>750</v>
      </c>
      <c r="G1299" s="1">
        <v>6.7000000000000004E-2</v>
      </c>
      <c r="H1299" t="s">
        <v>166</v>
      </c>
      <c r="I1299" t="s">
        <v>1580</v>
      </c>
      <c r="J1299" t="s">
        <v>2451</v>
      </c>
      <c r="K1299" t="s">
        <v>24</v>
      </c>
      <c r="L1299" s="14">
        <f>IFERROR(VALUE(LEFT(tblMatriculas[[#This Row],[Clases]],FIND("/",tblMatriculas[[#This Row],[Clases]])-1)),"")</f>
        <v>2</v>
      </c>
      <c r="M1299" s="14">
        <f>IFERROR(VALUE(MID(tblMatriculas[[#This Row],[Clases]],FIND("/",tblMatriculas[[#This Row],[Clases]])+1,5)),"")</f>
        <v>30</v>
      </c>
      <c r="N12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299" s="14">
        <f>IF(OR(tblMatriculas[[#This Row],[Estado]]&lt;&gt;"activa",tblMatriculas[[#This Row],[Clases dictadas]]=""),"",MAX(0,tblMatriculas[[#This Row],[Clases dictadas]]-tblMatriculas[[#This Row],[Asistidas]]))</f>
        <v>0</v>
      </c>
      <c r="P1299" s="1">
        <f>IF(OR(tblMatriculas[[#This Row],[Estado]]&lt;&gt;"activa",tblMatriculas[[#This Row],[Asistidas]]=""),"",tblMatriculas[[#This Row],[Asistencia]])</f>
        <v>6.7000000000000004E-2</v>
      </c>
      <c r="Q1299" t="b">
        <f>AND(tblMatriculas[[#This Row],[Estado]]="activa",ISNUMBER(tblMatriculas[[#This Row],[% asistencia]]),NOT(ISNUMBER(SEARCH(pPrueba,tblMatriculas[[#This Row],[Nombre]]))))</f>
        <v>1</v>
      </c>
      <c r="R12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299" s="23" t="str" cm="1">
        <f t="array" ref="S12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299" s="23" t="str" cm="1">
        <f t="array" ref="T12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299" s="14" t="str" cm="1">
        <f t="array" ref="U12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299" t="str" cm="1">
        <f t="array" ref="V12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299" t="str" cm="1">
        <f t="array" ref="W12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2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299" t="str">
        <f>IF(COUNTIFS('Base Estudiantes'!$C:$C,tblMatriculas[[#This Row],[Cédula]],'Base Estudiantes'!$I:$I,tblMatriculas[[#This Row],[Código]])&gt;0,"Sí","No")</f>
        <v>Sí</v>
      </c>
      <c r="Z1299" s="23" cm="1">
        <f t="array" ref="Z1299">_xlfn.XLOOKUP(tblMatriculas[[#This Row],[Cédula]]&amp;"|"&amp;tblMatriculas[[#This Row],[Código]],tblBase[Documento]&amp;"|"&amp;tblBase[Código grupo],tblBase[Fecha matrícula],"")</f>
        <v>46263</v>
      </c>
    </row>
    <row r="1300" spans="1:26" x14ac:dyDescent="0.2">
      <c r="A1300" t="s">
        <v>801</v>
      </c>
      <c r="B1300" t="s">
        <v>802</v>
      </c>
      <c r="C1300" t="s">
        <v>49</v>
      </c>
      <c r="D1300" t="s">
        <v>2696</v>
      </c>
      <c r="E1300" t="s">
        <v>2697</v>
      </c>
      <c r="F1300" t="s">
        <v>750</v>
      </c>
      <c r="G1300" s="1">
        <v>6.7000000000000004E-2</v>
      </c>
      <c r="H1300" t="s">
        <v>166</v>
      </c>
      <c r="I1300" t="s">
        <v>1580</v>
      </c>
      <c r="J1300" t="s">
        <v>2451</v>
      </c>
      <c r="K1300" t="s">
        <v>24</v>
      </c>
      <c r="L1300" s="14">
        <f>IFERROR(VALUE(LEFT(tblMatriculas[[#This Row],[Clases]],FIND("/",tblMatriculas[[#This Row],[Clases]])-1)),"")</f>
        <v>2</v>
      </c>
      <c r="M1300" s="14">
        <f>IFERROR(VALUE(MID(tblMatriculas[[#This Row],[Clases]],FIND("/",tblMatriculas[[#This Row],[Clases]])+1,5)),"")</f>
        <v>30</v>
      </c>
      <c r="N13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0" s="14" t="str">
        <f>IF(OR(tblMatriculas[[#This Row],[Estado]]&lt;&gt;"activa",tblMatriculas[[#This Row],[Clases dictadas]]=""),"",MAX(0,tblMatriculas[[#This Row],[Clases dictadas]]-tblMatriculas[[#This Row],[Asistidas]]))</f>
        <v/>
      </c>
      <c r="P1300" s="1" t="str">
        <f>IF(OR(tblMatriculas[[#This Row],[Estado]]&lt;&gt;"activa",tblMatriculas[[#This Row],[Asistidas]]=""),"",tblMatriculas[[#This Row],[Asistencia]])</f>
        <v/>
      </c>
      <c r="Q1300" t="b">
        <f>AND(tblMatriculas[[#This Row],[Estado]]="activa",ISNUMBER(tblMatriculas[[#This Row],[% asistencia]]),NOT(ISNUMBER(SEARCH(pPrueba,tblMatriculas[[#This Row],[Nombre]]))))</f>
        <v>0</v>
      </c>
      <c r="R13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00" s="23" t="str" cm="1">
        <f t="array" ref="S13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0" s="23" t="str" cm="1">
        <f t="array" ref="T13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0" s="14" t="str" cm="1">
        <f t="array" ref="U13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0" t="str" cm="1">
        <f t="array" ref="V13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0" t="str" cm="1">
        <f t="array" ref="W13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00" t="str">
        <f>IF(COUNTIFS('Base Estudiantes'!$C:$C,tblMatriculas[[#This Row],[Cédula]],'Base Estudiantes'!$I:$I,tblMatriculas[[#This Row],[Código]])&gt;0,"Sí","No")</f>
        <v>No</v>
      </c>
      <c r="Z1300" s="23" t="str" cm="1">
        <f t="array" ref="Z1300">_xlfn.XLOOKUP(tblMatriculas[[#This Row],[Cédula]]&amp;"|"&amp;tblMatriculas[[#This Row],[Código]],tblBase[Documento]&amp;"|"&amp;tblBase[Código grupo],tblBase[Fecha matrícula],"")</f>
        <v/>
      </c>
    </row>
    <row r="1301" spans="1:26" x14ac:dyDescent="0.2">
      <c r="A1301" t="s">
        <v>2744</v>
      </c>
      <c r="B1301" t="s">
        <v>2745</v>
      </c>
      <c r="C1301" t="s">
        <v>13</v>
      </c>
      <c r="D1301" t="s">
        <v>2696</v>
      </c>
      <c r="E1301" t="s">
        <v>2697</v>
      </c>
      <c r="F1301" t="s">
        <v>750</v>
      </c>
      <c r="G1301" s="1">
        <v>0</v>
      </c>
      <c r="H1301" t="s">
        <v>254</v>
      </c>
      <c r="I1301" t="s">
        <v>1580</v>
      </c>
      <c r="J1301" t="s">
        <v>2451</v>
      </c>
      <c r="K1301" t="s">
        <v>24</v>
      </c>
      <c r="L1301" s="14">
        <f>IFERROR(VALUE(LEFT(tblMatriculas[[#This Row],[Clases]],FIND("/",tblMatriculas[[#This Row],[Clases]])-1)),"")</f>
        <v>0</v>
      </c>
      <c r="M1301" s="14">
        <f>IFERROR(VALUE(MID(tblMatriculas[[#This Row],[Clases]],FIND("/",tblMatriculas[[#This Row],[Clases]])+1,5)),"")</f>
        <v>30</v>
      </c>
      <c r="N13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1" s="14">
        <f>IF(OR(tblMatriculas[[#This Row],[Estado]]&lt;&gt;"activa",tblMatriculas[[#This Row],[Clases dictadas]]=""),"",MAX(0,tblMatriculas[[#This Row],[Clases dictadas]]-tblMatriculas[[#This Row],[Asistidas]]))</f>
        <v>2</v>
      </c>
      <c r="P1301" s="1">
        <f>IF(OR(tblMatriculas[[#This Row],[Estado]]&lt;&gt;"activa",tblMatriculas[[#This Row],[Asistidas]]=""),"",tblMatriculas[[#This Row],[Asistencia]])</f>
        <v>0</v>
      </c>
      <c r="Q1301" t="b">
        <f>AND(tblMatriculas[[#This Row],[Estado]]="activa",ISNUMBER(tblMatriculas[[#This Row],[% asistencia]]),NOT(ISNUMBER(SEARCH(pPrueba,tblMatriculas[[#This Row],[Nombre]]))))</f>
        <v>1</v>
      </c>
      <c r="R13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01" s="23" t="str" cm="1">
        <f t="array" ref="S13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1" s="23" t="str" cm="1">
        <f t="array" ref="T13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1" s="14" t="str" cm="1">
        <f t="array" ref="U13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1" t="str" cm="1">
        <f t="array" ref="V13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1" t="str" cm="1">
        <f t="array" ref="W13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01" t="str">
        <f>IF(COUNTIFS('Base Estudiantes'!$C:$C,tblMatriculas[[#This Row],[Cédula]],'Base Estudiantes'!$I:$I,tblMatriculas[[#This Row],[Código]])&gt;0,"Sí","No")</f>
        <v>Sí</v>
      </c>
      <c r="Z1301" s="23" cm="1">
        <f t="array" ref="Z1301">_xlfn.XLOOKUP(tblMatriculas[[#This Row],[Cédula]]&amp;"|"&amp;tblMatriculas[[#This Row],[Código]],tblBase[Documento]&amp;"|"&amp;tblBase[Código grupo],tblBase[Fecha matrícula],"")</f>
        <v>46263</v>
      </c>
    </row>
    <row r="1302" spans="1:26" x14ac:dyDescent="0.2">
      <c r="A1302" t="s">
        <v>2746</v>
      </c>
      <c r="B1302" t="s">
        <v>2747</v>
      </c>
      <c r="C1302" t="s">
        <v>13</v>
      </c>
      <c r="D1302" t="s">
        <v>2696</v>
      </c>
      <c r="E1302" t="s">
        <v>2697</v>
      </c>
      <c r="F1302" t="s">
        <v>750</v>
      </c>
      <c r="G1302" s="1">
        <v>6.7000000000000004E-2</v>
      </c>
      <c r="H1302" t="s">
        <v>166</v>
      </c>
      <c r="I1302" t="s">
        <v>1580</v>
      </c>
      <c r="J1302" t="s">
        <v>2451</v>
      </c>
      <c r="K1302" t="s">
        <v>24</v>
      </c>
      <c r="L1302" s="14">
        <f>IFERROR(VALUE(LEFT(tblMatriculas[[#This Row],[Clases]],FIND("/",tblMatriculas[[#This Row],[Clases]])-1)),"")</f>
        <v>2</v>
      </c>
      <c r="M1302" s="14">
        <f>IFERROR(VALUE(MID(tblMatriculas[[#This Row],[Clases]],FIND("/",tblMatriculas[[#This Row],[Clases]])+1,5)),"")</f>
        <v>30</v>
      </c>
      <c r="N13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2" s="14">
        <f>IF(OR(tblMatriculas[[#This Row],[Estado]]&lt;&gt;"activa",tblMatriculas[[#This Row],[Clases dictadas]]=""),"",MAX(0,tblMatriculas[[#This Row],[Clases dictadas]]-tblMatriculas[[#This Row],[Asistidas]]))</f>
        <v>0</v>
      </c>
      <c r="P1302" s="1">
        <f>IF(OR(tblMatriculas[[#This Row],[Estado]]&lt;&gt;"activa",tblMatriculas[[#This Row],[Asistidas]]=""),"",tblMatriculas[[#This Row],[Asistencia]])</f>
        <v>6.7000000000000004E-2</v>
      </c>
      <c r="Q1302" t="b">
        <f>AND(tblMatriculas[[#This Row],[Estado]]="activa",ISNUMBER(tblMatriculas[[#This Row],[% asistencia]]),NOT(ISNUMBER(SEARCH(pPrueba,tblMatriculas[[#This Row],[Nombre]]))))</f>
        <v>1</v>
      </c>
      <c r="R13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02" s="23" t="str" cm="1">
        <f t="array" ref="S13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2" s="23" t="str" cm="1">
        <f t="array" ref="T13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2" s="14" t="str" cm="1">
        <f t="array" ref="U13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2" t="str" cm="1">
        <f t="array" ref="V13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2" t="str" cm="1">
        <f t="array" ref="W13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02" t="str">
        <f>IF(COUNTIFS('Base Estudiantes'!$C:$C,tblMatriculas[[#This Row],[Cédula]],'Base Estudiantes'!$I:$I,tblMatriculas[[#This Row],[Código]])&gt;0,"Sí","No")</f>
        <v>Sí</v>
      </c>
      <c r="Z1302" s="23" cm="1">
        <f t="array" ref="Z1302">_xlfn.XLOOKUP(tblMatriculas[[#This Row],[Cédula]]&amp;"|"&amp;tblMatriculas[[#This Row],[Código]],tblBase[Documento]&amp;"|"&amp;tblBase[Código grupo],tblBase[Fecha matrícula],"")</f>
        <v>46263</v>
      </c>
    </row>
    <row r="1303" spans="1:26" x14ac:dyDescent="0.2">
      <c r="A1303" t="s">
        <v>2748</v>
      </c>
      <c r="B1303" t="s">
        <v>2749</v>
      </c>
      <c r="C1303" t="s">
        <v>13</v>
      </c>
      <c r="D1303" t="s">
        <v>2696</v>
      </c>
      <c r="E1303" t="s">
        <v>2697</v>
      </c>
      <c r="F1303" t="s">
        <v>750</v>
      </c>
      <c r="G1303" s="1">
        <v>6.7000000000000004E-2</v>
      </c>
      <c r="H1303" t="s">
        <v>166</v>
      </c>
      <c r="I1303" t="s">
        <v>1580</v>
      </c>
      <c r="J1303" t="s">
        <v>2451</v>
      </c>
      <c r="K1303" t="s">
        <v>24</v>
      </c>
      <c r="L1303" s="14">
        <f>IFERROR(VALUE(LEFT(tblMatriculas[[#This Row],[Clases]],FIND("/",tblMatriculas[[#This Row],[Clases]])-1)),"")</f>
        <v>2</v>
      </c>
      <c r="M1303" s="14">
        <f>IFERROR(VALUE(MID(tblMatriculas[[#This Row],[Clases]],FIND("/",tblMatriculas[[#This Row],[Clases]])+1,5)),"")</f>
        <v>30</v>
      </c>
      <c r="N13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3" s="14">
        <f>IF(OR(tblMatriculas[[#This Row],[Estado]]&lt;&gt;"activa",tblMatriculas[[#This Row],[Clases dictadas]]=""),"",MAX(0,tblMatriculas[[#This Row],[Clases dictadas]]-tblMatriculas[[#This Row],[Asistidas]]))</f>
        <v>0</v>
      </c>
      <c r="P1303" s="1">
        <f>IF(OR(tblMatriculas[[#This Row],[Estado]]&lt;&gt;"activa",tblMatriculas[[#This Row],[Asistidas]]=""),"",tblMatriculas[[#This Row],[Asistencia]])</f>
        <v>6.7000000000000004E-2</v>
      </c>
      <c r="Q1303" t="b">
        <f>AND(tblMatriculas[[#This Row],[Estado]]="activa",ISNUMBER(tblMatriculas[[#This Row],[% asistencia]]),NOT(ISNUMBER(SEARCH(pPrueba,tblMatriculas[[#This Row],[Nombre]]))))</f>
        <v>1</v>
      </c>
      <c r="R13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03" s="23" t="str" cm="1">
        <f t="array" ref="S13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3" s="23" t="str" cm="1">
        <f t="array" ref="T13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3" s="14" t="str" cm="1">
        <f t="array" ref="U13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3" t="str" cm="1">
        <f t="array" ref="V13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3" t="str" cm="1">
        <f t="array" ref="W13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03" t="str">
        <f>IF(COUNTIFS('Base Estudiantes'!$C:$C,tblMatriculas[[#This Row],[Cédula]],'Base Estudiantes'!$I:$I,tblMatriculas[[#This Row],[Código]])&gt;0,"Sí","No")</f>
        <v>Sí</v>
      </c>
      <c r="Z1303" s="23" cm="1">
        <f t="array" ref="Z1303">_xlfn.XLOOKUP(tblMatriculas[[#This Row],[Cédula]]&amp;"|"&amp;tblMatriculas[[#This Row],[Código]],tblBase[Documento]&amp;"|"&amp;tblBase[Código grupo],tblBase[Fecha matrícula],"")</f>
        <v>46263</v>
      </c>
    </row>
    <row r="1304" spans="1:26" x14ac:dyDescent="0.2">
      <c r="A1304" t="s">
        <v>2750</v>
      </c>
      <c r="B1304" t="s">
        <v>2751</v>
      </c>
      <c r="C1304" t="s">
        <v>13</v>
      </c>
      <c r="D1304" t="s">
        <v>2696</v>
      </c>
      <c r="E1304" t="s">
        <v>2697</v>
      </c>
      <c r="F1304" t="s">
        <v>750</v>
      </c>
      <c r="G1304" s="1">
        <v>0</v>
      </c>
      <c r="H1304" t="s">
        <v>254</v>
      </c>
      <c r="I1304" t="s">
        <v>1580</v>
      </c>
      <c r="J1304" t="s">
        <v>2451</v>
      </c>
      <c r="K1304" t="s">
        <v>24</v>
      </c>
      <c r="L1304" s="14">
        <f>IFERROR(VALUE(LEFT(tblMatriculas[[#This Row],[Clases]],FIND("/",tblMatriculas[[#This Row],[Clases]])-1)),"")</f>
        <v>0</v>
      </c>
      <c r="M1304" s="14">
        <f>IFERROR(VALUE(MID(tblMatriculas[[#This Row],[Clases]],FIND("/",tblMatriculas[[#This Row],[Clases]])+1,5)),"")</f>
        <v>30</v>
      </c>
      <c r="N13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4" s="14">
        <f>IF(OR(tblMatriculas[[#This Row],[Estado]]&lt;&gt;"activa",tblMatriculas[[#This Row],[Clases dictadas]]=""),"",MAX(0,tblMatriculas[[#This Row],[Clases dictadas]]-tblMatriculas[[#This Row],[Asistidas]]))</f>
        <v>2</v>
      </c>
      <c r="P1304" s="1">
        <f>IF(OR(tblMatriculas[[#This Row],[Estado]]&lt;&gt;"activa",tblMatriculas[[#This Row],[Asistidas]]=""),"",tblMatriculas[[#This Row],[Asistencia]])</f>
        <v>0</v>
      </c>
      <c r="Q1304" t="b">
        <f>AND(tblMatriculas[[#This Row],[Estado]]="activa",ISNUMBER(tblMatriculas[[#This Row],[% asistencia]]),NOT(ISNUMBER(SEARCH(pPrueba,tblMatriculas[[#This Row],[Nombre]]))))</f>
        <v>1</v>
      </c>
      <c r="R13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04" s="23" t="str" cm="1">
        <f t="array" ref="S13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4" s="23" t="str" cm="1">
        <f t="array" ref="T13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4" s="14" t="str" cm="1">
        <f t="array" ref="U13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4" t="str" cm="1">
        <f t="array" ref="V13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4" t="str" cm="1">
        <f t="array" ref="W13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04" t="str">
        <f>IF(COUNTIFS('Base Estudiantes'!$C:$C,tblMatriculas[[#This Row],[Cédula]],'Base Estudiantes'!$I:$I,tblMatriculas[[#This Row],[Código]])&gt;0,"Sí","No")</f>
        <v>Sí</v>
      </c>
      <c r="Z1304" s="23" cm="1">
        <f t="array" ref="Z1304">_xlfn.XLOOKUP(tblMatriculas[[#This Row],[Cédula]]&amp;"|"&amp;tblMatriculas[[#This Row],[Código]],tblBase[Documento]&amp;"|"&amp;tblBase[Código grupo],tblBase[Fecha matrícula],"")</f>
        <v>46263</v>
      </c>
    </row>
    <row r="1305" spans="1:26" x14ac:dyDescent="0.2">
      <c r="A1305" t="s">
        <v>2752</v>
      </c>
      <c r="B1305" t="s">
        <v>2753</v>
      </c>
      <c r="C1305" t="s">
        <v>13</v>
      </c>
      <c r="D1305" t="s">
        <v>2696</v>
      </c>
      <c r="E1305" t="s">
        <v>2697</v>
      </c>
      <c r="F1305" t="s">
        <v>750</v>
      </c>
      <c r="G1305" s="1">
        <v>0</v>
      </c>
      <c r="H1305" t="s">
        <v>254</v>
      </c>
      <c r="I1305" t="s">
        <v>1580</v>
      </c>
      <c r="J1305" t="s">
        <v>2451</v>
      </c>
      <c r="K1305" t="s">
        <v>24</v>
      </c>
      <c r="L1305" s="14">
        <f>IFERROR(VALUE(LEFT(tblMatriculas[[#This Row],[Clases]],FIND("/",tblMatriculas[[#This Row],[Clases]])-1)),"")</f>
        <v>0</v>
      </c>
      <c r="M1305" s="14">
        <f>IFERROR(VALUE(MID(tblMatriculas[[#This Row],[Clases]],FIND("/",tblMatriculas[[#This Row],[Clases]])+1,5)),"")</f>
        <v>30</v>
      </c>
      <c r="N13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5" s="14">
        <f>IF(OR(tblMatriculas[[#This Row],[Estado]]&lt;&gt;"activa",tblMatriculas[[#This Row],[Clases dictadas]]=""),"",MAX(0,tblMatriculas[[#This Row],[Clases dictadas]]-tblMatriculas[[#This Row],[Asistidas]]))</f>
        <v>2</v>
      </c>
      <c r="P1305" s="1">
        <f>IF(OR(tblMatriculas[[#This Row],[Estado]]&lt;&gt;"activa",tblMatriculas[[#This Row],[Asistidas]]=""),"",tblMatriculas[[#This Row],[Asistencia]])</f>
        <v>0</v>
      </c>
      <c r="Q1305" t="b">
        <f>AND(tblMatriculas[[#This Row],[Estado]]="activa",ISNUMBER(tblMatriculas[[#This Row],[% asistencia]]),NOT(ISNUMBER(SEARCH(pPrueba,tblMatriculas[[#This Row],[Nombre]]))))</f>
        <v>1</v>
      </c>
      <c r="R13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05" s="23" t="str" cm="1">
        <f t="array" ref="S13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5" s="23" t="str" cm="1">
        <f t="array" ref="T13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5" s="14" t="str" cm="1">
        <f t="array" ref="U13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5" t="str" cm="1">
        <f t="array" ref="V13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5" t="str" cm="1">
        <f t="array" ref="W13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05" t="str">
        <f>IF(COUNTIFS('Base Estudiantes'!$C:$C,tblMatriculas[[#This Row],[Cédula]],'Base Estudiantes'!$I:$I,tblMatriculas[[#This Row],[Código]])&gt;0,"Sí","No")</f>
        <v>Sí</v>
      </c>
      <c r="Z1305" s="23" cm="1">
        <f t="array" ref="Z1305">_xlfn.XLOOKUP(tblMatriculas[[#This Row],[Cédula]]&amp;"|"&amp;tblMatriculas[[#This Row],[Código]],tblBase[Documento]&amp;"|"&amp;tblBase[Código grupo],tblBase[Fecha matrícula],"")</f>
        <v>46263</v>
      </c>
    </row>
    <row r="1306" spans="1:26" x14ac:dyDescent="0.2">
      <c r="A1306" t="s">
        <v>2754</v>
      </c>
      <c r="B1306" t="s">
        <v>2755</v>
      </c>
      <c r="C1306" t="s">
        <v>49</v>
      </c>
      <c r="D1306" t="s">
        <v>2696</v>
      </c>
      <c r="E1306" t="s">
        <v>2697</v>
      </c>
      <c r="F1306" t="s">
        <v>750</v>
      </c>
      <c r="G1306" s="1">
        <v>0</v>
      </c>
      <c r="H1306" t="s">
        <v>254</v>
      </c>
      <c r="I1306" t="s">
        <v>1580</v>
      </c>
      <c r="J1306" t="s">
        <v>2451</v>
      </c>
      <c r="K1306" t="s">
        <v>24</v>
      </c>
      <c r="L1306" s="14">
        <f>IFERROR(VALUE(LEFT(tblMatriculas[[#This Row],[Clases]],FIND("/",tblMatriculas[[#This Row],[Clases]])-1)),"")</f>
        <v>0</v>
      </c>
      <c r="M1306" s="14">
        <f>IFERROR(VALUE(MID(tblMatriculas[[#This Row],[Clases]],FIND("/",tblMatriculas[[#This Row],[Clases]])+1,5)),"")</f>
        <v>30</v>
      </c>
      <c r="N13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6" s="14" t="str">
        <f>IF(OR(tblMatriculas[[#This Row],[Estado]]&lt;&gt;"activa",tblMatriculas[[#This Row],[Clases dictadas]]=""),"",MAX(0,tblMatriculas[[#This Row],[Clases dictadas]]-tblMatriculas[[#This Row],[Asistidas]]))</f>
        <v/>
      </c>
      <c r="P1306" s="1" t="str">
        <f>IF(OR(tblMatriculas[[#This Row],[Estado]]&lt;&gt;"activa",tblMatriculas[[#This Row],[Asistidas]]=""),"",tblMatriculas[[#This Row],[Asistencia]])</f>
        <v/>
      </c>
      <c r="Q1306" t="b">
        <f>AND(tblMatriculas[[#This Row],[Estado]]="activa",ISNUMBER(tblMatriculas[[#This Row],[% asistencia]]),NOT(ISNUMBER(SEARCH(pPrueba,tblMatriculas[[#This Row],[Nombre]]))))</f>
        <v>0</v>
      </c>
      <c r="R13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06" s="23" t="str" cm="1">
        <f t="array" ref="S13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6" s="23" t="str" cm="1">
        <f t="array" ref="T13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6" s="14" t="str" cm="1">
        <f t="array" ref="U13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6" t="str" cm="1">
        <f t="array" ref="V13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6" t="str" cm="1">
        <f t="array" ref="W13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06" t="str">
        <f>IF(COUNTIFS('Base Estudiantes'!$C:$C,tblMatriculas[[#This Row],[Cédula]],'Base Estudiantes'!$I:$I,tblMatriculas[[#This Row],[Código]])&gt;0,"Sí","No")</f>
        <v>No</v>
      </c>
      <c r="Z1306" s="23" t="str" cm="1">
        <f t="array" ref="Z1306">_xlfn.XLOOKUP(tblMatriculas[[#This Row],[Cédula]]&amp;"|"&amp;tblMatriculas[[#This Row],[Código]],tblBase[Documento]&amp;"|"&amp;tblBase[Código grupo],tblBase[Fecha matrícula],"")</f>
        <v/>
      </c>
    </row>
    <row r="1307" spans="1:26" x14ac:dyDescent="0.2">
      <c r="A1307" t="s">
        <v>2756</v>
      </c>
      <c r="B1307" t="s">
        <v>2757</v>
      </c>
      <c r="C1307" t="s">
        <v>13</v>
      </c>
      <c r="D1307" t="s">
        <v>2696</v>
      </c>
      <c r="E1307" t="s">
        <v>2697</v>
      </c>
      <c r="F1307" t="s">
        <v>750</v>
      </c>
      <c r="G1307" s="1">
        <v>6.7000000000000004E-2</v>
      </c>
      <c r="H1307" t="s">
        <v>166</v>
      </c>
      <c r="I1307" t="s">
        <v>1580</v>
      </c>
      <c r="J1307" t="s">
        <v>2451</v>
      </c>
      <c r="K1307" t="s">
        <v>24</v>
      </c>
      <c r="L1307" s="14">
        <f>IFERROR(VALUE(LEFT(tblMatriculas[[#This Row],[Clases]],FIND("/",tblMatriculas[[#This Row],[Clases]])-1)),"")</f>
        <v>2</v>
      </c>
      <c r="M1307" s="14">
        <f>IFERROR(VALUE(MID(tblMatriculas[[#This Row],[Clases]],FIND("/",tblMatriculas[[#This Row],[Clases]])+1,5)),"")</f>
        <v>30</v>
      </c>
      <c r="N13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7" s="14">
        <f>IF(OR(tblMatriculas[[#This Row],[Estado]]&lt;&gt;"activa",tblMatriculas[[#This Row],[Clases dictadas]]=""),"",MAX(0,tblMatriculas[[#This Row],[Clases dictadas]]-tblMatriculas[[#This Row],[Asistidas]]))</f>
        <v>0</v>
      </c>
      <c r="P1307" s="1">
        <f>IF(OR(tblMatriculas[[#This Row],[Estado]]&lt;&gt;"activa",tblMatriculas[[#This Row],[Asistidas]]=""),"",tblMatriculas[[#This Row],[Asistencia]])</f>
        <v>6.7000000000000004E-2</v>
      </c>
      <c r="Q1307" t="b">
        <f>AND(tblMatriculas[[#This Row],[Estado]]="activa",ISNUMBER(tblMatriculas[[#This Row],[% asistencia]]),NOT(ISNUMBER(SEARCH(pPrueba,tblMatriculas[[#This Row],[Nombre]]))))</f>
        <v>1</v>
      </c>
      <c r="R13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07" s="23" t="str" cm="1">
        <f t="array" ref="S13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7" s="23" t="str" cm="1">
        <f t="array" ref="T13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7" s="14" t="str" cm="1">
        <f t="array" ref="U13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7" t="str" cm="1">
        <f t="array" ref="V13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7" t="str" cm="1">
        <f t="array" ref="W13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07" t="str">
        <f>IF(COUNTIFS('Base Estudiantes'!$C:$C,tblMatriculas[[#This Row],[Cédula]],'Base Estudiantes'!$I:$I,tblMatriculas[[#This Row],[Código]])&gt;0,"Sí","No")</f>
        <v>Sí</v>
      </c>
      <c r="Z1307" s="23" cm="1">
        <f t="array" ref="Z1307">_xlfn.XLOOKUP(tblMatriculas[[#This Row],[Cédula]]&amp;"|"&amp;tblMatriculas[[#This Row],[Código]],tblBase[Documento]&amp;"|"&amp;tblBase[Código grupo],tblBase[Fecha matrícula],"")</f>
        <v>46263</v>
      </c>
    </row>
    <row r="1308" spans="1:26" x14ac:dyDescent="0.2">
      <c r="A1308" t="s">
        <v>2758</v>
      </c>
      <c r="B1308" t="s">
        <v>2759</v>
      </c>
      <c r="C1308" t="s">
        <v>13</v>
      </c>
      <c r="D1308" t="s">
        <v>2696</v>
      </c>
      <c r="E1308" t="s">
        <v>2697</v>
      </c>
      <c r="F1308" t="s">
        <v>750</v>
      </c>
      <c r="G1308" s="1">
        <v>6.7000000000000004E-2</v>
      </c>
      <c r="H1308" t="s">
        <v>166</v>
      </c>
      <c r="I1308" t="s">
        <v>1580</v>
      </c>
      <c r="J1308" t="s">
        <v>2451</v>
      </c>
      <c r="K1308" t="s">
        <v>24</v>
      </c>
      <c r="L1308" s="14">
        <f>IFERROR(VALUE(LEFT(tblMatriculas[[#This Row],[Clases]],FIND("/",tblMatriculas[[#This Row],[Clases]])-1)),"")</f>
        <v>2</v>
      </c>
      <c r="M1308" s="14">
        <f>IFERROR(VALUE(MID(tblMatriculas[[#This Row],[Clases]],FIND("/",tblMatriculas[[#This Row],[Clases]])+1,5)),"")</f>
        <v>30</v>
      </c>
      <c r="N13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8" s="14">
        <f>IF(OR(tblMatriculas[[#This Row],[Estado]]&lt;&gt;"activa",tblMatriculas[[#This Row],[Clases dictadas]]=""),"",MAX(0,tblMatriculas[[#This Row],[Clases dictadas]]-tblMatriculas[[#This Row],[Asistidas]]))</f>
        <v>0</v>
      </c>
      <c r="P1308" s="1">
        <f>IF(OR(tblMatriculas[[#This Row],[Estado]]&lt;&gt;"activa",tblMatriculas[[#This Row],[Asistidas]]=""),"",tblMatriculas[[#This Row],[Asistencia]])</f>
        <v>6.7000000000000004E-2</v>
      </c>
      <c r="Q1308" t="b">
        <f>AND(tblMatriculas[[#This Row],[Estado]]="activa",ISNUMBER(tblMatriculas[[#This Row],[% asistencia]]),NOT(ISNUMBER(SEARCH(pPrueba,tblMatriculas[[#This Row],[Nombre]]))))</f>
        <v>1</v>
      </c>
      <c r="R13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08" s="23" t="str" cm="1">
        <f t="array" ref="S13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8" s="23" t="str" cm="1">
        <f t="array" ref="T13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8" s="14" t="str" cm="1">
        <f t="array" ref="U13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8" t="str" cm="1">
        <f t="array" ref="V13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8" t="str" cm="1">
        <f t="array" ref="W13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08" t="str">
        <f>IF(COUNTIFS('Base Estudiantes'!$C:$C,tblMatriculas[[#This Row],[Cédula]],'Base Estudiantes'!$I:$I,tblMatriculas[[#This Row],[Código]])&gt;0,"Sí","No")</f>
        <v>Sí</v>
      </c>
      <c r="Z1308" s="23" cm="1">
        <f t="array" ref="Z1308">_xlfn.XLOOKUP(tblMatriculas[[#This Row],[Cédula]]&amp;"|"&amp;tblMatriculas[[#This Row],[Código]],tblBase[Documento]&amp;"|"&amp;tblBase[Código grupo],tblBase[Fecha matrícula],"")</f>
        <v>46263</v>
      </c>
    </row>
    <row r="1309" spans="1:26" x14ac:dyDescent="0.2">
      <c r="A1309" t="s">
        <v>2760</v>
      </c>
      <c r="B1309" t="s">
        <v>2761</v>
      </c>
      <c r="C1309" t="s">
        <v>13</v>
      </c>
      <c r="D1309" t="s">
        <v>2696</v>
      </c>
      <c r="E1309" t="s">
        <v>2697</v>
      </c>
      <c r="F1309" t="s">
        <v>750</v>
      </c>
      <c r="G1309" s="1">
        <v>6.7000000000000004E-2</v>
      </c>
      <c r="H1309" t="s">
        <v>166</v>
      </c>
      <c r="I1309" t="s">
        <v>1580</v>
      </c>
      <c r="J1309" t="s">
        <v>2451</v>
      </c>
      <c r="K1309" t="s">
        <v>24</v>
      </c>
      <c r="L1309" s="14">
        <f>IFERROR(VALUE(LEFT(tblMatriculas[[#This Row],[Clases]],FIND("/",tblMatriculas[[#This Row],[Clases]])-1)),"")</f>
        <v>2</v>
      </c>
      <c r="M1309" s="14">
        <f>IFERROR(VALUE(MID(tblMatriculas[[#This Row],[Clases]],FIND("/",tblMatriculas[[#This Row],[Clases]])+1,5)),"")</f>
        <v>30</v>
      </c>
      <c r="N13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09" s="14">
        <f>IF(OR(tblMatriculas[[#This Row],[Estado]]&lt;&gt;"activa",tblMatriculas[[#This Row],[Clases dictadas]]=""),"",MAX(0,tblMatriculas[[#This Row],[Clases dictadas]]-tblMatriculas[[#This Row],[Asistidas]]))</f>
        <v>0</v>
      </c>
      <c r="P1309" s="1">
        <f>IF(OR(tblMatriculas[[#This Row],[Estado]]&lt;&gt;"activa",tblMatriculas[[#This Row],[Asistidas]]=""),"",tblMatriculas[[#This Row],[Asistencia]])</f>
        <v>6.7000000000000004E-2</v>
      </c>
      <c r="Q1309" t="b">
        <f>AND(tblMatriculas[[#This Row],[Estado]]="activa",ISNUMBER(tblMatriculas[[#This Row],[% asistencia]]),NOT(ISNUMBER(SEARCH(pPrueba,tblMatriculas[[#This Row],[Nombre]]))))</f>
        <v>1</v>
      </c>
      <c r="R13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09" s="23" t="str" cm="1">
        <f t="array" ref="S13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09" s="23" t="str" cm="1">
        <f t="array" ref="T13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09" s="14" t="str" cm="1">
        <f t="array" ref="U13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09" t="str" cm="1">
        <f t="array" ref="V13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09" t="str" cm="1">
        <f t="array" ref="W13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09" t="str">
        <f>IF(COUNTIFS('Base Estudiantes'!$C:$C,tblMatriculas[[#This Row],[Cédula]],'Base Estudiantes'!$I:$I,tblMatriculas[[#This Row],[Código]])&gt;0,"Sí","No")</f>
        <v>Sí</v>
      </c>
      <c r="Z1309" s="23" cm="1">
        <f t="array" ref="Z1309">_xlfn.XLOOKUP(tblMatriculas[[#This Row],[Cédula]]&amp;"|"&amp;tblMatriculas[[#This Row],[Código]],tblBase[Documento]&amp;"|"&amp;tblBase[Código grupo],tblBase[Fecha matrícula],"")</f>
        <v>46263</v>
      </c>
    </row>
    <row r="1310" spans="1:26" x14ac:dyDescent="0.2">
      <c r="A1310" t="s">
        <v>2762</v>
      </c>
      <c r="B1310" t="s">
        <v>2763</v>
      </c>
      <c r="C1310" t="s">
        <v>13</v>
      </c>
      <c r="D1310" t="s">
        <v>2696</v>
      </c>
      <c r="E1310" t="s">
        <v>2697</v>
      </c>
      <c r="F1310" t="s">
        <v>750</v>
      </c>
      <c r="G1310" s="1">
        <v>6.7000000000000004E-2</v>
      </c>
      <c r="H1310" t="s">
        <v>166</v>
      </c>
      <c r="I1310" t="s">
        <v>1580</v>
      </c>
      <c r="J1310" t="s">
        <v>2451</v>
      </c>
      <c r="K1310" t="s">
        <v>24</v>
      </c>
      <c r="L1310" s="14">
        <f>IFERROR(VALUE(LEFT(tblMatriculas[[#This Row],[Clases]],FIND("/",tblMatriculas[[#This Row],[Clases]])-1)),"")</f>
        <v>2</v>
      </c>
      <c r="M1310" s="14">
        <f>IFERROR(VALUE(MID(tblMatriculas[[#This Row],[Clases]],FIND("/",tblMatriculas[[#This Row],[Clases]])+1,5)),"")</f>
        <v>30</v>
      </c>
      <c r="N13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0" s="14">
        <f>IF(OR(tblMatriculas[[#This Row],[Estado]]&lt;&gt;"activa",tblMatriculas[[#This Row],[Clases dictadas]]=""),"",MAX(0,tblMatriculas[[#This Row],[Clases dictadas]]-tblMatriculas[[#This Row],[Asistidas]]))</f>
        <v>0</v>
      </c>
      <c r="P1310" s="1">
        <f>IF(OR(tblMatriculas[[#This Row],[Estado]]&lt;&gt;"activa",tblMatriculas[[#This Row],[Asistidas]]=""),"",tblMatriculas[[#This Row],[Asistencia]])</f>
        <v>6.7000000000000004E-2</v>
      </c>
      <c r="Q1310" t="b">
        <f>AND(tblMatriculas[[#This Row],[Estado]]="activa",ISNUMBER(tblMatriculas[[#This Row],[% asistencia]]),NOT(ISNUMBER(SEARCH(pPrueba,tblMatriculas[[#This Row],[Nombre]]))))</f>
        <v>1</v>
      </c>
      <c r="R13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0" s="23" t="str" cm="1">
        <f t="array" ref="S13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0" s="23" t="str" cm="1">
        <f t="array" ref="T13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0" s="14" t="str" cm="1">
        <f t="array" ref="U13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0" t="str" cm="1">
        <f t="array" ref="V13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0" t="str" cm="1">
        <f t="array" ref="W13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0" t="str">
        <f>IF(COUNTIFS('Base Estudiantes'!$C:$C,tblMatriculas[[#This Row],[Cédula]],'Base Estudiantes'!$I:$I,tblMatriculas[[#This Row],[Código]])&gt;0,"Sí","No")</f>
        <v>Sí</v>
      </c>
      <c r="Z1310" s="23" cm="1">
        <f t="array" ref="Z1310">_xlfn.XLOOKUP(tblMatriculas[[#This Row],[Cédula]]&amp;"|"&amp;tblMatriculas[[#This Row],[Código]],tblBase[Documento]&amp;"|"&amp;tblBase[Código grupo],tblBase[Fecha matrícula],"")</f>
        <v>46263</v>
      </c>
    </row>
    <row r="1311" spans="1:26" x14ac:dyDescent="0.2">
      <c r="A1311" t="s">
        <v>2764</v>
      </c>
      <c r="B1311" t="s">
        <v>2765</v>
      </c>
      <c r="C1311" t="s">
        <v>13</v>
      </c>
      <c r="D1311" t="s">
        <v>2696</v>
      </c>
      <c r="E1311" t="s">
        <v>2697</v>
      </c>
      <c r="F1311" t="s">
        <v>750</v>
      </c>
      <c r="G1311" s="1">
        <v>6.7000000000000004E-2</v>
      </c>
      <c r="H1311" t="s">
        <v>166</v>
      </c>
      <c r="I1311" t="s">
        <v>1580</v>
      </c>
      <c r="J1311" t="s">
        <v>2451</v>
      </c>
      <c r="K1311" t="s">
        <v>24</v>
      </c>
      <c r="L1311" s="14">
        <f>IFERROR(VALUE(LEFT(tblMatriculas[[#This Row],[Clases]],FIND("/",tblMatriculas[[#This Row],[Clases]])-1)),"")</f>
        <v>2</v>
      </c>
      <c r="M1311" s="14">
        <f>IFERROR(VALUE(MID(tblMatriculas[[#This Row],[Clases]],FIND("/",tblMatriculas[[#This Row],[Clases]])+1,5)),"")</f>
        <v>30</v>
      </c>
      <c r="N13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1" s="14">
        <f>IF(OR(tblMatriculas[[#This Row],[Estado]]&lt;&gt;"activa",tblMatriculas[[#This Row],[Clases dictadas]]=""),"",MAX(0,tblMatriculas[[#This Row],[Clases dictadas]]-tblMatriculas[[#This Row],[Asistidas]]))</f>
        <v>0</v>
      </c>
      <c r="P1311" s="1">
        <f>IF(OR(tblMatriculas[[#This Row],[Estado]]&lt;&gt;"activa",tblMatriculas[[#This Row],[Asistidas]]=""),"",tblMatriculas[[#This Row],[Asistencia]])</f>
        <v>6.7000000000000004E-2</v>
      </c>
      <c r="Q1311" t="b">
        <f>AND(tblMatriculas[[#This Row],[Estado]]="activa",ISNUMBER(tblMatriculas[[#This Row],[% asistencia]]),NOT(ISNUMBER(SEARCH(pPrueba,tblMatriculas[[#This Row],[Nombre]]))))</f>
        <v>1</v>
      </c>
      <c r="R13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1" s="23" t="str" cm="1">
        <f t="array" ref="S13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1" s="23" t="str" cm="1">
        <f t="array" ref="T13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1" s="14" t="str" cm="1">
        <f t="array" ref="U13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1" t="str" cm="1">
        <f t="array" ref="V13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1" t="str" cm="1">
        <f t="array" ref="W13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1" t="str">
        <f>IF(COUNTIFS('Base Estudiantes'!$C:$C,tblMatriculas[[#This Row],[Cédula]],'Base Estudiantes'!$I:$I,tblMatriculas[[#This Row],[Código]])&gt;0,"Sí","No")</f>
        <v>Sí</v>
      </c>
      <c r="Z1311" s="23" cm="1">
        <f t="array" ref="Z1311">_xlfn.XLOOKUP(tblMatriculas[[#This Row],[Cédula]]&amp;"|"&amp;tblMatriculas[[#This Row],[Código]],tblBase[Documento]&amp;"|"&amp;tblBase[Código grupo],tblBase[Fecha matrícula],"")</f>
        <v>46263</v>
      </c>
    </row>
    <row r="1312" spans="1:26" x14ac:dyDescent="0.2">
      <c r="A1312" t="s">
        <v>2766</v>
      </c>
      <c r="B1312" t="s">
        <v>2767</v>
      </c>
      <c r="C1312" t="s">
        <v>13</v>
      </c>
      <c r="D1312" t="s">
        <v>2696</v>
      </c>
      <c r="E1312" t="s">
        <v>2697</v>
      </c>
      <c r="F1312" t="s">
        <v>750</v>
      </c>
      <c r="G1312" s="1">
        <v>6.7000000000000004E-2</v>
      </c>
      <c r="H1312" t="s">
        <v>166</v>
      </c>
      <c r="I1312" t="s">
        <v>1580</v>
      </c>
      <c r="J1312" t="s">
        <v>2451</v>
      </c>
      <c r="K1312" t="s">
        <v>24</v>
      </c>
      <c r="L1312" s="14">
        <f>IFERROR(VALUE(LEFT(tblMatriculas[[#This Row],[Clases]],FIND("/",tblMatriculas[[#This Row],[Clases]])-1)),"")</f>
        <v>2</v>
      </c>
      <c r="M1312" s="14">
        <f>IFERROR(VALUE(MID(tblMatriculas[[#This Row],[Clases]],FIND("/",tblMatriculas[[#This Row],[Clases]])+1,5)),"")</f>
        <v>30</v>
      </c>
      <c r="N13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2" s="14">
        <f>IF(OR(tblMatriculas[[#This Row],[Estado]]&lt;&gt;"activa",tblMatriculas[[#This Row],[Clases dictadas]]=""),"",MAX(0,tblMatriculas[[#This Row],[Clases dictadas]]-tblMatriculas[[#This Row],[Asistidas]]))</f>
        <v>0</v>
      </c>
      <c r="P1312" s="1">
        <f>IF(OR(tblMatriculas[[#This Row],[Estado]]&lt;&gt;"activa",tblMatriculas[[#This Row],[Asistidas]]=""),"",tblMatriculas[[#This Row],[Asistencia]])</f>
        <v>6.7000000000000004E-2</v>
      </c>
      <c r="Q1312" t="b">
        <f>AND(tblMatriculas[[#This Row],[Estado]]="activa",ISNUMBER(tblMatriculas[[#This Row],[% asistencia]]),NOT(ISNUMBER(SEARCH(pPrueba,tblMatriculas[[#This Row],[Nombre]]))))</f>
        <v>1</v>
      </c>
      <c r="R13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2" s="23" t="str" cm="1">
        <f t="array" ref="S13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2" s="23" t="str" cm="1">
        <f t="array" ref="T13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2" s="14" t="str" cm="1">
        <f t="array" ref="U13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2" t="str" cm="1">
        <f t="array" ref="V13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2" t="str" cm="1">
        <f t="array" ref="W13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2" t="str">
        <f>IF(COUNTIFS('Base Estudiantes'!$C:$C,tblMatriculas[[#This Row],[Cédula]],'Base Estudiantes'!$I:$I,tblMatriculas[[#This Row],[Código]])&gt;0,"Sí","No")</f>
        <v>Sí</v>
      </c>
      <c r="Z1312" s="23" cm="1">
        <f t="array" ref="Z1312">_xlfn.XLOOKUP(tblMatriculas[[#This Row],[Cédula]]&amp;"|"&amp;tblMatriculas[[#This Row],[Código]],tblBase[Documento]&amp;"|"&amp;tblBase[Código grupo],tblBase[Fecha matrícula],"")</f>
        <v>46263</v>
      </c>
    </row>
    <row r="1313" spans="1:26" x14ac:dyDescent="0.2">
      <c r="A1313" t="s">
        <v>2768</v>
      </c>
      <c r="B1313" t="s">
        <v>2769</v>
      </c>
      <c r="C1313" t="s">
        <v>13</v>
      </c>
      <c r="D1313" t="s">
        <v>2696</v>
      </c>
      <c r="E1313" t="s">
        <v>2697</v>
      </c>
      <c r="F1313" t="s">
        <v>750</v>
      </c>
      <c r="G1313" s="1">
        <v>6.7000000000000004E-2</v>
      </c>
      <c r="H1313" t="s">
        <v>166</v>
      </c>
      <c r="I1313" t="s">
        <v>1580</v>
      </c>
      <c r="J1313" t="s">
        <v>2451</v>
      </c>
      <c r="K1313" t="s">
        <v>24</v>
      </c>
      <c r="L1313" s="14">
        <f>IFERROR(VALUE(LEFT(tblMatriculas[[#This Row],[Clases]],FIND("/",tblMatriculas[[#This Row],[Clases]])-1)),"")</f>
        <v>2</v>
      </c>
      <c r="M1313" s="14">
        <f>IFERROR(VALUE(MID(tblMatriculas[[#This Row],[Clases]],FIND("/",tblMatriculas[[#This Row],[Clases]])+1,5)),"")</f>
        <v>30</v>
      </c>
      <c r="N13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3" s="14">
        <f>IF(OR(tblMatriculas[[#This Row],[Estado]]&lt;&gt;"activa",tblMatriculas[[#This Row],[Clases dictadas]]=""),"",MAX(0,tblMatriculas[[#This Row],[Clases dictadas]]-tblMatriculas[[#This Row],[Asistidas]]))</f>
        <v>0</v>
      </c>
      <c r="P1313" s="1">
        <f>IF(OR(tblMatriculas[[#This Row],[Estado]]&lt;&gt;"activa",tblMatriculas[[#This Row],[Asistidas]]=""),"",tblMatriculas[[#This Row],[Asistencia]])</f>
        <v>6.7000000000000004E-2</v>
      </c>
      <c r="Q1313" t="b">
        <f>AND(tblMatriculas[[#This Row],[Estado]]="activa",ISNUMBER(tblMatriculas[[#This Row],[% asistencia]]),NOT(ISNUMBER(SEARCH(pPrueba,tblMatriculas[[#This Row],[Nombre]]))))</f>
        <v>1</v>
      </c>
      <c r="R13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3" s="23" t="str" cm="1">
        <f t="array" ref="S13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3" s="23" t="str" cm="1">
        <f t="array" ref="T13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3" s="14" t="str" cm="1">
        <f t="array" ref="U13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3" t="str" cm="1">
        <f t="array" ref="V13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3" t="str" cm="1">
        <f t="array" ref="W13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3" t="str">
        <f>IF(COUNTIFS('Base Estudiantes'!$C:$C,tblMatriculas[[#This Row],[Cédula]],'Base Estudiantes'!$I:$I,tblMatriculas[[#This Row],[Código]])&gt;0,"Sí","No")</f>
        <v>Sí</v>
      </c>
      <c r="Z1313" s="23" cm="1">
        <f t="array" ref="Z1313">_xlfn.XLOOKUP(tblMatriculas[[#This Row],[Cédula]]&amp;"|"&amp;tblMatriculas[[#This Row],[Código]],tblBase[Documento]&amp;"|"&amp;tblBase[Código grupo],tblBase[Fecha matrícula],"")</f>
        <v>46263</v>
      </c>
    </row>
    <row r="1314" spans="1:26" x14ac:dyDescent="0.2">
      <c r="A1314" t="s">
        <v>2770</v>
      </c>
      <c r="B1314" t="s">
        <v>2771</v>
      </c>
      <c r="C1314" t="s">
        <v>13</v>
      </c>
      <c r="D1314" t="s">
        <v>2696</v>
      </c>
      <c r="E1314" t="s">
        <v>2697</v>
      </c>
      <c r="F1314" t="s">
        <v>750</v>
      </c>
      <c r="G1314" s="1">
        <v>6.7000000000000004E-2</v>
      </c>
      <c r="H1314" t="s">
        <v>166</v>
      </c>
      <c r="I1314" t="s">
        <v>1580</v>
      </c>
      <c r="J1314" t="s">
        <v>2451</v>
      </c>
      <c r="K1314" t="s">
        <v>24</v>
      </c>
      <c r="L1314" s="14">
        <f>IFERROR(VALUE(LEFT(tblMatriculas[[#This Row],[Clases]],FIND("/",tblMatriculas[[#This Row],[Clases]])-1)),"")</f>
        <v>2</v>
      </c>
      <c r="M1314" s="14">
        <f>IFERROR(VALUE(MID(tblMatriculas[[#This Row],[Clases]],FIND("/",tblMatriculas[[#This Row],[Clases]])+1,5)),"")</f>
        <v>30</v>
      </c>
      <c r="N13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4" s="14">
        <f>IF(OR(tblMatriculas[[#This Row],[Estado]]&lt;&gt;"activa",tblMatriculas[[#This Row],[Clases dictadas]]=""),"",MAX(0,tblMatriculas[[#This Row],[Clases dictadas]]-tblMatriculas[[#This Row],[Asistidas]]))</f>
        <v>0</v>
      </c>
      <c r="P1314" s="1">
        <f>IF(OR(tblMatriculas[[#This Row],[Estado]]&lt;&gt;"activa",tblMatriculas[[#This Row],[Asistidas]]=""),"",tblMatriculas[[#This Row],[Asistencia]])</f>
        <v>6.7000000000000004E-2</v>
      </c>
      <c r="Q1314" t="b">
        <f>AND(tblMatriculas[[#This Row],[Estado]]="activa",ISNUMBER(tblMatriculas[[#This Row],[% asistencia]]),NOT(ISNUMBER(SEARCH(pPrueba,tblMatriculas[[#This Row],[Nombre]]))))</f>
        <v>1</v>
      </c>
      <c r="R13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4" s="23" t="str" cm="1">
        <f t="array" ref="S13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4" s="23" t="str" cm="1">
        <f t="array" ref="T13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4" s="14" t="str" cm="1">
        <f t="array" ref="U13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4" t="str" cm="1">
        <f t="array" ref="V13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4" t="str" cm="1">
        <f t="array" ref="W13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4" t="str">
        <f>IF(COUNTIFS('Base Estudiantes'!$C:$C,tblMatriculas[[#This Row],[Cédula]],'Base Estudiantes'!$I:$I,tblMatriculas[[#This Row],[Código]])&gt;0,"Sí","No")</f>
        <v>Sí</v>
      </c>
      <c r="Z1314" s="23" cm="1">
        <f t="array" ref="Z1314">_xlfn.XLOOKUP(tblMatriculas[[#This Row],[Cédula]]&amp;"|"&amp;tblMatriculas[[#This Row],[Código]],tblBase[Documento]&amp;"|"&amp;tblBase[Código grupo],tblBase[Fecha matrícula],"")</f>
        <v>46263</v>
      </c>
    </row>
    <row r="1315" spans="1:26" x14ac:dyDescent="0.2">
      <c r="A1315" t="s">
        <v>2772</v>
      </c>
      <c r="B1315" t="s">
        <v>2773</v>
      </c>
      <c r="C1315" t="s">
        <v>13</v>
      </c>
      <c r="D1315" t="s">
        <v>2696</v>
      </c>
      <c r="E1315" t="s">
        <v>2697</v>
      </c>
      <c r="F1315" t="s">
        <v>750</v>
      </c>
      <c r="G1315" s="1">
        <v>0</v>
      </c>
      <c r="H1315" t="s">
        <v>254</v>
      </c>
      <c r="I1315" t="s">
        <v>1580</v>
      </c>
      <c r="J1315" t="s">
        <v>2451</v>
      </c>
      <c r="K1315" t="s">
        <v>24</v>
      </c>
      <c r="L1315" s="14">
        <f>IFERROR(VALUE(LEFT(tblMatriculas[[#This Row],[Clases]],FIND("/",tblMatriculas[[#This Row],[Clases]])-1)),"")</f>
        <v>0</v>
      </c>
      <c r="M1315" s="14">
        <f>IFERROR(VALUE(MID(tblMatriculas[[#This Row],[Clases]],FIND("/",tblMatriculas[[#This Row],[Clases]])+1,5)),"")</f>
        <v>30</v>
      </c>
      <c r="N13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5" s="14">
        <f>IF(OR(tblMatriculas[[#This Row],[Estado]]&lt;&gt;"activa",tblMatriculas[[#This Row],[Clases dictadas]]=""),"",MAX(0,tblMatriculas[[#This Row],[Clases dictadas]]-tblMatriculas[[#This Row],[Asistidas]]))</f>
        <v>2</v>
      </c>
      <c r="P1315" s="1">
        <f>IF(OR(tblMatriculas[[#This Row],[Estado]]&lt;&gt;"activa",tblMatriculas[[#This Row],[Asistidas]]=""),"",tblMatriculas[[#This Row],[Asistencia]])</f>
        <v>0</v>
      </c>
      <c r="Q1315" t="b">
        <f>AND(tblMatriculas[[#This Row],[Estado]]="activa",ISNUMBER(tblMatriculas[[#This Row],[% asistencia]]),NOT(ISNUMBER(SEARCH(pPrueba,tblMatriculas[[#This Row],[Nombre]]))))</f>
        <v>1</v>
      </c>
      <c r="R13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15" s="23" t="str" cm="1">
        <f t="array" ref="S13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5" s="23" t="str" cm="1">
        <f t="array" ref="T13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5" s="14" t="str" cm="1">
        <f t="array" ref="U13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5" t="str" cm="1">
        <f t="array" ref="V13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5" t="str" cm="1">
        <f t="array" ref="W13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1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15" t="str">
        <f>IF(COUNTIFS('Base Estudiantes'!$C:$C,tblMatriculas[[#This Row],[Cédula]],'Base Estudiantes'!$I:$I,tblMatriculas[[#This Row],[Código]])&gt;0,"Sí","No")</f>
        <v>Sí</v>
      </c>
      <c r="Z1315" s="23" cm="1">
        <f t="array" ref="Z1315">_xlfn.XLOOKUP(tblMatriculas[[#This Row],[Cédula]]&amp;"|"&amp;tblMatriculas[[#This Row],[Código]],tblBase[Documento]&amp;"|"&amp;tblBase[Código grupo],tblBase[Fecha matrícula],"")</f>
        <v>46263</v>
      </c>
    </row>
    <row r="1316" spans="1:26" x14ac:dyDescent="0.2">
      <c r="A1316" t="s">
        <v>2774</v>
      </c>
      <c r="B1316" t="s">
        <v>2775</v>
      </c>
      <c r="C1316" t="s">
        <v>13</v>
      </c>
      <c r="D1316" t="s">
        <v>2696</v>
      </c>
      <c r="E1316" t="s">
        <v>2697</v>
      </c>
      <c r="F1316" t="s">
        <v>750</v>
      </c>
      <c r="G1316" s="1">
        <v>6.7000000000000004E-2</v>
      </c>
      <c r="H1316" t="s">
        <v>166</v>
      </c>
      <c r="I1316" t="s">
        <v>1580</v>
      </c>
      <c r="J1316" t="s">
        <v>2451</v>
      </c>
      <c r="K1316" t="s">
        <v>24</v>
      </c>
      <c r="L1316" s="14">
        <f>IFERROR(VALUE(LEFT(tblMatriculas[[#This Row],[Clases]],FIND("/",tblMatriculas[[#This Row],[Clases]])-1)),"")</f>
        <v>2</v>
      </c>
      <c r="M1316" s="14">
        <f>IFERROR(VALUE(MID(tblMatriculas[[#This Row],[Clases]],FIND("/",tblMatriculas[[#This Row],[Clases]])+1,5)),"")</f>
        <v>30</v>
      </c>
      <c r="N13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6" s="14">
        <f>IF(OR(tblMatriculas[[#This Row],[Estado]]&lt;&gt;"activa",tblMatriculas[[#This Row],[Clases dictadas]]=""),"",MAX(0,tblMatriculas[[#This Row],[Clases dictadas]]-tblMatriculas[[#This Row],[Asistidas]]))</f>
        <v>0</v>
      </c>
      <c r="P1316" s="1">
        <f>IF(OR(tblMatriculas[[#This Row],[Estado]]&lt;&gt;"activa",tblMatriculas[[#This Row],[Asistidas]]=""),"",tblMatriculas[[#This Row],[Asistencia]])</f>
        <v>6.7000000000000004E-2</v>
      </c>
      <c r="Q1316" t="b">
        <f>AND(tblMatriculas[[#This Row],[Estado]]="activa",ISNUMBER(tblMatriculas[[#This Row],[% asistencia]]),NOT(ISNUMBER(SEARCH(pPrueba,tblMatriculas[[#This Row],[Nombre]]))))</f>
        <v>1</v>
      </c>
      <c r="R13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6" s="23" t="str" cm="1">
        <f t="array" ref="S13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6" s="23" t="str" cm="1">
        <f t="array" ref="T13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6" s="14" t="str" cm="1">
        <f t="array" ref="U13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6" t="str" cm="1">
        <f t="array" ref="V13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6" t="str" cm="1">
        <f t="array" ref="W13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6" t="str">
        <f>IF(COUNTIFS('Base Estudiantes'!$C:$C,tblMatriculas[[#This Row],[Cédula]],'Base Estudiantes'!$I:$I,tblMatriculas[[#This Row],[Código]])&gt;0,"Sí","No")</f>
        <v>Sí</v>
      </c>
      <c r="Z1316" s="23" cm="1">
        <f t="array" ref="Z1316">_xlfn.XLOOKUP(tblMatriculas[[#This Row],[Cédula]]&amp;"|"&amp;tblMatriculas[[#This Row],[Código]],tblBase[Documento]&amp;"|"&amp;tblBase[Código grupo],tblBase[Fecha matrícula],"")</f>
        <v>46263</v>
      </c>
    </row>
    <row r="1317" spans="1:26" x14ac:dyDescent="0.2">
      <c r="A1317" t="s">
        <v>2776</v>
      </c>
      <c r="B1317" t="s">
        <v>2777</v>
      </c>
      <c r="C1317" t="s">
        <v>13</v>
      </c>
      <c r="D1317" t="s">
        <v>2696</v>
      </c>
      <c r="E1317" t="s">
        <v>2697</v>
      </c>
      <c r="F1317" t="s">
        <v>750</v>
      </c>
      <c r="G1317" s="1">
        <v>6.7000000000000004E-2</v>
      </c>
      <c r="H1317" t="s">
        <v>166</v>
      </c>
      <c r="I1317" t="s">
        <v>1580</v>
      </c>
      <c r="J1317" t="s">
        <v>2451</v>
      </c>
      <c r="K1317" t="s">
        <v>24</v>
      </c>
      <c r="L1317" s="14">
        <f>IFERROR(VALUE(LEFT(tblMatriculas[[#This Row],[Clases]],FIND("/",tblMatriculas[[#This Row],[Clases]])-1)),"")</f>
        <v>2</v>
      </c>
      <c r="M1317" s="14">
        <f>IFERROR(VALUE(MID(tblMatriculas[[#This Row],[Clases]],FIND("/",tblMatriculas[[#This Row],[Clases]])+1,5)),"")</f>
        <v>30</v>
      </c>
      <c r="N13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7" s="14">
        <f>IF(OR(tblMatriculas[[#This Row],[Estado]]&lt;&gt;"activa",tblMatriculas[[#This Row],[Clases dictadas]]=""),"",MAX(0,tblMatriculas[[#This Row],[Clases dictadas]]-tblMatriculas[[#This Row],[Asistidas]]))</f>
        <v>0</v>
      </c>
      <c r="P1317" s="1">
        <f>IF(OR(tblMatriculas[[#This Row],[Estado]]&lt;&gt;"activa",tblMatriculas[[#This Row],[Asistidas]]=""),"",tblMatriculas[[#This Row],[Asistencia]])</f>
        <v>6.7000000000000004E-2</v>
      </c>
      <c r="Q1317" t="b">
        <f>AND(tblMatriculas[[#This Row],[Estado]]="activa",ISNUMBER(tblMatriculas[[#This Row],[% asistencia]]),NOT(ISNUMBER(SEARCH(pPrueba,tblMatriculas[[#This Row],[Nombre]]))))</f>
        <v>1</v>
      </c>
      <c r="R13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7" s="23" t="str" cm="1">
        <f t="array" ref="S13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7" s="23" t="str" cm="1">
        <f t="array" ref="T13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7" s="14" t="str" cm="1">
        <f t="array" ref="U13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7" t="str" cm="1">
        <f t="array" ref="V13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7" t="str" cm="1">
        <f t="array" ref="W13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7" t="str">
        <f>IF(COUNTIFS('Base Estudiantes'!$C:$C,tblMatriculas[[#This Row],[Cédula]],'Base Estudiantes'!$I:$I,tblMatriculas[[#This Row],[Código]])&gt;0,"Sí","No")</f>
        <v>Sí</v>
      </c>
      <c r="Z1317" s="23" cm="1">
        <f t="array" ref="Z1317">_xlfn.XLOOKUP(tblMatriculas[[#This Row],[Cédula]]&amp;"|"&amp;tblMatriculas[[#This Row],[Código]],tblBase[Documento]&amp;"|"&amp;tblBase[Código grupo],tblBase[Fecha matrícula],"")</f>
        <v>46263</v>
      </c>
    </row>
    <row r="1318" spans="1:26" x14ac:dyDescent="0.2">
      <c r="A1318" t="s">
        <v>2778</v>
      </c>
      <c r="B1318" t="s">
        <v>2779</v>
      </c>
      <c r="C1318" t="s">
        <v>13</v>
      </c>
      <c r="D1318" t="s">
        <v>2696</v>
      </c>
      <c r="E1318" t="s">
        <v>2697</v>
      </c>
      <c r="F1318" t="s">
        <v>750</v>
      </c>
      <c r="G1318" s="1">
        <v>6.7000000000000004E-2</v>
      </c>
      <c r="H1318" t="s">
        <v>166</v>
      </c>
      <c r="I1318" t="s">
        <v>1580</v>
      </c>
      <c r="J1318" t="s">
        <v>2451</v>
      </c>
      <c r="K1318" t="s">
        <v>24</v>
      </c>
      <c r="L1318" s="14">
        <f>IFERROR(VALUE(LEFT(tblMatriculas[[#This Row],[Clases]],FIND("/",tblMatriculas[[#This Row],[Clases]])-1)),"")</f>
        <v>2</v>
      </c>
      <c r="M1318" s="14">
        <f>IFERROR(VALUE(MID(tblMatriculas[[#This Row],[Clases]],FIND("/",tblMatriculas[[#This Row],[Clases]])+1,5)),"")</f>
        <v>30</v>
      </c>
      <c r="N13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8" s="14">
        <f>IF(OR(tblMatriculas[[#This Row],[Estado]]&lt;&gt;"activa",tblMatriculas[[#This Row],[Clases dictadas]]=""),"",MAX(0,tblMatriculas[[#This Row],[Clases dictadas]]-tblMatriculas[[#This Row],[Asistidas]]))</f>
        <v>0</v>
      </c>
      <c r="P1318" s="1">
        <f>IF(OR(tblMatriculas[[#This Row],[Estado]]&lt;&gt;"activa",tblMatriculas[[#This Row],[Asistidas]]=""),"",tblMatriculas[[#This Row],[Asistencia]])</f>
        <v>6.7000000000000004E-2</v>
      </c>
      <c r="Q1318" t="b">
        <f>AND(tblMatriculas[[#This Row],[Estado]]="activa",ISNUMBER(tblMatriculas[[#This Row],[% asistencia]]),NOT(ISNUMBER(SEARCH(pPrueba,tblMatriculas[[#This Row],[Nombre]]))))</f>
        <v>1</v>
      </c>
      <c r="R13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8" s="23" t="str" cm="1">
        <f t="array" ref="S13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8" s="23" t="str" cm="1">
        <f t="array" ref="T13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8" s="14" t="str" cm="1">
        <f t="array" ref="U13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8" t="str" cm="1">
        <f t="array" ref="V13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8" t="str" cm="1">
        <f t="array" ref="W13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8" t="str">
        <f>IF(COUNTIFS('Base Estudiantes'!$C:$C,tblMatriculas[[#This Row],[Cédula]],'Base Estudiantes'!$I:$I,tblMatriculas[[#This Row],[Código]])&gt;0,"Sí","No")</f>
        <v>Sí</v>
      </c>
      <c r="Z1318" s="23" cm="1">
        <f t="array" ref="Z1318">_xlfn.XLOOKUP(tblMatriculas[[#This Row],[Cédula]]&amp;"|"&amp;tblMatriculas[[#This Row],[Código]],tblBase[Documento]&amp;"|"&amp;tblBase[Código grupo],tblBase[Fecha matrícula],"")</f>
        <v>46263</v>
      </c>
    </row>
    <row r="1319" spans="1:26" x14ac:dyDescent="0.2">
      <c r="A1319" t="s">
        <v>2780</v>
      </c>
      <c r="B1319" t="s">
        <v>2781</v>
      </c>
      <c r="C1319" t="s">
        <v>13</v>
      </c>
      <c r="D1319" t="s">
        <v>2696</v>
      </c>
      <c r="E1319" t="s">
        <v>2697</v>
      </c>
      <c r="F1319" t="s">
        <v>750</v>
      </c>
      <c r="G1319" s="1">
        <v>6.7000000000000004E-2</v>
      </c>
      <c r="H1319" t="s">
        <v>166</v>
      </c>
      <c r="I1319" t="s">
        <v>1580</v>
      </c>
      <c r="J1319" t="s">
        <v>2451</v>
      </c>
      <c r="K1319" t="s">
        <v>24</v>
      </c>
      <c r="L1319" s="14">
        <f>IFERROR(VALUE(LEFT(tblMatriculas[[#This Row],[Clases]],FIND("/",tblMatriculas[[#This Row],[Clases]])-1)),"")</f>
        <v>2</v>
      </c>
      <c r="M1319" s="14">
        <f>IFERROR(VALUE(MID(tblMatriculas[[#This Row],[Clases]],FIND("/",tblMatriculas[[#This Row],[Clases]])+1,5)),"")</f>
        <v>30</v>
      </c>
      <c r="N13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19" s="14">
        <f>IF(OR(tblMatriculas[[#This Row],[Estado]]&lt;&gt;"activa",tblMatriculas[[#This Row],[Clases dictadas]]=""),"",MAX(0,tblMatriculas[[#This Row],[Clases dictadas]]-tblMatriculas[[#This Row],[Asistidas]]))</f>
        <v>0</v>
      </c>
      <c r="P1319" s="1">
        <f>IF(OR(tblMatriculas[[#This Row],[Estado]]&lt;&gt;"activa",tblMatriculas[[#This Row],[Asistidas]]=""),"",tblMatriculas[[#This Row],[Asistencia]])</f>
        <v>6.7000000000000004E-2</v>
      </c>
      <c r="Q1319" t="b">
        <f>AND(tblMatriculas[[#This Row],[Estado]]="activa",ISNUMBER(tblMatriculas[[#This Row],[% asistencia]]),NOT(ISNUMBER(SEARCH(pPrueba,tblMatriculas[[#This Row],[Nombre]]))))</f>
        <v>1</v>
      </c>
      <c r="R13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19" s="23" t="str" cm="1">
        <f t="array" ref="S13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19" s="23" t="str" cm="1">
        <f t="array" ref="T13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19" s="14" t="str" cm="1">
        <f t="array" ref="U13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19" t="str" cm="1">
        <f t="array" ref="V13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19" t="str" cm="1">
        <f t="array" ref="W13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19" t="str">
        <f>IF(COUNTIFS('Base Estudiantes'!$C:$C,tblMatriculas[[#This Row],[Cédula]],'Base Estudiantes'!$I:$I,tblMatriculas[[#This Row],[Código]])&gt;0,"Sí","No")</f>
        <v>Sí</v>
      </c>
      <c r="Z1319" s="23" cm="1">
        <f t="array" ref="Z1319">_xlfn.XLOOKUP(tblMatriculas[[#This Row],[Cédula]]&amp;"|"&amp;tblMatriculas[[#This Row],[Código]],tblBase[Documento]&amp;"|"&amp;tblBase[Código grupo],tblBase[Fecha matrícula],"")</f>
        <v>46263</v>
      </c>
    </row>
    <row r="1320" spans="1:26" x14ac:dyDescent="0.2">
      <c r="A1320" t="s">
        <v>2782</v>
      </c>
      <c r="B1320" t="s">
        <v>2783</v>
      </c>
      <c r="C1320" t="s">
        <v>13</v>
      </c>
      <c r="D1320" t="s">
        <v>2696</v>
      </c>
      <c r="E1320" t="s">
        <v>2697</v>
      </c>
      <c r="F1320" t="s">
        <v>750</v>
      </c>
      <c r="G1320" s="1">
        <v>6.7000000000000004E-2</v>
      </c>
      <c r="H1320" t="s">
        <v>166</v>
      </c>
      <c r="I1320" t="s">
        <v>1580</v>
      </c>
      <c r="J1320" t="s">
        <v>2451</v>
      </c>
      <c r="K1320" t="s">
        <v>24</v>
      </c>
      <c r="L1320" s="14">
        <f>IFERROR(VALUE(LEFT(tblMatriculas[[#This Row],[Clases]],FIND("/",tblMatriculas[[#This Row],[Clases]])-1)),"")</f>
        <v>2</v>
      </c>
      <c r="M1320" s="14">
        <f>IFERROR(VALUE(MID(tblMatriculas[[#This Row],[Clases]],FIND("/",tblMatriculas[[#This Row],[Clases]])+1,5)),"")</f>
        <v>30</v>
      </c>
      <c r="N13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20" s="14">
        <f>IF(OR(tblMatriculas[[#This Row],[Estado]]&lt;&gt;"activa",tblMatriculas[[#This Row],[Clases dictadas]]=""),"",MAX(0,tblMatriculas[[#This Row],[Clases dictadas]]-tblMatriculas[[#This Row],[Asistidas]]))</f>
        <v>0</v>
      </c>
      <c r="P1320" s="1">
        <f>IF(OR(tblMatriculas[[#This Row],[Estado]]&lt;&gt;"activa",tblMatriculas[[#This Row],[Asistidas]]=""),"",tblMatriculas[[#This Row],[Asistencia]])</f>
        <v>6.7000000000000004E-2</v>
      </c>
      <c r="Q1320" t="b">
        <f>AND(tblMatriculas[[#This Row],[Estado]]="activa",ISNUMBER(tblMatriculas[[#This Row],[% asistencia]]),NOT(ISNUMBER(SEARCH(pPrueba,tblMatriculas[[#This Row],[Nombre]]))))</f>
        <v>1</v>
      </c>
      <c r="R13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20" s="23" t="str" cm="1">
        <f t="array" ref="S13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0" s="23" t="str" cm="1">
        <f t="array" ref="T13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0" s="14" t="str" cm="1">
        <f t="array" ref="U13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0" t="str" cm="1">
        <f t="array" ref="V13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0" t="str" cm="1">
        <f t="array" ref="W13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20" t="str">
        <f>IF(COUNTIFS('Base Estudiantes'!$C:$C,tblMatriculas[[#This Row],[Cédula]],'Base Estudiantes'!$I:$I,tblMatriculas[[#This Row],[Código]])&gt;0,"Sí","No")</f>
        <v>Sí</v>
      </c>
      <c r="Z1320" s="23" cm="1">
        <f t="array" ref="Z1320">_xlfn.XLOOKUP(tblMatriculas[[#This Row],[Cédula]]&amp;"|"&amp;tblMatriculas[[#This Row],[Código]],tblBase[Documento]&amp;"|"&amp;tblBase[Código grupo],tblBase[Fecha matrícula],"")</f>
        <v>46263</v>
      </c>
    </row>
    <row r="1321" spans="1:26" x14ac:dyDescent="0.2">
      <c r="A1321" t="s">
        <v>2784</v>
      </c>
      <c r="B1321" t="s">
        <v>2785</v>
      </c>
      <c r="C1321" t="s">
        <v>13</v>
      </c>
      <c r="D1321" t="s">
        <v>2696</v>
      </c>
      <c r="E1321" t="s">
        <v>2697</v>
      </c>
      <c r="F1321" t="s">
        <v>750</v>
      </c>
      <c r="G1321" s="1">
        <v>6.7000000000000004E-2</v>
      </c>
      <c r="H1321" t="s">
        <v>2072</v>
      </c>
      <c r="I1321" t="s">
        <v>1580</v>
      </c>
      <c r="J1321" t="s">
        <v>2451</v>
      </c>
      <c r="K1321" t="s">
        <v>1778</v>
      </c>
      <c r="L1321" s="14">
        <f>IFERROR(VALUE(LEFT(tblMatriculas[[#This Row],[Clases]],FIND("/",tblMatriculas[[#This Row],[Clases]])-1)),"")</f>
        <v>4</v>
      </c>
      <c r="M1321" s="14">
        <f>IFERROR(VALUE(MID(tblMatriculas[[#This Row],[Clases]],FIND("/",tblMatriculas[[#This Row],[Clases]])+1,5)),"")</f>
        <v>60</v>
      </c>
      <c r="N13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7</v>
      </c>
      <c r="O1321" s="14">
        <f>IF(OR(tblMatriculas[[#This Row],[Estado]]&lt;&gt;"activa",tblMatriculas[[#This Row],[Clases dictadas]]=""),"",MAX(0,tblMatriculas[[#This Row],[Clases dictadas]]-tblMatriculas[[#This Row],[Asistidas]]))</f>
        <v>3</v>
      </c>
      <c r="P1321" s="1">
        <f>IF(OR(tblMatriculas[[#This Row],[Estado]]&lt;&gt;"activa",tblMatriculas[[#This Row],[Asistidas]]=""),"",tblMatriculas[[#This Row],[Asistencia]])</f>
        <v>6.7000000000000004E-2</v>
      </c>
      <c r="Q1321" t="b">
        <f>AND(tblMatriculas[[#This Row],[Estado]]="activa",ISNUMBER(tblMatriculas[[#This Row],[% asistencia]]),NOT(ISNUMBER(SEARCH(pPrueba,tblMatriculas[[#This Row],[Nombre]]))))</f>
        <v>1</v>
      </c>
      <c r="R13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21" s="23" t="str" cm="1">
        <f t="array" ref="S13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1" s="23" t="str" cm="1">
        <f t="array" ref="T13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1" s="14" t="str" cm="1">
        <f t="array" ref="U13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1" t="str" cm="1">
        <f t="array" ref="V13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1" t="str" cm="1">
        <f t="array" ref="W13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21" t="str">
        <f>IF(COUNTIFS('Base Estudiantes'!$C:$C,tblMatriculas[[#This Row],[Cédula]],'Base Estudiantes'!$I:$I,tblMatriculas[[#This Row],[Código]])&gt;0,"Sí","No")</f>
        <v>Sí</v>
      </c>
      <c r="Z1321" s="23" cm="1">
        <f t="array" ref="Z1321">_xlfn.XLOOKUP(tblMatriculas[[#This Row],[Cédula]]&amp;"|"&amp;tblMatriculas[[#This Row],[Código]],tblBase[Documento]&amp;"|"&amp;tblBase[Código grupo],tblBase[Fecha matrícula],"")</f>
        <v>46263</v>
      </c>
    </row>
    <row r="1322" spans="1:26" x14ac:dyDescent="0.2">
      <c r="A1322" t="s">
        <v>2786</v>
      </c>
      <c r="B1322" t="s">
        <v>2787</v>
      </c>
      <c r="C1322" t="s">
        <v>13</v>
      </c>
      <c r="D1322" t="s">
        <v>2696</v>
      </c>
      <c r="E1322" t="s">
        <v>2697</v>
      </c>
      <c r="F1322" t="s">
        <v>750</v>
      </c>
      <c r="G1322" s="1">
        <v>6.7000000000000004E-2</v>
      </c>
      <c r="H1322" t="s">
        <v>2072</v>
      </c>
      <c r="I1322" t="s">
        <v>1580</v>
      </c>
      <c r="J1322" t="s">
        <v>2451</v>
      </c>
      <c r="K1322" t="s">
        <v>1781</v>
      </c>
      <c r="L1322" s="14">
        <f>IFERROR(VALUE(LEFT(tblMatriculas[[#This Row],[Clases]],FIND("/",tblMatriculas[[#This Row],[Clases]])-1)),"")</f>
        <v>4</v>
      </c>
      <c r="M1322" s="14">
        <f>IFERROR(VALUE(MID(tblMatriculas[[#This Row],[Clases]],FIND("/",tblMatriculas[[#This Row],[Clases]])+1,5)),"")</f>
        <v>60</v>
      </c>
      <c r="N13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322" s="14">
        <f>IF(OR(tblMatriculas[[#This Row],[Estado]]&lt;&gt;"activa",tblMatriculas[[#This Row],[Clases dictadas]]=""),"",MAX(0,tblMatriculas[[#This Row],[Clases dictadas]]-tblMatriculas[[#This Row],[Asistidas]]))</f>
        <v>4</v>
      </c>
      <c r="P1322" s="1">
        <f>IF(OR(tblMatriculas[[#This Row],[Estado]]&lt;&gt;"activa",tblMatriculas[[#This Row],[Asistidas]]=""),"",tblMatriculas[[#This Row],[Asistencia]])</f>
        <v>6.7000000000000004E-2</v>
      </c>
      <c r="Q1322" t="b">
        <f>AND(tblMatriculas[[#This Row],[Estado]]="activa",ISNUMBER(tblMatriculas[[#This Row],[% asistencia]]),NOT(ISNUMBER(SEARCH(pPrueba,tblMatriculas[[#This Row],[Nombre]]))))</f>
        <v>1</v>
      </c>
      <c r="R13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22" s="23" t="str" cm="1">
        <f t="array" ref="S13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2" s="23" t="str" cm="1">
        <f t="array" ref="T13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2" s="14" t="str" cm="1">
        <f t="array" ref="U13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2" t="str" cm="1">
        <f t="array" ref="V13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2" t="str" cm="1">
        <f t="array" ref="W13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22" t="str">
        <f>IF(COUNTIFS('Base Estudiantes'!$C:$C,tblMatriculas[[#This Row],[Cédula]],'Base Estudiantes'!$I:$I,tblMatriculas[[#This Row],[Código]])&gt;0,"Sí","No")</f>
        <v>Sí</v>
      </c>
      <c r="Z1322" s="23" cm="1">
        <f t="array" ref="Z1322">_xlfn.XLOOKUP(tblMatriculas[[#This Row],[Cédula]]&amp;"|"&amp;tblMatriculas[[#This Row],[Código]],tblBase[Documento]&amp;"|"&amp;tblBase[Código grupo],tblBase[Fecha matrícula],"")</f>
        <v>46263</v>
      </c>
    </row>
    <row r="1323" spans="1:26" x14ac:dyDescent="0.2">
      <c r="A1323" t="s">
        <v>2788</v>
      </c>
      <c r="B1323" t="s">
        <v>2789</v>
      </c>
      <c r="C1323" t="s">
        <v>13</v>
      </c>
      <c r="D1323" t="s">
        <v>2696</v>
      </c>
      <c r="E1323" t="s">
        <v>2697</v>
      </c>
      <c r="F1323" t="s">
        <v>750</v>
      </c>
      <c r="G1323" s="1">
        <v>6.7000000000000004E-2</v>
      </c>
      <c r="H1323" t="s">
        <v>166</v>
      </c>
      <c r="I1323" t="s">
        <v>1580</v>
      </c>
      <c r="J1323" t="s">
        <v>2451</v>
      </c>
      <c r="K1323" t="s">
        <v>1999</v>
      </c>
      <c r="L1323" s="14">
        <f>IFERROR(VALUE(LEFT(tblMatriculas[[#This Row],[Clases]],FIND("/",tblMatriculas[[#This Row],[Clases]])-1)),"")</f>
        <v>2</v>
      </c>
      <c r="M1323" s="14">
        <f>IFERROR(VALUE(MID(tblMatriculas[[#This Row],[Clases]],FIND("/",tblMatriculas[[#This Row],[Clases]])+1,5)),"")</f>
        <v>30</v>
      </c>
      <c r="N13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23" s="14">
        <f>IF(OR(tblMatriculas[[#This Row],[Estado]]&lt;&gt;"activa",tblMatriculas[[#This Row],[Clases dictadas]]=""),"",MAX(0,tblMatriculas[[#This Row],[Clases dictadas]]-tblMatriculas[[#This Row],[Asistidas]]))</f>
        <v>0</v>
      </c>
      <c r="P1323" s="1">
        <f>IF(OR(tblMatriculas[[#This Row],[Estado]]&lt;&gt;"activa",tblMatriculas[[#This Row],[Asistidas]]=""),"",tblMatriculas[[#This Row],[Asistencia]])</f>
        <v>6.7000000000000004E-2</v>
      </c>
      <c r="Q1323" t="b">
        <f>AND(tblMatriculas[[#This Row],[Estado]]="activa",ISNUMBER(tblMatriculas[[#This Row],[% asistencia]]),NOT(ISNUMBER(SEARCH(pPrueba,tblMatriculas[[#This Row],[Nombre]]))))</f>
        <v>1</v>
      </c>
      <c r="R13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23" s="23" t="str" cm="1">
        <f t="array" ref="S13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3" s="23" t="str" cm="1">
        <f t="array" ref="T13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3" s="14" t="str" cm="1">
        <f t="array" ref="U13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3" t="str" cm="1">
        <f t="array" ref="V13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3" t="str" cm="1">
        <f t="array" ref="W13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23" t="str">
        <f>IF(COUNTIFS('Base Estudiantes'!$C:$C,tblMatriculas[[#This Row],[Cédula]],'Base Estudiantes'!$I:$I,tblMatriculas[[#This Row],[Código]])&gt;0,"Sí","No")</f>
        <v>Sí</v>
      </c>
      <c r="Z1323" s="23" cm="1">
        <f t="array" ref="Z1323">_xlfn.XLOOKUP(tblMatriculas[[#This Row],[Cédula]]&amp;"|"&amp;tblMatriculas[[#This Row],[Código]],tblBase[Documento]&amp;"|"&amp;tblBase[Código grupo],tblBase[Fecha matrícula],"")</f>
        <v>46263</v>
      </c>
    </row>
    <row r="1324" spans="1:26" x14ac:dyDescent="0.2">
      <c r="A1324" t="s">
        <v>2790</v>
      </c>
      <c r="B1324" t="s">
        <v>2791</v>
      </c>
      <c r="C1324" t="s">
        <v>13</v>
      </c>
      <c r="D1324" t="s">
        <v>2792</v>
      </c>
      <c r="E1324" t="s">
        <v>2793</v>
      </c>
      <c r="F1324" t="s">
        <v>516</v>
      </c>
      <c r="G1324" s="1">
        <v>0.13300000000000001</v>
      </c>
      <c r="H1324" t="s">
        <v>112</v>
      </c>
      <c r="I1324" t="s">
        <v>1580</v>
      </c>
      <c r="J1324" t="s">
        <v>2451</v>
      </c>
      <c r="K1324" t="s">
        <v>2455</v>
      </c>
      <c r="L1324" s="14">
        <f>IFERROR(VALUE(LEFT(tblMatriculas[[#This Row],[Clases]],FIND("/",tblMatriculas[[#This Row],[Clases]])-1)),"")</f>
        <v>4</v>
      </c>
      <c r="M1324" s="14">
        <f>IFERROR(VALUE(MID(tblMatriculas[[#This Row],[Clases]],FIND("/",tblMatriculas[[#This Row],[Clases]])+1,5)),"")</f>
        <v>30</v>
      </c>
      <c r="N13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4" s="14">
        <f>IF(OR(tblMatriculas[[#This Row],[Estado]]&lt;&gt;"activa",tblMatriculas[[#This Row],[Clases dictadas]]=""),"",MAX(0,tblMatriculas[[#This Row],[Clases dictadas]]-tblMatriculas[[#This Row],[Asistidas]]))</f>
        <v>0</v>
      </c>
      <c r="P1324" s="1">
        <f>IF(OR(tblMatriculas[[#This Row],[Estado]]&lt;&gt;"activa",tblMatriculas[[#This Row],[Asistidas]]=""),"",tblMatriculas[[#This Row],[Asistencia]])</f>
        <v>0.13300000000000001</v>
      </c>
      <c r="Q1324" t="b">
        <f>AND(tblMatriculas[[#This Row],[Estado]]="activa",ISNUMBER(tblMatriculas[[#This Row],[% asistencia]]),NOT(ISNUMBER(SEARCH(pPrueba,tblMatriculas[[#This Row],[Nombre]]))))</f>
        <v>1</v>
      </c>
      <c r="R13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4" s="23" t="str" cm="1">
        <f t="array" ref="S13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4" s="23" t="str" cm="1">
        <f t="array" ref="T13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4" s="14" t="str" cm="1">
        <f t="array" ref="U13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4" t="str" cm="1">
        <f t="array" ref="V13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4" t="str" cm="1">
        <f t="array" ref="W13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4" t="str">
        <f>IF(COUNTIFS('Base Estudiantes'!$C:$C,tblMatriculas[[#This Row],[Cédula]],'Base Estudiantes'!$I:$I,tblMatriculas[[#This Row],[Código]])&gt;0,"Sí","No")</f>
        <v>Sí</v>
      </c>
      <c r="Z1324" s="23" cm="1">
        <f t="array" ref="Z1324">_xlfn.XLOOKUP(tblMatriculas[[#This Row],[Cédula]]&amp;"|"&amp;tblMatriculas[[#This Row],[Código]],tblBase[Documento]&amp;"|"&amp;tblBase[Código grupo],tblBase[Fecha matrícula],"")</f>
        <v>46263</v>
      </c>
    </row>
    <row r="1325" spans="1:26" x14ac:dyDescent="0.2">
      <c r="A1325" t="s">
        <v>2794</v>
      </c>
      <c r="B1325" t="s">
        <v>2795</v>
      </c>
      <c r="C1325" t="s">
        <v>13</v>
      </c>
      <c r="D1325" t="s">
        <v>2792</v>
      </c>
      <c r="E1325" t="s">
        <v>2793</v>
      </c>
      <c r="F1325" t="s">
        <v>516</v>
      </c>
      <c r="G1325" s="1">
        <v>0.13300000000000001</v>
      </c>
      <c r="H1325" t="s">
        <v>112</v>
      </c>
      <c r="I1325" t="s">
        <v>1580</v>
      </c>
      <c r="J1325" t="s">
        <v>2451</v>
      </c>
      <c r="K1325" t="s">
        <v>24</v>
      </c>
      <c r="L1325" s="14">
        <f>IFERROR(VALUE(LEFT(tblMatriculas[[#This Row],[Clases]],FIND("/",tblMatriculas[[#This Row],[Clases]])-1)),"")</f>
        <v>4</v>
      </c>
      <c r="M1325" s="14">
        <f>IFERROR(VALUE(MID(tblMatriculas[[#This Row],[Clases]],FIND("/",tblMatriculas[[#This Row],[Clases]])+1,5)),"")</f>
        <v>30</v>
      </c>
      <c r="N13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5" s="14">
        <f>IF(OR(tblMatriculas[[#This Row],[Estado]]&lt;&gt;"activa",tblMatriculas[[#This Row],[Clases dictadas]]=""),"",MAX(0,tblMatriculas[[#This Row],[Clases dictadas]]-tblMatriculas[[#This Row],[Asistidas]]))</f>
        <v>0</v>
      </c>
      <c r="P1325" s="1">
        <f>IF(OR(tblMatriculas[[#This Row],[Estado]]&lt;&gt;"activa",tblMatriculas[[#This Row],[Asistidas]]=""),"",tblMatriculas[[#This Row],[Asistencia]])</f>
        <v>0.13300000000000001</v>
      </c>
      <c r="Q1325" t="b">
        <f>AND(tblMatriculas[[#This Row],[Estado]]="activa",ISNUMBER(tblMatriculas[[#This Row],[% asistencia]]),NOT(ISNUMBER(SEARCH(pPrueba,tblMatriculas[[#This Row],[Nombre]]))))</f>
        <v>1</v>
      </c>
      <c r="R13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5" s="23" t="str" cm="1">
        <f t="array" ref="S13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5" s="23" t="str" cm="1">
        <f t="array" ref="T13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5" s="14" t="str" cm="1">
        <f t="array" ref="U13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5" t="str" cm="1">
        <f t="array" ref="V13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5" t="str" cm="1">
        <f t="array" ref="W13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5" t="str">
        <f>IF(COUNTIFS('Base Estudiantes'!$C:$C,tblMatriculas[[#This Row],[Cédula]],'Base Estudiantes'!$I:$I,tblMatriculas[[#This Row],[Código]])&gt;0,"Sí","No")</f>
        <v>Sí</v>
      </c>
      <c r="Z1325" s="23" cm="1">
        <f t="array" ref="Z1325">_xlfn.XLOOKUP(tblMatriculas[[#This Row],[Cédula]]&amp;"|"&amp;tblMatriculas[[#This Row],[Código]],tblBase[Documento]&amp;"|"&amp;tblBase[Código grupo],tblBase[Fecha matrícula],"")</f>
        <v>46263</v>
      </c>
    </row>
    <row r="1326" spans="1:26" x14ac:dyDescent="0.2">
      <c r="A1326" t="s">
        <v>2796</v>
      </c>
      <c r="B1326" t="s">
        <v>2797</v>
      </c>
      <c r="C1326" t="s">
        <v>13</v>
      </c>
      <c r="D1326" t="s">
        <v>2792</v>
      </c>
      <c r="E1326" t="s">
        <v>2793</v>
      </c>
      <c r="F1326" t="s">
        <v>516</v>
      </c>
      <c r="G1326" s="1">
        <v>0.13300000000000001</v>
      </c>
      <c r="H1326" t="s">
        <v>112</v>
      </c>
      <c r="I1326" t="s">
        <v>1580</v>
      </c>
      <c r="J1326" t="s">
        <v>2451</v>
      </c>
      <c r="K1326" t="s">
        <v>24</v>
      </c>
      <c r="L1326" s="14">
        <f>IFERROR(VALUE(LEFT(tblMatriculas[[#This Row],[Clases]],FIND("/",tblMatriculas[[#This Row],[Clases]])-1)),"")</f>
        <v>4</v>
      </c>
      <c r="M1326" s="14">
        <f>IFERROR(VALUE(MID(tblMatriculas[[#This Row],[Clases]],FIND("/",tblMatriculas[[#This Row],[Clases]])+1,5)),"")</f>
        <v>30</v>
      </c>
      <c r="N13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6" s="14">
        <f>IF(OR(tblMatriculas[[#This Row],[Estado]]&lt;&gt;"activa",tblMatriculas[[#This Row],[Clases dictadas]]=""),"",MAX(0,tblMatriculas[[#This Row],[Clases dictadas]]-tblMatriculas[[#This Row],[Asistidas]]))</f>
        <v>0</v>
      </c>
      <c r="P1326" s="1">
        <f>IF(OR(tblMatriculas[[#This Row],[Estado]]&lt;&gt;"activa",tblMatriculas[[#This Row],[Asistidas]]=""),"",tblMatriculas[[#This Row],[Asistencia]])</f>
        <v>0.13300000000000001</v>
      </c>
      <c r="Q1326" t="b">
        <f>AND(tblMatriculas[[#This Row],[Estado]]="activa",ISNUMBER(tblMatriculas[[#This Row],[% asistencia]]),NOT(ISNUMBER(SEARCH(pPrueba,tblMatriculas[[#This Row],[Nombre]]))))</f>
        <v>1</v>
      </c>
      <c r="R13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6" s="23" t="str" cm="1">
        <f t="array" ref="S13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6" s="23" t="str" cm="1">
        <f t="array" ref="T13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6" s="14" t="str" cm="1">
        <f t="array" ref="U13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6" t="str" cm="1">
        <f t="array" ref="V13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6" t="str" cm="1">
        <f t="array" ref="W13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6" t="str">
        <f>IF(COUNTIFS('Base Estudiantes'!$C:$C,tblMatriculas[[#This Row],[Cédula]],'Base Estudiantes'!$I:$I,tblMatriculas[[#This Row],[Código]])&gt;0,"Sí","No")</f>
        <v>Sí</v>
      </c>
      <c r="Z1326" s="23" cm="1">
        <f t="array" ref="Z1326">_xlfn.XLOOKUP(tblMatriculas[[#This Row],[Cédula]]&amp;"|"&amp;tblMatriculas[[#This Row],[Código]],tblBase[Documento]&amp;"|"&amp;tblBase[Código grupo],tblBase[Fecha matrícula],"")</f>
        <v>46263</v>
      </c>
    </row>
    <row r="1327" spans="1:26" x14ac:dyDescent="0.2">
      <c r="A1327" t="s">
        <v>2798</v>
      </c>
      <c r="B1327" t="s">
        <v>2799</v>
      </c>
      <c r="C1327" t="s">
        <v>13</v>
      </c>
      <c r="D1327" t="s">
        <v>2792</v>
      </c>
      <c r="E1327" t="s">
        <v>2793</v>
      </c>
      <c r="F1327" t="s">
        <v>516</v>
      </c>
      <c r="G1327" s="1">
        <v>0.13300000000000001</v>
      </c>
      <c r="H1327" t="s">
        <v>112</v>
      </c>
      <c r="I1327" t="s">
        <v>1580</v>
      </c>
      <c r="J1327" t="s">
        <v>2451</v>
      </c>
      <c r="K1327" t="s">
        <v>24</v>
      </c>
      <c r="L1327" s="14">
        <f>IFERROR(VALUE(LEFT(tblMatriculas[[#This Row],[Clases]],FIND("/",tblMatriculas[[#This Row],[Clases]])-1)),"")</f>
        <v>4</v>
      </c>
      <c r="M1327" s="14">
        <f>IFERROR(VALUE(MID(tblMatriculas[[#This Row],[Clases]],FIND("/",tblMatriculas[[#This Row],[Clases]])+1,5)),"")</f>
        <v>30</v>
      </c>
      <c r="N13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7" s="14">
        <f>IF(OR(tblMatriculas[[#This Row],[Estado]]&lt;&gt;"activa",tblMatriculas[[#This Row],[Clases dictadas]]=""),"",MAX(0,tblMatriculas[[#This Row],[Clases dictadas]]-tblMatriculas[[#This Row],[Asistidas]]))</f>
        <v>0</v>
      </c>
      <c r="P1327" s="1">
        <f>IF(OR(tblMatriculas[[#This Row],[Estado]]&lt;&gt;"activa",tblMatriculas[[#This Row],[Asistidas]]=""),"",tblMatriculas[[#This Row],[Asistencia]])</f>
        <v>0.13300000000000001</v>
      </c>
      <c r="Q1327" t="b">
        <f>AND(tblMatriculas[[#This Row],[Estado]]="activa",ISNUMBER(tblMatriculas[[#This Row],[% asistencia]]),NOT(ISNUMBER(SEARCH(pPrueba,tblMatriculas[[#This Row],[Nombre]]))))</f>
        <v>1</v>
      </c>
      <c r="R13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7" s="23" t="str" cm="1">
        <f t="array" ref="S13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7" s="23" t="str" cm="1">
        <f t="array" ref="T13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7" s="14" t="str" cm="1">
        <f t="array" ref="U13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7" t="str" cm="1">
        <f t="array" ref="V13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7" t="str" cm="1">
        <f t="array" ref="W13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7" t="str">
        <f>IF(COUNTIFS('Base Estudiantes'!$C:$C,tblMatriculas[[#This Row],[Cédula]],'Base Estudiantes'!$I:$I,tblMatriculas[[#This Row],[Código]])&gt;0,"Sí","No")</f>
        <v>Sí</v>
      </c>
      <c r="Z1327" s="23" cm="1">
        <f t="array" ref="Z1327">_xlfn.XLOOKUP(tblMatriculas[[#This Row],[Cédula]]&amp;"|"&amp;tblMatriculas[[#This Row],[Código]],tblBase[Documento]&amp;"|"&amp;tblBase[Código grupo],tblBase[Fecha matrícula],"")</f>
        <v>46263</v>
      </c>
    </row>
    <row r="1328" spans="1:26" x14ac:dyDescent="0.2">
      <c r="A1328" t="s">
        <v>2800</v>
      </c>
      <c r="B1328" t="s">
        <v>2801</v>
      </c>
      <c r="C1328" t="s">
        <v>13</v>
      </c>
      <c r="D1328" t="s">
        <v>2792</v>
      </c>
      <c r="E1328" t="s">
        <v>2793</v>
      </c>
      <c r="F1328" t="s">
        <v>516</v>
      </c>
      <c r="G1328" s="1">
        <v>0.13300000000000001</v>
      </c>
      <c r="H1328" t="s">
        <v>112</v>
      </c>
      <c r="I1328" t="s">
        <v>1580</v>
      </c>
      <c r="J1328" t="s">
        <v>2451</v>
      </c>
      <c r="K1328" t="s">
        <v>24</v>
      </c>
      <c r="L1328" s="14">
        <f>IFERROR(VALUE(LEFT(tblMatriculas[[#This Row],[Clases]],FIND("/",tblMatriculas[[#This Row],[Clases]])-1)),"")</f>
        <v>4</v>
      </c>
      <c r="M1328" s="14">
        <f>IFERROR(VALUE(MID(tblMatriculas[[#This Row],[Clases]],FIND("/",tblMatriculas[[#This Row],[Clases]])+1,5)),"")</f>
        <v>30</v>
      </c>
      <c r="N13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8" s="14">
        <f>IF(OR(tblMatriculas[[#This Row],[Estado]]&lt;&gt;"activa",tblMatriculas[[#This Row],[Clases dictadas]]=""),"",MAX(0,tblMatriculas[[#This Row],[Clases dictadas]]-tblMatriculas[[#This Row],[Asistidas]]))</f>
        <v>0</v>
      </c>
      <c r="P1328" s="1">
        <f>IF(OR(tblMatriculas[[#This Row],[Estado]]&lt;&gt;"activa",tblMatriculas[[#This Row],[Asistidas]]=""),"",tblMatriculas[[#This Row],[Asistencia]])</f>
        <v>0.13300000000000001</v>
      </c>
      <c r="Q1328" t="b">
        <f>AND(tblMatriculas[[#This Row],[Estado]]="activa",ISNUMBER(tblMatriculas[[#This Row],[% asistencia]]),NOT(ISNUMBER(SEARCH(pPrueba,tblMatriculas[[#This Row],[Nombre]]))))</f>
        <v>1</v>
      </c>
      <c r="R13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8" s="23" t="str" cm="1">
        <f t="array" ref="S13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8" s="23" t="str" cm="1">
        <f t="array" ref="T13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8" s="14" t="str" cm="1">
        <f t="array" ref="U13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8" t="str" cm="1">
        <f t="array" ref="V13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8" t="str" cm="1">
        <f t="array" ref="W13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8" t="str">
        <f>IF(COUNTIFS('Base Estudiantes'!$C:$C,tblMatriculas[[#This Row],[Cédula]],'Base Estudiantes'!$I:$I,tblMatriculas[[#This Row],[Código]])&gt;0,"Sí","No")</f>
        <v>Sí</v>
      </c>
      <c r="Z1328" s="23" cm="1">
        <f t="array" ref="Z1328">_xlfn.XLOOKUP(tblMatriculas[[#This Row],[Cédula]]&amp;"|"&amp;tblMatriculas[[#This Row],[Código]],tblBase[Documento]&amp;"|"&amp;tblBase[Código grupo],tblBase[Fecha matrícula],"")</f>
        <v>46263</v>
      </c>
    </row>
    <row r="1329" spans="1:26" x14ac:dyDescent="0.2">
      <c r="A1329" t="s">
        <v>2802</v>
      </c>
      <c r="B1329" t="s">
        <v>2803</v>
      </c>
      <c r="C1329" t="s">
        <v>13</v>
      </c>
      <c r="D1329" t="s">
        <v>2792</v>
      </c>
      <c r="E1329" t="s">
        <v>2793</v>
      </c>
      <c r="F1329" t="s">
        <v>516</v>
      </c>
      <c r="G1329" s="1">
        <v>0.13300000000000001</v>
      </c>
      <c r="H1329" t="s">
        <v>112</v>
      </c>
      <c r="I1329" t="s">
        <v>1580</v>
      </c>
      <c r="J1329" t="s">
        <v>2451</v>
      </c>
      <c r="K1329" t="s">
        <v>24</v>
      </c>
      <c r="L1329" s="14">
        <f>IFERROR(VALUE(LEFT(tblMatriculas[[#This Row],[Clases]],FIND("/",tblMatriculas[[#This Row],[Clases]])-1)),"")</f>
        <v>4</v>
      </c>
      <c r="M1329" s="14">
        <f>IFERROR(VALUE(MID(tblMatriculas[[#This Row],[Clases]],FIND("/",tblMatriculas[[#This Row],[Clases]])+1,5)),"")</f>
        <v>30</v>
      </c>
      <c r="N13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29" s="14">
        <f>IF(OR(tblMatriculas[[#This Row],[Estado]]&lt;&gt;"activa",tblMatriculas[[#This Row],[Clases dictadas]]=""),"",MAX(0,tblMatriculas[[#This Row],[Clases dictadas]]-tblMatriculas[[#This Row],[Asistidas]]))</f>
        <v>0</v>
      </c>
      <c r="P1329" s="1">
        <f>IF(OR(tblMatriculas[[#This Row],[Estado]]&lt;&gt;"activa",tblMatriculas[[#This Row],[Asistidas]]=""),"",tblMatriculas[[#This Row],[Asistencia]])</f>
        <v>0.13300000000000001</v>
      </c>
      <c r="Q1329" t="b">
        <f>AND(tblMatriculas[[#This Row],[Estado]]="activa",ISNUMBER(tblMatriculas[[#This Row],[% asistencia]]),NOT(ISNUMBER(SEARCH(pPrueba,tblMatriculas[[#This Row],[Nombre]]))))</f>
        <v>1</v>
      </c>
      <c r="R13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29" s="23" t="str" cm="1">
        <f t="array" ref="S13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29" s="23" t="str" cm="1">
        <f t="array" ref="T13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29" s="14" t="str" cm="1">
        <f t="array" ref="U13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29" t="str" cm="1">
        <f t="array" ref="V13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29" t="str" cm="1">
        <f t="array" ref="W13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29" t="str">
        <f>IF(COUNTIFS('Base Estudiantes'!$C:$C,tblMatriculas[[#This Row],[Cédula]],'Base Estudiantes'!$I:$I,tblMatriculas[[#This Row],[Código]])&gt;0,"Sí","No")</f>
        <v>Sí</v>
      </c>
      <c r="Z1329" s="23" cm="1">
        <f t="array" ref="Z1329">_xlfn.XLOOKUP(tblMatriculas[[#This Row],[Cédula]]&amp;"|"&amp;tblMatriculas[[#This Row],[Código]],tblBase[Documento]&amp;"|"&amp;tblBase[Código grupo],tblBase[Fecha matrícula],"")</f>
        <v>46263</v>
      </c>
    </row>
    <row r="1330" spans="1:26" x14ac:dyDescent="0.2">
      <c r="A1330" t="s">
        <v>2804</v>
      </c>
      <c r="B1330" t="s">
        <v>2805</v>
      </c>
      <c r="C1330" t="s">
        <v>13</v>
      </c>
      <c r="D1330" t="s">
        <v>2792</v>
      </c>
      <c r="E1330" t="s">
        <v>2793</v>
      </c>
      <c r="F1330" t="s">
        <v>516</v>
      </c>
      <c r="G1330" s="1">
        <v>0.13300000000000001</v>
      </c>
      <c r="H1330" t="s">
        <v>112</v>
      </c>
      <c r="I1330" t="s">
        <v>1580</v>
      </c>
      <c r="J1330" t="s">
        <v>2451</v>
      </c>
      <c r="K1330" t="s">
        <v>24</v>
      </c>
      <c r="L1330" s="14">
        <f>IFERROR(VALUE(LEFT(tblMatriculas[[#This Row],[Clases]],FIND("/",tblMatriculas[[#This Row],[Clases]])-1)),"")</f>
        <v>4</v>
      </c>
      <c r="M1330" s="14">
        <f>IFERROR(VALUE(MID(tblMatriculas[[#This Row],[Clases]],FIND("/",tblMatriculas[[#This Row],[Clases]])+1,5)),"")</f>
        <v>30</v>
      </c>
      <c r="N13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0" s="14">
        <f>IF(OR(tblMatriculas[[#This Row],[Estado]]&lt;&gt;"activa",tblMatriculas[[#This Row],[Clases dictadas]]=""),"",MAX(0,tblMatriculas[[#This Row],[Clases dictadas]]-tblMatriculas[[#This Row],[Asistidas]]))</f>
        <v>0</v>
      </c>
      <c r="P1330" s="1">
        <f>IF(OR(tblMatriculas[[#This Row],[Estado]]&lt;&gt;"activa",tblMatriculas[[#This Row],[Asistidas]]=""),"",tblMatriculas[[#This Row],[Asistencia]])</f>
        <v>0.13300000000000001</v>
      </c>
      <c r="Q1330" t="b">
        <f>AND(tblMatriculas[[#This Row],[Estado]]="activa",ISNUMBER(tblMatriculas[[#This Row],[% asistencia]]),NOT(ISNUMBER(SEARCH(pPrueba,tblMatriculas[[#This Row],[Nombre]]))))</f>
        <v>1</v>
      </c>
      <c r="R13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0" s="23" t="str" cm="1">
        <f t="array" ref="S13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0" s="23" t="str" cm="1">
        <f t="array" ref="T13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0" s="14" t="str" cm="1">
        <f t="array" ref="U13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0" t="str" cm="1">
        <f t="array" ref="V13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0" t="str" cm="1">
        <f t="array" ref="W13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0" t="str">
        <f>IF(COUNTIFS('Base Estudiantes'!$C:$C,tblMatriculas[[#This Row],[Cédula]],'Base Estudiantes'!$I:$I,tblMatriculas[[#This Row],[Código]])&gt;0,"Sí","No")</f>
        <v>Sí</v>
      </c>
      <c r="Z1330" s="23" cm="1">
        <f t="array" ref="Z1330">_xlfn.XLOOKUP(tblMatriculas[[#This Row],[Cédula]]&amp;"|"&amp;tblMatriculas[[#This Row],[Código]],tblBase[Documento]&amp;"|"&amp;tblBase[Código grupo],tblBase[Fecha matrícula],"")</f>
        <v>46263</v>
      </c>
    </row>
    <row r="1331" spans="1:26" x14ac:dyDescent="0.2">
      <c r="A1331" t="s">
        <v>2806</v>
      </c>
      <c r="B1331" t="s">
        <v>2807</v>
      </c>
      <c r="C1331" t="s">
        <v>13</v>
      </c>
      <c r="D1331" t="s">
        <v>2792</v>
      </c>
      <c r="E1331" t="s">
        <v>2793</v>
      </c>
      <c r="F1331" t="s">
        <v>516</v>
      </c>
      <c r="G1331" s="1">
        <v>0</v>
      </c>
      <c r="H1331" t="s">
        <v>254</v>
      </c>
      <c r="I1331" t="s">
        <v>1580</v>
      </c>
      <c r="J1331" t="s">
        <v>2451</v>
      </c>
      <c r="K1331" t="s">
        <v>24</v>
      </c>
      <c r="L1331" s="14">
        <f>IFERROR(VALUE(LEFT(tblMatriculas[[#This Row],[Clases]],FIND("/",tblMatriculas[[#This Row],[Clases]])-1)),"")</f>
        <v>0</v>
      </c>
      <c r="M1331" s="14">
        <f>IFERROR(VALUE(MID(tblMatriculas[[#This Row],[Clases]],FIND("/",tblMatriculas[[#This Row],[Clases]])+1,5)),"")</f>
        <v>30</v>
      </c>
      <c r="N13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1" s="14">
        <f>IF(OR(tblMatriculas[[#This Row],[Estado]]&lt;&gt;"activa",tblMatriculas[[#This Row],[Clases dictadas]]=""),"",MAX(0,tblMatriculas[[#This Row],[Clases dictadas]]-tblMatriculas[[#This Row],[Asistidas]]))</f>
        <v>4</v>
      </c>
      <c r="P1331" s="1">
        <f>IF(OR(tblMatriculas[[#This Row],[Estado]]&lt;&gt;"activa",tblMatriculas[[#This Row],[Asistidas]]=""),"",tblMatriculas[[#This Row],[Asistencia]])</f>
        <v>0</v>
      </c>
      <c r="Q1331" t="b">
        <f>AND(tblMatriculas[[#This Row],[Estado]]="activa",ISNUMBER(tblMatriculas[[#This Row],[% asistencia]]),NOT(ISNUMBER(SEARCH(pPrueba,tblMatriculas[[#This Row],[Nombre]]))))</f>
        <v>1</v>
      </c>
      <c r="R13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31" s="23" t="str" cm="1">
        <f t="array" ref="S13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1" s="23" t="str" cm="1">
        <f t="array" ref="T13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1" s="14" t="str" cm="1">
        <f t="array" ref="U13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1" t="str" cm="1">
        <f t="array" ref="V13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1" t="str" cm="1">
        <f t="array" ref="W13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3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31" t="str">
        <f>IF(COUNTIFS('Base Estudiantes'!$C:$C,tblMatriculas[[#This Row],[Cédula]],'Base Estudiantes'!$I:$I,tblMatriculas[[#This Row],[Código]])&gt;0,"Sí","No")</f>
        <v>Sí</v>
      </c>
      <c r="Z1331" s="23" cm="1">
        <f t="array" ref="Z1331">_xlfn.XLOOKUP(tblMatriculas[[#This Row],[Cédula]]&amp;"|"&amp;tblMatriculas[[#This Row],[Código]],tblBase[Documento]&amp;"|"&amp;tblBase[Código grupo],tblBase[Fecha matrícula],"")</f>
        <v>46263</v>
      </c>
    </row>
    <row r="1332" spans="1:26" x14ac:dyDescent="0.2">
      <c r="A1332" t="s">
        <v>2808</v>
      </c>
      <c r="B1332" t="s">
        <v>2809</v>
      </c>
      <c r="C1332" t="s">
        <v>13</v>
      </c>
      <c r="D1332" t="s">
        <v>2792</v>
      </c>
      <c r="E1332" t="s">
        <v>2793</v>
      </c>
      <c r="F1332" t="s">
        <v>516</v>
      </c>
      <c r="G1332" s="1">
        <v>0.13300000000000001</v>
      </c>
      <c r="H1332" t="s">
        <v>112</v>
      </c>
      <c r="I1332" t="s">
        <v>1580</v>
      </c>
      <c r="J1332" t="s">
        <v>2451</v>
      </c>
      <c r="K1332" t="s">
        <v>24</v>
      </c>
      <c r="L1332" s="14">
        <f>IFERROR(VALUE(LEFT(tblMatriculas[[#This Row],[Clases]],FIND("/",tblMatriculas[[#This Row],[Clases]])-1)),"")</f>
        <v>4</v>
      </c>
      <c r="M1332" s="14">
        <f>IFERROR(VALUE(MID(tblMatriculas[[#This Row],[Clases]],FIND("/",tblMatriculas[[#This Row],[Clases]])+1,5)),"")</f>
        <v>30</v>
      </c>
      <c r="N13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2" s="14">
        <f>IF(OR(tblMatriculas[[#This Row],[Estado]]&lt;&gt;"activa",tblMatriculas[[#This Row],[Clases dictadas]]=""),"",MAX(0,tblMatriculas[[#This Row],[Clases dictadas]]-tblMatriculas[[#This Row],[Asistidas]]))</f>
        <v>0</v>
      </c>
      <c r="P1332" s="1">
        <f>IF(OR(tblMatriculas[[#This Row],[Estado]]&lt;&gt;"activa",tblMatriculas[[#This Row],[Asistidas]]=""),"",tblMatriculas[[#This Row],[Asistencia]])</f>
        <v>0.13300000000000001</v>
      </c>
      <c r="Q1332" t="b">
        <f>AND(tblMatriculas[[#This Row],[Estado]]="activa",ISNUMBER(tblMatriculas[[#This Row],[% asistencia]]),NOT(ISNUMBER(SEARCH(pPrueba,tblMatriculas[[#This Row],[Nombre]]))))</f>
        <v>1</v>
      </c>
      <c r="R13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2" s="23" t="str" cm="1">
        <f t="array" ref="S13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2" s="23" t="str" cm="1">
        <f t="array" ref="T13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2" s="14" t="str" cm="1">
        <f t="array" ref="U13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2" t="str" cm="1">
        <f t="array" ref="V13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2" t="str" cm="1">
        <f t="array" ref="W13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2" t="str">
        <f>IF(COUNTIFS('Base Estudiantes'!$C:$C,tblMatriculas[[#This Row],[Cédula]],'Base Estudiantes'!$I:$I,tblMatriculas[[#This Row],[Código]])&gt;0,"Sí","No")</f>
        <v>Sí</v>
      </c>
      <c r="Z1332" s="23" cm="1">
        <f t="array" ref="Z1332">_xlfn.XLOOKUP(tblMatriculas[[#This Row],[Cédula]]&amp;"|"&amp;tblMatriculas[[#This Row],[Código]],tblBase[Documento]&amp;"|"&amp;tblBase[Código grupo],tblBase[Fecha matrícula],"")</f>
        <v>46263</v>
      </c>
    </row>
    <row r="1333" spans="1:26" x14ac:dyDescent="0.2">
      <c r="A1333" t="s">
        <v>2810</v>
      </c>
      <c r="B1333" t="s">
        <v>2811</v>
      </c>
      <c r="C1333" t="s">
        <v>13</v>
      </c>
      <c r="D1333" t="s">
        <v>2792</v>
      </c>
      <c r="E1333" t="s">
        <v>2793</v>
      </c>
      <c r="F1333" t="s">
        <v>516</v>
      </c>
      <c r="G1333" s="1">
        <v>0.13300000000000001</v>
      </c>
      <c r="H1333" t="s">
        <v>112</v>
      </c>
      <c r="I1333" t="s">
        <v>1580</v>
      </c>
      <c r="J1333" t="s">
        <v>2451</v>
      </c>
      <c r="K1333" t="s">
        <v>24</v>
      </c>
      <c r="L1333" s="14">
        <f>IFERROR(VALUE(LEFT(tblMatriculas[[#This Row],[Clases]],FIND("/",tblMatriculas[[#This Row],[Clases]])-1)),"")</f>
        <v>4</v>
      </c>
      <c r="M1333" s="14">
        <f>IFERROR(VALUE(MID(tblMatriculas[[#This Row],[Clases]],FIND("/",tblMatriculas[[#This Row],[Clases]])+1,5)),"")</f>
        <v>30</v>
      </c>
      <c r="N13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3" s="14">
        <f>IF(OR(tblMatriculas[[#This Row],[Estado]]&lt;&gt;"activa",tblMatriculas[[#This Row],[Clases dictadas]]=""),"",MAX(0,tblMatriculas[[#This Row],[Clases dictadas]]-tblMatriculas[[#This Row],[Asistidas]]))</f>
        <v>0</v>
      </c>
      <c r="P1333" s="1">
        <f>IF(OR(tblMatriculas[[#This Row],[Estado]]&lt;&gt;"activa",tblMatriculas[[#This Row],[Asistidas]]=""),"",tblMatriculas[[#This Row],[Asistencia]])</f>
        <v>0.13300000000000001</v>
      </c>
      <c r="Q1333" t="b">
        <f>AND(tblMatriculas[[#This Row],[Estado]]="activa",ISNUMBER(tblMatriculas[[#This Row],[% asistencia]]),NOT(ISNUMBER(SEARCH(pPrueba,tblMatriculas[[#This Row],[Nombre]]))))</f>
        <v>1</v>
      </c>
      <c r="R13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3" s="23" t="str" cm="1">
        <f t="array" ref="S13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3" s="23" t="str" cm="1">
        <f t="array" ref="T13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3" s="14" t="str" cm="1">
        <f t="array" ref="U13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3" t="str" cm="1">
        <f t="array" ref="V13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3" t="str" cm="1">
        <f t="array" ref="W13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3" t="str">
        <f>IF(COUNTIFS('Base Estudiantes'!$C:$C,tblMatriculas[[#This Row],[Cédula]],'Base Estudiantes'!$I:$I,tblMatriculas[[#This Row],[Código]])&gt;0,"Sí","No")</f>
        <v>Sí</v>
      </c>
      <c r="Z1333" s="23" cm="1">
        <f t="array" ref="Z1333">_xlfn.XLOOKUP(tblMatriculas[[#This Row],[Cédula]]&amp;"|"&amp;tblMatriculas[[#This Row],[Código]],tblBase[Documento]&amp;"|"&amp;tblBase[Código grupo],tblBase[Fecha matrícula],"")</f>
        <v>46263</v>
      </c>
    </row>
    <row r="1334" spans="1:26" x14ac:dyDescent="0.2">
      <c r="A1334" t="s">
        <v>2812</v>
      </c>
      <c r="B1334" t="s">
        <v>2813</v>
      </c>
      <c r="C1334" t="s">
        <v>13</v>
      </c>
      <c r="D1334" t="s">
        <v>2792</v>
      </c>
      <c r="E1334" t="s">
        <v>2793</v>
      </c>
      <c r="F1334" t="s">
        <v>516</v>
      </c>
      <c r="G1334" s="1">
        <v>0.13300000000000001</v>
      </c>
      <c r="H1334" t="s">
        <v>112</v>
      </c>
      <c r="I1334" t="s">
        <v>1580</v>
      </c>
      <c r="J1334" t="s">
        <v>2451</v>
      </c>
      <c r="K1334" t="s">
        <v>24</v>
      </c>
      <c r="L1334" s="14">
        <f>IFERROR(VALUE(LEFT(tblMatriculas[[#This Row],[Clases]],FIND("/",tblMatriculas[[#This Row],[Clases]])-1)),"")</f>
        <v>4</v>
      </c>
      <c r="M1334" s="14">
        <f>IFERROR(VALUE(MID(tblMatriculas[[#This Row],[Clases]],FIND("/",tblMatriculas[[#This Row],[Clases]])+1,5)),"")</f>
        <v>30</v>
      </c>
      <c r="N13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4" s="14">
        <f>IF(OR(tblMatriculas[[#This Row],[Estado]]&lt;&gt;"activa",tblMatriculas[[#This Row],[Clases dictadas]]=""),"",MAX(0,tblMatriculas[[#This Row],[Clases dictadas]]-tblMatriculas[[#This Row],[Asistidas]]))</f>
        <v>0</v>
      </c>
      <c r="P1334" s="1">
        <f>IF(OR(tblMatriculas[[#This Row],[Estado]]&lt;&gt;"activa",tblMatriculas[[#This Row],[Asistidas]]=""),"",tblMatriculas[[#This Row],[Asistencia]])</f>
        <v>0.13300000000000001</v>
      </c>
      <c r="Q1334" t="b">
        <f>AND(tblMatriculas[[#This Row],[Estado]]="activa",ISNUMBER(tblMatriculas[[#This Row],[% asistencia]]),NOT(ISNUMBER(SEARCH(pPrueba,tblMatriculas[[#This Row],[Nombre]]))))</f>
        <v>1</v>
      </c>
      <c r="R13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4" s="23" t="str" cm="1">
        <f t="array" ref="S13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4" s="23" t="str" cm="1">
        <f t="array" ref="T13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4" s="14" t="str" cm="1">
        <f t="array" ref="U13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4" t="str" cm="1">
        <f t="array" ref="V13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4" t="str" cm="1">
        <f t="array" ref="W13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4" t="str">
        <f>IF(COUNTIFS('Base Estudiantes'!$C:$C,tblMatriculas[[#This Row],[Cédula]],'Base Estudiantes'!$I:$I,tblMatriculas[[#This Row],[Código]])&gt;0,"Sí","No")</f>
        <v>Sí</v>
      </c>
      <c r="Z1334" s="23" cm="1">
        <f t="array" ref="Z1334">_xlfn.XLOOKUP(tblMatriculas[[#This Row],[Cédula]]&amp;"|"&amp;tblMatriculas[[#This Row],[Código]],tblBase[Documento]&amp;"|"&amp;tblBase[Código grupo],tblBase[Fecha matrícula],"")</f>
        <v>46263</v>
      </c>
    </row>
    <row r="1335" spans="1:26" x14ac:dyDescent="0.2">
      <c r="A1335" t="s">
        <v>2814</v>
      </c>
      <c r="B1335" t="s">
        <v>2815</v>
      </c>
      <c r="C1335" t="s">
        <v>13</v>
      </c>
      <c r="D1335" t="s">
        <v>2792</v>
      </c>
      <c r="E1335" t="s">
        <v>2793</v>
      </c>
      <c r="F1335" t="s">
        <v>516</v>
      </c>
      <c r="G1335" s="1">
        <v>0.13300000000000001</v>
      </c>
      <c r="H1335" t="s">
        <v>112</v>
      </c>
      <c r="I1335" t="s">
        <v>1580</v>
      </c>
      <c r="J1335" t="s">
        <v>2451</v>
      </c>
      <c r="K1335" t="s">
        <v>24</v>
      </c>
      <c r="L1335" s="14">
        <f>IFERROR(VALUE(LEFT(tblMatriculas[[#This Row],[Clases]],FIND("/",tblMatriculas[[#This Row],[Clases]])-1)),"")</f>
        <v>4</v>
      </c>
      <c r="M1335" s="14">
        <f>IFERROR(VALUE(MID(tblMatriculas[[#This Row],[Clases]],FIND("/",tblMatriculas[[#This Row],[Clases]])+1,5)),"")</f>
        <v>30</v>
      </c>
      <c r="N13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5" s="14">
        <f>IF(OR(tblMatriculas[[#This Row],[Estado]]&lt;&gt;"activa",tblMatriculas[[#This Row],[Clases dictadas]]=""),"",MAX(0,tblMatriculas[[#This Row],[Clases dictadas]]-tblMatriculas[[#This Row],[Asistidas]]))</f>
        <v>0</v>
      </c>
      <c r="P1335" s="1">
        <f>IF(OR(tblMatriculas[[#This Row],[Estado]]&lt;&gt;"activa",tblMatriculas[[#This Row],[Asistidas]]=""),"",tblMatriculas[[#This Row],[Asistencia]])</f>
        <v>0.13300000000000001</v>
      </c>
      <c r="Q1335" t="b">
        <f>AND(tblMatriculas[[#This Row],[Estado]]="activa",ISNUMBER(tblMatriculas[[#This Row],[% asistencia]]),NOT(ISNUMBER(SEARCH(pPrueba,tblMatriculas[[#This Row],[Nombre]]))))</f>
        <v>1</v>
      </c>
      <c r="R13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5" s="23" t="str" cm="1">
        <f t="array" ref="S13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5" s="23" t="str" cm="1">
        <f t="array" ref="T13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5" s="14" t="str" cm="1">
        <f t="array" ref="U13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5" t="str" cm="1">
        <f t="array" ref="V13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5" t="str" cm="1">
        <f t="array" ref="W13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5" t="str">
        <f>IF(COUNTIFS('Base Estudiantes'!$C:$C,tblMatriculas[[#This Row],[Cédula]],'Base Estudiantes'!$I:$I,tblMatriculas[[#This Row],[Código]])&gt;0,"Sí","No")</f>
        <v>Sí</v>
      </c>
      <c r="Z1335" s="23" cm="1">
        <f t="array" ref="Z1335">_xlfn.XLOOKUP(tblMatriculas[[#This Row],[Cédula]]&amp;"|"&amp;tblMatriculas[[#This Row],[Código]],tblBase[Documento]&amp;"|"&amp;tblBase[Código grupo],tblBase[Fecha matrícula],"")</f>
        <v>46263</v>
      </c>
    </row>
    <row r="1336" spans="1:26" x14ac:dyDescent="0.2">
      <c r="A1336" t="s">
        <v>2816</v>
      </c>
      <c r="B1336" t="s">
        <v>2817</v>
      </c>
      <c r="C1336" t="s">
        <v>13</v>
      </c>
      <c r="D1336" t="s">
        <v>2792</v>
      </c>
      <c r="E1336" t="s">
        <v>2793</v>
      </c>
      <c r="F1336" t="s">
        <v>516</v>
      </c>
      <c r="G1336" s="1">
        <v>0.13300000000000001</v>
      </c>
      <c r="H1336" t="s">
        <v>112</v>
      </c>
      <c r="I1336" t="s">
        <v>1580</v>
      </c>
      <c r="J1336" t="s">
        <v>2451</v>
      </c>
      <c r="K1336" t="s">
        <v>24</v>
      </c>
      <c r="L1336" s="14">
        <f>IFERROR(VALUE(LEFT(tblMatriculas[[#This Row],[Clases]],FIND("/",tblMatriculas[[#This Row],[Clases]])-1)),"")</f>
        <v>4</v>
      </c>
      <c r="M1336" s="14">
        <f>IFERROR(VALUE(MID(tblMatriculas[[#This Row],[Clases]],FIND("/",tblMatriculas[[#This Row],[Clases]])+1,5)),"")</f>
        <v>30</v>
      </c>
      <c r="N13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6" s="14">
        <f>IF(OR(tblMatriculas[[#This Row],[Estado]]&lt;&gt;"activa",tblMatriculas[[#This Row],[Clases dictadas]]=""),"",MAX(0,tblMatriculas[[#This Row],[Clases dictadas]]-tblMatriculas[[#This Row],[Asistidas]]))</f>
        <v>0</v>
      </c>
      <c r="P1336" s="1">
        <f>IF(OR(tblMatriculas[[#This Row],[Estado]]&lt;&gt;"activa",tblMatriculas[[#This Row],[Asistidas]]=""),"",tblMatriculas[[#This Row],[Asistencia]])</f>
        <v>0.13300000000000001</v>
      </c>
      <c r="Q1336" t="b">
        <f>AND(tblMatriculas[[#This Row],[Estado]]="activa",ISNUMBER(tblMatriculas[[#This Row],[% asistencia]]),NOT(ISNUMBER(SEARCH(pPrueba,tblMatriculas[[#This Row],[Nombre]]))))</f>
        <v>1</v>
      </c>
      <c r="R13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6" s="23" t="str" cm="1">
        <f t="array" ref="S13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6" s="23" t="str" cm="1">
        <f t="array" ref="T13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6" s="14" t="str" cm="1">
        <f t="array" ref="U13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6" t="str" cm="1">
        <f t="array" ref="V13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6" t="str" cm="1">
        <f t="array" ref="W13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6" t="str">
        <f>IF(COUNTIFS('Base Estudiantes'!$C:$C,tblMatriculas[[#This Row],[Cédula]],'Base Estudiantes'!$I:$I,tblMatriculas[[#This Row],[Código]])&gt;0,"Sí","No")</f>
        <v>Sí</v>
      </c>
      <c r="Z1336" s="23" cm="1">
        <f t="array" ref="Z1336">_xlfn.XLOOKUP(tblMatriculas[[#This Row],[Cédula]]&amp;"|"&amp;tblMatriculas[[#This Row],[Código]],tblBase[Documento]&amp;"|"&amp;tblBase[Código grupo],tblBase[Fecha matrícula],"")</f>
        <v>46263</v>
      </c>
    </row>
    <row r="1337" spans="1:26" x14ac:dyDescent="0.2">
      <c r="A1337" t="s">
        <v>2818</v>
      </c>
      <c r="B1337" t="s">
        <v>2819</v>
      </c>
      <c r="C1337" t="s">
        <v>13</v>
      </c>
      <c r="D1337" t="s">
        <v>2792</v>
      </c>
      <c r="E1337" t="s">
        <v>2793</v>
      </c>
      <c r="F1337" t="s">
        <v>516</v>
      </c>
      <c r="G1337" s="1">
        <v>0.13300000000000001</v>
      </c>
      <c r="H1337" t="s">
        <v>112</v>
      </c>
      <c r="I1337" t="s">
        <v>1580</v>
      </c>
      <c r="J1337" t="s">
        <v>2451</v>
      </c>
      <c r="K1337" t="s">
        <v>24</v>
      </c>
      <c r="L1337" s="14">
        <f>IFERROR(VALUE(LEFT(tblMatriculas[[#This Row],[Clases]],FIND("/",tblMatriculas[[#This Row],[Clases]])-1)),"")</f>
        <v>4</v>
      </c>
      <c r="M1337" s="14">
        <f>IFERROR(VALUE(MID(tblMatriculas[[#This Row],[Clases]],FIND("/",tblMatriculas[[#This Row],[Clases]])+1,5)),"")</f>
        <v>30</v>
      </c>
      <c r="N13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7" s="14">
        <f>IF(OR(tblMatriculas[[#This Row],[Estado]]&lt;&gt;"activa",tblMatriculas[[#This Row],[Clases dictadas]]=""),"",MAX(0,tblMatriculas[[#This Row],[Clases dictadas]]-tblMatriculas[[#This Row],[Asistidas]]))</f>
        <v>0</v>
      </c>
      <c r="P1337" s="1">
        <f>IF(OR(tblMatriculas[[#This Row],[Estado]]&lt;&gt;"activa",tblMatriculas[[#This Row],[Asistidas]]=""),"",tblMatriculas[[#This Row],[Asistencia]])</f>
        <v>0.13300000000000001</v>
      </c>
      <c r="Q1337" t="b">
        <f>AND(tblMatriculas[[#This Row],[Estado]]="activa",ISNUMBER(tblMatriculas[[#This Row],[% asistencia]]),NOT(ISNUMBER(SEARCH(pPrueba,tblMatriculas[[#This Row],[Nombre]]))))</f>
        <v>1</v>
      </c>
      <c r="R13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7" s="23" t="str" cm="1">
        <f t="array" ref="S13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7" s="23" t="str" cm="1">
        <f t="array" ref="T13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7" s="14" t="str" cm="1">
        <f t="array" ref="U13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7" t="str" cm="1">
        <f t="array" ref="V13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7" t="str" cm="1">
        <f t="array" ref="W13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7" t="str">
        <f>IF(COUNTIFS('Base Estudiantes'!$C:$C,tblMatriculas[[#This Row],[Cédula]],'Base Estudiantes'!$I:$I,tblMatriculas[[#This Row],[Código]])&gt;0,"Sí","No")</f>
        <v>Sí</v>
      </c>
      <c r="Z1337" s="23" cm="1">
        <f t="array" ref="Z1337">_xlfn.XLOOKUP(tblMatriculas[[#This Row],[Cédula]]&amp;"|"&amp;tblMatriculas[[#This Row],[Código]],tblBase[Documento]&amp;"|"&amp;tblBase[Código grupo],tblBase[Fecha matrícula],"")</f>
        <v>46263</v>
      </c>
    </row>
    <row r="1338" spans="1:26" x14ac:dyDescent="0.2">
      <c r="A1338" t="s">
        <v>2820</v>
      </c>
      <c r="B1338" t="s">
        <v>2821</v>
      </c>
      <c r="C1338" t="s">
        <v>13</v>
      </c>
      <c r="D1338" t="s">
        <v>2792</v>
      </c>
      <c r="E1338" t="s">
        <v>2793</v>
      </c>
      <c r="F1338" t="s">
        <v>516</v>
      </c>
      <c r="G1338" s="1">
        <v>0.13300000000000001</v>
      </c>
      <c r="H1338" t="s">
        <v>112</v>
      </c>
      <c r="I1338" t="s">
        <v>1580</v>
      </c>
      <c r="J1338" t="s">
        <v>2451</v>
      </c>
      <c r="K1338" t="s">
        <v>24</v>
      </c>
      <c r="L1338" s="14">
        <f>IFERROR(VALUE(LEFT(tblMatriculas[[#This Row],[Clases]],FIND("/",tblMatriculas[[#This Row],[Clases]])-1)),"")</f>
        <v>4</v>
      </c>
      <c r="M1338" s="14">
        <f>IFERROR(VALUE(MID(tblMatriculas[[#This Row],[Clases]],FIND("/",tblMatriculas[[#This Row],[Clases]])+1,5)),"")</f>
        <v>30</v>
      </c>
      <c r="N13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8" s="14">
        <f>IF(OR(tblMatriculas[[#This Row],[Estado]]&lt;&gt;"activa",tblMatriculas[[#This Row],[Clases dictadas]]=""),"",MAX(0,tblMatriculas[[#This Row],[Clases dictadas]]-tblMatriculas[[#This Row],[Asistidas]]))</f>
        <v>0</v>
      </c>
      <c r="P1338" s="1">
        <f>IF(OR(tblMatriculas[[#This Row],[Estado]]&lt;&gt;"activa",tblMatriculas[[#This Row],[Asistidas]]=""),"",tblMatriculas[[#This Row],[Asistencia]])</f>
        <v>0.13300000000000001</v>
      </c>
      <c r="Q1338" t="b">
        <f>AND(tblMatriculas[[#This Row],[Estado]]="activa",ISNUMBER(tblMatriculas[[#This Row],[% asistencia]]),NOT(ISNUMBER(SEARCH(pPrueba,tblMatriculas[[#This Row],[Nombre]]))))</f>
        <v>1</v>
      </c>
      <c r="R13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8" s="23" t="str" cm="1">
        <f t="array" ref="S13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8" s="23" t="str" cm="1">
        <f t="array" ref="T13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8" s="14" t="str" cm="1">
        <f t="array" ref="U13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8" t="str" cm="1">
        <f t="array" ref="V13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8" t="str" cm="1">
        <f t="array" ref="W13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8" t="str">
        <f>IF(COUNTIFS('Base Estudiantes'!$C:$C,tblMatriculas[[#This Row],[Cédula]],'Base Estudiantes'!$I:$I,tblMatriculas[[#This Row],[Código]])&gt;0,"Sí","No")</f>
        <v>Sí</v>
      </c>
      <c r="Z1338" s="23" cm="1">
        <f t="array" ref="Z1338">_xlfn.XLOOKUP(tblMatriculas[[#This Row],[Cédula]]&amp;"|"&amp;tblMatriculas[[#This Row],[Código]],tblBase[Documento]&amp;"|"&amp;tblBase[Código grupo],tblBase[Fecha matrícula],"")</f>
        <v>46263</v>
      </c>
    </row>
    <row r="1339" spans="1:26" x14ac:dyDescent="0.2">
      <c r="A1339" t="s">
        <v>2822</v>
      </c>
      <c r="B1339" t="s">
        <v>2823</v>
      </c>
      <c r="C1339" t="s">
        <v>13</v>
      </c>
      <c r="D1339" t="s">
        <v>2792</v>
      </c>
      <c r="E1339" t="s">
        <v>2793</v>
      </c>
      <c r="F1339" t="s">
        <v>516</v>
      </c>
      <c r="G1339" s="1">
        <v>0.13300000000000001</v>
      </c>
      <c r="H1339" t="s">
        <v>112</v>
      </c>
      <c r="I1339" t="s">
        <v>1580</v>
      </c>
      <c r="J1339" t="s">
        <v>2451</v>
      </c>
      <c r="K1339" t="s">
        <v>24</v>
      </c>
      <c r="L1339" s="14">
        <f>IFERROR(VALUE(LEFT(tblMatriculas[[#This Row],[Clases]],FIND("/",tblMatriculas[[#This Row],[Clases]])-1)),"")</f>
        <v>4</v>
      </c>
      <c r="M1339" s="14">
        <f>IFERROR(VALUE(MID(tblMatriculas[[#This Row],[Clases]],FIND("/",tblMatriculas[[#This Row],[Clases]])+1,5)),"")</f>
        <v>30</v>
      </c>
      <c r="N13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39" s="14">
        <f>IF(OR(tblMatriculas[[#This Row],[Estado]]&lt;&gt;"activa",tblMatriculas[[#This Row],[Clases dictadas]]=""),"",MAX(0,tblMatriculas[[#This Row],[Clases dictadas]]-tblMatriculas[[#This Row],[Asistidas]]))</f>
        <v>0</v>
      </c>
      <c r="P1339" s="1">
        <f>IF(OR(tblMatriculas[[#This Row],[Estado]]&lt;&gt;"activa",tblMatriculas[[#This Row],[Asistidas]]=""),"",tblMatriculas[[#This Row],[Asistencia]])</f>
        <v>0.13300000000000001</v>
      </c>
      <c r="Q1339" t="b">
        <f>AND(tblMatriculas[[#This Row],[Estado]]="activa",ISNUMBER(tblMatriculas[[#This Row],[% asistencia]]),NOT(ISNUMBER(SEARCH(pPrueba,tblMatriculas[[#This Row],[Nombre]]))))</f>
        <v>1</v>
      </c>
      <c r="R13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39" s="23" t="str" cm="1">
        <f t="array" ref="S13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39" s="23" t="str" cm="1">
        <f t="array" ref="T13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39" s="14" t="str" cm="1">
        <f t="array" ref="U13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39" t="str" cm="1">
        <f t="array" ref="V13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39" t="str" cm="1">
        <f t="array" ref="W13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39" t="str">
        <f>IF(COUNTIFS('Base Estudiantes'!$C:$C,tblMatriculas[[#This Row],[Cédula]],'Base Estudiantes'!$I:$I,tblMatriculas[[#This Row],[Código]])&gt;0,"Sí","No")</f>
        <v>Sí</v>
      </c>
      <c r="Z1339" s="23" cm="1">
        <f t="array" ref="Z1339">_xlfn.XLOOKUP(tblMatriculas[[#This Row],[Cédula]]&amp;"|"&amp;tblMatriculas[[#This Row],[Código]],tblBase[Documento]&amp;"|"&amp;tblBase[Código grupo],tblBase[Fecha matrícula],"")</f>
        <v>46263</v>
      </c>
    </row>
    <row r="1340" spans="1:26" x14ac:dyDescent="0.2">
      <c r="A1340" t="s">
        <v>2824</v>
      </c>
      <c r="B1340" t="s">
        <v>2825</v>
      </c>
      <c r="C1340" t="s">
        <v>49</v>
      </c>
      <c r="D1340" t="s">
        <v>2792</v>
      </c>
      <c r="E1340" t="s">
        <v>2793</v>
      </c>
      <c r="F1340" t="s">
        <v>516</v>
      </c>
      <c r="G1340" s="1">
        <v>3.3000000000000002E-2</v>
      </c>
      <c r="H1340" t="s">
        <v>2826</v>
      </c>
      <c r="I1340" t="s">
        <v>1580</v>
      </c>
      <c r="J1340" t="s">
        <v>2451</v>
      </c>
      <c r="K1340" t="s">
        <v>24</v>
      </c>
      <c r="L1340" s="14">
        <f>IFERROR(VALUE(LEFT(tblMatriculas[[#This Row],[Clases]],FIND("/",tblMatriculas[[#This Row],[Clases]])-1)),"")</f>
        <v>2</v>
      </c>
      <c r="M1340" s="14">
        <f>IFERROR(VALUE(MID(tblMatriculas[[#This Row],[Clases]],FIND("/",tblMatriculas[[#This Row],[Clases]])+1,5)),"")</f>
        <v>60</v>
      </c>
      <c r="N13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340" s="14" t="str">
        <f>IF(OR(tblMatriculas[[#This Row],[Estado]]&lt;&gt;"activa",tblMatriculas[[#This Row],[Clases dictadas]]=""),"",MAX(0,tblMatriculas[[#This Row],[Clases dictadas]]-tblMatriculas[[#This Row],[Asistidas]]))</f>
        <v/>
      </c>
      <c r="P1340" s="1" t="str">
        <f>IF(OR(tblMatriculas[[#This Row],[Estado]]&lt;&gt;"activa",tblMatriculas[[#This Row],[Asistidas]]=""),"",tblMatriculas[[#This Row],[Asistencia]])</f>
        <v/>
      </c>
      <c r="Q1340" t="b">
        <f>AND(tblMatriculas[[#This Row],[Estado]]="activa",ISNUMBER(tblMatriculas[[#This Row],[% asistencia]]),NOT(ISNUMBER(SEARCH(pPrueba,tblMatriculas[[#This Row],[Nombre]]))))</f>
        <v>0</v>
      </c>
      <c r="R13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40" s="23" t="str" cm="1">
        <f t="array" ref="S13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0" s="23" t="str" cm="1">
        <f t="array" ref="T13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0" s="14" t="str" cm="1">
        <f t="array" ref="U13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0" t="str" cm="1">
        <f t="array" ref="V13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0" t="str" cm="1">
        <f t="array" ref="W13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0" t="str">
        <f>IF(COUNTIFS('Base Estudiantes'!$C:$C,tblMatriculas[[#This Row],[Cédula]],'Base Estudiantes'!$I:$I,tblMatriculas[[#This Row],[Código]])&gt;0,"Sí","No")</f>
        <v>No</v>
      </c>
      <c r="Z1340" s="23" t="str" cm="1">
        <f t="array" ref="Z1340">_xlfn.XLOOKUP(tblMatriculas[[#This Row],[Cédula]]&amp;"|"&amp;tblMatriculas[[#This Row],[Código]],tblBase[Documento]&amp;"|"&amp;tblBase[Código grupo],tblBase[Fecha matrícula],"")</f>
        <v/>
      </c>
    </row>
    <row r="1341" spans="1:26" x14ac:dyDescent="0.2">
      <c r="A1341" t="s">
        <v>2827</v>
      </c>
      <c r="B1341" t="s">
        <v>2828</v>
      </c>
      <c r="C1341" t="s">
        <v>13</v>
      </c>
      <c r="D1341" t="s">
        <v>2792</v>
      </c>
      <c r="E1341" t="s">
        <v>2793</v>
      </c>
      <c r="F1341" t="s">
        <v>516</v>
      </c>
      <c r="G1341" s="1">
        <v>0.13300000000000001</v>
      </c>
      <c r="H1341" t="s">
        <v>112</v>
      </c>
      <c r="I1341" t="s">
        <v>1580</v>
      </c>
      <c r="J1341" t="s">
        <v>2451</v>
      </c>
      <c r="K1341" t="s">
        <v>24</v>
      </c>
      <c r="L1341" s="14">
        <f>IFERROR(VALUE(LEFT(tblMatriculas[[#This Row],[Clases]],FIND("/",tblMatriculas[[#This Row],[Clases]])-1)),"")</f>
        <v>4</v>
      </c>
      <c r="M1341" s="14">
        <f>IFERROR(VALUE(MID(tblMatriculas[[#This Row],[Clases]],FIND("/",tblMatriculas[[#This Row],[Clases]])+1,5)),"")</f>
        <v>30</v>
      </c>
      <c r="N13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1" s="14">
        <f>IF(OR(tblMatriculas[[#This Row],[Estado]]&lt;&gt;"activa",tblMatriculas[[#This Row],[Clases dictadas]]=""),"",MAX(0,tblMatriculas[[#This Row],[Clases dictadas]]-tblMatriculas[[#This Row],[Asistidas]]))</f>
        <v>0</v>
      </c>
      <c r="P1341" s="1">
        <f>IF(OR(tblMatriculas[[#This Row],[Estado]]&lt;&gt;"activa",tblMatriculas[[#This Row],[Asistidas]]=""),"",tblMatriculas[[#This Row],[Asistencia]])</f>
        <v>0.13300000000000001</v>
      </c>
      <c r="Q1341" t="b">
        <f>AND(tblMatriculas[[#This Row],[Estado]]="activa",ISNUMBER(tblMatriculas[[#This Row],[% asistencia]]),NOT(ISNUMBER(SEARCH(pPrueba,tblMatriculas[[#This Row],[Nombre]]))))</f>
        <v>1</v>
      </c>
      <c r="R13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1" s="23" t="str" cm="1">
        <f t="array" ref="S13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1" s="23" t="str" cm="1">
        <f t="array" ref="T13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1" s="14" t="str" cm="1">
        <f t="array" ref="U13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1" t="str" cm="1">
        <f t="array" ref="V13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1" t="str" cm="1">
        <f t="array" ref="W13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1" t="str">
        <f>IF(COUNTIFS('Base Estudiantes'!$C:$C,tblMatriculas[[#This Row],[Cédula]],'Base Estudiantes'!$I:$I,tblMatriculas[[#This Row],[Código]])&gt;0,"Sí","No")</f>
        <v>Sí</v>
      </c>
      <c r="Z1341" s="23" cm="1">
        <f t="array" ref="Z1341">_xlfn.XLOOKUP(tblMatriculas[[#This Row],[Cédula]]&amp;"|"&amp;tblMatriculas[[#This Row],[Código]],tblBase[Documento]&amp;"|"&amp;tblBase[Código grupo],tblBase[Fecha matrícula],"")</f>
        <v>46263</v>
      </c>
    </row>
    <row r="1342" spans="1:26" x14ac:dyDescent="0.2">
      <c r="A1342" t="s">
        <v>2829</v>
      </c>
      <c r="B1342" t="s">
        <v>2830</v>
      </c>
      <c r="C1342" t="s">
        <v>13</v>
      </c>
      <c r="D1342" t="s">
        <v>2792</v>
      </c>
      <c r="E1342" t="s">
        <v>2793</v>
      </c>
      <c r="F1342" t="s">
        <v>516</v>
      </c>
      <c r="G1342" s="1">
        <v>0</v>
      </c>
      <c r="H1342" t="s">
        <v>254</v>
      </c>
      <c r="I1342" t="s">
        <v>1580</v>
      </c>
      <c r="J1342" t="s">
        <v>2451</v>
      </c>
      <c r="K1342" t="s">
        <v>24</v>
      </c>
      <c r="L1342" s="14">
        <f>IFERROR(VALUE(LEFT(tblMatriculas[[#This Row],[Clases]],FIND("/",tblMatriculas[[#This Row],[Clases]])-1)),"")</f>
        <v>0</v>
      </c>
      <c r="M1342" s="14">
        <f>IFERROR(VALUE(MID(tblMatriculas[[#This Row],[Clases]],FIND("/",tblMatriculas[[#This Row],[Clases]])+1,5)),"")</f>
        <v>30</v>
      </c>
      <c r="N13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2" s="14">
        <f>IF(OR(tblMatriculas[[#This Row],[Estado]]&lt;&gt;"activa",tblMatriculas[[#This Row],[Clases dictadas]]=""),"",MAX(0,tblMatriculas[[#This Row],[Clases dictadas]]-tblMatriculas[[#This Row],[Asistidas]]))</f>
        <v>4</v>
      </c>
      <c r="P1342" s="1">
        <f>IF(OR(tblMatriculas[[#This Row],[Estado]]&lt;&gt;"activa",tblMatriculas[[#This Row],[Asistidas]]=""),"",tblMatriculas[[#This Row],[Asistencia]])</f>
        <v>0</v>
      </c>
      <c r="Q1342" t="b">
        <f>AND(tblMatriculas[[#This Row],[Estado]]="activa",ISNUMBER(tblMatriculas[[#This Row],[% asistencia]]),NOT(ISNUMBER(SEARCH(pPrueba,tblMatriculas[[#This Row],[Nombre]]))))</f>
        <v>1</v>
      </c>
      <c r="R13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42" s="23" t="str" cm="1">
        <f t="array" ref="S13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2" s="23" t="str" cm="1">
        <f t="array" ref="T13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2" s="14" t="str" cm="1">
        <f t="array" ref="U13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2" t="str" cm="1">
        <f t="array" ref="V13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2" t="str" cm="1">
        <f t="array" ref="W13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42" t="str">
        <f>IF(COUNTIFS('Base Estudiantes'!$C:$C,tblMatriculas[[#This Row],[Cédula]],'Base Estudiantes'!$I:$I,tblMatriculas[[#This Row],[Código]])&gt;0,"Sí","No")</f>
        <v>Sí</v>
      </c>
      <c r="Z1342" s="23" cm="1">
        <f t="array" ref="Z1342">_xlfn.XLOOKUP(tblMatriculas[[#This Row],[Cédula]]&amp;"|"&amp;tblMatriculas[[#This Row],[Código]],tblBase[Documento]&amp;"|"&amp;tblBase[Código grupo],tblBase[Fecha matrícula],"")</f>
        <v>46263</v>
      </c>
    </row>
    <row r="1343" spans="1:26" x14ac:dyDescent="0.2">
      <c r="A1343" t="s">
        <v>2831</v>
      </c>
      <c r="B1343" t="s">
        <v>2832</v>
      </c>
      <c r="C1343" t="s">
        <v>13</v>
      </c>
      <c r="D1343" t="s">
        <v>2792</v>
      </c>
      <c r="E1343" t="s">
        <v>2793</v>
      </c>
      <c r="F1343" t="s">
        <v>516</v>
      </c>
      <c r="G1343" s="1">
        <v>0.13300000000000001</v>
      </c>
      <c r="H1343" t="s">
        <v>112</v>
      </c>
      <c r="I1343" t="s">
        <v>1580</v>
      </c>
      <c r="J1343" t="s">
        <v>2451</v>
      </c>
      <c r="K1343" t="s">
        <v>24</v>
      </c>
      <c r="L1343" s="14">
        <f>IFERROR(VALUE(LEFT(tblMatriculas[[#This Row],[Clases]],FIND("/",tblMatriculas[[#This Row],[Clases]])-1)),"")</f>
        <v>4</v>
      </c>
      <c r="M1343" s="14">
        <f>IFERROR(VALUE(MID(tblMatriculas[[#This Row],[Clases]],FIND("/",tblMatriculas[[#This Row],[Clases]])+1,5)),"")</f>
        <v>30</v>
      </c>
      <c r="N13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3" s="14">
        <f>IF(OR(tblMatriculas[[#This Row],[Estado]]&lt;&gt;"activa",tblMatriculas[[#This Row],[Clases dictadas]]=""),"",MAX(0,tblMatriculas[[#This Row],[Clases dictadas]]-tblMatriculas[[#This Row],[Asistidas]]))</f>
        <v>0</v>
      </c>
      <c r="P1343" s="1">
        <f>IF(OR(tblMatriculas[[#This Row],[Estado]]&lt;&gt;"activa",tblMatriculas[[#This Row],[Asistidas]]=""),"",tblMatriculas[[#This Row],[Asistencia]])</f>
        <v>0.13300000000000001</v>
      </c>
      <c r="Q1343" t="b">
        <f>AND(tblMatriculas[[#This Row],[Estado]]="activa",ISNUMBER(tblMatriculas[[#This Row],[% asistencia]]),NOT(ISNUMBER(SEARCH(pPrueba,tblMatriculas[[#This Row],[Nombre]]))))</f>
        <v>1</v>
      </c>
      <c r="R13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3" s="23" t="str" cm="1">
        <f t="array" ref="S13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3" s="23" t="str" cm="1">
        <f t="array" ref="T13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3" s="14" t="str" cm="1">
        <f t="array" ref="U13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3" t="str" cm="1">
        <f t="array" ref="V13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3" t="str" cm="1">
        <f t="array" ref="W13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3" t="str">
        <f>IF(COUNTIFS('Base Estudiantes'!$C:$C,tblMatriculas[[#This Row],[Cédula]],'Base Estudiantes'!$I:$I,tblMatriculas[[#This Row],[Código]])&gt;0,"Sí","No")</f>
        <v>Sí</v>
      </c>
      <c r="Z1343" s="23" cm="1">
        <f t="array" ref="Z1343">_xlfn.XLOOKUP(tblMatriculas[[#This Row],[Cédula]]&amp;"|"&amp;tblMatriculas[[#This Row],[Código]],tblBase[Documento]&amp;"|"&amp;tblBase[Código grupo],tblBase[Fecha matrícula],"")</f>
        <v>46263</v>
      </c>
    </row>
    <row r="1344" spans="1:26" x14ac:dyDescent="0.2">
      <c r="A1344" t="s">
        <v>2833</v>
      </c>
      <c r="B1344" t="s">
        <v>2834</v>
      </c>
      <c r="C1344" t="s">
        <v>13</v>
      </c>
      <c r="D1344" t="s">
        <v>2792</v>
      </c>
      <c r="E1344" t="s">
        <v>2793</v>
      </c>
      <c r="F1344" t="s">
        <v>516</v>
      </c>
      <c r="G1344" s="1">
        <v>0</v>
      </c>
      <c r="H1344" t="s">
        <v>254</v>
      </c>
      <c r="I1344" t="s">
        <v>1580</v>
      </c>
      <c r="J1344" t="s">
        <v>2451</v>
      </c>
      <c r="K1344" t="s">
        <v>24</v>
      </c>
      <c r="L1344" s="14">
        <f>IFERROR(VALUE(LEFT(tblMatriculas[[#This Row],[Clases]],FIND("/",tblMatriculas[[#This Row],[Clases]])-1)),"")</f>
        <v>0</v>
      </c>
      <c r="M1344" s="14">
        <f>IFERROR(VALUE(MID(tblMatriculas[[#This Row],[Clases]],FIND("/",tblMatriculas[[#This Row],[Clases]])+1,5)),"")</f>
        <v>30</v>
      </c>
      <c r="N13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4" s="14">
        <f>IF(OR(tblMatriculas[[#This Row],[Estado]]&lt;&gt;"activa",tblMatriculas[[#This Row],[Clases dictadas]]=""),"",MAX(0,tblMatriculas[[#This Row],[Clases dictadas]]-tblMatriculas[[#This Row],[Asistidas]]))</f>
        <v>4</v>
      </c>
      <c r="P1344" s="1">
        <f>IF(OR(tblMatriculas[[#This Row],[Estado]]&lt;&gt;"activa",tblMatriculas[[#This Row],[Asistidas]]=""),"",tblMatriculas[[#This Row],[Asistencia]])</f>
        <v>0</v>
      </c>
      <c r="Q1344" t="b">
        <f>AND(tblMatriculas[[#This Row],[Estado]]="activa",ISNUMBER(tblMatriculas[[#This Row],[% asistencia]]),NOT(ISNUMBER(SEARCH(pPrueba,tblMatriculas[[#This Row],[Nombre]]))))</f>
        <v>1</v>
      </c>
      <c r="R13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44" s="23" t="str" cm="1">
        <f t="array" ref="S13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4" s="23" t="str" cm="1">
        <f t="array" ref="T13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4" s="14" t="str" cm="1">
        <f t="array" ref="U13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4" t="str" cm="1">
        <f t="array" ref="V13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4" t="str" cm="1">
        <f t="array" ref="W13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44" t="str">
        <f>IF(COUNTIFS('Base Estudiantes'!$C:$C,tblMatriculas[[#This Row],[Cédula]],'Base Estudiantes'!$I:$I,tblMatriculas[[#This Row],[Código]])&gt;0,"Sí","No")</f>
        <v>Sí</v>
      </c>
      <c r="Z1344" s="23" cm="1">
        <f t="array" ref="Z1344">_xlfn.XLOOKUP(tblMatriculas[[#This Row],[Cédula]]&amp;"|"&amp;tblMatriculas[[#This Row],[Código]],tblBase[Documento]&amp;"|"&amp;tblBase[Código grupo],tblBase[Fecha matrícula],"")</f>
        <v>46263</v>
      </c>
    </row>
    <row r="1345" spans="1:26" x14ac:dyDescent="0.2">
      <c r="A1345" t="s">
        <v>2835</v>
      </c>
      <c r="B1345" t="s">
        <v>2836</v>
      </c>
      <c r="C1345" t="s">
        <v>13</v>
      </c>
      <c r="D1345" t="s">
        <v>2792</v>
      </c>
      <c r="E1345" t="s">
        <v>2793</v>
      </c>
      <c r="F1345" t="s">
        <v>516</v>
      </c>
      <c r="G1345" s="1">
        <v>0.13300000000000001</v>
      </c>
      <c r="H1345" t="s">
        <v>112</v>
      </c>
      <c r="I1345" t="s">
        <v>1580</v>
      </c>
      <c r="J1345" t="s">
        <v>2451</v>
      </c>
      <c r="K1345" t="s">
        <v>24</v>
      </c>
      <c r="L1345" s="14">
        <f>IFERROR(VALUE(LEFT(tblMatriculas[[#This Row],[Clases]],FIND("/",tblMatriculas[[#This Row],[Clases]])-1)),"")</f>
        <v>4</v>
      </c>
      <c r="M1345" s="14">
        <f>IFERROR(VALUE(MID(tblMatriculas[[#This Row],[Clases]],FIND("/",tblMatriculas[[#This Row],[Clases]])+1,5)),"")</f>
        <v>30</v>
      </c>
      <c r="N13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5" s="14">
        <f>IF(OR(tblMatriculas[[#This Row],[Estado]]&lt;&gt;"activa",tblMatriculas[[#This Row],[Clases dictadas]]=""),"",MAX(0,tblMatriculas[[#This Row],[Clases dictadas]]-tblMatriculas[[#This Row],[Asistidas]]))</f>
        <v>0</v>
      </c>
      <c r="P1345" s="1">
        <f>IF(OR(tblMatriculas[[#This Row],[Estado]]&lt;&gt;"activa",tblMatriculas[[#This Row],[Asistidas]]=""),"",tblMatriculas[[#This Row],[Asistencia]])</f>
        <v>0.13300000000000001</v>
      </c>
      <c r="Q1345" t="b">
        <f>AND(tblMatriculas[[#This Row],[Estado]]="activa",ISNUMBER(tblMatriculas[[#This Row],[% asistencia]]),NOT(ISNUMBER(SEARCH(pPrueba,tblMatriculas[[#This Row],[Nombre]]))))</f>
        <v>1</v>
      </c>
      <c r="R13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5" s="23" t="str" cm="1">
        <f t="array" ref="S13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5" s="23" t="str" cm="1">
        <f t="array" ref="T13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5" s="14" t="str" cm="1">
        <f t="array" ref="U13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5" t="str" cm="1">
        <f t="array" ref="V13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5" t="str" cm="1">
        <f t="array" ref="W13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5" t="str">
        <f>IF(COUNTIFS('Base Estudiantes'!$C:$C,tblMatriculas[[#This Row],[Cédula]],'Base Estudiantes'!$I:$I,tblMatriculas[[#This Row],[Código]])&gt;0,"Sí","No")</f>
        <v>Sí</v>
      </c>
      <c r="Z1345" s="23" cm="1">
        <f t="array" ref="Z1345">_xlfn.XLOOKUP(tblMatriculas[[#This Row],[Cédula]]&amp;"|"&amp;tblMatriculas[[#This Row],[Código]],tblBase[Documento]&amp;"|"&amp;tblBase[Código grupo],tblBase[Fecha matrícula],"")</f>
        <v>46263</v>
      </c>
    </row>
    <row r="1346" spans="1:26" x14ac:dyDescent="0.2">
      <c r="A1346" t="s">
        <v>2837</v>
      </c>
      <c r="B1346" t="s">
        <v>2838</v>
      </c>
      <c r="C1346" t="s">
        <v>13</v>
      </c>
      <c r="D1346" t="s">
        <v>2792</v>
      </c>
      <c r="E1346" t="s">
        <v>2793</v>
      </c>
      <c r="F1346" t="s">
        <v>516</v>
      </c>
      <c r="G1346" s="1">
        <v>0.13300000000000001</v>
      </c>
      <c r="H1346" t="s">
        <v>112</v>
      </c>
      <c r="I1346" t="s">
        <v>1580</v>
      </c>
      <c r="J1346" t="s">
        <v>2451</v>
      </c>
      <c r="K1346" t="s">
        <v>24</v>
      </c>
      <c r="L1346" s="14">
        <f>IFERROR(VALUE(LEFT(tblMatriculas[[#This Row],[Clases]],FIND("/",tblMatriculas[[#This Row],[Clases]])-1)),"")</f>
        <v>4</v>
      </c>
      <c r="M1346" s="14">
        <f>IFERROR(VALUE(MID(tblMatriculas[[#This Row],[Clases]],FIND("/",tblMatriculas[[#This Row],[Clases]])+1,5)),"")</f>
        <v>30</v>
      </c>
      <c r="N13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6" s="14">
        <f>IF(OR(tblMatriculas[[#This Row],[Estado]]&lt;&gt;"activa",tblMatriculas[[#This Row],[Clases dictadas]]=""),"",MAX(0,tblMatriculas[[#This Row],[Clases dictadas]]-tblMatriculas[[#This Row],[Asistidas]]))</f>
        <v>0</v>
      </c>
      <c r="P1346" s="1">
        <f>IF(OR(tblMatriculas[[#This Row],[Estado]]&lt;&gt;"activa",tblMatriculas[[#This Row],[Asistidas]]=""),"",tblMatriculas[[#This Row],[Asistencia]])</f>
        <v>0.13300000000000001</v>
      </c>
      <c r="Q1346" t="b">
        <f>AND(tblMatriculas[[#This Row],[Estado]]="activa",ISNUMBER(tblMatriculas[[#This Row],[% asistencia]]),NOT(ISNUMBER(SEARCH(pPrueba,tblMatriculas[[#This Row],[Nombre]]))))</f>
        <v>1</v>
      </c>
      <c r="R13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6" s="23" t="str" cm="1">
        <f t="array" ref="S13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6" s="23" t="str" cm="1">
        <f t="array" ref="T13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6" s="14" t="str" cm="1">
        <f t="array" ref="U13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6" t="str" cm="1">
        <f t="array" ref="V13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6" t="str" cm="1">
        <f t="array" ref="W13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6" t="str">
        <f>IF(COUNTIFS('Base Estudiantes'!$C:$C,tblMatriculas[[#This Row],[Cédula]],'Base Estudiantes'!$I:$I,tblMatriculas[[#This Row],[Código]])&gt;0,"Sí","No")</f>
        <v>Sí</v>
      </c>
      <c r="Z1346" s="23" cm="1">
        <f t="array" ref="Z1346">_xlfn.XLOOKUP(tblMatriculas[[#This Row],[Cédula]]&amp;"|"&amp;tblMatriculas[[#This Row],[Código]],tblBase[Documento]&amp;"|"&amp;tblBase[Código grupo],tblBase[Fecha matrícula],"")</f>
        <v>46263</v>
      </c>
    </row>
    <row r="1347" spans="1:26" x14ac:dyDescent="0.2">
      <c r="A1347" t="s">
        <v>2839</v>
      </c>
      <c r="B1347" t="s">
        <v>2840</v>
      </c>
      <c r="C1347" t="s">
        <v>13</v>
      </c>
      <c r="D1347" t="s">
        <v>2792</v>
      </c>
      <c r="E1347" t="s">
        <v>2793</v>
      </c>
      <c r="F1347" t="s">
        <v>516</v>
      </c>
      <c r="G1347" s="1">
        <v>0.13300000000000001</v>
      </c>
      <c r="H1347" t="s">
        <v>112</v>
      </c>
      <c r="I1347" t="s">
        <v>1580</v>
      </c>
      <c r="J1347" t="s">
        <v>2451</v>
      </c>
      <c r="K1347" t="s">
        <v>24</v>
      </c>
      <c r="L1347" s="14">
        <f>IFERROR(VALUE(LEFT(tblMatriculas[[#This Row],[Clases]],FIND("/",tblMatriculas[[#This Row],[Clases]])-1)),"")</f>
        <v>4</v>
      </c>
      <c r="M1347" s="14">
        <f>IFERROR(VALUE(MID(tblMatriculas[[#This Row],[Clases]],FIND("/",tblMatriculas[[#This Row],[Clases]])+1,5)),"")</f>
        <v>30</v>
      </c>
      <c r="N13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7" s="14">
        <f>IF(OR(tblMatriculas[[#This Row],[Estado]]&lt;&gt;"activa",tblMatriculas[[#This Row],[Clases dictadas]]=""),"",MAX(0,tblMatriculas[[#This Row],[Clases dictadas]]-tblMatriculas[[#This Row],[Asistidas]]))</f>
        <v>0</v>
      </c>
      <c r="P1347" s="1">
        <f>IF(OR(tblMatriculas[[#This Row],[Estado]]&lt;&gt;"activa",tblMatriculas[[#This Row],[Asistidas]]=""),"",tblMatriculas[[#This Row],[Asistencia]])</f>
        <v>0.13300000000000001</v>
      </c>
      <c r="Q1347" t="b">
        <f>AND(tblMatriculas[[#This Row],[Estado]]="activa",ISNUMBER(tblMatriculas[[#This Row],[% asistencia]]),NOT(ISNUMBER(SEARCH(pPrueba,tblMatriculas[[#This Row],[Nombre]]))))</f>
        <v>1</v>
      </c>
      <c r="R13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7" s="23" t="str" cm="1">
        <f t="array" ref="S13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7" s="23" t="str" cm="1">
        <f t="array" ref="T13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7" s="14" t="str" cm="1">
        <f t="array" ref="U13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7" t="str" cm="1">
        <f t="array" ref="V13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7" t="str" cm="1">
        <f t="array" ref="W13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7" t="str">
        <f>IF(COUNTIFS('Base Estudiantes'!$C:$C,tblMatriculas[[#This Row],[Cédula]],'Base Estudiantes'!$I:$I,tblMatriculas[[#This Row],[Código]])&gt;0,"Sí","No")</f>
        <v>Sí</v>
      </c>
      <c r="Z1347" s="23" cm="1">
        <f t="array" ref="Z1347">_xlfn.XLOOKUP(tblMatriculas[[#This Row],[Cédula]]&amp;"|"&amp;tblMatriculas[[#This Row],[Código]],tblBase[Documento]&amp;"|"&amp;tblBase[Código grupo],tblBase[Fecha matrícula],"")</f>
        <v>46263</v>
      </c>
    </row>
    <row r="1348" spans="1:26" x14ac:dyDescent="0.2">
      <c r="A1348" t="s">
        <v>2841</v>
      </c>
      <c r="B1348" t="s">
        <v>2842</v>
      </c>
      <c r="C1348" t="s">
        <v>13</v>
      </c>
      <c r="D1348" t="s">
        <v>2792</v>
      </c>
      <c r="E1348" t="s">
        <v>2793</v>
      </c>
      <c r="F1348" t="s">
        <v>516</v>
      </c>
      <c r="G1348" s="1">
        <v>0.13300000000000001</v>
      </c>
      <c r="H1348" t="s">
        <v>112</v>
      </c>
      <c r="I1348" t="s">
        <v>1580</v>
      </c>
      <c r="J1348" t="s">
        <v>2451</v>
      </c>
      <c r="K1348" t="s">
        <v>24</v>
      </c>
      <c r="L1348" s="14">
        <f>IFERROR(VALUE(LEFT(tblMatriculas[[#This Row],[Clases]],FIND("/",tblMatriculas[[#This Row],[Clases]])-1)),"")</f>
        <v>4</v>
      </c>
      <c r="M1348" s="14">
        <f>IFERROR(VALUE(MID(tblMatriculas[[#This Row],[Clases]],FIND("/",tblMatriculas[[#This Row],[Clases]])+1,5)),"")</f>
        <v>30</v>
      </c>
      <c r="N13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8" s="14">
        <f>IF(OR(tblMatriculas[[#This Row],[Estado]]&lt;&gt;"activa",tblMatriculas[[#This Row],[Clases dictadas]]=""),"",MAX(0,tblMatriculas[[#This Row],[Clases dictadas]]-tblMatriculas[[#This Row],[Asistidas]]))</f>
        <v>0</v>
      </c>
      <c r="P1348" s="1">
        <f>IF(OR(tblMatriculas[[#This Row],[Estado]]&lt;&gt;"activa",tblMatriculas[[#This Row],[Asistidas]]=""),"",tblMatriculas[[#This Row],[Asistencia]])</f>
        <v>0.13300000000000001</v>
      </c>
      <c r="Q1348" t="b">
        <f>AND(tblMatriculas[[#This Row],[Estado]]="activa",ISNUMBER(tblMatriculas[[#This Row],[% asistencia]]),NOT(ISNUMBER(SEARCH(pPrueba,tblMatriculas[[#This Row],[Nombre]]))))</f>
        <v>1</v>
      </c>
      <c r="R13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48" s="23" t="str" cm="1">
        <f t="array" ref="S13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8" s="23" t="str" cm="1">
        <f t="array" ref="T13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8" s="14" t="str" cm="1">
        <f t="array" ref="U13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8" t="str" cm="1">
        <f t="array" ref="V13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8" t="str" cm="1">
        <f t="array" ref="W13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8" t="str">
        <f>IF(COUNTIFS('Base Estudiantes'!$C:$C,tblMatriculas[[#This Row],[Cédula]],'Base Estudiantes'!$I:$I,tblMatriculas[[#This Row],[Código]])&gt;0,"Sí","No")</f>
        <v>Sí</v>
      </c>
      <c r="Z1348" s="23" cm="1">
        <f t="array" ref="Z1348">_xlfn.XLOOKUP(tblMatriculas[[#This Row],[Cédula]]&amp;"|"&amp;tblMatriculas[[#This Row],[Código]],tblBase[Documento]&amp;"|"&amp;tblBase[Código grupo],tblBase[Fecha matrícula],"")</f>
        <v>46263</v>
      </c>
    </row>
    <row r="1349" spans="1:26" x14ac:dyDescent="0.2">
      <c r="A1349" t="s">
        <v>2843</v>
      </c>
      <c r="B1349" t="s">
        <v>2844</v>
      </c>
      <c r="C1349" t="s">
        <v>49</v>
      </c>
      <c r="D1349" t="s">
        <v>2792</v>
      </c>
      <c r="E1349" t="s">
        <v>2793</v>
      </c>
      <c r="F1349" t="s">
        <v>516</v>
      </c>
      <c r="G1349" s="1">
        <v>0</v>
      </c>
      <c r="H1349" t="s">
        <v>254</v>
      </c>
      <c r="I1349" t="s">
        <v>1580</v>
      </c>
      <c r="J1349" t="s">
        <v>2451</v>
      </c>
      <c r="K1349" t="s">
        <v>24</v>
      </c>
      <c r="L1349" s="14">
        <f>IFERROR(VALUE(LEFT(tblMatriculas[[#This Row],[Clases]],FIND("/",tblMatriculas[[#This Row],[Clases]])-1)),"")</f>
        <v>0</v>
      </c>
      <c r="M1349" s="14">
        <f>IFERROR(VALUE(MID(tblMatriculas[[#This Row],[Clases]],FIND("/",tblMatriculas[[#This Row],[Clases]])+1,5)),"")</f>
        <v>30</v>
      </c>
      <c r="N13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49" s="14" t="str">
        <f>IF(OR(tblMatriculas[[#This Row],[Estado]]&lt;&gt;"activa",tblMatriculas[[#This Row],[Clases dictadas]]=""),"",MAX(0,tblMatriculas[[#This Row],[Clases dictadas]]-tblMatriculas[[#This Row],[Asistidas]]))</f>
        <v/>
      </c>
      <c r="P1349" s="1" t="str">
        <f>IF(OR(tblMatriculas[[#This Row],[Estado]]&lt;&gt;"activa",tblMatriculas[[#This Row],[Asistidas]]=""),"",tblMatriculas[[#This Row],[Asistencia]])</f>
        <v/>
      </c>
      <c r="Q1349" t="b">
        <f>AND(tblMatriculas[[#This Row],[Estado]]="activa",ISNUMBER(tblMatriculas[[#This Row],[% asistencia]]),NOT(ISNUMBER(SEARCH(pPrueba,tblMatriculas[[#This Row],[Nombre]]))))</f>
        <v>0</v>
      </c>
      <c r="R13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49" s="23" t="str" cm="1">
        <f t="array" ref="S13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49" s="23" t="str" cm="1">
        <f t="array" ref="T13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49" s="14" t="str" cm="1">
        <f t="array" ref="U13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49" t="str" cm="1">
        <f t="array" ref="V13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49" t="str" cm="1">
        <f t="array" ref="W13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49" t="str">
        <f>IF(COUNTIFS('Base Estudiantes'!$C:$C,tblMatriculas[[#This Row],[Cédula]],'Base Estudiantes'!$I:$I,tblMatriculas[[#This Row],[Código]])&gt;0,"Sí","No")</f>
        <v>No</v>
      </c>
      <c r="Z1349" s="23" t="str" cm="1">
        <f t="array" ref="Z1349">_xlfn.XLOOKUP(tblMatriculas[[#This Row],[Cédula]]&amp;"|"&amp;tblMatriculas[[#This Row],[Código]],tblBase[Documento]&amp;"|"&amp;tblBase[Código grupo],tblBase[Fecha matrícula],"")</f>
        <v/>
      </c>
    </row>
    <row r="1350" spans="1:26" x14ac:dyDescent="0.2">
      <c r="A1350" t="s">
        <v>2845</v>
      </c>
      <c r="B1350" t="s">
        <v>2846</v>
      </c>
      <c r="C1350" t="s">
        <v>49</v>
      </c>
      <c r="D1350" t="s">
        <v>2792</v>
      </c>
      <c r="E1350" t="s">
        <v>2793</v>
      </c>
      <c r="F1350" t="s">
        <v>516</v>
      </c>
      <c r="G1350" s="1">
        <v>0</v>
      </c>
      <c r="H1350" t="s">
        <v>254</v>
      </c>
      <c r="I1350" t="s">
        <v>1580</v>
      </c>
      <c r="J1350" t="s">
        <v>2451</v>
      </c>
      <c r="K1350" t="s">
        <v>24</v>
      </c>
      <c r="L1350" s="14">
        <f>IFERROR(VALUE(LEFT(tblMatriculas[[#This Row],[Clases]],FIND("/",tblMatriculas[[#This Row],[Clases]])-1)),"")</f>
        <v>0</v>
      </c>
      <c r="M1350" s="14">
        <f>IFERROR(VALUE(MID(tblMatriculas[[#This Row],[Clases]],FIND("/",tblMatriculas[[#This Row],[Clases]])+1,5)),"")</f>
        <v>30</v>
      </c>
      <c r="N13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0" s="14" t="str">
        <f>IF(OR(tblMatriculas[[#This Row],[Estado]]&lt;&gt;"activa",tblMatriculas[[#This Row],[Clases dictadas]]=""),"",MAX(0,tblMatriculas[[#This Row],[Clases dictadas]]-tblMatriculas[[#This Row],[Asistidas]]))</f>
        <v/>
      </c>
      <c r="P1350" s="1" t="str">
        <f>IF(OR(tblMatriculas[[#This Row],[Estado]]&lt;&gt;"activa",tblMatriculas[[#This Row],[Asistidas]]=""),"",tblMatriculas[[#This Row],[Asistencia]])</f>
        <v/>
      </c>
      <c r="Q1350" t="b">
        <f>AND(tblMatriculas[[#This Row],[Estado]]="activa",ISNUMBER(tblMatriculas[[#This Row],[% asistencia]]),NOT(ISNUMBER(SEARCH(pPrueba,tblMatriculas[[#This Row],[Nombre]]))))</f>
        <v>0</v>
      </c>
      <c r="R13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50" s="23" t="str" cm="1">
        <f t="array" ref="S13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0" s="23" t="str" cm="1">
        <f t="array" ref="T13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0" s="14" t="str" cm="1">
        <f t="array" ref="U13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0" t="str" cm="1">
        <f t="array" ref="V13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0" t="str" cm="1">
        <f t="array" ref="W13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0" t="str">
        <f>IF(COUNTIFS('Base Estudiantes'!$C:$C,tblMatriculas[[#This Row],[Cédula]],'Base Estudiantes'!$I:$I,tblMatriculas[[#This Row],[Código]])&gt;0,"Sí","No")</f>
        <v>No</v>
      </c>
      <c r="Z1350" s="23" t="str" cm="1">
        <f t="array" ref="Z1350">_xlfn.XLOOKUP(tblMatriculas[[#This Row],[Cédula]]&amp;"|"&amp;tblMatriculas[[#This Row],[Código]],tblBase[Documento]&amp;"|"&amp;tblBase[Código grupo],tblBase[Fecha matrícula],"")</f>
        <v/>
      </c>
    </row>
    <row r="1351" spans="1:26" x14ac:dyDescent="0.2">
      <c r="A1351" t="s">
        <v>2847</v>
      </c>
      <c r="B1351" t="s">
        <v>2848</v>
      </c>
      <c r="C1351" t="s">
        <v>13</v>
      </c>
      <c r="D1351" t="s">
        <v>2792</v>
      </c>
      <c r="E1351" t="s">
        <v>2793</v>
      </c>
      <c r="F1351" t="s">
        <v>516</v>
      </c>
      <c r="G1351" s="1">
        <v>0.13300000000000001</v>
      </c>
      <c r="H1351" t="s">
        <v>112</v>
      </c>
      <c r="I1351" t="s">
        <v>1580</v>
      </c>
      <c r="J1351" t="s">
        <v>2451</v>
      </c>
      <c r="K1351" t="s">
        <v>1967</v>
      </c>
      <c r="L1351" s="14">
        <f>IFERROR(VALUE(LEFT(tblMatriculas[[#This Row],[Clases]],FIND("/",tblMatriculas[[#This Row],[Clases]])-1)),"")</f>
        <v>4</v>
      </c>
      <c r="M1351" s="14">
        <f>IFERROR(VALUE(MID(tblMatriculas[[#This Row],[Clases]],FIND("/",tblMatriculas[[#This Row],[Clases]])+1,5)),"")</f>
        <v>30</v>
      </c>
      <c r="N13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1" s="14">
        <f>IF(OR(tblMatriculas[[#This Row],[Estado]]&lt;&gt;"activa",tblMatriculas[[#This Row],[Clases dictadas]]=""),"",MAX(0,tblMatriculas[[#This Row],[Clases dictadas]]-tblMatriculas[[#This Row],[Asistidas]]))</f>
        <v>0</v>
      </c>
      <c r="P1351" s="1">
        <f>IF(OR(tblMatriculas[[#This Row],[Estado]]&lt;&gt;"activa",tblMatriculas[[#This Row],[Asistidas]]=""),"",tblMatriculas[[#This Row],[Asistencia]])</f>
        <v>0.13300000000000001</v>
      </c>
      <c r="Q1351" t="b">
        <f>AND(tblMatriculas[[#This Row],[Estado]]="activa",ISNUMBER(tblMatriculas[[#This Row],[% asistencia]]),NOT(ISNUMBER(SEARCH(pPrueba,tblMatriculas[[#This Row],[Nombre]]))))</f>
        <v>1</v>
      </c>
      <c r="R13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51" s="23" t="str" cm="1">
        <f t="array" ref="S13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1" s="23" t="str" cm="1">
        <f t="array" ref="T13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1" s="14" t="str" cm="1">
        <f t="array" ref="U13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1" t="str" cm="1">
        <f t="array" ref="V13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1" t="str" cm="1">
        <f t="array" ref="W13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1" t="str">
        <f>IF(COUNTIFS('Base Estudiantes'!$C:$C,tblMatriculas[[#This Row],[Cédula]],'Base Estudiantes'!$I:$I,tblMatriculas[[#This Row],[Código]])&gt;0,"Sí","No")</f>
        <v>Sí</v>
      </c>
      <c r="Z1351" s="23" cm="1">
        <f t="array" ref="Z1351">_xlfn.XLOOKUP(tblMatriculas[[#This Row],[Cédula]]&amp;"|"&amp;tblMatriculas[[#This Row],[Código]],tblBase[Documento]&amp;"|"&amp;tblBase[Código grupo],tblBase[Fecha matrícula],"")</f>
        <v>46263</v>
      </c>
    </row>
    <row r="1352" spans="1:26" x14ac:dyDescent="0.2">
      <c r="A1352" t="s">
        <v>2849</v>
      </c>
      <c r="B1352" t="s">
        <v>2850</v>
      </c>
      <c r="C1352" t="s">
        <v>13</v>
      </c>
      <c r="D1352" t="s">
        <v>2792</v>
      </c>
      <c r="E1352" t="s">
        <v>2793</v>
      </c>
      <c r="F1352" t="s">
        <v>516</v>
      </c>
      <c r="G1352" s="1">
        <v>0.13300000000000001</v>
      </c>
      <c r="H1352" t="s">
        <v>112</v>
      </c>
      <c r="I1352" t="s">
        <v>1580</v>
      </c>
      <c r="J1352" t="s">
        <v>2451</v>
      </c>
      <c r="K1352" t="s">
        <v>1967</v>
      </c>
      <c r="L1352" s="14">
        <f>IFERROR(VALUE(LEFT(tblMatriculas[[#This Row],[Clases]],FIND("/",tblMatriculas[[#This Row],[Clases]])-1)),"")</f>
        <v>4</v>
      </c>
      <c r="M1352" s="14">
        <f>IFERROR(VALUE(MID(tblMatriculas[[#This Row],[Clases]],FIND("/",tblMatriculas[[#This Row],[Clases]])+1,5)),"")</f>
        <v>30</v>
      </c>
      <c r="N13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2" s="14">
        <f>IF(OR(tblMatriculas[[#This Row],[Estado]]&lt;&gt;"activa",tblMatriculas[[#This Row],[Clases dictadas]]=""),"",MAX(0,tblMatriculas[[#This Row],[Clases dictadas]]-tblMatriculas[[#This Row],[Asistidas]]))</f>
        <v>0</v>
      </c>
      <c r="P1352" s="1">
        <f>IF(OR(tblMatriculas[[#This Row],[Estado]]&lt;&gt;"activa",tblMatriculas[[#This Row],[Asistidas]]=""),"",tblMatriculas[[#This Row],[Asistencia]])</f>
        <v>0.13300000000000001</v>
      </c>
      <c r="Q1352" t="b">
        <f>AND(tblMatriculas[[#This Row],[Estado]]="activa",ISNUMBER(tblMatriculas[[#This Row],[% asistencia]]),NOT(ISNUMBER(SEARCH(pPrueba,tblMatriculas[[#This Row],[Nombre]]))))</f>
        <v>1</v>
      </c>
      <c r="R13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52" s="23" t="str" cm="1">
        <f t="array" ref="S13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2" s="23" t="str" cm="1">
        <f t="array" ref="T13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2" s="14" t="str" cm="1">
        <f t="array" ref="U13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2" t="str" cm="1">
        <f t="array" ref="V13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2" t="str" cm="1">
        <f t="array" ref="W13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2" t="str">
        <f>IF(COUNTIFS('Base Estudiantes'!$C:$C,tblMatriculas[[#This Row],[Cédula]],'Base Estudiantes'!$I:$I,tblMatriculas[[#This Row],[Código]])&gt;0,"Sí","No")</f>
        <v>Sí</v>
      </c>
      <c r="Z1352" s="23" cm="1">
        <f t="array" ref="Z1352">_xlfn.XLOOKUP(tblMatriculas[[#This Row],[Cédula]]&amp;"|"&amp;tblMatriculas[[#This Row],[Código]],tblBase[Documento]&amp;"|"&amp;tblBase[Código grupo],tblBase[Fecha matrícula],"")</f>
        <v>46263</v>
      </c>
    </row>
    <row r="1353" spans="1:26" x14ac:dyDescent="0.2">
      <c r="A1353" t="s">
        <v>2851</v>
      </c>
      <c r="B1353" t="s">
        <v>2852</v>
      </c>
      <c r="C1353" t="s">
        <v>13</v>
      </c>
      <c r="D1353" t="s">
        <v>2792</v>
      </c>
      <c r="E1353" t="s">
        <v>2793</v>
      </c>
      <c r="F1353" t="s">
        <v>516</v>
      </c>
      <c r="G1353" s="1">
        <v>0</v>
      </c>
      <c r="H1353" t="s">
        <v>254</v>
      </c>
      <c r="I1353" t="s">
        <v>1580</v>
      </c>
      <c r="J1353" t="s">
        <v>2451</v>
      </c>
      <c r="K1353" t="s">
        <v>1781</v>
      </c>
      <c r="L1353" s="14">
        <f>IFERROR(VALUE(LEFT(tblMatriculas[[#This Row],[Clases]],FIND("/",tblMatriculas[[#This Row],[Clases]])-1)),"")</f>
        <v>0</v>
      </c>
      <c r="M1353" s="14">
        <f>IFERROR(VALUE(MID(tblMatriculas[[#This Row],[Clases]],FIND("/",tblMatriculas[[#This Row],[Clases]])+1,5)),"")</f>
        <v>30</v>
      </c>
      <c r="N13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3" s="14">
        <f>IF(OR(tblMatriculas[[#This Row],[Estado]]&lt;&gt;"activa",tblMatriculas[[#This Row],[Clases dictadas]]=""),"",MAX(0,tblMatriculas[[#This Row],[Clases dictadas]]-tblMatriculas[[#This Row],[Asistidas]]))</f>
        <v>4</v>
      </c>
      <c r="P1353" s="1">
        <f>IF(OR(tblMatriculas[[#This Row],[Estado]]&lt;&gt;"activa",tblMatriculas[[#This Row],[Asistidas]]=""),"",tblMatriculas[[#This Row],[Asistencia]])</f>
        <v>0</v>
      </c>
      <c r="Q1353" t="b">
        <f>AND(tblMatriculas[[#This Row],[Estado]]="activa",ISNUMBER(tblMatriculas[[#This Row],[% asistencia]]),NOT(ISNUMBER(SEARCH(pPrueba,tblMatriculas[[#This Row],[Nombre]]))))</f>
        <v>1</v>
      </c>
      <c r="R13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53" s="23" t="str" cm="1">
        <f t="array" ref="S13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3" s="23" t="str" cm="1">
        <f t="array" ref="T13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3" s="14" t="str" cm="1">
        <f t="array" ref="U13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3" t="str" cm="1">
        <f t="array" ref="V13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3" t="str" cm="1">
        <f t="array" ref="W13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53" t="str">
        <f>IF(COUNTIFS('Base Estudiantes'!$C:$C,tblMatriculas[[#This Row],[Cédula]],'Base Estudiantes'!$I:$I,tblMatriculas[[#This Row],[Código]])&gt;0,"Sí","No")</f>
        <v>Sí</v>
      </c>
      <c r="Z1353" s="23" cm="1">
        <f t="array" ref="Z1353">_xlfn.XLOOKUP(tblMatriculas[[#This Row],[Cédula]]&amp;"|"&amp;tblMatriculas[[#This Row],[Código]],tblBase[Documento]&amp;"|"&amp;tblBase[Código grupo],tblBase[Fecha matrícula],"")</f>
        <v>46263</v>
      </c>
    </row>
    <row r="1354" spans="1:26" x14ac:dyDescent="0.2">
      <c r="A1354" t="s">
        <v>2853</v>
      </c>
      <c r="B1354" t="s">
        <v>2854</v>
      </c>
      <c r="C1354" t="s">
        <v>13</v>
      </c>
      <c r="D1354" t="s">
        <v>2792</v>
      </c>
      <c r="E1354" t="s">
        <v>2793</v>
      </c>
      <c r="F1354" t="s">
        <v>516</v>
      </c>
      <c r="G1354" s="1">
        <v>0</v>
      </c>
      <c r="H1354" t="s">
        <v>254</v>
      </c>
      <c r="I1354" t="s">
        <v>1580</v>
      </c>
      <c r="J1354" t="s">
        <v>2451</v>
      </c>
      <c r="K1354" t="s">
        <v>2188</v>
      </c>
      <c r="L1354" s="14">
        <f>IFERROR(VALUE(LEFT(tblMatriculas[[#This Row],[Clases]],FIND("/",tblMatriculas[[#This Row],[Clases]])-1)),"")</f>
        <v>0</v>
      </c>
      <c r="M1354" s="14">
        <f>IFERROR(VALUE(MID(tblMatriculas[[#This Row],[Clases]],FIND("/",tblMatriculas[[#This Row],[Clases]])+1,5)),"")</f>
        <v>30</v>
      </c>
      <c r="N13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4" s="14">
        <f>IF(OR(tblMatriculas[[#This Row],[Estado]]&lt;&gt;"activa",tblMatriculas[[#This Row],[Clases dictadas]]=""),"",MAX(0,tblMatriculas[[#This Row],[Clases dictadas]]-tblMatriculas[[#This Row],[Asistidas]]))</f>
        <v>4</v>
      </c>
      <c r="P1354" s="1">
        <f>IF(OR(tblMatriculas[[#This Row],[Estado]]&lt;&gt;"activa",tblMatriculas[[#This Row],[Asistidas]]=""),"",tblMatriculas[[#This Row],[Asistencia]])</f>
        <v>0</v>
      </c>
      <c r="Q1354" t="b">
        <f>AND(tblMatriculas[[#This Row],[Estado]]="activa",ISNUMBER(tblMatriculas[[#This Row],[% asistencia]]),NOT(ISNUMBER(SEARCH(pPrueba,tblMatriculas[[#This Row],[Nombre]]))))</f>
        <v>1</v>
      </c>
      <c r="R13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54" s="23" t="str" cm="1">
        <f t="array" ref="S13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4" s="23" t="str" cm="1">
        <f t="array" ref="T13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4" s="14" t="str" cm="1">
        <f t="array" ref="U13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4" t="str" cm="1">
        <f t="array" ref="V13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4" t="str" cm="1">
        <f t="array" ref="W13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54" t="str">
        <f>IF(COUNTIFS('Base Estudiantes'!$C:$C,tblMatriculas[[#This Row],[Cédula]],'Base Estudiantes'!$I:$I,tblMatriculas[[#This Row],[Código]])&gt;0,"Sí","No")</f>
        <v>Sí</v>
      </c>
      <c r="Z1354" s="23" cm="1">
        <f t="array" ref="Z1354">_xlfn.XLOOKUP(tblMatriculas[[#This Row],[Cédula]]&amp;"|"&amp;tblMatriculas[[#This Row],[Código]],tblBase[Documento]&amp;"|"&amp;tblBase[Código grupo],tblBase[Fecha matrícula],"")</f>
        <v>46263</v>
      </c>
    </row>
    <row r="1355" spans="1:26" x14ac:dyDescent="0.2">
      <c r="A1355" t="s">
        <v>2855</v>
      </c>
      <c r="B1355" t="s">
        <v>2856</v>
      </c>
      <c r="C1355" t="s">
        <v>13</v>
      </c>
      <c r="D1355" t="s">
        <v>2792</v>
      </c>
      <c r="E1355" t="s">
        <v>2793</v>
      </c>
      <c r="F1355" t="s">
        <v>516</v>
      </c>
      <c r="G1355" s="1">
        <v>0.13300000000000001</v>
      </c>
      <c r="H1355" t="s">
        <v>112</v>
      </c>
      <c r="I1355" t="s">
        <v>1580</v>
      </c>
      <c r="J1355" t="s">
        <v>2451</v>
      </c>
      <c r="K1355" t="s">
        <v>1868</v>
      </c>
      <c r="L1355" s="14">
        <f>IFERROR(VALUE(LEFT(tblMatriculas[[#This Row],[Clases]],FIND("/",tblMatriculas[[#This Row],[Clases]])-1)),"")</f>
        <v>4</v>
      </c>
      <c r="M1355" s="14">
        <f>IFERROR(VALUE(MID(tblMatriculas[[#This Row],[Clases]],FIND("/",tblMatriculas[[#This Row],[Clases]])+1,5)),"")</f>
        <v>30</v>
      </c>
      <c r="N13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5" s="14">
        <f>IF(OR(tblMatriculas[[#This Row],[Estado]]&lt;&gt;"activa",tblMatriculas[[#This Row],[Clases dictadas]]=""),"",MAX(0,tblMatriculas[[#This Row],[Clases dictadas]]-tblMatriculas[[#This Row],[Asistidas]]))</f>
        <v>0</v>
      </c>
      <c r="P1355" s="1">
        <f>IF(OR(tblMatriculas[[#This Row],[Estado]]&lt;&gt;"activa",tblMatriculas[[#This Row],[Asistidas]]=""),"",tblMatriculas[[#This Row],[Asistencia]])</f>
        <v>0.13300000000000001</v>
      </c>
      <c r="Q1355" t="b">
        <f>AND(tblMatriculas[[#This Row],[Estado]]="activa",ISNUMBER(tblMatriculas[[#This Row],[% asistencia]]),NOT(ISNUMBER(SEARCH(pPrueba,tblMatriculas[[#This Row],[Nombre]]))))</f>
        <v>1</v>
      </c>
      <c r="R13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55" s="23" t="str" cm="1">
        <f t="array" ref="S13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5" s="23" t="str" cm="1">
        <f t="array" ref="T13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5" s="14" t="str" cm="1">
        <f t="array" ref="U13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5" t="str" cm="1">
        <f t="array" ref="V13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5" t="str" cm="1">
        <f t="array" ref="W13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5" t="str">
        <f>IF(COUNTIFS('Base Estudiantes'!$C:$C,tblMatriculas[[#This Row],[Cédula]],'Base Estudiantes'!$I:$I,tblMatriculas[[#This Row],[Código]])&gt;0,"Sí","No")</f>
        <v>Sí</v>
      </c>
      <c r="Z1355" s="23" cm="1">
        <f t="array" ref="Z1355">_xlfn.XLOOKUP(tblMatriculas[[#This Row],[Cédula]]&amp;"|"&amp;tblMatriculas[[#This Row],[Código]],tblBase[Documento]&amp;"|"&amp;tblBase[Código grupo],tblBase[Fecha matrícula],"")</f>
        <v>46263</v>
      </c>
    </row>
    <row r="1356" spans="1:26" x14ac:dyDescent="0.2">
      <c r="A1356" t="s">
        <v>2857</v>
      </c>
      <c r="B1356" t="s">
        <v>2858</v>
      </c>
      <c r="C1356" t="s">
        <v>13</v>
      </c>
      <c r="D1356" t="s">
        <v>2792</v>
      </c>
      <c r="E1356" t="s">
        <v>2793</v>
      </c>
      <c r="F1356" t="s">
        <v>516</v>
      </c>
      <c r="G1356" s="1">
        <v>0.13300000000000001</v>
      </c>
      <c r="H1356" t="s">
        <v>112</v>
      </c>
      <c r="I1356" t="s">
        <v>1580</v>
      </c>
      <c r="J1356" t="s">
        <v>2451</v>
      </c>
      <c r="K1356" t="s">
        <v>1999</v>
      </c>
      <c r="L1356" s="14">
        <f>IFERROR(VALUE(LEFT(tblMatriculas[[#This Row],[Clases]],FIND("/",tblMatriculas[[#This Row],[Clases]])-1)),"")</f>
        <v>4</v>
      </c>
      <c r="M1356" s="14">
        <f>IFERROR(VALUE(MID(tblMatriculas[[#This Row],[Clases]],FIND("/",tblMatriculas[[#This Row],[Clases]])+1,5)),"")</f>
        <v>30</v>
      </c>
      <c r="N13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6" s="14">
        <f>IF(OR(tblMatriculas[[#This Row],[Estado]]&lt;&gt;"activa",tblMatriculas[[#This Row],[Clases dictadas]]=""),"",MAX(0,tblMatriculas[[#This Row],[Clases dictadas]]-tblMatriculas[[#This Row],[Asistidas]]))</f>
        <v>0</v>
      </c>
      <c r="P1356" s="1">
        <f>IF(OR(tblMatriculas[[#This Row],[Estado]]&lt;&gt;"activa",tblMatriculas[[#This Row],[Asistidas]]=""),"",tblMatriculas[[#This Row],[Asistencia]])</f>
        <v>0.13300000000000001</v>
      </c>
      <c r="Q1356" t="b">
        <f>AND(tblMatriculas[[#This Row],[Estado]]="activa",ISNUMBER(tblMatriculas[[#This Row],[% asistencia]]),NOT(ISNUMBER(SEARCH(pPrueba,tblMatriculas[[#This Row],[Nombre]]))))</f>
        <v>1</v>
      </c>
      <c r="R13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56" s="23" t="str" cm="1">
        <f t="array" ref="S13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6" s="23" t="str" cm="1">
        <f t="array" ref="T13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6" s="14" t="str" cm="1">
        <f t="array" ref="U13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6" t="str" cm="1">
        <f t="array" ref="V13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6" t="str" cm="1">
        <f t="array" ref="W13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6" t="str">
        <f>IF(COUNTIFS('Base Estudiantes'!$C:$C,tblMatriculas[[#This Row],[Cédula]],'Base Estudiantes'!$I:$I,tblMatriculas[[#This Row],[Código]])&gt;0,"Sí","No")</f>
        <v>Sí</v>
      </c>
      <c r="Z1356" s="23" cm="1">
        <f t="array" ref="Z1356">_xlfn.XLOOKUP(tblMatriculas[[#This Row],[Cédula]]&amp;"|"&amp;tblMatriculas[[#This Row],[Código]],tblBase[Documento]&amp;"|"&amp;tblBase[Código grupo],tblBase[Fecha matrícula],"")</f>
        <v>46263</v>
      </c>
    </row>
    <row r="1357" spans="1:26" x14ac:dyDescent="0.2">
      <c r="A1357" t="s">
        <v>2859</v>
      </c>
      <c r="B1357" t="s">
        <v>2860</v>
      </c>
      <c r="C1357" t="s">
        <v>49</v>
      </c>
      <c r="D1357" t="s">
        <v>2792</v>
      </c>
      <c r="E1357" t="s">
        <v>2793</v>
      </c>
      <c r="F1357" t="s">
        <v>516</v>
      </c>
      <c r="G1357" s="1">
        <v>0</v>
      </c>
      <c r="H1357" t="s">
        <v>254</v>
      </c>
      <c r="I1357" t="s">
        <v>1580</v>
      </c>
      <c r="J1357" t="s">
        <v>2451</v>
      </c>
      <c r="K1357" t="s">
        <v>1788</v>
      </c>
      <c r="L1357" s="14">
        <f>IFERROR(VALUE(LEFT(tblMatriculas[[#This Row],[Clases]],FIND("/",tblMatriculas[[#This Row],[Clases]])-1)),"")</f>
        <v>0</v>
      </c>
      <c r="M1357" s="14">
        <f>IFERROR(VALUE(MID(tblMatriculas[[#This Row],[Clases]],FIND("/",tblMatriculas[[#This Row],[Clases]])+1,5)),"")</f>
        <v>30</v>
      </c>
      <c r="N13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7" s="14" t="str">
        <f>IF(OR(tblMatriculas[[#This Row],[Estado]]&lt;&gt;"activa",tblMatriculas[[#This Row],[Clases dictadas]]=""),"",MAX(0,tblMatriculas[[#This Row],[Clases dictadas]]-tblMatriculas[[#This Row],[Asistidas]]))</f>
        <v/>
      </c>
      <c r="P1357" s="1" t="str">
        <f>IF(OR(tblMatriculas[[#This Row],[Estado]]&lt;&gt;"activa",tblMatriculas[[#This Row],[Asistidas]]=""),"",tblMatriculas[[#This Row],[Asistencia]])</f>
        <v/>
      </c>
      <c r="Q1357" t="b">
        <f>AND(tblMatriculas[[#This Row],[Estado]]="activa",ISNUMBER(tblMatriculas[[#This Row],[% asistencia]]),NOT(ISNUMBER(SEARCH(pPrueba,tblMatriculas[[#This Row],[Nombre]]))))</f>
        <v>0</v>
      </c>
      <c r="R13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57" s="23" t="str" cm="1">
        <f t="array" ref="S13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7" s="23" t="str" cm="1">
        <f t="array" ref="T13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7" s="14" t="str" cm="1">
        <f t="array" ref="U13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7" t="str" cm="1">
        <f t="array" ref="V13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7" t="str" cm="1">
        <f t="array" ref="W13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7" t="str">
        <f>IF(COUNTIFS('Base Estudiantes'!$C:$C,tblMatriculas[[#This Row],[Cédula]],'Base Estudiantes'!$I:$I,tblMatriculas[[#This Row],[Código]])&gt;0,"Sí","No")</f>
        <v>No</v>
      </c>
      <c r="Z1357" s="23" t="str" cm="1">
        <f t="array" ref="Z1357">_xlfn.XLOOKUP(tblMatriculas[[#This Row],[Cédula]]&amp;"|"&amp;tblMatriculas[[#This Row],[Código]],tblBase[Documento]&amp;"|"&amp;tblBase[Código grupo],tblBase[Fecha matrícula],"")</f>
        <v/>
      </c>
    </row>
    <row r="1358" spans="1:26" x14ac:dyDescent="0.2">
      <c r="A1358" t="s">
        <v>2861</v>
      </c>
      <c r="B1358" t="s">
        <v>2862</v>
      </c>
      <c r="C1358" t="s">
        <v>13</v>
      </c>
      <c r="D1358" t="s">
        <v>2792</v>
      </c>
      <c r="E1358" t="s">
        <v>2793</v>
      </c>
      <c r="F1358" t="s">
        <v>516</v>
      </c>
      <c r="G1358" s="1">
        <v>0</v>
      </c>
      <c r="H1358" t="s">
        <v>1128</v>
      </c>
      <c r="I1358" t="s">
        <v>1580</v>
      </c>
      <c r="J1358" t="s">
        <v>2451</v>
      </c>
      <c r="K1358" t="s">
        <v>1585</v>
      </c>
      <c r="L1358" s="14">
        <f>IFERROR(VALUE(LEFT(tblMatriculas[[#This Row],[Clases]],FIND("/",tblMatriculas[[#This Row],[Clases]])-1)),"")</f>
        <v>0</v>
      </c>
      <c r="M1358" s="14">
        <f>IFERROR(VALUE(MID(tblMatriculas[[#This Row],[Clases]],FIND("/",tblMatriculas[[#This Row],[Clases]])+1,5)),"")</f>
        <v>60</v>
      </c>
      <c r="N13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358" s="14">
        <f>IF(OR(tblMatriculas[[#This Row],[Estado]]&lt;&gt;"activa",tblMatriculas[[#This Row],[Clases dictadas]]=""),"",MAX(0,tblMatriculas[[#This Row],[Clases dictadas]]-tblMatriculas[[#This Row],[Asistidas]]))</f>
        <v>10</v>
      </c>
      <c r="P1358" s="1">
        <f>IF(OR(tblMatriculas[[#This Row],[Estado]]&lt;&gt;"activa",tblMatriculas[[#This Row],[Asistidas]]=""),"",tblMatriculas[[#This Row],[Asistencia]])</f>
        <v>0</v>
      </c>
      <c r="Q1358" t="b">
        <f>AND(tblMatriculas[[#This Row],[Estado]]="activa",ISNUMBER(tblMatriculas[[#This Row],[% asistencia]]),NOT(ISNUMBER(SEARCH(pPrueba,tblMatriculas[[#This Row],[Nombre]]))))</f>
        <v>1</v>
      </c>
      <c r="R13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58" s="23" t="str" cm="1">
        <f t="array" ref="S13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8" s="23" t="str" cm="1">
        <f t="array" ref="T13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8" s="14" t="str" cm="1">
        <f t="array" ref="U13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8" t="str" cm="1">
        <f t="array" ref="V13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8" t="str" cm="1">
        <f t="array" ref="W13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58" t="str">
        <f>IF(COUNTIFS('Base Estudiantes'!$C:$C,tblMatriculas[[#This Row],[Cédula]],'Base Estudiantes'!$I:$I,tblMatriculas[[#This Row],[Código]])&gt;0,"Sí","No")</f>
        <v>Sí</v>
      </c>
      <c r="Z1358" s="23" cm="1">
        <f t="array" ref="Z1358">_xlfn.XLOOKUP(tblMatriculas[[#This Row],[Cédula]]&amp;"|"&amp;tblMatriculas[[#This Row],[Código]],tblBase[Documento]&amp;"|"&amp;tblBase[Código grupo],tblBase[Fecha matrícula],"")</f>
        <v>46263</v>
      </c>
    </row>
    <row r="1359" spans="1:26" x14ac:dyDescent="0.2">
      <c r="A1359" t="s">
        <v>2863</v>
      </c>
      <c r="B1359" t="s">
        <v>2864</v>
      </c>
      <c r="C1359" t="s">
        <v>13</v>
      </c>
      <c r="D1359" t="s">
        <v>2792</v>
      </c>
      <c r="E1359" t="s">
        <v>2793</v>
      </c>
      <c r="F1359" t="s">
        <v>516</v>
      </c>
      <c r="G1359" s="1">
        <v>0.13300000000000001</v>
      </c>
      <c r="H1359" t="s">
        <v>112</v>
      </c>
      <c r="I1359" t="s">
        <v>1580</v>
      </c>
      <c r="J1359" t="s">
        <v>2451</v>
      </c>
      <c r="K1359" t="s">
        <v>1590</v>
      </c>
      <c r="L1359" s="14">
        <f>IFERROR(VALUE(LEFT(tblMatriculas[[#This Row],[Clases]],FIND("/",tblMatriculas[[#This Row],[Clases]])-1)),"")</f>
        <v>4</v>
      </c>
      <c r="M1359" s="14">
        <f>IFERROR(VALUE(MID(tblMatriculas[[#This Row],[Clases]],FIND("/",tblMatriculas[[#This Row],[Clases]])+1,5)),"")</f>
        <v>30</v>
      </c>
      <c r="N13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59" s="14">
        <f>IF(OR(tblMatriculas[[#This Row],[Estado]]&lt;&gt;"activa",tblMatriculas[[#This Row],[Clases dictadas]]=""),"",MAX(0,tblMatriculas[[#This Row],[Clases dictadas]]-tblMatriculas[[#This Row],[Asistidas]]))</f>
        <v>0</v>
      </c>
      <c r="P1359" s="1">
        <f>IF(OR(tblMatriculas[[#This Row],[Estado]]&lt;&gt;"activa",tblMatriculas[[#This Row],[Asistidas]]=""),"",tblMatriculas[[#This Row],[Asistencia]])</f>
        <v>0.13300000000000001</v>
      </c>
      <c r="Q1359" t="b">
        <f>AND(tblMatriculas[[#This Row],[Estado]]="activa",ISNUMBER(tblMatriculas[[#This Row],[% asistencia]]),NOT(ISNUMBER(SEARCH(pPrueba,tblMatriculas[[#This Row],[Nombre]]))))</f>
        <v>1</v>
      </c>
      <c r="R13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359" s="23" t="str" cm="1">
        <f t="array" ref="S13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59" s="23" t="str" cm="1">
        <f t="array" ref="T13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59" s="14" t="str" cm="1">
        <f t="array" ref="U13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59" t="str" cm="1">
        <f t="array" ref="V13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59" t="str" cm="1">
        <f t="array" ref="W13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59" t="str">
        <f>IF(COUNTIFS('Base Estudiantes'!$C:$C,tblMatriculas[[#This Row],[Cédula]],'Base Estudiantes'!$I:$I,tblMatriculas[[#This Row],[Código]])&gt;0,"Sí","No")</f>
        <v>Sí</v>
      </c>
      <c r="Z1359" s="23" cm="1">
        <f t="array" ref="Z1359">_xlfn.XLOOKUP(tblMatriculas[[#This Row],[Cédula]]&amp;"|"&amp;tblMatriculas[[#This Row],[Código]],tblBase[Documento]&amp;"|"&amp;tblBase[Código grupo],tblBase[Fecha matrícula],"")</f>
        <v>46263</v>
      </c>
    </row>
    <row r="1360" spans="1:26" x14ac:dyDescent="0.2">
      <c r="A1360" t="s">
        <v>2865</v>
      </c>
      <c r="B1360" t="s">
        <v>2866</v>
      </c>
      <c r="C1360" t="s">
        <v>13</v>
      </c>
      <c r="D1360" t="s">
        <v>2792</v>
      </c>
      <c r="E1360" t="s">
        <v>2793</v>
      </c>
      <c r="F1360" t="s">
        <v>516</v>
      </c>
      <c r="G1360" s="1">
        <v>0</v>
      </c>
      <c r="H1360" t="s">
        <v>1128</v>
      </c>
      <c r="I1360" t="s">
        <v>1580</v>
      </c>
      <c r="J1360" t="s">
        <v>2451</v>
      </c>
      <c r="K1360" t="s">
        <v>24</v>
      </c>
      <c r="L1360" s="14">
        <f>IFERROR(VALUE(LEFT(tblMatriculas[[#This Row],[Clases]],FIND("/",tblMatriculas[[#This Row],[Clases]])-1)),"")</f>
        <v>0</v>
      </c>
      <c r="M1360" s="14">
        <f>IFERROR(VALUE(MID(tblMatriculas[[#This Row],[Clases]],FIND("/",tblMatriculas[[#This Row],[Clases]])+1,5)),"")</f>
        <v>60</v>
      </c>
      <c r="N13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360" s="14">
        <f>IF(OR(tblMatriculas[[#This Row],[Estado]]&lt;&gt;"activa",tblMatriculas[[#This Row],[Clases dictadas]]=""),"",MAX(0,tblMatriculas[[#This Row],[Clases dictadas]]-tblMatriculas[[#This Row],[Asistidas]]))</f>
        <v>8</v>
      </c>
      <c r="P1360" s="1">
        <f>IF(OR(tblMatriculas[[#This Row],[Estado]]&lt;&gt;"activa",tblMatriculas[[#This Row],[Asistidas]]=""),"",tblMatriculas[[#This Row],[Asistencia]])</f>
        <v>0</v>
      </c>
      <c r="Q1360" t="b">
        <f>AND(tblMatriculas[[#This Row],[Estado]]="activa",ISNUMBER(tblMatriculas[[#This Row],[% asistencia]]),NOT(ISNUMBER(SEARCH(pPrueba,tblMatriculas[[#This Row],[Nombre]]))))</f>
        <v>1</v>
      </c>
      <c r="R13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60" s="23" t="str" cm="1">
        <f t="array" ref="S13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0" s="23" t="str" cm="1">
        <f t="array" ref="T13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0" s="14" t="str" cm="1">
        <f t="array" ref="U13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0" t="str" cm="1">
        <f t="array" ref="V13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0" t="str" cm="1">
        <f t="array" ref="W13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60" t="str">
        <f>IF(COUNTIFS('Base Estudiantes'!$C:$C,tblMatriculas[[#This Row],[Cédula]],'Base Estudiantes'!$I:$I,tblMatriculas[[#This Row],[Código]])&gt;0,"Sí","No")</f>
        <v>Sí</v>
      </c>
      <c r="Z1360" s="23" cm="1">
        <f t="array" ref="Z1360">_xlfn.XLOOKUP(tblMatriculas[[#This Row],[Cédula]]&amp;"|"&amp;tblMatriculas[[#This Row],[Código]],tblBase[Documento]&amp;"|"&amp;tblBase[Código grupo],tblBase[Fecha matrícula],"")</f>
        <v>46276</v>
      </c>
    </row>
    <row r="1361" spans="1:26" x14ac:dyDescent="0.2">
      <c r="A1361" t="s">
        <v>2867</v>
      </c>
      <c r="B1361" t="s">
        <v>2868</v>
      </c>
      <c r="C1361" t="s">
        <v>13</v>
      </c>
      <c r="D1361" t="s">
        <v>2869</v>
      </c>
      <c r="E1361" t="s">
        <v>2870</v>
      </c>
      <c r="F1361" t="s">
        <v>516</v>
      </c>
      <c r="G1361" s="1">
        <v>6.7000000000000004E-2</v>
      </c>
      <c r="H1361" t="s">
        <v>166</v>
      </c>
      <c r="I1361" t="s">
        <v>1580</v>
      </c>
      <c r="J1361" t="s">
        <v>2260</v>
      </c>
      <c r="K1361" t="s">
        <v>24</v>
      </c>
      <c r="L1361" s="14">
        <f>IFERROR(VALUE(LEFT(tblMatriculas[[#This Row],[Clases]],FIND("/",tblMatriculas[[#This Row],[Clases]])-1)),"")</f>
        <v>2</v>
      </c>
      <c r="M1361" s="14">
        <f>IFERROR(VALUE(MID(tblMatriculas[[#This Row],[Clases]],FIND("/",tblMatriculas[[#This Row],[Clases]])+1,5)),"")</f>
        <v>30</v>
      </c>
      <c r="N13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1" s="14">
        <f>IF(OR(tblMatriculas[[#This Row],[Estado]]&lt;&gt;"activa",tblMatriculas[[#This Row],[Clases dictadas]]=""),"",MAX(0,tblMatriculas[[#This Row],[Clases dictadas]]-tblMatriculas[[#This Row],[Asistidas]]))</f>
        <v>0</v>
      </c>
      <c r="P1361" s="1">
        <f>IF(OR(tblMatriculas[[#This Row],[Estado]]&lt;&gt;"activa",tblMatriculas[[#This Row],[Asistidas]]=""),"",tblMatriculas[[#This Row],[Asistencia]])</f>
        <v>6.7000000000000004E-2</v>
      </c>
      <c r="Q1361" t="b">
        <f>AND(tblMatriculas[[#This Row],[Estado]]="activa",ISNUMBER(tblMatriculas[[#This Row],[% asistencia]]),NOT(ISNUMBER(SEARCH(pPrueba,tblMatriculas[[#This Row],[Nombre]]))))</f>
        <v>1</v>
      </c>
      <c r="R13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1" s="23" t="str" cm="1">
        <f t="array" ref="S13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1" s="23" t="str" cm="1">
        <f t="array" ref="T13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1" s="14" t="str" cm="1">
        <f t="array" ref="U13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1" t="str" cm="1">
        <f t="array" ref="V13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1" t="str" cm="1">
        <f t="array" ref="W13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1" t="str">
        <f>IF(COUNTIFS('Base Estudiantes'!$C:$C,tblMatriculas[[#This Row],[Cédula]],'Base Estudiantes'!$I:$I,tblMatriculas[[#This Row],[Código]])&gt;0,"Sí","No")</f>
        <v>Sí</v>
      </c>
      <c r="Z1361" s="23" cm="1">
        <f t="array" ref="Z1361">_xlfn.XLOOKUP(tblMatriculas[[#This Row],[Cédula]]&amp;"|"&amp;tblMatriculas[[#This Row],[Código]],tblBase[Documento]&amp;"|"&amp;tblBase[Código grupo],tblBase[Fecha matrícula],"")</f>
        <v>46263</v>
      </c>
    </row>
    <row r="1362" spans="1:26" x14ac:dyDescent="0.2">
      <c r="A1362" t="s">
        <v>2871</v>
      </c>
      <c r="B1362" t="s">
        <v>2872</v>
      </c>
      <c r="C1362" t="s">
        <v>13</v>
      </c>
      <c r="D1362" t="s">
        <v>2869</v>
      </c>
      <c r="E1362" t="s">
        <v>2870</v>
      </c>
      <c r="F1362" t="s">
        <v>516</v>
      </c>
      <c r="G1362" s="1">
        <v>6.7000000000000004E-2</v>
      </c>
      <c r="H1362" t="s">
        <v>166</v>
      </c>
      <c r="I1362" t="s">
        <v>1580</v>
      </c>
      <c r="J1362" t="s">
        <v>2260</v>
      </c>
      <c r="K1362" t="s">
        <v>24</v>
      </c>
      <c r="L1362" s="14">
        <f>IFERROR(VALUE(LEFT(tblMatriculas[[#This Row],[Clases]],FIND("/",tblMatriculas[[#This Row],[Clases]])-1)),"")</f>
        <v>2</v>
      </c>
      <c r="M1362" s="14">
        <f>IFERROR(VALUE(MID(tblMatriculas[[#This Row],[Clases]],FIND("/",tblMatriculas[[#This Row],[Clases]])+1,5)),"")</f>
        <v>30</v>
      </c>
      <c r="N13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2" s="14">
        <f>IF(OR(tblMatriculas[[#This Row],[Estado]]&lt;&gt;"activa",tblMatriculas[[#This Row],[Clases dictadas]]=""),"",MAX(0,tblMatriculas[[#This Row],[Clases dictadas]]-tblMatriculas[[#This Row],[Asistidas]]))</f>
        <v>0</v>
      </c>
      <c r="P1362" s="1">
        <f>IF(OR(tblMatriculas[[#This Row],[Estado]]&lt;&gt;"activa",tblMatriculas[[#This Row],[Asistidas]]=""),"",tblMatriculas[[#This Row],[Asistencia]])</f>
        <v>6.7000000000000004E-2</v>
      </c>
      <c r="Q1362" t="b">
        <f>AND(tblMatriculas[[#This Row],[Estado]]="activa",ISNUMBER(tblMatriculas[[#This Row],[% asistencia]]),NOT(ISNUMBER(SEARCH(pPrueba,tblMatriculas[[#This Row],[Nombre]]))))</f>
        <v>1</v>
      </c>
      <c r="R13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2" s="23" t="str" cm="1">
        <f t="array" ref="S13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2" s="23" t="str" cm="1">
        <f t="array" ref="T13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2" s="14" t="str" cm="1">
        <f t="array" ref="U13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2" t="str" cm="1">
        <f t="array" ref="V13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2" t="str" cm="1">
        <f t="array" ref="W13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2" t="str">
        <f>IF(COUNTIFS('Base Estudiantes'!$C:$C,tblMatriculas[[#This Row],[Cédula]],'Base Estudiantes'!$I:$I,tblMatriculas[[#This Row],[Código]])&gt;0,"Sí","No")</f>
        <v>Sí</v>
      </c>
      <c r="Z1362" s="23" cm="1">
        <f t="array" ref="Z1362">_xlfn.XLOOKUP(tblMatriculas[[#This Row],[Cédula]]&amp;"|"&amp;tblMatriculas[[#This Row],[Código]],tblBase[Documento]&amp;"|"&amp;tblBase[Código grupo],tblBase[Fecha matrícula],"")</f>
        <v>46263</v>
      </c>
    </row>
    <row r="1363" spans="1:26" x14ac:dyDescent="0.2">
      <c r="A1363" t="s">
        <v>2873</v>
      </c>
      <c r="B1363" t="s">
        <v>2874</v>
      </c>
      <c r="C1363" t="s">
        <v>13</v>
      </c>
      <c r="D1363" t="s">
        <v>2869</v>
      </c>
      <c r="E1363" t="s">
        <v>2870</v>
      </c>
      <c r="F1363" t="s">
        <v>516</v>
      </c>
      <c r="G1363" s="1">
        <v>6.7000000000000004E-2</v>
      </c>
      <c r="H1363" t="s">
        <v>166</v>
      </c>
      <c r="I1363" t="s">
        <v>1580</v>
      </c>
      <c r="J1363" t="s">
        <v>2260</v>
      </c>
      <c r="K1363" t="s">
        <v>24</v>
      </c>
      <c r="L1363" s="14">
        <f>IFERROR(VALUE(LEFT(tblMatriculas[[#This Row],[Clases]],FIND("/",tblMatriculas[[#This Row],[Clases]])-1)),"")</f>
        <v>2</v>
      </c>
      <c r="M1363" s="14">
        <f>IFERROR(VALUE(MID(tblMatriculas[[#This Row],[Clases]],FIND("/",tblMatriculas[[#This Row],[Clases]])+1,5)),"")</f>
        <v>30</v>
      </c>
      <c r="N13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3" s="14">
        <f>IF(OR(tblMatriculas[[#This Row],[Estado]]&lt;&gt;"activa",tblMatriculas[[#This Row],[Clases dictadas]]=""),"",MAX(0,tblMatriculas[[#This Row],[Clases dictadas]]-tblMatriculas[[#This Row],[Asistidas]]))</f>
        <v>0</v>
      </c>
      <c r="P1363" s="1">
        <f>IF(OR(tblMatriculas[[#This Row],[Estado]]&lt;&gt;"activa",tblMatriculas[[#This Row],[Asistidas]]=""),"",tblMatriculas[[#This Row],[Asistencia]])</f>
        <v>6.7000000000000004E-2</v>
      </c>
      <c r="Q1363" t="b">
        <f>AND(tblMatriculas[[#This Row],[Estado]]="activa",ISNUMBER(tblMatriculas[[#This Row],[% asistencia]]),NOT(ISNUMBER(SEARCH(pPrueba,tblMatriculas[[#This Row],[Nombre]]))))</f>
        <v>1</v>
      </c>
      <c r="R13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3" s="23" t="str" cm="1">
        <f t="array" ref="S13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3" s="23" t="str" cm="1">
        <f t="array" ref="T13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3" s="14" t="str" cm="1">
        <f t="array" ref="U13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3" t="str" cm="1">
        <f t="array" ref="V13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3" t="str" cm="1">
        <f t="array" ref="W13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3" t="str">
        <f>IF(COUNTIFS('Base Estudiantes'!$C:$C,tblMatriculas[[#This Row],[Cédula]],'Base Estudiantes'!$I:$I,tblMatriculas[[#This Row],[Código]])&gt;0,"Sí","No")</f>
        <v>Sí</v>
      </c>
      <c r="Z1363" s="23" cm="1">
        <f t="array" ref="Z1363">_xlfn.XLOOKUP(tblMatriculas[[#This Row],[Cédula]]&amp;"|"&amp;tblMatriculas[[#This Row],[Código]],tblBase[Documento]&amp;"|"&amp;tblBase[Código grupo],tblBase[Fecha matrícula],"")</f>
        <v>46263</v>
      </c>
    </row>
    <row r="1364" spans="1:26" x14ac:dyDescent="0.2">
      <c r="A1364" t="s">
        <v>2875</v>
      </c>
      <c r="B1364" t="s">
        <v>2876</v>
      </c>
      <c r="C1364" t="s">
        <v>13</v>
      </c>
      <c r="D1364" t="s">
        <v>2869</v>
      </c>
      <c r="E1364" t="s">
        <v>2870</v>
      </c>
      <c r="F1364" t="s">
        <v>516</v>
      </c>
      <c r="G1364" s="1">
        <v>0</v>
      </c>
      <c r="H1364" t="s">
        <v>254</v>
      </c>
      <c r="I1364" t="s">
        <v>1580</v>
      </c>
      <c r="J1364" t="s">
        <v>2260</v>
      </c>
      <c r="K1364" t="s">
        <v>24</v>
      </c>
      <c r="L1364" s="14">
        <f>IFERROR(VALUE(LEFT(tblMatriculas[[#This Row],[Clases]],FIND("/",tblMatriculas[[#This Row],[Clases]])-1)),"")</f>
        <v>0</v>
      </c>
      <c r="M1364" s="14">
        <f>IFERROR(VALUE(MID(tblMatriculas[[#This Row],[Clases]],FIND("/",tblMatriculas[[#This Row],[Clases]])+1,5)),"")</f>
        <v>30</v>
      </c>
      <c r="N13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4" s="14">
        <f>IF(OR(tblMatriculas[[#This Row],[Estado]]&lt;&gt;"activa",tblMatriculas[[#This Row],[Clases dictadas]]=""),"",MAX(0,tblMatriculas[[#This Row],[Clases dictadas]]-tblMatriculas[[#This Row],[Asistidas]]))</f>
        <v>2</v>
      </c>
      <c r="P1364" s="1">
        <f>IF(OR(tblMatriculas[[#This Row],[Estado]]&lt;&gt;"activa",tblMatriculas[[#This Row],[Asistidas]]=""),"",tblMatriculas[[#This Row],[Asistencia]])</f>
        <v>0</v>
      </c>
      <c r="Q1364" t="b">
        <f>AND(tblMatriculas[[#This Row],[Estado]]="activa",ISNUMBER(tblMatriculas[[#This Row],[% asistencia]]),NOT(ISNUMBER(SEARCH(pPrueba,tblMatriculas[[#This Row],[Nombre]]))))</f>
        <v>1</v>
      </c>
      <c r="R13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64" s="23" t="str" cm="1">
        <f t="array" ref="S13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4" s="23" t="str" cm="1">
        <f t="array" ref="T13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4" s="14" t="str" cm="1">
        <f t="array" ref="U13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4" t="str" cm="1">
        <f t="array" ref="V13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4" t="str" cm="1">
        <f t="array" ref="W13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64" t="str">
        <f>IF(COUNTIFS('Base Estudiantes'!$C:$C,tblMatriculas[[#This Row],[Cédula]],'Base Estudiantes'!$I:$I,tblMatriculas[[#This Row],[Código]])&gt;0,"Sí","No")</f>
        <v>Sí</v>
      </c>
      <c r="Z1364" s="23" cm="1">
        <f t="array" ref="Z1364">_xlfn.XLOOKUP(tblMatriculas[[#This Row],[Cédula]]&amp;"|"&amp;tblMatriculas[[#This Row],[Código]],tblBase[Documento]&amp;"|"&amp;tblBase[Código grupo],tblBase[Fecha matrícula],"")</f>
        <v>46263</v>
      </c>
    </row>
    <row r="1365" spans="1:26" x14ac:dyDescent="0.2">
      <c r="A1365" t="s">
        <v>2877</v>
      </c>
      <c r="B1365" t="s">
        <v>2878</v>
      </c>
      <c r="C1365" t="s">
        <v>13</v>
      </c>
      <c r="D1365" t="s">
        <v>2869</v>
      </c>
      <c r="E1365" t="s">
        <v>2870</v>
      </c>
      <c r="F1365" t="s">
        <v>516</v>
      </c>
      <c r="G1365" s="1">
        <v>6.7000000000000004E-2</v>
      </c>
      <c r="H1365" t="s">
        <v>166</v>
      </c>
      <c r="I1365" t="s">
        <v>1580</v>
      </c>
      <c r="J1365" t="s">
        <v>2260</v>
      </c>
      <c r="K1365" t="s">
        <v>24</v>
      </c>
      <c r="L1365" s="14">
        <f>IFERROR(VALUE(LEFT(tblMatriculas[[#This Row],[Clases]],FIND("/",tblMatriculas[[#This Row],[Clases]])-1)),"")</f>
        <v>2</v>
      </c>
      <c r="M1365" s="14">
        <f>IFERROR(VALUE(MID(tblMatriculas[[#This Row],[Clases]],FIND("/",tblMatriculas[[#This Row],[Clases]])+1,5)),"")</f>
        <v>30</v>
      </c>
      <c r="N13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5" s="14">
        <f>IF(OR(tblMatriculas[[#This Row],[Estado]]&lt;&gt;"activa",tblMatriculas[[#This Row],[Clases dictadas]]=""),"",MAX(0,tblMatriculas[[#This Row],[Clases dictadas]]-tblMatriculas[[#This Row],[Asistidas]]))</f>
        <v>0</v>
      </c>
      <c r="P1365" s="1">
        <f>IF(OR(tblMatriculas[[#This Row],[Estado]]&lt;&gt;"activa",tblMatriculas[[#This Row],[Asistidas]]=""),"",tblMatriculas[[#This Row],[Asistencia]])</f>
        <v>6.7000000000000004E-2</v>
      </c>
      <c r="Q1365" t="b">
        <f>AND(tblMatriculas[[#This Row],[Estado]]="activa",ISNUMBER(tblMatriculas[[#This Row],[% asistencia]]),NOT(ISNUMBER(SEARCH(pPrueba,tblMatriculas[[#This Row],[Nombre]]))))</f>
        <v>1</v>
      </c>
      <c r="R13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5" s="23" t="str" cm="1">
        <f t="array" ref="S13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5" s="23" t="str" cm="1">
        <f t="array" ref="T13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5" s="14" t="str" cm="1">
        <f t="array" ref="U13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5" t="str" cm="1">
        <f t="array" ref="V13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5" t="str" cm="1">
        <f t="array" ref="W13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5" t="str">
        <f>IF(COUNTIFS('Base Estudiantes'!$C:$C,tblMatriculas[[#This Row],[Cédula]],'Base Estudiantes'!$I:$I,tblMatriculas[[#This Row],[Código]])&gt;0,"Sí","No")</f>
        <v>Sí</v>
      </c>
      <c r="Z1365" s="23" cm="1">
        <f t="array" ref="Z1365">_xlfn.XLOOKUP(tblMatriculas[[#This Row],[Cédula]]&amp;"|"&amp;tblMatriculas[[#This Row],[Código]],tblBase[Documento]&amp;"|"&amp;tblBase[Código grupo],tblBase[Fecha matrícula],"")</f>
        <v>46263</v>
      </c>
    </row>
    <row r="1366" spans="1:26" x14ac:dyDescent="0.2">
      <c r="A1366" t="s">
        <v>2879</v>
      </c>
      <c r="B1366" t="s">
        <v>2880</v>
      </c>
      <c r="C1366" t="s">
        <v>13</v>
      </c>
      <c r="D1366" t="s">
        <v>2869</v>
      </c>
      <c r="E1366" t="s">
        <v>2870</v>
      </c>
      <c r="F1366" t="s">
        <v>516</v>
      </c>
      <c r="G1366" s="1">
        <v>6.7000000000000004E-2</v>
      </c>
      <c r="H1366" t="s">
        <v>166</v>
      </c>
      <c r="I1366" t="s">
        <v>1580</v>
      </c>
      <c r="J1366" t="s">
        <v>2260</v>
      </c>
      <c r="K1366" t="s">
        <v>24</v>
      </c>
      <c r="L1366" s="14">
        <f>IFERROR(VALUE(LEFT(tblMatriculas[[#This Row],[Clases]],FIND("/",tblMatriculas[[#This Row],[Clases]])-1)),"")</f>
        <v>2</v>
      </c>
      <c r="M1366" s="14">
        <f>IFERROR(VALUE(MID(tblMatriculas[[#This Row],[Clases]],FIND("/",tblMatriculas[[#This Row],[Clases]])+1,5)),"")</f>
        <v>30</v>
      </c>
      <c r="N13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6" s="14">
        <f>IF(OR(tblMatriculas[[#This Row],[Estado]]&lt;&gt;"activa",tblMatriculas[[#This Row],[Clases dictadas]]=""),"",MAX(0,tblMatriculas[[#This Row],[Clases dictadas]]-tblMatriculas[[#This Row],[Asistidas]]))</f>
        <v>0</v>
      </c>
      <c r="P1366" s="1">
        <f>IF(OR(tblMatriculas[[#This Row],[Estado]]&lt;&gt;"activa",tblMatriculas[[#This Row],[Asistidas]]=""),"",tblMatriculas[[#This Row],[Asistencia]])</f>
        <v>6.7000000000000004E-2</v>
      </c>
      <c r="Q1366" t="b">
        <f>AND(tblMatriculas[[#This Row],[Estado]]="activa",ISNUMBER(tblMatriculas[[#This Row],[% asistencia]]),NOT(ISNUMBER(SEARCH(pPrueba,tblMatriculas[[#This Row],[Nombre]]))))</f>
        <v>1</v>
      </c>
      <c r="R13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6" s="23" t="str" cm="1">
        <f t="array" ref="S13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6" s="23" t="str" cm="1">
        <f t="array" ref="T13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6" s="14" t="str" cm="1">
        <f t="array" ref="U13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6" t="str" cm="1">
        <f t="array" ref="V13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6" t="str" cm="1">
        <f t="array" ref="W13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6" t="str">
        <f>IF(COUNTIFS('Base Estudiantes'!$C:$C,tblMatriculas[[#This Row],[Cédula]],'Base Estudiantes'!$I:$I,tblMatriculas[[#This Row],[Código]])&gt;0,"Sí","No")</f>
        <v>Sí</v>
      </c>
      <c r="Z1366" s="23" cm="1">
        <f t="array" ref="Z1366">_xlfn.XLOOKUP(tblMatriculas[[#This Row],[Cédula]]&amp;"|"&amp;tblMatriculas[[#This Row],[Código]],tblBase[Documento]&amp;"|"&amp;tblBase[Código grupo],tblBase[Fecha matrícula],"")</f>
        <v>46263</v>
      </c>
    </row>
    <row r="1367" spans="1:26" x14ac:dyDescent="0.2">
      <c r="A1367" t="s">
        <v>2881</v>
      </c>
      <c r="B1367" t="s">
        <v>2882</v>
      </c>
      <c r="C1367" t="s">
        <v>13</v>
      </c>
      <c r="D1367" t="s">
        <v>2869</v>
      </c>
      <c r="E1367" t="s">
        <v>2870</v>
      </c>
      <c r="F1367" t="s">
        <v>516</v>
      </c>
      <c r="G1367" s="1">
        <v>6.7000000000000004E-2</v>
      </c>
      <c r="H1367" t="s">
        <v>166</v>
      </c>
      <c r="I1367" t="s">
        <v>1580</v>
      </c>
      <c r="J1367" t="s">
        <v>2260</v>
      </c>
      <c r="K1367" t="s">
        <v>24</v>
      </c>
      <c r="L1367" s="14">
        <f>IFERROR(VALUE(LEFT(tblMatriculas[[#This Row],[Clases]],FIND("/",tblMatriculas[[#This Row],[Clases]])-1)),"")</f>
        <v>2</v>
      </c>
      <c r="M1367" s="14">
        <f>IFERROR(VALUE(MID(tblMatriculas[[#This Row],[Clases]],FIND("/",tblMatriculas[[#This Row],[Clases]])+1,5)),"")</f>
        <v>30</v>
      </c>
      <c r="N13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7" s="14">
        <f>IF(OR(tblMatriculas[[#This Row],[Estado]]&lt;&gt;"activa",tblMatriculas[[#This Row],[Clases dictadas]]=""),"",MAX(0,tblMatriculas[[#This Row],[Clases dictadas]]-tblMatriculas[[#This Row],[Asistidas]]))</f>
        <v>0</v>
      </c>
      <c r="P1367" s="1">
        <f>IF(OR(tblMatriculas[[#This Row],[Estado]]&lt;&gt;"activa",tblMatriculas[[#This Row],[Asistidas]]=""),"",tblMatriculas[[#This Row],[Asistencia]])</f>
        <v>6.7000000000000004E-2</v>
      </c>
      <c r="Q1367" t="b">
        <f>AND(tblMatriculas[[#This Row],[Estado]]="activa",ISNUMBER(tblMatriculas[[#This Row],[% asistencia]]),NOT(ISNUMBER(SEARCH(pPrueba,tblMatriculas[[#This Row],[Nombre]]))))</f>
        <v>1</v>
      </c>
      <c r="R13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7" s="23" t="str" cm="1">
        <f t="array" ref="S13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7" s="23" t="str" cm="1">
        <f t="array" ref="T13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7" s="14" t="str" cm="1">
        <f t="array" ref="U13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7" t="str" cm="1">
        <f t="array" ref="V13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7" t="str" cm="1">
        <f t="array" ref="W13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7" t="str">
        <f>IF(COUNTIFS('Base Estudiantes'!$C:$C,tblMatriculas[[#This Row],[Cédula]],'Base Estudiantes'!$I:$I,tblMatriculas[[#This Row],[Código]])&gt;0,"Sí","No")</f>
        <v>Sí</v>
      </c>
      <c r="Z1367" s="23" cm="1">
        <f t="array" ref="Z1367">_xlfn.XLOOKUP(tblMatriculas[[#This Row],[Cédula]]&amp;"|"&amp;tblMatriculas[[#This Row],[Código]],tblBase[Documento]&amp;"|"&amp;tblBase[Código grupo],tblBase[Fecha matrícula],"")</f>
        <v>46263</v>
      </c>
    </row>
    <row r="1368" spans="1:26" x14ac:dyDescent="0.2">
      <c r="A1368" t="s">
        <v>2883</v>
      </c>
      <c r="B1368" t="s">
        <v>2884</v>
      </c>
      <c r="C1368" t="s">
        <v>13</v>
      </c>
      <c r="D1368" t="s">
        <v>2869</v>
      </c>
      <c r="E1368" t="s">
        <v>2870</v>
      </c>
      <c r="F1368" t="s">
        <v>516</v>
      </c>
      <c r="G1368" s="1">
        <v>6.7000000000000004E-2</v>
      </c>
      <c r="H1368" t="s">
        <v>166</v>
      </c>
      <c r="I1368" t="s">
        <v>1580</v>
      </c>
      <c r="J1368" t="s">
        <v>2260</v>
      </c>
      <c r="K1368" t="s">
        <v>24</v>
      </c>
      <c r="L1368" s="14">
        <f>IFERROR(VALUE(LEFT(tblMatriculas[[#This Row],[Clases]],FIND("/",tblMatriculas[[#This Row],[Clases]])-1)),"")</f>
        <v>2</v>
      </c>
      <c r="M1368" s="14">
        <f>IFERROR(VALUE(MID(tblMatriculas[[#This Row],[Clases]],FIND("/",tblMatriculas[[#This Row],[Clases]])+1,5)),"")</f>
        <v>30</v>
      </c>
      <c r="N13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8" s="14">
        <f>IF(OR(tblMatriculas[[#This Row],[Estado]]&lt;&gt;"activa",tblMatriculas[[#This Row],[Clases dictadas]]=""),"",MAX(0,tblMatriculas[[#This Row],[Clases dictadas]]-tblMatriculas[[#This Row],[Asistidas]]))</f>
        <v>0</v>
      </c>
      <c r="P1368" s="1">
        <f>IF(OR(tblMatriculas[[#This Row],[Estado]]&lt;&gt;"activa",tblMatriculas[[#This Row],[Asistidas]]=""),"",tblMatriculas[[#This Row],[Asistencia]])</f>
        <v>6.7000000000000004E-2</v>
      </c>
      <c r="Q1368" t="b">
        <f>AND(tblMatriculas[[#This Row],[Estado]]="activa",ISNUMBER(tblMatriculas[[#This Row],[% asistencia]]),NOT(ISNUMBER(SEARCH(pPrueba,tblMatriculas[[#This Row],[Nombre]]))))</f>
        <v>1</v>
      </c>
      <c r="R13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8" s="23" t="str" cm="1">
        <f t="array" ref="S13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8" s="23" t="str" cm="1">
        <f t="array" ref="T13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8" s="14" t="str" cm="1">
        <f t="array" ref="U13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8" t="str" cm="1">
        <f t="array" ref="V13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8" t="str" cm="1">
        <f t="array" ref="W13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8" t="str">
        <f>IF(COUNTIFS('Base Estudiantes'!$C:$C,tblMatriculas[[#This Row],[Cédula]],'Base Estudiantes'!$I:$I,tblMatriculas[[#This Row],[Código]])&gt;0,"Sí","No")</f>
        <v>Sí</v>
      </c>
      <c r="Z1368" s="23" cm="1">
        <f t="array" ref="Z1368">_xlfn.XLOOKUP(tblMatriculas[[#This Row],[Cédula]]&amp;"|"&amp;tblMatriculas[[#This Row],[Código]],tblBase[Documento]&amp;"|"&amp;tblBase[Código grupo],tblBase[Fecha matrícula],"")</f>
        <v>46263</v>
      </c>
    </row>
    <row r="1369" spans="1:26" x14ac:dyDescent="0.2">
      <c r="A1369" t="s">
        <v>2885</v>
      </c>
      <c r="B1369" t="s">
        <v>2886</v>
      </c>
      <c r="C1369" t="s">
        <v>13</v>
      </c>
      <c r="D1369" t="s">
        <v>2869</v>
      </c>
      <c r="E1369" t="s">
        <v>2870</v>
      </c>
      <c r="F1369" t="s">
        <v>516</v>
      </c>
      <c r="G1369" s="1">
        <v>6.7000000000000004E-2</v>
      </c>
      <c r="H1369" t="s">
        <v>166</v>
      </c>
      <c r="I1369" t="s">
        <v>1580</v>
      </c>
      <c r="J1369" t="s">
        <v>2260</v>
      </c>
      <c r="K1369" t="s">
        <v>24</v>
      </c>
      <c r="L1369" s="14">
        <f>IFERROR(VALUE(LEFT(tblMatriculas[[#This Row],[Clases]],FIND("/",tblMatriculas[[#This Row],[Clases]])-1)),"")</f>
        <v>2</v>
      </c>
      <c r="M1369" s="14">
        <f>IFERROR(VALUE(MID(tblMatriculas[[#This Row],[Clases]],FIND("/",tblMatriculas[[#This Row],[Clases]])+1,5)),"")</f>
        <v>30</v>
      </c>
      <c r="N13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69" s="14">
        <f>IF(OR(tblMatriculas[[#This Row],[Estado]]&lt;&gt;"activa",tblMatriculas[[#This Row],[Clases dictadas]]=""),"",MAX(0,tblMatriculas[[#This Row],[Clases dictadas]]-tblMatriculas[[#This Row],[Asistidas]]))</f>
        <v>0</v>
      </c>
      <c r="P1369" s="1">
        <f>IF(OR(tblMatriculas[[#This Row],[Estado]]&lt;&gt;"activa",tblMatriculas[[#This Row],[Asistidas]]=""),"",tblMatriculas[[#This Row],[Asistencia]])</f>
        <v>6.7000000000000004E-2</v>
      </c>
      <c r="Q1369" t="b">
        <f>AND(tblMatriculas[[#This Row],[Estado]]="activa",ISNUMBER(tblMatriculas[[#This Row],[% asistencia]]),NOT(ISNUMBER(SEARCH(pPrueba,tblMatriculas[[#This Row],[Nombre]]))))</f>
        <v>1</v>
      </c>
      <c r="R13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69" s="23" t="str" cm="1">
        <f t="array" ref="S13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69" s="23" t="str" cm="1">
        <f t="array" ref="T13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69" s="14" t="str" cm="1">
        <f t="array" ref="U13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69" t="str" cm="1">
        <f t="array" ref="V13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69" t="str" cm="1">
        <f t="array" ref="W13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69" t="str">
        <f>IF(COUNTIFS('Base Estudiantes'!$C:$C,tblMatriculas[[#This Row],[Cédula]],'Base Estudiantes'!$I:$I,tblMatriculas[[#This Row],[Código]])&gt;0,"Sí","No")</f>
        <v>Sí</v>
      </c>
      <c r="Z1369" s="23" cm="1">
        <f t="array" ref="Z1369">_xlfn.XLOOKUP(tblMatriculas[[#This Row],[Cédula]]&amp;"|"&amp;tblMatriculas[[#This Row],[Código]],tblBase[Documento]&amp;"|"&amp;tblBase[Código grupo],tblBase[Fecha matrícula],"")</f>
        <v>46263</v>
      </c>
    </row>
    <row r="1370" spans="1:26" x14ac:dyDescent="0.2">
      <c r="A1370" t="s">
        <v>2887</v>
      </c>
      <c r="B1370" t="s">
        <v>2888</v>
      </c>
      <c r="C1370" t="s">
        <v>13</v>
      </c>
      <c r="D1370" t="s">
        <v>2869</v>
      </c>
      <c r="E1370" t="s">
        <v>2870</v>
      </c>
      <c r="F1370" t="s">
        <v>516</v>
      </c>
      <c r="G1370" s="1">
        <v>0</v>
      </c>
      <c r="H1370" t="s">
        <v>254</v>
      </c>
      <c r="I1370" t="s">
        <v>1580</v>
      </c>
      <c r="J1370" t="s">
        <v>2260</v>
      </c>
      <c r="K1370" t="s">
        <v>24</v>
      </c>
      <c r="L1370" s="14">
        <f>IFERROR(VALUE(LEFT(tblMatriculas[[#This Row],[Clases]],FIND("/",tblMatriculas[[#This Row],[Clases]])-1)),"")</f>
        <v>0</v>
      </c>
      <c r="M1370" s="14">
        <f>IFERROR(VALUE(MID(tblMatriculas[[#This Row],[Clases]],FIND("/",tblMatriculas[[#This Row],[Clases]])+1,5)),"")</f>
        <v>30</v>
      </c>
      <c r="N13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0" s="14">
        <f>IF(OR(tblMatriculas[[#This Row],[Estado]]&lt;&gt;"activa",tblMatriculas[[#This Row],[Clases dictadas]]=""),"",MAX(0,tblMatriculas[[#This Row],[Clases dictadas]]-tblMatriculas[[#This Row],[Asistidas]]))</f>
        <v>2</v>
      </c>
      <c r="P1370" s="1">
        <f>IF(OR(tblMatriculas[[#This Row],[Estado]]&lt;&gt;"activa",tblMatriculas[[#This Row],[Asistidas]]=""),"",tblMatriculas[[#This Row],[Asistencia]])</f>
        <v>0</v>
      </c>
      <c r="Q1370" t="b">
        <f>AND(tblMatriculas[[#This Row],[Estado]]="activa",ISNUMBER(tblMatriculas[[#This Row],[% asistencia]]),NOT(ISNUMBER(SEARCH(pPrueba,tblMatriculas[[#This Row],[Nombre]]))))</f>
        <v>1</v>
      </c>
      <c r="R13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70" s="23" t="str" cm="1">
        <f t="array" ref="S13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0" s="23" t="str" cm="1">
        <f t="array" ref="T13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0" s="14" t="str" cm="1">
        <f t="array" ref="U13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0" t="str" cm="1">
        <f t="array" ref="V13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0" t="str" cm="1">
        <f t="array" ref="W13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70" t="str">
        <f>IF(COUNTIFS('Base Estudiantes'!$C:$C,tblMatriculas[[#This Row],[Cédula]],'Base Estudiantes'!$I:$I,tblMatriculas[[#This Row],[Código]])&gt;0,"Sí","No")</f>
        <v>Sí</v>
      </c>
      <c r="Z1370" s="23" cm="1">
        <f t="array" ref="Z1370">_xlfn.XLOOKUP(tblMatriculas[[#This Row],[Cédula]]&amp;"|"&amp;tblMatriculas[[#This Row],[Código]],tblBase[Documento]&amp;"|"&amp;tblBase[Código grupo],tblBase[Fecha matrícula],"")</f>
        <v>46263</v>
      </c>
    </row>
    <row r="1371" spans="1:26" x14ac:dyDescent="0.2">
      <c r="A1371" t="s">
        <v>2889</v>
      </c>
      <c r="B1371" t="s">
        <v>2890</v>
      </c>
      <c r="C1371" t="s">
        <v>13</v>
      </c>
      <c r="D1371" t="s">
        <v>2869</v>
      </c>
      <c r="E1371" t="s">
        <v>2870</v>
      </c>
      <c r="F1371" t="s">
        <v>516</v>
      </c>
      <c r="G1371" s="1">
        <v>6.7000000000000004E-2</v>
      </c>
      <c r="H1371" t="s">
        <v>166</v>
      </c>
      <c r="I1371" t="s">
        <v>1580</v>
      </c>
      <c r="J1371" t="s">
        <v>2260</v>
      </c>
      <c r="K1371" t="s">
        <v>24</v>
      </c>
      <c r="L1371" s="14">
        <f>IFERROR(VALUE(LEFT(tblMatriculas[[#This Row],[Clases]],FIND("/",tblMatriculas[[#This Row],[Clases]])-1)),"")</f>
        <v>2</v>
      </c>
      <c r="M1371" s="14">
        <f>IFERROR(VALUE(MID(tblMatriculas[[#This Row],[Clases]],FIND("/",tblMatriculas[[#This Row],[Clases]])+1,5)),"")</f>
        <v>30</v>
      </c>
      <c r="N13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1" s="14">
        <f>IF(OR(tblMatriculas[[#This Row],[Estado]]&lt;&gt;"activa",tblMatriculas[[#This Row],[Clases dictadas]]=""),"",MAX(0,tblMatriculas[[#This Row],[Clases dictadas]]-tblMatriculas[[#This Row],[Asistidas]]))</f>
        <v>0</v>
      </c>
      <c r="P1371" s="1">
        <f>IF(OR(tblMatriculas[[#This Row],[Estado]]&lt;&gt;"activa",tblMatriculas[[#This Row],[Asistidas]]=""),"",tblMatriculas[[#This Row],[Asistencia]])</f>
        <v>6.7000000000000004E-2</v>
      </c>
      <c r="Q1371" t="b">
        <f>AND(tblMatriculas[[#This Row],[Estado]]="activa",ISNUMBER(tblMatriculas[[#This Row],[% asistencia]]),NOT(ISNUMBER(SEARCH(pPrueba,tblMatriculas[[#This Row],[Nombre]]))))</f>
        <v>1</v>
      </c>
      <c r="R13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71" s="23" t="str" cm="1">
        <f t="array" ref="S13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1" s="23" t="str" cm="1">
        <f t="array" ref="T13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1" s="14" t="str" cm="1">
        <f t="array" ref="U13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1" t="str" cm="1">
        <f t="array" ref="V13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1" t="str" cm="1">
        <f t="array" ref="W13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71" t="str">
        <f>IF(COUNTIFS('Base Estudiantes'!$C:$C,tblMatriculas[[#This Row],[Cédula]],'Base Estudiantes'!$I:$I,tblMatriculas[[#This Row],[Código]])&gt;0,"Sí","No")</f>
        <v>Sí</v>
      </c>
      <c r="Z1371" s="23" cm="1">
        <f t="array" ref="Z1371">_xlfn.XLOOKUP(tblMatriculas[[#This Row],[Cédula]]&amp;"|"&amp;tblMatriculas[[#This Row],[Código]],tblBase[Documento]&amp;"|"&amp;tblBase[Código grupo],tblBase[Fecha matrícula],"")</f>
        <v>46263</v>
      </c>
    </row>
    <row r="1372" spans="1:26" x14ac:dyDescent="0.2">
      <c r="A1372" t="s">
        <v>2891</v>
      </c>
      <c r="B1372" t="s">
        <v>2892</v>
      </c>
      <c r="C1372" t="s">
        <v>13</v>
      </c>
      <c r="D1372" t="s">
        <v>2869</v>
      </c>
      <c r="E1372" t="s">
        <v>2870</v>
      </c>
      <c r="F1372" t="s">
        <v>516</v>
      </c>
      <c r="G1372" s="1">
        <v>3.3000000000000002E-2</v>
      </c>
      <c r="H1372" t="s">
        <v>225</v>
      </c>
      <c r="I1372" t="s">
        <v>1580</v>
      </c>
      <c r="J1372" t="s">
        <v>2260</v>
      </c>
      <c r="K1372" t="s">
        <v>24</v>
      </c>
      <c r="L1372" s="14">
        <f>IFERROR(VALUE(LEFT(tblMatriculas[[#This Row],[Clases]],FIND("/",tblMatriculas[[#This Row],[Clases]])-1)),"")</f>
        <v>1</v>
      </c>
      <c r="M1372" s="14">
        <f>IFERROR(VALUE(MID(tblMatriculas[[#This Row],[Clases]],FIND("/",tblMatriculas[[#This Row],[Clases]])+1,5)),"")</f>
        <v>30</v>
      </c>
      <c r="N13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2" s="14">
        <f>IF(OR(tblMatriculas[[#This Row],[Estado]]&lt;&gt;"activa",tblMatriculas[[#This Row],[Clases dictadas]]=""),"",MAX(0,tblMatriculas[[#This Row],[Clases dictadas]]-tblMatriculas[[#This Row],[Asistidas]]))</f>
        <v>1</v>
      </c>
      <c r="P1372" s="1">
        <f>IF(OR(tblMatriculas[[#This Row],[Estado]]&lt;&gt;"activa",tblMatriculas[[#This Row],[Asistidas]]=""),"",tblMatriculas[[#This Row],[Asistencia]])</f>
        <v>3.3000000000000002E-2</v>
      </c>
      <c r="Q1372" t="b">
        <f>AND(tblMatriculas[[#This Row],[Estado]]="activa",ISNUMBER(tblMatriculas[[#This Row],[% asistencia]]),NOT(ISNUMBER(SEARCH(pPrueba,tblMatriculas[[#This Row],[Nombre]]))))</f>
        <v>1</v>
      </c>
      <c r="R13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72" s="23" t="str" cm="1">
        <f t="array" ref="S13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2" s="23" t="str" cm="1">
        <f t="array" ref="T13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2" s="14" t="str" cm="1">
        <f t="array" ref="U13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2" t="str" cm="1">
        <f t="array" ref="V13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2" t="str" cm="1">
        <f t="array" ref="W13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72" t="str">
        <f>IF(COUNTIFS('Base Estudiantes'!$C:$C,tblMatriculas[[#This Row],[Cédula]],'Base Estudiantes'!$I:$I,tblMatriculas[[#This Row],[Código]])&gt;0,"Sí","No")</f>
        <v>Sí</v>
      </c>
      <c r="Z1372" s="23" cm="1">
        <f t="array" ref="Z1372">_xlfn.XLOOKUP(tblMatriculas[[#This Row],[Cédula]]&amp;"|"&amp;tblMatriculas[[#This Row],[Código]],tblBase[Documento]&amp;"|"&amp;tblBase[Código grupo],tblBase[Fecha matrícula],"")</f>
        <v>46263</v>
      </c>
    </row>
    <row r="1373" spans="1:26" x14ac:dyDescent="0.2">
      <c r="A1373" t="s">
        <v>2893</v>
      </c>
      <c r="B1373" t="s">
        <v>2894</v>
      </c>
      <c r="C1373" t="s">
        <v>13</v>
      </c>
      <c r="D1373" t="s">
        <v>2869</v>
      </c>
      <c r="E1373" t="s">
        <v>2870</v>
      </c>
      <c r="F1373" t="s">
        <v>516</v>
      </c>
      <c r="G1373" s="1">
        <v>0</v>
      </c>
      <c r="H1373" t="s">
        <v>254</v>
      </c>
      <c r="I1373" t="s">
        <v>1580</v>
      </c>
      <c r="J1373" t="s">
        <v>2260</v>
      </c>
      <c r="K1373" t="s">
        <v>24</v>
      </c>
      <c r="L1373" s="14">
        <f>IFERROR(VALUE(LEFT(tblMatriculas[[#This Row],[Clases]],FIND("/",tblMatriculas[[#This Row],[Clases]])-1)),"")</f>
        <v>0</v>
      </c>
      <c r="M1373" s="14">
        <f>IFERROR(VALUE(MID(tblMatriculas[[#This Row],[Clases]],FIND("/",tblMatriculas[[#This Row],[Clases]])+1,5)),"")</f>
        <v>30</v>
      </c>
      <c r="N13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3" s="14">
        <f>IF(OR(tblMatriculas[[#This Row],[Estado]]&lt;&gt;"activa",tblMatriculas[[#This Row],[Clases dictadas]]=""),"",MAX(0,tblMatriculas[[#This Row],[Clases dictadas]]-tblMatriculas[[#This Row],[Asistidas]]))</f>
        <v>2</v>
      </c>
      <c r="P1373" s="1">
        <f>IF(OR(tblMatriculas[[#This Row],[Estado]]&lt;&gt;"activa",tblMatriculas[[#This Row],[Asistidas]]=""),"",tblMatriculas[[#This Row],[Asistencia]])</f>
        <v>0</v>
      </c>
      <c r="Q1373" t="b">
        <f>AND(tblMatriculas[[#This Row],[Estado]]="activa",ISNUMBER(tblMatriculas[[#This Row],[% asistencia]]),NOT(ISNUMBER(SEARCH(pPrueba,tblMatriculas[[#This Row],[Nombre]]))))</f>
        <v>1</v>
      </c>
      <c r="R13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73" s="23" t="str" cm="1">
        <f t="array" ref="S13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3" s="23" t="str" cm="1">
        <f t="array" ref="T13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3" s="14" t="str" cm="1">
        <f t="array" ref="U13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3" t="str" cm="1">
        <f t="array" ref="V13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3" t="str" cm="1">
        <f t="array" ref="W13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73" t="str">
        <f>IF(COUNTIFS('Base Estudiantes'!$C:$C,tblMatriculas[[#This Row],[Cédula]],'Base Estudiantes'!$I:$I,tblMatriculas[[#This Row],[Código]])&gt;0,"Sí","No")</f>
        <v>Sí</v>
      </c>
      <c r="Z1373" s="23" cm="1">
        <f t="array" ref="Z1373">_xlfn.XLOOKUP(tblMatriculas[[#This Row],[Cédula]]&amp;"|"&amp;tblMatriculas[[#This Row],[Código]],tblBase[Documento]&amp;"|"&amp;tblBase[Código grupo],tblBase[Fecha matrícula],"")</f>
        <v>46263</v>
      </c>
    </row>
    <row r="1374" spans="1:26" x14ac:dyDescent="0.2">
      <c r="A1374" t="s">
        <v>2895</v>
      </c>
      <c r="B1374" t="s">
        <v>2896</v>
      </c>
      <c r="C1374" t="s">
        <v>13</v>
      </c>
      <c r="D1374" t="s">
        <v>2869</v>
      </c>
      <c r="E1374" t="s">
        <v>2870</v>
      </c>
      <c r="F1374" t="s">
        <v>516</v>
      </c>
      <c r="G1374" s="1">
        <v>3.3000000000000002E-2</v>
      </c>
      <c r="H1374" t="s">
        <v>225</v>
      </c>
      <c r="I1374" t="s">
        <v>1580</v>
      </c>
      <c r="J1374" t="s">
        <v>2260</v>
      </c>
      <c r="K1374" t="s">
        <v>24</v>
      </c>
      <c r="L1374" s="14">
        <f>IFERROR(VALUE(LEFT(tblMatriculas[[#This Row],[Clases]],FIND("/",tblMatriculas[[#This Row],[Clases]])-1)),"")</f>
        <v>1</v>
      </c>
      <c r="M1374" s="14">
        <f>IFERROR(VALUE(MID(tblMatriculas[[#This Row],[Clases]],FIND("/",tblMatriculas[[#This Row],[Clases]])+1,5)),"")</f>
        <v>30</v>
      </c>
      <c r="N13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4" s="14">
        <f>IF(OR(tblMatriculas[[#This Row],[Estado]]&lt;&gt;"activa",tblMatriculas[[#This Row],[Clases dictadas]]=""),"",MAX(0,tblMatriculas[[#This Row],[Clases dictadas]]-tblMatriculas[[#This Row],[Asistidas]]))</f>
        <v>1</v>
      </c>
      <c r="P1374" s="1">
        <f>IF(OR(tblMatriculas[[#This Row],[Estado]]&lt;&gt;"activa",tblMatriculas[[#This Row],[Asistidas]]=""),"",tblMatriculas[[#This Row],[Asistencia]])</f>
        <v>3.3000000000000002E-2</v>
      </c>
      <c r="Q1374" t="b">
        <f>AND(tblMatriculas[[#This Row],[Estado]]="activa",ISNUMBER(tblMatriculas[[#This Row],[% asistencia]]),NOT(ISNUMBER(SEARCH(pPrueba,tblMatriculas[[#This Row],[Nombre]]))))</f>
        <v>1</v>
      </c>
      <c r="R13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74" s="23" t="str" cm="1">
        <f t="array" ref="S13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4" s="23" t="str" cm="1">
        <f t="array" ref="T13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4" s="14" t="str" cm="1">
        <f t="array" ref="U13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4" t="str" cm="1">
        <f t="array" ref="V13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4" t="str" cm="1">
        <f t="array" ref="W13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74" t="str">
        <f>IF(COUNTIFS('Base Estudiantes'!$C:$C,tblMatriculas[[#This Row],[Cédula]],'Base Estudiantes'!$I:$I,tblMatriculas[[#This Row],[Código]])&gt;0,"Sí","No")</f>
        <v>Sí</v>
      </c>
      <c r="Z1374" s="23" cm="1">
        <f t="array" ref="Z1374">_xlfn.XLOOKUP(tblMatriculas[[#This Row],[Cédula]]&amp;"|"&amp;tblMatriculas[[#This Row],[Código]],tblBase[Documento]&amp;"|"&amp;tblBase[Código grupo],tblBase[Fecha matrícula],"")</f>
        <v>46263</v>
      </c>
    </row>
    <row r="1375" spans="1:26" x14ac:dyDescent="0.2">
      <c r="A1375" t="s">
        <v>2897</v>
      </c>
      <c r="B1375" t="s">
        <v>2898</v>
      </c>
      <c r="C1375" t="s">
        <v>13</v>
      </c>
      <c r="D1375" t="s">
        <v>2869</v>
      </c>
      <c r="E1375" t="s">
        <v>2870</v>
      </c>
      <c r="F1375" t="s">
        <v>516</v>
      </c>
      <c r="G1375" s="1">
        <v>6.7000000000000004E-2</v>
      </c>
      <c r="H1375" t="s">
        <v>166</v>
      </c>
      <c r="I1375" t="s">
        <v>1580</v>
      </c>
      <c r="J1375" t="s">
        <v>2260</v>
      </c>
      <c r="K1375" t="s">
        <v>24</v>
      </c>
      <c r="L1375" s="14">
        <f>IFERROR(VALUE(LEFT(tblMatriculas[[#This Row],[Clases]],FIND("/",tblMatriculas[[#This Row],[Clases]])-1)),"")</f>
        <v>2</v>
      </c>
      <c r="M1375" s="14">
        <f>IFERROR(VALUE(MID(tblMatriculas[[#This Row],[Clases]],FIND("/",tblMatriculas[[#This Row],[Clases]])+1,5)),"")</f>
        <v>30</v>
      </c>
      <c r="N13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5" s="14">
        <f>IF(OR(tblMatriculas[[#This Row],[Estado]]&lt;&gt;"activa",tblMatriculas[[#This Row],[Clases dictadas]]=""),"",MAX(0,tblMatriculas[[#This Row],[Clases dictadas]]-tblMatriculas[[#This Row],[Asistidas]]))</f>
        <v>0</v>
      </c>
      <c r="P1375" s="1">
        <f>IF(OR(tblMatriculas[[#This Row],[Estado]]&lt;&gt;"activa",tblMatriculas[[#This Row],[Asistidas]]=""),"",tblMatriculas[[#This Row],[Asistencia]])</f>
        <v>6.7000000000000004E-2</v>
      </c>
      <c r="Q1375" t="b">
        <f>AND(tblMatriculas[[#This Row],[Estado]]="activa",ISNUMBER(tblMatriculas[[#This Row],[% asistencia]]),NOT(ISNUMBER(SEARCH(pPrueba,tblMatriculas[[#This Row],[Nombre]]))))</f>
        <v>1</v>
      </c>
      <c r="R13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75" s="23" t="str" cm="1">
        <f t="array" ref="S13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5" s="23" t="str" cm="1">
        <f t="array" ref="T13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5" s="14" t="str" cm="1">
        <f t="array" ref="U13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5" t="str" cm="1">
        <f t="array" ref="V13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5" t="str" cm="1">
        <f t="array" ref="W13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75" t="str">
        <f>IF(COUNTIFS('Base Estudiantes'!$C:$C,tblMatriculas[[#This Row],[Cédula]],'Base Estudiantes'!$I:$I,tblMatriculas[[#This Row],[Código]])&gt;0,"Sí","No")</f>
        <v>Sí</v>
      </c>
      <c r="Z1375" s="23" cm="1">
        <f t="array" ref="Z1375">_xlfn.XLOOKUP(tblMatriculas[[#This Row],[Cédula]]&amp;"|"&amp;tblMatriculas[[#This Row],[Código]],tblBase[Documento]&amp;"|"&amp;tblBase[Código grupo],tblBase[Fecha matrícula],"")</f>
        <v>46263</v>
      </c>
    </row>
    <row r="1376" spans="1:26" x14ac:dyDescent="0.2">
      <c r="A1376" t="s">
        <v>2899</v>
      </c>
      <c r="B1376" t="s">
        <v>2900</v>
      </c>
      <c r="C1376" t="s">
        <v>13</v>
      </c>
      <c r="D1376" t="s">
        <v>2869</v>
      </c>
      <c r="E1376" t="s">
        <v>2870</v>
      </c>
      <c r="F1376" t="s">
        <v>516</v>
      </c>
      <c r="G1376" s="1">
        <v>6.7000000000000004E-2</v>
      </c>
      <c r="H1376" t="s">
        <v>166</v>
      </c>
      <c r="I1376" t="s">
        <v>1580</v>
      </c>
      <c r="J1376" t="s">
        <v>2260</v>
      </c>
      <c r="K1376" t="s">
        <v>24</v>
      </c>
      <c r="L1376" s="14">
        <f>IFERROR(VALUE(LEFT(tblMatriculas[[#This Row],[Clases]],FIND("/",tblMatriculas[[#This Row],[Clases]])-1)),"")</f>
        <v>2</v>
      </c>
      <c r="M1376" s="14">
        <f>IFERROR(VALUE(MID(tblMatriculas[[#This Row],[Clases]],FIND("/",tblMatriculas[[#This Row],[Clases]])+1,5)),"")</f>
        <v>30</v>
      </c>
      <c r="N13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6" s="14">
        <f>IF(OR(tblMatriculas[[#This Row],[Estado]]&lt;&gt;"activa",tblMatriculas[[#This Row],[Clases dictadas]]=""),"",MAX(0,tblMatriculas[[#This Row],[Clases dictadas]]-tblMatriculas[[#This Row],[Asistidas]]))</f>
        <v>0</v>
      </c>
      <c r="P1376" s="1">
        <f>IF(OR(tblMatriculas[[#This Row],[Estado]]&lt;&gt;"activa",tblMatriculas[[#This Row],[Asistidas]]=""),"",tblMatriculas[[#This Row],[Asistencia]])</f>
        <v>6.7000000000000004E-2</v>
      </c>
      <c r="Q1376" t="b">
        <f>AND(tblMatriculas[[#This Row],[Estado]]="activa",ISNUMBER(tblMatriculas[[#This Row],[% asistencia]]),NOT(ISNUMBER(SEARCH(pPrueba,tblMatriculas[[#This Row],[Nombre]]))))</f>
        <v>1</v>
      </c>
      <c r="R13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76" s="23" t="str" cm="1">
        <f t="array" ref="S13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6" s="23" t="str" cm="1">
        <f t="array" ref="T13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6" s="14" t="str" cm="1">
        <f t="array" ref="U13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6" t="str" cm="1">
        <f t="array" ref="V13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6" t="str" cm="1">
        <f t="array" ref="W13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76" t="str">
        <f>IF(COUNTIFS('Base Estudiantes'!$C:$C,tblMatriculas[[#This Row],[Cédula]],'Base Estudiantes'!$I:$I,tblMatriculas[[#This Row],[Código]])&gt;0,"Sí","No")</f>
        <v>Sí</v>
      </c>
      <c r="Z1376" s="23" cm="1">
        <f t="array" ref="Z1376">_xlfn.XLOOKUP(tblMatriculas[[#This Row],[Cédula]]&amp;"|"&amp;tblMatriculas[[#This Row],[Código]],tblBase[Documento]&amp;"|"&amp;tblBase[Código grupo],tblBase[Fecha matrícula],"")</f>
        <v>46263</v>
      </c>
    </row>
    <row r="1377" spans="1:26" x14ac:dyDescent="0.2">
      <c r="A1377" t="s">
        <v>1574</v>
      </c>
      <c r="B1377" t="s">
        <v>1575</v>
      </c>
      <c r="C1377" t="s">
        <v>49</v>
      </c>
      <c r="D1377" t="s">
        <v>2869</v>
      </c>
      <c r="E1377" t="s">
        <v>2870</v>
      </c>
      <c r="F1377" t="s">
        <v>516</v>
      </c>
      <c r="G1377" s="1">
        <v>3.3000000000000002E-2</v>
      </c>
      <c r="H1377" t="s">
        <v>225</v>
      </c>
      <c r="I1377" t="s">
        <v>1580</v>
      </c>
      <c r="J1377" t="s">
        <v>2260</v>
      </c>
      <c r="K1377" t="s">
        <v>24</v>
      </c>
      <c r="L1377" s="14">
        <f>IFERROR(VALUE(LEFT(tblMatriculas[[#This Row],[Clases]],FIND("/",tblMatriculas[[#This Row],[Clases]])-1)),"")</f>
        <v>1</v>
      </c>
      <c r="M1377" s="14">
        <f>IFERROR(VALUE(MID(tblMatriculas[[#This Row],[Clases]],FIND("/",tblMatriculas[[#This Row],[Clases]])+1,5)),"")</f>
        <v>30</v>
      </c>
      <c r="N13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7" s="14" t="str">
        <f>IF(OR(tblMatriculas[[#This Row],[Estado]]&lt;&gt;"activa",tblMatriculas[[#This Row],[Clases dictadas]]=""),"",MAX(0,tblMatriculas[[#This Row],[Clases dictadas]]-tblMatriculas[[#This Row],[Asistidas]]))</f>
        <v/>
      </c>
      <c r="P1377" s="1" t="str">
        <f>IF(OR(tblMatriculas[[#This Row],[Estado]]&lt;&gt;"activa",tblMatriculas[[#This Row],[Asistidas]]=""),"",tblMatriculas[[#This Row],[Asistencia]])</f>
        <v/>
      </c>
      <c r="Q1377" t="b">
        <f>AND(tblMatriculas[[#This Row],[Estado]]="activa",ISNUMBER(tblMatriculas[[#This Row],[% asistencia]]),NOT(ISNUMBER(SEARCH(pPrueba,tblMatriculas[[#This Row],[Nombre]]))))</f>
        <v>0</v>
      </c>
      <c r="R13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77" s="23" t="str" cm="1">
        <f t="array" ref="S13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7" s="23" t="str" cm="1">
        <f t="array" ref="T13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7" s="14" t="str" cm="1">
        <f t="array" ref="U13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7" t="str" cm="1">
        <f t="array" ref="V13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7" t="str" cm="1">
        <f t="array" ref="W13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77" t="str">
        <f>IF(COUNTIFS('Base Estudiantes'!$C:$C,tblMatriculas[[#This Row],[Cédula]],'Base Estudiantes'!$I:$I,tblMatriculas[[#This Row],[Código]])&gt;0,"Sí","No")</f>
        <v>No</v>
      </c>
      <c r="Z1377" s="23" t="str" cm="1">
        <f t="array" ref="Z1377">_xlfn.XLOOKUP(tblMatriculas[[#This Row],[Cédula]]&amp;"|"&amp;tblMatriculas[[#This Row],[Código]],tblBase[Documento]&amp;"|"&amp;tblBase[Código grupo],tblBase[Fecha matrícula],"")</f>
        <v/>
      </c>
    </row>
    <row r="1378" spans="1:26" x14ac:dyDescent="0.2">
      <c r="A1378" t="s">
        <v>2901</v>
      </c>
      <c r="B1378" t="s">
        <v>2902</v>
      </c>
      <c r="C1378" t="s">
        <v>13</v>
      </c>
      <c r="D1378" t="s">
        <v>2869</v>
      </c>
      <c r="E1378" t="s">
        <v>2870</v>
      </c>
      <c r="F1378" t="s">
        <v>516</v>
      </c>
      <c r="G1378" s="1">
        <v>6.7000000000000004E-2</v>
      </c>
      <c r="H1378" t="s">
        <v>166</v>
      </c>
      <c r="I1378" t="s">
        <v>1580</v>
      </c>
      <c r="J1378" t="s">
        <v>2260</v>
      </c>
      <c r="K1378" t="s">
        <v>24</v>
      </c>
      <c r="L1378" s="14">
        <f>IFERROR(VALUE(LEFT(tblMatriculas[[#This Row],[Clases]],FIND("/",tblMatriculas[[#This Row],[Clases]])-1)),"")</f>
        <v>2</v>
      </c>
      <c r="M1378" s="14">
        <f>IFERROR(VALUE(MID(tblMatriculas[[#This Row],[Clases]],FIND("/",tblMatriculas[[#This Row],[Clases]])+1,5)),"")</f>
        <v>30</v>
      </c>
      <c r="N13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8" s="14">
        <f>IF(OR(tblMatriculas[[#This Row],[Estado]]&lt;&gt;"activa",tblMatriculas[[#This Row],[Clases dictadas]]=""),"",MAX(0,tblMatriculas[[#This Row],[Clases dictadas]]-tblMatriculas[[#This Row],[Asistidas]]))</f>
        <v>0</v>
      </c>
      <c r="P1378" s="1">
        <f>IF(OR(tblMatriculas[[#This Row],[Estado]]&lt;&gt;"activa",tblMatriculas[[#This Row],[Asistidas]]=""),"",tblMatriculas[[#This Row],[Asistencia]])</f>
        <v>6.7000000000000004E-2</v>
      </c>
      <c r="Q1378" t="b">
        <f>AND(tblMatriculas[[#This Row],[Estado]]="activa",ISNUMBER(tblMatriculas[[#This Row],[% asistencia]]),NOT(ISNUMBER(SEARCH(pPrueba,tblMatriculas[[#This Row],[Nombre]]))))</f>
        <v>1</v>
      </c>
      <c r="R13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78" s="23" t="str" cm="1">
        <f t="array" ref="S13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8" s="23" t="str" cm="1">
        <f t="array" ref="T13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8" s="14" t="str" cm="1">
        <f t="array" ref="U13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8" t="str" cm="1">
        <f t="array" ref="V13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8" t="str" cm="1">
        <f t="array" ref="W13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78" t="str">
        <f>IF(COUNTIFS('Base Estudiantes'!$C:$C,tblMatriculas[[#This Row],[Cédula]],'Base Estudiantes'!$I:$I,tblMatriculas[[#This Row],[Código]])&gt;0,"Sí","No")</f>
        <v>Sí</v>
      </c>
      <c r="Z1378" s="23" cm="1">
        <f t="array" ref="Z1378">_xlfn.XLOOKUP(tblMatriculas[[#This Row],[Cédula]]&amp;"|"&amp;tblMatriculas[[#This Row],[Código]],tblBase[Documento]&amp;"|"&amp;tblBase[Código grupo],tblBase[Fecha matrícula],"")</f>
        <v>46263</v>
      </c>
    </row>
    <row r="1379" spans="1:26" x14ac:dyDescent="0.2">
      <c r="A1379" t="s">
        <v>2903</v>
      </c>
      <c r="B1379" t="s">
        <v>2904</v>
      </c>
      <c r="C1379" t="s">
        <v>13</v>
      </c>
      <c r="D1379" t="s">
        <v>2869</v>
      </c>
      <c r="E1379" t="s">
        <v>2870</v>
      </c>
      <c r="F1379" t="s">
        <v>516</v>
      </c>
      <c r="G1379" s="1">
        <v>0</v>
      </c>
      <c r="H1379" t="s">
        <v>254</v>
      </c>
      <c r="I1379" t="s">
        <v>1580</v>
      </c>
      <c r="J1379" t="s">
        <v>2260</v>
      </c>
      <c r="K1379" t="s">
        <v>24</v>
      </c>
      <c r="L1379" s="14">
        <f>IFERROR(VALUE(LEFT(tblMatriculas[[#This Row],[Clases]],FIND("/",tblMatriculas[[#This Row],[Clases]])-1)),"")</f>
        <v>0</v>
      </c>
      <c r="M1379" s="14">
        <f>IFERROR(VALUE(MID(tblMatriculas[[#This Row],[Clases]],FIND("/",tblMatriculas[[#This Row],[Clases]])+1,5)),"")</f>
        <v>30</v>
      </c>
      <c r="N13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79" s="14">
        <f>IF(OR(tblMatriculas[[#This Row],[Estado]]&lt;&gt;"activa",tblMatriculas[[#This Row],[Clases dictadas]]=""),"",MAX(0,tblMatriculas[[#This Row],[Clases dictadas]]-tblMatriculas[[#This Row],[Asistidas]]))</f>
        <v>2</v>
      </c>
      <c r="P1379" s="1">
        <f>IF(OR(tblMatriculas[[#This Row],[Estado]]&lt;&gt;"activa",tblMatriculas[[#This Row],[Asistidas]]=""),"",tblMatriculas[[#This Row],[Asistencia]])</f>
        <v>0</v>
      </c>
      <c r="Q1379" t="b">
        <f>AND(tblMatriculas[[#This Row],[Estado]]="activa",ISNUMBER(tblMatriculas[[#This Row],[% asistencia]]),NOT(ISNUMBER(SEARCH(pPrueba,tblMatriculas[[#This Row],[Nombre]]))))</f>
        <v>1</v>
      </c>
      <c r="R13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79" s="23" t="str" cm="1">
        <f t="array" ref="S13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79" s="23" t="str" cm="1">
        <f t="array" ref="T13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79" s="14" t="str" cm="1">
        <f t="array" ref="U13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79" t="str" cm="1">
        <f t="array" ref="V13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79" t="str" cm="1">
        <f t="array" ref="W13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79" t="str">
        <f>IF(COUNTIFS('Base Estudiantes'!$C:$C,tblMatriculas[[#This Row],[Cédula]],'Base Estudiantes'!$I:$I,tblMatriculas[[#This Row],[Código]])&gt;0,"Sí","No")</f>
        <v>Sí</v>
      </c>
      <c r="Z1379" s="23" cm="1">
        <f t="array" ref="Z1379">_xlfn.XLOOKUP(tblMatriculas[[#This Row],[Cédula]]&amp;"|"&amp;tblMatriculas[[#This Row],[Código]],tblBase[Documento]&amp;"|"&amp;tblBase[Código grupo],tblBase[Fecha matrícula],"")</f>
        <v>46263</v>
      </c>
    </row>
    <row r="1380" spans="1:26" x14ac:dyDescent="0.2">
      <c r="A1380" t="s">
        <v>2905</v>
      </c>
      <c r="B1380" t="s">
        <v>2906</v>
      </c>
      <c r="C1380" t="s">
        <v>49</v>
      </c>
      <c r="D1380" t="s">
        <v>2869</v>
      </c>
      <c r="E1380" t="s">
        <v>2870</v>
      </c>
      <c r="F1380" t="s">
        <v>516</v>
      </c>
      <c r="G1380" s="1">
        <v>3.3000000000000002E-2</v>
      </c>
      <c r="H1380" t="s">
        <v>2826</v>
      </c>
      <c r="I1380" t="s">
        <v>1580</v>
      </c>
      <c r="J1380" t="s">
        <v>2260</v>
      </c>
      <c r="K1380" t="s">
        <v>24</v>
      </c>
      <c r="L1380" s="14">
        <f>IFERROR(VALUE(LEFT(tblMatriculas[[#This Row],[Clases]],FIND("/",tblMatriculas[[#This Row],[Clases]])-1)),"")</f>
        <v>2</v>
      </c>
      <c r="M1380" s="14">
        <f>IFERROR(VALUE(MID(tblMatriculas[[#This Row],[Clases]],FIND("/",tblMatriculas[[#This Row],[Clases]])+1,5)),"")</f>
        <v>60</v>
      </c>
      <c r="N13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380" s="14" t="str">
        <f>IF(OR(tblMatriculas[[#This Row],[Estado]]&lt;&gt;"activa",tblMatriculas[[#This Row],[Clases dictadas]]=""),"",MAX(0,tblMatriculas[[#This Row],[Clases dictadas]]-tblMatriculas[[#This Row],[Asistidas]]))</f>
        <v/>
      </c>
      <c r="P1380" s="1" t="str">
        <f>IF(OR(tblMatriculas[[#This Row],[Estado]]&lt;&gt;"activa",tblMatriculas[[#This Row],[Asistidas]]=""),"",tblMatriculas[[#This Row],[Asistencia]])</f>
        <v/>
      </c>
      <c r="Q1380" t="b">
        <f>AND(tblMatriculas[[#This Row],[Estado]]="activa",ISNUMBER(tblMatriculas[[#This Row],[% asistencia]]),NOT(ISNUMBER(SEARCH(pPrueba,tblMatriculas[[#This Row],[Nombre]]))))</f>
        <v>0</v>
      </c>
      <c r="R13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380" s="23" t="str" cm="1">
        <f t="array" ref="S13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0" s="23" t="str" cm="1">
        <f t="array" ref="T13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0" s="14" t="str" cm="1">
        <f t="array" ref="U13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0" t="str" cm="1">
        <f t="array" ref="V13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0" t="str" cm="1">
        <f t="array" ref="W13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3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380" t="str">
        <f>IF(COUNTIFS('Base Estudiantes'!$C:$C,tblMatriculas[[#This Row],[Cédula]],'Base Estudiantes'!$I:$I,tblMatriculas[[#This Row],[Código]])&gt;0,"Sí","No")</f>
        <v>No</v>
      </c>
      <c r="Z1380" s="23" t="str" cm="1">
        <f t="array" ref="Z1380">_xlfn.XLOOKUP(tblMatriculas[[#This Row],[Cédula]]&amp;"|"&amp;tblMatriculas[[#This Row],[Código]],tblBase[Documento]&amp;"|"&amp;tblBase[Código grupo],tblBase[Fecha matrícula],"")</f>
        <v/>
      </c>
    </row>
    <row r="1381" spans="1:26" x14ac:dyDescent="0.2">
      <c r="A1381" t="s">
        <v>2907</v>
      </c>
      <c r="B1381" t="s">
        <v>2908</v>
      </c>
      <c r="C1381" t="s">
        <v>13</v>
      </c>
      <c r="D1381" t="s">
        <v>2869</v>
      </c>
      <c r="E1381" t="s">
        <v>2870</v>
      </c>
      <c r="F1381" t="s">
        <v>516</v>
      </c>
      <c r="G1381" s="1">
        <v>6.7000000000000004E-2</v>
      </c>
      <c r="H1381" t="s">
        <v>166</v>
      </c>
      <c r="I1381" t="s">
        <v>1580</v>
      </c>
      <c r="J1381" t="s">
        <v>2260</v>
      </c>
      <c r="K1381" t="s">
        <v>24</v>
      </c>
      <c r="L1381" s="14">
        <f>IFERROR(VALUE(LEFT(tblMatriculas[[#This Row],[Clases]],FIND("/",tblMatriculas[[#This Row],[Clases]])-1)),"")</f>
        <v>2</v>
      </c>
      <c r="M1381" s="14">
        <f>IFERROR(VALUE(MID(tblMatriculas[[#This Row],[Clases]],FIND("/",tblMatriculas[[#This Row],[Clases]])+1,5)),"")</f>
        <v>30</v>
      </c>
      <c r="N13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1" s="14">
        <f>IF(OR(tblMatriculas[[#This Row],[Estado]]&lt;&gt;"activa",tblMatriculas[[#This Row],[Clases dictadas]]=""),"",MAX(0,tblMatriculas[[#This Row],[Clases dictadas]]-tblMatriculas[[#This Row],[Asistidas]]))</f>
        <v>0</v>
      </c>
      <c r="P1381" s="1">
        <f>IF(OR(tblMatriculas[[#This Row],[Estado]]&lt;&gt;"activa",tblMatriculas[[#This Row],[Asistidas]]=""),"",tblMatriculas[[#This Row],[Asistencia]])</f>
        <v>6.7000000000000004E-2</v>
      </c>
      <c r="Q1381" t="b">
        <f>AND(tblMatriculas[[#This Row],[Estado]]="activa",ISNUMBER(tblMatriculas[[#This Row],[% asistencia]]),NOT(ISNUMBER(SEARCH(pPrueba,tblMatriculas[[#This Row],[Nombre]]))))</f>
        <v>1</v>
      </c>
      <c r="R13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81" s="23" t="str" cm="1">
        <f t="array" ref="S13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1" s="23" t="str" cm="1">
        <f t="array" ref="T13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1" s="14" t="str" cm="1">
        <f t="array" ref="U13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1" t="str" cm="1">
        <f t="array" ref="V13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1" t="str" cm="1">
        <f t="array" ref="W13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81" t="str">
        <f>IF(COUNTIFS('Base Estudiantes'!$C:$C,tblMatriculas[[#This Row],[Cédula]],'Base Estudiantes'!$I:$I,tblMatriculas[[#This Row],[Código]])&gt;0,"Sí","No")</f>
        <v>Sí</v>
      </c>
      <c r="Z1381" s="23" cm="1">
        <f t="array" ref="Z1381">_xlfn.XLOOKUP(tblMatriculas[[#This Row],[Cédula]]&amp;"|"&amp;tblMatriculas[[#This Row],[Código]],tblBase[Documento]&amp;"|"&amp;tblBase[Código grupo],tblBase[Fecha matrícula],"")</f>
        <v>46263</v>
      </c>
    </row>
    <row r="1382" spans="1:26" x14ac:dyDescent="0.2">
      <c r="A1382" t="s">
        <v>2909</v>
      </c>
      <c r="B1382" t="s">
        <v>2910</v>
      </c>
      <c r="C1382" t="s">
        <v>13</v>
      </c>
      <c r="D1382" t="s">
        <v>2869</v>
      </c>
      <c r="E1382" t="s">
        <v>2870</v>
      </c>
      <c r="F1382" t="s">
        <v>516</v>
      </c>
      <c r="G1382" s="1">
        <v>3.3000000000000002E-2</v>
      </c>
      <c r="H1382" t="s">
        <v>225</v>
      </c>
      <c r="I1382" t="s">
        <v>1580</v>
      </c>
      <c r="J1382" t="s">
        <v>2260</v>
      </c>
      <c r="K1382" t="s">
        <v>24</v>
      </c>
      <c r="L1382" s="14">
        <f>IFERROR(VALUE(LEFT(tblMatriculas[[#This Row],[Clases]],FIND("/",tblMatriculas[[#This Row],[Clases]])-1)),"")</f>
        <v>1</v>
      </c>
      <c r="M1382" s="14">
        <f>IFERROR(VALUE(MID(tblMatriculas[[#This Row],[Clases]],FIND("/",tblMatriculas[[#This Row],[Clases]])+1,5)),"")</f>
        <v>30</v>
      </c>
      <c r="N13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2" s="14">
        <f>IF(OR(tblMatriculas[[#This Row],[Estado]]&lt;&gt;"activa",tblMatriculas[[#This Row],[Clases dictadas]]=""),"",MAX(0,tblMatriculas[[#This Row],[Clases dictadas]]-tblMatriculas[[#This Row],[Asistidas]]))</f>
        <v>1</v>
      </c>
      <c r="P1382" s="1">
        <f>IF(OR(tblMatriculas[[#This Row],[Estado]]&lt;&gt;"activa",tblMatriculas[[#This Row],[Asistidas]]=""),"",tblMatriculas[[#This Row],[Asistencia]])</f>
        <v>3.3000000000000002E-2</v>
      </c>
      <c r="Q1382" t="b">
        <f>AND(tblMatriculas[[#This Row],[Estado]]="activa",ISNUMBER(tblMatriculas[[#This Row],[% asistencia]]),NOT(ISNUMBER(SEARCH(pPrueba,tblMatriculas[[#This Row],[Nombre]]))))</f>
        <v>1</v>
      </c>
      <c r="R13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82" s="23" t="str" cm="1">
        <f t="array" ref="S13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2" s="23" t="str" cm="1">
        <f t="array" ref="T13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2" s="14" t="str" cm="1">
        <f t="array" ref="U13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2" t="str" cm="1">
        <f t="array" ref="V13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2" t="str" cm="1">
        <f t="array" ref="W13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82" t="str">
        <f>IF(COUNTIFS('Base Estudiantes'!$C:$C,tblMatriculas[[#This Row],[Cédula]],'Base Estudiantes'!$I:$I,tblMatriculas[[#This Row],[Código]])&gt;0,"Sí","No")</f>
        <v>Sí</v>
      </c>
      <c r="Z1382" s="23" cm="1">
        <f t="array" ref="Z1382">_xlfn.XLOOKUP(tblMatriculas[[#This Row],[Cédula]]&amp;"|"&amp;tblMatriculas[[#This Row],[Código]],tblBase[Documento]&amp;"|"&amp;tblBase[Código grupo],tblBase[Fecha matrícula],"")</f>
        <v>46263</v>
      </c>
    </row>
    <row r="1383" spans="1:26" x14ac:dyDescent="0.2">
      <c r="A1383" t="s">
        <v>2911</v>
      </c>
      <c r="B1383" t="s">
        <v>2912</v>
      </c>
      <c r="C1383" t="s">
        <v>13</v>
      </c>
      <c r="D1383" t="s">
        <v>2869</v>
      </c>
      <c r="E1383" t="s">
        <v>2870</v>
      </c>
      <c r="F1383" t="s">
        <v>516</v>
      </c>
      <c r="G1383" s="1">
        <v>6.7000000000000004E-2</v>
      </c>
      <c r="H1383" t="s">
        <v>166</v>
      </c>
      <c r="I1383" t="s">
        <v>1580</v>
      </c>
      <c r="J1383" t="s">
        <v>2260</v>
      </c>
      <c r="K1383" t="s">
        <v>24</v>
      </c>
      <c r="L1383" s="14">
        <f>IFERROR(VALUE(LEFT(tblMatriculas[[#This Row],[Clases]],FIND("/",tblMatriculas[[#This Row],[Clases]])-1)),"")</f>
        <v>2</v>
      </c>
      <c r="M1383" s="14">
        <f>IFERROR(VALUE(MID(tblMatriculas[[#This Row],[Clases]],FIND("/",tblMatriculas[[#This Row],[Clases]])+1,5)),"")</f>
        <v>30</v>
      </c>
      <c r="N13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3" s="14">
        <f>IF(OR(tblMatriculas[[#This Row],[Estado]]&lt;&gt;"activa",tblMatriculas[[#This Row],[Clases dictadas]]=""),"",MAX(0,tblMatriculas[[#This Row],[Clases dictadas]]-tblMatriculas[[#This Row],[Asistidas]]))</f>
        <v>0</v>
      </c>
      <c r="P1383" s="1">
        <f>IF(OR(tblMatriculas[[#This Row],[Estado]]&lt;&gt;"activa",tblMatriculas[[#This Row],[Asistidas]]=""),"",tblMatriculas[[#This Row],[Asistencia]])</f>
        <v>6.7000000000000004E-2</v>
      </c>
      <c r="Q1383" t="b">
        <f>AND(tblMatriculas[[#This Row],[Estado]]="activa",ISNUMBER(tblMatriculas[[#This Row],[% asistencia]]),NOT(ISNUMBER(SEARCH(pPrueba,tblMatriculas[[#This Row],[Nombre]]))))</f>
        <v>1</v>
      </c>
      <c r="R13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83" s="23" t="str" cm="1">
        <f t="array" ref="S13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3" s="23" t="str" cm="1">
        <f t="array" ref="T13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3" s="14" t="str" cm="1">
        <f t="array" ref="U13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3" t="str" cm="1">
        <f t="array" ref="V13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3" t="str" cm="1">
        <f t="array" ref="W13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83" t="str">
        <f>IF(COUNTIFS('Base Estudiantes'!$C:$C,tblMatriculas[[#This Row],[Cédula]],'Base Estudiantes'!$I:$I,tblMatriculas[[#This Row],[Código]])&gt;0,"Sí","No")</f>
        <v>Sí</v>
      </c>
      <c r="Z1383" s="23" cm="1">
        <f t="array" ref="Z1383">_xlfn.XLOOKUP(tblMatriculas[[#This Row],[Cédula]]&amp;"|"&amp;tblMatriculas[[#This Row],[Código]],tblBase[Documento]&amp;"|"&amp;tblBase[Código grupo],tblBase[Fecha matrícula],"")</f>
        <v>46263</v>
      </c>
    </row>
    <row r="1384" spans="1:26" x14ac:dyDescent="0.2">
      <c r="A1384" t="s">
        <v>2913</v>
      </c>
      <c r="B1384" t="s">
        <v>2914</v>
      </c>
      <c r="C1384" t="s">
        <v>13</v>
      </c>
      <c r="D1384" t="s">
        <v>2869</v>
      </c>
      <c r="E1384" t="s">
        <v>2870</v>
      </c>
      <c r="F1384" t="s">
        <v>516</v>
      </c>
      <c r="G1384" s="1">
        <v>0</v>
      </c>
      <c r="H1384" t="s">
        <v>254</v>
      </c>
      <c r="I1384" t="s">
        <v>1580</v>
      </c>
      <c r="J1384" t="s">
        <v>2260</v>
      </c>
      <c r="K1384" t="s">
        <v>24</v>
      </c>
      <c r="L1384" s="14">
        <f>IFERROR(VALUE(LEFT(tblMatriculas[[#This Row],[Clases]],FIND("/",tblMatriculas[[#This Row],[Clases]])-1)),"")</f>
        <v>0</v>
      </c>
      <c r="M1384" s="14">
        <f>IFERROR(VALUE(MID(tblMatriculas[[#This Row],[Clases]],FIND("/",tblMatriculas[[#This Row],[Clases]])+1,5)),"")</f>
        <v>30</v>
      </c>
      <c r="N13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4" s="14">
        <f>IF(OR(tblMatriculas[[#This Row],[Estado]]&lt;&gt;"activa",tblMatriculas[[#This Row],[Clases dictadas]]=""),"",MAX(0,tblMatriculas[[#This Row],[Clases dictadas]]-tblMatriculas[[#This Row],[Asistidas]]))</f>
        <v>2</v>
      </c>
      <c r="P1384" s="1">
        <f>IF(OR(tblMatriculas[[#This Row],[Estado]]&lt;&gt;"activa",tblMatriculas[[#This Row],[Asistidas]]=""),"",tblMatriculas[[#This Row],[Asistencia]])</f>
        <v>0</v>
      </c>
      <c r="Q1384" t="b">
        <f>AND(tblMatriculas[[#This Row],[Estado]]="activa",ISNUMBER(tblMatriculas[[#This Row],[% asistencia]]),NOT(ISNUMBER(SEARCH(pPrueba,tblMatriculas[[#This Row],[Nombre]]))))</f>
        <v>1</v>
      </c>
      <c r="R13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84" s="23" t="str" cm="1">
        <f t="array" ref="S13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4" s="23" t="str" cm="1">
        <f t="array" ref="T13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4" s="14" t="str" cm="1">
        <f t="array" ref="U13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4" t="str" cm="1">
        <f t="array" ref="V13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4" t="str" cm="1">
        <f t="array" ref="W13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84" t="str">
        <f>IF(COUNTIFS('Base Estudiantes'!$C:$C,tblMatriculas[[#This Row],[Cédula]],'Base Estudiantes'!$I:$I,tblMatriculas[[#This Row],[Código]])&gt;0,"Sí","No")</f>
        <v>Sí</v>
      </c>
      <c r="Z1384" s="23" cm="1">
        <f t="array" ref="Z1384">_xlfn.XLOOKUP(tblMatriculas[[#This Row],[Cédula]]&amp;"|"&amp;tblMatriculas[[#This Row],[Código]],tblBase[Documento]&amp;"|"&amp;tblBase[Código grupo],tblBase[Fecha matrícula],"")</f>
        <v>46263</v>
      </c>
    </row>
    <row r="1385" spans="1:26" x14ac:dyDescent="0.2">
      <c r="A1385" t="s">
        <v>2915</v>
      </c>
      <c r="B1385" t="s">
        <v>2916</v>
      </c>
      <c r="C1385" t="s">
        <v>13</v>
      </c>
      <c r="D1385" t="s">
        <v>2869</v>
      </c>
      <c r="E1385" t="s">
        <v>2870</v>
      </c>
      <c r="F1385" t="s">
        <v>516</v>
      </c>
      <c r="G1385" s="1">
        <v>0</v>
      </c>
      <c r="H1385" t="s">
        <v>254</v>
      </c>
      <c r="I1385" t="s">
        <v>1580</v>
      </c>
      <c r="J1385" t="s">
        <v>2260</v>
      </c>
      <c r="K1385" t="s">
        <v>24</v>
      </c>
      <c r="L1385" s="14">
        <f>IFERROR(VALUE(LEFT(tblMatriculas[[#This Row],[Clases]],FIND("/",tblMatriculas[[#This Row],[Clases]])-1)),"")</f>
        <v>0</v>
      </c>
      <c r="M1385" s="14">
        <f>IFERROR(VALUE(MID(tblMatriculas[[#This Row],[Clases]],FIND("/",tblMatriculas[[#This Row],[Clases]])+1,5)),"")</f>
        <v>30</v>
      </c>
      <c r="N13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5" s="14">
        <f>IF(OR(tblMatriculas[[#This Row],[Estado]]&lt;&gt;"activa",tblMatriculas[[#This Row],[Clases dictadas]]=""),"",MAX(0,tblMatriculas[[#This Row],[Clases dictadas]]-tblMatriculas[[#This Row],[Asistidas]]))</f>
        <v>2</v>
      </c>
      <c r="P1385" s="1">
        <f>IF(OR(tblMatriculas[[#This Row],[Estado]]&lt;&gt;"activa",tblMatriculas[[#This Row],[Asistidas]]=""),"",tblMatriculas[[#This Row],[Asistencia]])</f>
        <v>0</v>
      </c>
      <c r="Q1385" t="b">
        <f>AND(tblMatriculas[[#This Row],[Estado]]="activa",ISNUMBER(tblMatriculas[[#This Row],[% asistencia]]),NOT(ISNUMBER(SEARCH(pPrueba,tblMatriculas[[#This Row],[Nombre]]))))</f>
        <v>1</v>
      </c>
      <c r="R13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85" s="23" t="str" cm="1">
        <f t="array" ref="S13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5" s="23" t="str" cm="1">
        <f t="array" ref="T13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5" s="14" t="str" cm="1">
        <f t="array" ref="U13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5" t="str" cm="1">
        <f t="array" ref="V13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5" t="str" cm="1">
        <f t="array" ref="W13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85" t="str">
        <f>IF(COUNTIFS('Base Estudiantes'!$C:$C,tblMatriculas[[#This Row],[Cédula]],'Base Estudiantes'!$I:$I,tblMatriculas[[#This Row],[Código]])&gt;0,"Sí","No")</f>
        <v>Sí</v>
      </c>
      <c r="Z1385" s="23" cm="1">
        <f t="array" ref="Z1385">_xlfn.XLOOKUP(tblMatriculas[[#This Row],[Cédula]]&amp;"|"&amp;tblMatriculas[[#This Row],[Código]],tblBase[Documento]&amp;"|"&amp;tblBase[Código grupo],tblBase[Fecha matrícula],"")</f>
        <v>46263</v>
      </c>
    </row>
    <row r="1386" spans="1:26" x14ac:dyDescent="0.2">
      <c r="A1386" t="s">
        <v>2917</v>
      </c>
      <c r="B1386" t="s">
        <v>2918</v>
      </c>
      <c r="C1386" t="s">
        <v>13</v>
      </c>
      <c r="D1386" t="s">
        <v>2869</v>
      </c>
      <c r="E1386" t="s">
        <v>2870</v>
      </c>
      <c r="F1386" t="s">
        <v>516</v>
      </c>
      <c r="G1386" s="1">
        <v>6.7000000000000004E-2</v>
      </c>
      <c r="H1386" t="s">
        <v>166</v>
      </c>
      <c r="I1386" t="s">
        <v>1580</v>
      </c>
      <c r="J1386" t="s">
        <v>2260</v>
      </c>
      <c r="K1386" t="s">
        <v>24</v>
      </c>
      <c r="L1386" s="14">
        <f>IFERROR(VALUE(LEFT(tblMatriculas[[#This Row],[Clases]],FIND("/",tblMatriculas[[#This Row],[Clases]])-1)),"")</f>
        <v>2</v>
      </c>
      <c r="M1386" s="14">
        <f>IFERROR(VALUE(MID(tblMatriculas[[#This Row],[Clases]],FIND("/",tblMatriculas[[#This Row],[Clases]])+1,5)),"")</f>
        <v>30</v>
      </c>
      <c r="N13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6" s="14">
        <f>IF(OR(tblMatriculas[[#This Row],[Estado]]&lt;&gt;"activa",tblMatriculas[[#This Row],[Clases dictadas]]=""),"",MAX(0,tblMatriculas[[#This Row],[Clases dictadas]]-tblMatriculas[[#This Row],[Asistidas]]))</f>
        <v>0</v>
      </c>
      <c r="P1386" s="1">
        <f>IF(OR(tblMatriculas[[#This Row],[Estado]]&lt;&gt;"activa",tblMatriculas[[#This Row],[Asistidas]]=""),"",tblMatriculas[[#This Row],[Asistencia]])</f>
        <v>6.7000000000000004E-2</v>
      </c>
      <c r="Q1386" t="b">
        <f>AND(tblMatriculas[[#This Row],[Estado]]="activa",ISNUMBER(tblMatriculas[[#This Row],[% asistencia]]),NOT(ISNUMBER(SEARCH(pPrueba,tblMatriculas[[#This Row],[Nombre]]))))</f>
        <v>1</v>
      </c>
      <c r="R13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86" s="23" t="str" cm="1">
        <f t="array" ref="S13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6" s="23" t="str" cm="1">
        <f t="array" ref="T13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6" s="14" t="str" cm="1">
        <f t="array" ref="U13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6" t="str" cm="1">
        <f t="array" ref="V13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6" t="str" cm="1">
        <f t="array" ref="W13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86" t="str">
        <f>IF(COUNTIFS('Base Estudiantes'!$C:$C,tblMatriculas[[#This Row],[Cédula]],'Base Estudiantes'!$I:$I,tblMatriculas[[#This Row],[Código]])&gt;0,"Sí","No")</f>
        <v>Sí</v>
      </c>
      <c r="Z1386" s="23" cm="1">
        <f t="array" ref="Z1386">_xlfn.XLOOKUP(tblMatriculas[[#This Row],[Cédula]]&amp;"|"&amp;tblMatriculas[[#This Row],[Código]],tblBase[Documento]&amp;"|"&amp;tblBase[Código grupo],tblBase[Fecha matrícula],"")</f>
        <v>46263</v>
      </c>
    </row>
    <row r="1387" spans="1:26" x14ac:dyDescent="0.2">
      <c r="A1387" t="s">
        <v>2919</v>
      </c>
      <c r="B1387" t="s">
        <v>2920</v>
      </c>
      <c r="C1387" t="s">
        <v>13</v>
      </c>
      <c r="D1387" t="s">
        <v>2869</v>
      </c>
      <c r="E1387" t="s">
        <v>2870</v>
      </c>
      <c r="F1387" t="s">
        <v>516</v>
      </c>
      <c r="G1387" s="1">
        <v>0</v>
      </c>
      <c r="H1387" t="s">
        <v>254</v>
      </c>
      <c r="I1387" t="s">
        <v>1580</v>
      </c>
      <c r="J1387" t="s">
        <v>2260</v>
      </c>
      <c r="K1387" t="s">
        <v>24</v>
      </c>
      <c r="L1387" s="14">
        <f>IFERROR(VALUE(LEFT(tblMatriculas[[#This Row],[Clases]],FIND("/",tblMatriculas[[#This Row],[Clases]])-1)),"")</f>
        <v>0</v>
      </c>
      <c r="M1387" s="14">
        <f>IFERROR(VALUE(MID(tblMatriculas[[#This Row],[Clases]],FIND("/",tblMatriculas[[#This Row],[Clases]])+1,5)),"")</f>
        <v>30</v>
      </c>
      <c r="N13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7" s="14">
        <f>IF(OR(tblMatriculas[[#This Row],[Estado]]&lt;&gt;"activa",tblMatriculas[[#This Row],[Clases dictadas]]=""),"",MAX(0,tblMatriculas[[#This Row],[Clases dictadas]]-tblMatriculas[[#This Row],[Asistidas]]))</f>
        <v>2</v>
      </c>
      <c r="P1387" s="1">
        <f>IF(OR(tblMatriculas[[#This Row],[Estado]]&lt;&gt;"activa",tblMatriculas[[#This Row],[Asistidas]]=""),"",tblMatriculas[[#This Row],[Asistencia]])</f>
        <v>0</v>
      </c>
      <c r="Q1387" t="b">
        <f>AND(tblMatriculas[[#This Row],[Estado]]="activa",ISNUMBER(tblMatriculas[[#This Row],[% asistencia]]),NOT(ISNUMBER(SEARCH(pPrueba,tblMatriculas[[#This Row],[Nombre]]))))</f>
        <v>1</v>
      </c>
      <c r="R13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87" s="23" t="str" cm="1">
        <f t="array" ref="S13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7" s="23" t="str" cm="1">
        <f t="array" ref="T13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7" s="14" t="str" cm="1">
        <f t="array" ref="U13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7" t="str" cm="1">
        <f t="array" ref="V13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7" t="str" cm="1">
        <f t="array" ref="W13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87" t="str">
        <f>IF(COUNTIFS('Base Estudiantes'!$C:$C,tblMatriculas[[#This Row],[Cédula]],'Base Estudiantes'!$I:$I,tblMatriculas[[#This Row],[Código]])&gt;0,"Sí","No")</f>
        <v>Sí</v>
      </c>
      <c r="Z1387" s="23" cm="1">
        <f t="array" ref="Z1387">_xlfn.XLOOKUP(tblMatriculas[[#This Row],[Cédula]]&amp;"|"&amp;tblMatriculas[[#This Row],[Código]],tblBase[Documento]&amp;"|"&amp;tblBase[Código grupo],tblBase[Fecha matrícula],"")</f>
        <v>46263</v>
      </c>
    </row>
    <row r="1388" spans="1:26" x14ac:dyDescent="0.2">
      <c r="A1388" t="s">
        <v>2921</v>
      </c>
      <c r="B1388" t="s">
        <v>2922</v>
      </c>
      <c r="C1388" t="s">
        <v>13</v>
      </c>
      <c r="D1388" t="s">
        <v>2869</v>
      </c>
      <c r="E1388" t="s">
        <v>2870</v>
      </c>
      <c r="F1388" t="s">
        <v>516</v>
      </c>
      <c r="G1388" s="1">
        <v>0</v>
      </c>
      <c r="H1388" t="s">
        <v>254</v>
      </c>
      <c r="I1388" t="s">
        <v>1580</v>
      </c>
      <c r="J1388" t="s">
        <v>2260</v>
      </c>
      <c r="K1388" t="s">
        <v>24</v>
      </c>
      <c r="L1388" s="14">
        <f>IFERROR(VALUE(LEFT(tblMatriculas[[#This Row],[Clases]],FIND("/",tblMatriculas[[#This Row],[Clases]])-1)),"")</f>
        <v>0</v>
      </c>
      <c r="M1388" s="14">
        <f>IFERROR(VALUE(MID(tblMatriculas[[#This Row],[Clases]],FIND("/",tblMatriculas[[#This Row],[Clases]])+1,5)),"")</f>
        <v>30</v>
      </c>
      <c r="N13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8" s="14">
        <f>IF(OR(tblMatriculas[[#This Row],[Estado]]&lt;&gt;"activa",tblMatriculas[[#This Row],[Clases dictadas]]=""),"",MAX(0,tblMatriculas[[#This Row],[Clases dictadas]]-tblMatriculas[[#This Row],[Asistidas]]))</f>
        <v>2</v>
      </c>
      <c r="P1388" s="1">
        <f>IF(OR(tblMatriculas[[#This Row],[Estado]]&lt;&gt;"activa",tblMatriculas[[#This Row],[Asistidas]]=""),"",tblMatriculas[[#This Row],[Asistencia]])</f>
        <v>0</v>
      </c>
      <c r="Q1388" t="b">
        <f>AND(tblMatriculas[[#This Row],[Estado]]="activa",ISNUMBER(tblMatriculas[[#This Row],[% asistencia]]),NOT(ISNUMBER(SEARCH(pPrueba,tblMatriculas[[#This Row],[Nombre]]))))</f>
        <v>1</v>
      </c>
      <c r="R13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388" s="23" t="str" cm="1">
        <f t="array" ref="S13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8" s="23" t="str" cm="1">
        <f t="array" ref="T13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8" s="14" t="str" cm="1">
        <f t="array" ref="U13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8" t="str" cm="1">
        <f t="array" ref="V13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8" t="str" cm="1">
        <f t="array" ref="W13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3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388" t="str">
        <f>IF(COUNTIFS('Base Estudiantes'!$C:$C,tblMatriculas[[#This Row],[Cédula]],'Base Estudiantes'!$I:$I,tblMatriculas[[#This Row],[Código]])&gt;0,"Sí","No")</f>
        <v>Sí</v>
      </c>
      <c r="Z1388" s="23" cm="1">
        <f t="array" ref="Z1388">_xlfn.XLOOKUP(tblMatriculas[[#This Row],[Cédula]]&amp;"|"&amp;tblMatriculas[[#This Row],[Código]],tblBase[Documento]&amp;"|"&amp;tblBase[Código grupo],tblBase[Fecha matrícula],"")</f>
        <v>46263</v>
      </c>
    </row>
    <row r="1389" spans="1:26" x14ac:dyDescent="0.2">
      <c r="A1389" t="s">
        <v>2923</v>
      </c>
      <c r="B1389" t="s">
        <v>2924</v>
      </c>
      <c r="C1389" t="s">
        <v>13</v>
      </c>
      <c r="D1389" t="s">
        <v>2869</v>
      </c>
      <c r="E1389" t="s">
        <v>2870</v>
      </c>
      <c r="F1389" t="s">
        <v>516</v>
      </c>
      <c r="G1389" s="1">
        <v>3.3000000000000002E-2</v>
      </c>
      <c r="H1389" t="s">
        <v>225</v>
      </c>
      <c r="I1389" t="s">
        <v>1580</v>
      </c>
      <c r="J1389" t="s">
        <v>2260</v>
      </c>
      <c r="K1389" t="s">
        <v>24</v>
      </c>
      <c r="L1389" s="14">
        <f>IFERROR(VALUE(LEFT(tblMatriculas[[#This Row],[Clases]],FIND("/",tblMatriculas[[#This Row],[Clases]])-1)),"")</f>
        <v>1</v>
      </c>
      <c r="M1389" s="14">
        <f>IFERROR(VALUE(MID(tblMatriculas[[#This Row],[Clases]],FIND("/",tblMatriculas[[#This Row],[Clases]])+1,5)),"")</f>
        <v>30</v>
      </c>
      <c r="N13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89" s="14">
        <f>IF(OR(tblMatriculas[[#This Row],[Estado]]&lt;&gt;"activa",tblMatriculas[[#This Row],[Clases dictadas]]=""),"",MAX(0,tblMatriculas[[#This Row],[Clases dictadas]]-tblMatriculas[[#This Row],[Asistidas]]))</f>
        <v>1</v>
      </c>
      <c r="P1389" s="1">
        <f>IF(OR(tblMatriculas[[#This Row],[Estado]]&lt;&gt;"activa",tblMatriculas[[#This Row],[Asistidas]]=""),"",tblMatriculas[[#This Row],[Asistencia]])</f>
        <v>3.3000000000000002E-2</v>
      </c>
      <c r="Q1389" t="b">
        <f>AND(tblMatriculas[[#This Row],[Estado]]="activa",ISNUMBER(tblMatriculas[[#This Row],[% asistencia]]),NOT(ISNUMBER(SEARCH(pPrueba,tblMatriculas[[#This Row],[Nombre]]))))</f>
        <v>1</v>
      </c>
      <c r="R13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89" s="23" t="str" cm="1">
        <f t="array" ref="S13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89" s="23" t="str" cm="1">
        <f t="array" ref="T13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89" s="14" t="str" cm="1">
        <f t="array" ref="U13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89" t="str" cm="1">
        <f t="array" ref="V13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89" t="str" cm="1">
        <f t="array" ref="W13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89" t="str">
        <f>IF(COUNTIFS('Base Estudiantes'!$C:$C,tblMatriculas[[#This Row],[Cédula]],'Base Estudiantes'!$I:$I,tblMatriculas[[#This Row],[Código]])&gt;0,"Sí","No")</f>
        <v>Sí</v>
      </c>
      <c r="Z1389" s="23" cm="1">
        <f t="array" ref="Z1389">_xlfn.XLOOKUP(tblMatriculas[[#This Row],[Cédula]]&amp;"|"&amp;tblMatriculas[[#This Row],[Código]],tblBase[Documento]&amp;"|"&amp;tblBase[Código grupo],tblBase[Fecha matrícula],"")</f>
        <v>46263</v>
      </c>
    </row>
    <row r="1390" spans="1:26" x14ac:dyDescent="0.2">
      <c r="A1390" t="s">
        <v>2925</v>
      </c>
      <c r="B1390" t="s">
        <v>2926</v>
      </c>
      <c r="C1390" t="s">
        <v>13</v>
      </c>
      <c r="D1390" t="s">
        <v>2869</v>
      </c>
      <c r="E1390" t="s">
        <v>2870</v>
      </c>
      <c r="F1390" t="s">
        <v>516</v>
      </c>
      <c r="G1390" s="1">
        <v>6.7000000000000004E-2</v>
      </c>
      <c r="H1390" t="s">
        <v>166</v>
      </c>
      <c r="I1390" t="s">
        <v>1580</v>
      </c>
      <c r="J1390" t="s">
        <v>2260</v>
      </c>
      <c r="K1390" t="s">
        <v>24</v>
      </c>
      <c r="L1390" s="14">
        <f>IFERROR(VALUE(LEFT(tblMatriculas[[#This Row],[Clases]],FIND("/",tblMatriculas[[#This Row],[Clases]])-1)),"")</f>
        <v>2</v>
      </c>
      <c r="M1390" s="14">
        <f>IFERROR(VALUE(MID(tblMatriculas[[#This Row],[Clases]],FIND("/",tblMatriculas[[#This Row],[Clases]])+1,5)),"")</f>
        <v>30</v>
      </c>
      <c r="N13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0" s="14">
        <f>IF(OR(tblMatriculas[[#This Row],[Estado]]&lt;&gt;"activa",tblMatriculas[[#This Row],[Clases dictadas]]=""),"",MAX(0,tblMatriculas[[#This Row],[Clases dictadas]]-tblMatriculas[[#This Row],[Asistidas]]))</f>
        <v>0</v>
      </c>
      <c r="P1390" s="1">
        <f>IF(OR(tblMatriculas[[#This Row],[Estado]]&lt;&gt;"activa",tblMatriculas[[#This Row],[Asistidas]]=""),"",tblMatriculas[[#This Row],[Asistencia]])</f>
        <v>6.7000000000000004E-2</v>
      </c>
      <c r="Q1390" t="b">
        <f>AND(tblMatriculas[[#This Row],[Estado]]="activa",ISNUMBER(tblMatriculas[[#This Row],[% asistencia]]),NOT(ISNUMBER(SEARCH(pPrueba,tblMatriculas[[#This Row],[Nombre]]))))</f>
        <v>1</v>
      </c>
      <c r="R13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0" s="23" t="str" cm="1">
        <f t="array" ref="S13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0" s="23" t="str" cm="1">
        <f t="array" ref="T13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0" s="14" t="str" cm="1">
        <f t="array" ref="U13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0" t="str" cm="1">
        <f t="array" ref="V13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0" t="str" cm="1">
        <f t="array" ref="W13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0" t="str">
        <f>IF(COUNTIFS('Base Estudiantes'!$C:$C,tblMatriculas[[#This Row],[Cédula]],'Base Estudiantes'!$I:$I,tblMatriculas[[#This Row],[Código]])&gt;0,"Sí","No")</f>
        <v>Sí</v>
      </c>
      <c r="Z1390" s="23" cm="1">
        <f t="array" ref="Z1390">_xlfn.XLOOKUP(tblMatriculas[[#This Row],[Cédula]]&amp;"|"&amp;tblMatriculas[[#This Row],[Código]],tblBase[Documento]&amp;"|"&amp;tblBase[Código grupo],tblBase[Fecha matrícula],"")</f>
        <v>46263</v>
      </c>
    </row>
    <row r="1391" spans="1:26" x14ac:dyDescent="0.2">
      <c r="A1391" t="s">
        <v>2927</v>
      </c>
      <c r="B1391" t="s">
        <v>2928</v>
      </c>
      <c r="C1391" t="s">
        <v>13</v>
      </c>
      <c r="D1391" t="s">
        <v>2869</v>
      </c>
      <c r="E1391" t="s">
        <v>2870</v>
      </c>
      <c r="F1391" t="s">
        <v>516</v>
      </c>
      <c r="G1391" s="1">
        <v>6.7000000000000004E-2</v>
      </c>
      <c r="H1391" t="s">
        <v>166</v>
      </c>
      <c r="I1391" t="s">
        <v>1580</v>
      </c>
      <c r="J1391" t="s">
        <v>2260</v>
      </c>
      <c r="K1391" t="s">
        <v>24</v>
      </c>
      <c r="L1391" s="14">
        <f>IFERROR(VALUE(LEFT(tblMatriculas[[#This Row],[Clases]],FIND("/",tblMatriculas[[#This Row],[Clases]])-1)),"")</f>
        <v>2</v>
      </c>
      <c r="M1391" s="14">
        <f>IFERROR(VALUE(MID(tblMatriculas[[#This Row],[Clases]],FIND("/",tblMatriculas[[#This Row],[Clases]])+1,5)),"")</f>
        <v>30</v>
      </c>
      <c r="N13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1" s="14">
        <f>IF(OR(tblMatriculas[[#This Row],[Estado]]&lt;&gt;"activa",tblMatriculas[[#This Row],[Clases dictadas]]=""),"",MAX(0,tblMatriculas[[#This Row],[Clases dictadas]]-tblMatriculas[[#This Row],[Asistidas]]))</f>
        <v>0</v>
      </c>
      <c r="P1391" s="1">
        <f>IF(OR(tblMatriculas[[#This Row],[Estado]]&lt;&gt;"activa",tblMatriculas[[#This Row],[Asistidas]]=""),"",tblMatriculas[[#This Row],[Asistencia]])</f>
        <v>6.7000000000000004E-2</v>
      </c>
      <c r="Q1391" t="b">
        <f>AND(tblMatriculas[[#This Row],[Estado]]="activa",ISNUMBER(tblMatriculas[[#This Row],[% asistencia]]),NOT(ISNUMBER(SEARCH(pPrueba,tblMatriculas[[#This Row],[Nombre]]))))</f>
        <v>1</v>
      </c>
      <c r="R13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1" s="23" t="str" cm="1">
        <f t="array" ref="S13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1" s="23" t="str" cm="1">
        <f t="array" ref="T13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1" s="14" t="str" cm="1">
        <f t="array" ref="U13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1" t="str" cm="1">
        <f t="array" ref="V13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1" t="str" cm="1">
        <f t="array" ref="W13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1" t="str">
        <f>IF(COUNTIFS('Base Estudiantes'!$C:$C,tblMatriculas[[#This Row],[Cédula]],'Base Estudiantes'!$I:$I,tblMatriculas[[#This Row],[Código]])&gt;0,"Sí","No")</f>
        <v>Sí</v>
      </c>
      <c r="Z1391" s="23" cm="1">
        <f t="array" ref="Z1391">_xlfn.XLOOKUP(tblMatriculas[[#This Row],[Cédula]]&amp;"|"&amp;tblMatriculas[[#This Row],[Código]],tblBase[Documento]&amp;"|"&amp;tblBase[Código grupo],tblBase[Fecha matrícula],"")</f>
        <v>46263</v>
      </c>
    </row>
    <row r="1392" spans="1:26" x14ac:dyDescent="0.2">
      <c r="A1392" t="s">
        <v>2929</v>
      </c>
      <c r="B1392" t="s">
        <v>2930</v>
      </c>
      <c r="C1392" t="s">
        <v>13</v>
      </c>
      <c r="D1392" t="s">
        <v>2869</v>
      </c>
      <c r="E1392" t="s">
        <v>2870</v>
      </c>
      <c r="F1392" t="s">
        <v>516</v>
      </c>
      <c r="G1392" s="1">
        <v>6.7000000000000004E-2</v>
      </c>
      <c r="H1392" t="s">
        <v>166</v>
      </c>
      <c r="I1392" t="s">
        <v>1580</v>
      </c>
      <c r="J1392" t="s">
        <v>2260</v>
      </c>
      <c r="K1392" t="s">
        <v>24</v>
      </c>
      <c r="L1392" s="14">
        <f>IFERROR(VALUE(LEFT(tblMatriculas[[#This Row],[Clases]],FIND("/",tblMatriculas[[#This Row],[Clases]])-1)),"")</f>
        <v>2</v>
      </c>
      <c r="M1392" s="14">
        <f>IFERROR(VALUE(MID(tblMatriculas[[#This Row],[Clases]],FIND("/",tblMatriculas[[#This Row],[Clases]])+1,5)),"")</f>
        <v>30</v>
      </c>
      <c r="N13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2" s="14">
        <f>IF(OR(tblMatriculas[[#This Row],[Estado]]&lt;&gt;"activa",tblMatriculas[[#This Row],[Clases dictadas]]=""),"",MAX(0,tblMatriculas[[#This Row],[Clases dictadas]]-tblMatriculas[[#This Row],[Asistidas]]))</f>
        <v>0</v>
      </c>
      <c r="P1392" s="1">
        <f>IF(OR(tblMatriculas[[#This Row],[Estado]]&lt;&gt;"activa",tblMatriculas[[#This Row],[Asistidas]]=""),"",tblMatriculas[[#This Row],[Asistencia]])</f>
        <v>6.7000000000000004E-2</v>
      </c>
      <c r="Q1392" t="b">
        <f>AND(tblMatriculas[[#This Row],[Estado]]="activa",ISNUMBER(tblMatriculas[[#This Row],[% asistencia]]),NOT(ISNUMBER(SEARCH(pPrueba,tblMatriculas[[#This Row],[Nombre]]))))</f>
        <v>1</v>
      </c>
      <c r="R13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2" s="23" t="str" cm="1">
        <f t="array" ref="S13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2" s="23" t="str" cm="1">
        <f t="array" ref="T13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2" s="14" t="str" cm="1">
        <f t="array" ref="U13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2" t="str" cm="1">
        <f t="array" ref="V13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2" t="str" cm="1">
        <f t="array" ref="W13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2" t="str">
        <f>IF(COUNTIFS('Base Estudiantes'!$C:$C,tblMatriculas[[#This Row],[Cédula]],'Base Estudiantes'!$I:$I,tblMatriculas[[#This Row],[Código]])&gt;0,"Sí","No")</f>
        <v>Sí</v>
      </c>
      <c r="Z1392" s="23" cm="1">
        <f t="array" ref="Z1392">_xlfn.XLOOKUP(tblMatriculas[[#This Row],[Cédula]]&amp;"|"&amp;tblMatriculas[[#This Row],[Código]],tblBase[Documento]&amp;"|"&amp;tblBase[Código grupo],tblBase[Fecha matrícula],"")</f>
        <v>46263</v>
      </c>
    </row>
    <row r="1393" spans="1:26" x14ac:dyDescent="0.2">
      <c r="A1393" t="s">
        <v>2931</v>
      </c>
      <c r="B1393" t="s">
        <v>2932</v>
      </c>
      <c r="C1393" t="s">
        <v>13</v>
      </c>
      <c r="D1393" t="s">
        <v>2869</v>
      </c>
      <c r="E1393" t="s">
        <v>2870</v>
      </c>
      <c r="F1393" t="s">
        <v>516</v>
      </c>
      <c r="G1393" s="1">
        <v>3.3000000000000002E-2</v>
      </c>
      <c r="H1393" t="s">
        <v>225</v>
      </c>
      <c r="I1393" t="s">
        <v>1580</v>
      </c>
      <c r="J1393" t="s">
        <v>2260</v>
      </c>
      <c r="K1393" t="s">
        <v>2078</v>
      </c>
      <c r="L1393" s="14">
        <f>IFERROR(VALUE(LEFT(tblMatriculas[[#This Row],[Clases]],FIND("/",tblMatriculas[[#This Row],[Clases]])-1)),"")</f>
        <v>1</v>
      </c>
      <c r="M1393" s="14">
        <f>IFERROR(VALUE(MID(tblMatriculas[[#This Row],[Clases]],FIND("/",tblMatriculas[[#This Row],[Clases]])+1,5)),"")</f>
        <v>30</v>
      </c>
      <c r="N13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3" s="14">
        <f>IF(OR(tblMatriculas[[#This Row],[Estado]]&lt;&gt;"activa",tblMatriculas[[#This Row],[Clases dictadas]]=""),"",MAX(0,tblMatriculas[[#This Row],[Clases dictadas]]-tblMatriculas[[#This Row],[Asistidas]]))</f>
        <v>1</v>
      </c>
      <c r="P1393" s="1">
        <f>IF(OR(tblMatriculas[[#This Row],[Estado]]&lt;&gt;"activa",tblMatriculas[[#This Row],[Asistidas]]=""),"",tblMatriculas[[#This Row],[Asistencia]])</f>
        <v>3.3000000000000002E-2</v>
      </c>
      <c r="Q1393" t="b">
        <f>AND(tblMatriculas[[#This Row],[Estado]]="activa",ISNUMBER(tblMatriculas[[#This Row],[% asistencia]]),NOT(ISNUMBER(SEARCH(pPrueba,tblMatriculas[[#This Row],[Nombre]]))))</f>
        <v>1</v>
      </c>
      <c r="R13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93" s="23" t="str" cm="1">
        <f t="array" ref="S13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3" s="23" t="str" cm="1">
        <f t="array" ref="T13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3" s="14" t="str" cm="1">
        <f t="array" ref="U13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3" t="str" cm="1">
        <f t="array" ref="V13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3" t="str" cm="1">
        <f t="array" ref="W13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93" t="str">
        <f>IF(COUNTIFS('Base Estudiantes'!$C:$C,tblMatriculas[[#This Row],[Cédula]],'Base Estudiantes'!$I:$I,tblMatriculas[[#This Row],[Código]])&gt;0,"Sí","No")</f>
        <v>Sí</v>
      </c>
      <c r="Z1393" s="23" cm="1">
        <f t="array" ref="Z1393">_xlfn.XLOOKUP(tblMatriculas[[#This Row],[Cédula]]&amp;"|"&amp;tblMatriculas[[#This Row],[Código]],tblBase[Documento]&amp;"|"&amp;tblBase[Código grupo],tblBase[Fecha matrícula],"")</f>
        <v>46263</v>
      </c>
    </row>
    <row r="1394" spans="1:26" x14ac:dyDescent="0.2">
      <c r="A1394" t="s">
        <v>2933</v>
      </c>
      <c r="B1394" t="s">
        <v>2934</v>
      </c>
      <c r="C1394" t="s">
        <v>13</v>
      </c>
      <c r="D1394" t="s">
        <v>2869</v>
      </c>
      <c r="E1394" t="s">
        <v>2870</v>
      </c>
      <c r="F1394" t="s">
        <v>516</v>
      </c>
      <c r="G1394" s="1">
        <v>3.3000000000000002E-2</v>
      </c>
      <c r="H1394" t="s">
        <v>225</v>
      </c>
      <c r="I1394" t="s">
        <v>1580</v>
      </c>
      <c r="J1394" t="s">
        <v>2260</v>
      </c>
      <c r="K1394" t="s">
        <v>1992</v>
      </c>
      <c r="L1394" s="14">
        <f>IFERROR(VALUE(LEFT(tblMatriculas[[#This Row],[Clases]],FIND("/",tblMatriculas[[#This Row],[Clases]])-1)),"")</f>
        <v>1</v>
      </c>
      <c r="M1394" s="14">
        <f>IFERROR(VALUE(MID(tblMatriculas[[#This Row],[Clases]],FIND("/",tblMatriculas[[#This Row],[Clases]])+1,5)),"")</f>
        <v>30</v>
      </c>
      <c r="N13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4" s="14">
        <f>IF(OR(tblMatriculas[[#This Row],[Estado]]&lt;&gt;"activa",tblMatriculas[[#This Row],[Clases dictadas]]=""),"",MAX(0,tblMatriculas[[#This Row],[Clases dictadas]]-tblMatriculas[[#This Row],[Asistidas]]))</f>
        <v>1</v>
      </c>
      <c r="P1394" s="1">
        <f>IF(OR(tblMatriculas[[#This Row],[Estado]]&lt;&gt;"activa",tblMatriculas[[#This Row],[Asistidas]]=""),"",tblMatriculas[[#This Row],[Asistencia]])</f>
        <v>3.3000000000000002E-2</v>
      </c>
      <c r="Q1394" t="b">
        <f>AND(tblMatriculas[[#This Row],[Estado]]="activa",ISNUMBER(tblMatriculas[[#This Row],[% asistencia]]),NOT(ISNUMBER(SEARCH(pPrueba,tblMatriculas[[#This Row],[Nombre]]))))</f>
        <v>1</v>
      </c>
      <c r="R13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94" s="23" t="str" cm="1">
        <f t="array" ref="S13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4" s="23" t="str" cm="1">
        <f t="array" ref="T13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4" s="14" t="str" cm="1">
        <f t="array" ref="U13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4" t="str" cm="1">
        <f t="array" ref="V13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4" t="str" cm="1">
        <f t="array" ref="W13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94" t="str">
        <f>IF(COUNTIFS('Base Estudiantes'!$C:$C,tblMatriculas[[#This Row],[Cédula]],'Base Estudiantes'!$I:$I,tblMatriculas[[#This Row],[Código]])&gt;0,"Sí","No")</f>
        <v>Sí</v>
      </c>
      <c r="Z1394" s="23" cm="1">
        <f t="array" ref="Z1394">_xlfn.XLOOKUP(tblMatriculas[[#This Row],[Cédula]]&amp;"|"&amp;tblMatriculas[[#This Row],[Código]],tblBase[Documento]&amp;"|"&amp;tblBase[Código grupo],tblBase[Fecha matrícula],"")</f>
        <v>46263</v>
      </c>
    </row>
    <row r="1395" spans="1:26" x14ac:dyDescent="0.2">
      <c r="A1395" t="s">
        <v>2935</v>
      </c>
      <c r="B1395" t="s">
        <v>2936</v>
      </c>
      <c r="C1395" t="s">
        <v>13</v>
      </c>
      <c r="D1395" t="s">
        <v>2869</v>
      </c>
      <c r="E1395" t="s">
        <v>2870</v>
      </c>
      <c r="F1395" t="s">
        <v>516</v>
      </c>
      <c r="G1395" s="1">
        <v>6.7000000000000004E-2</v>
      </c>
      <c r="H1395" t="s">
        <v>166</v>
      </c>
      <c r="I1395" t="s">
        <v>1580</v>
      </c>
      <c r="J1395" t="s">
        <v>2260</v>
      </c>
      <c r="K1395" t="s">
        <v>1999</v>
      </c>
      <c r="L1395" s="14">
        <f>IFERROR(VALUE(LEFT(tblMatriculas[[#This Row],[Clases]],FIND("/",tblMatriculas[[#This Row],[Clases]])-1)),"")</f>
        <v>2</v>
      </c>
      <c r="M1395" s="14">
        <f>IFERROR(VALUE(MID(tblMatriculas[[#This Row],[Clases]],FIND("/",tblMatriculas[[#This Row],[Clases]])+1,5)),"")</f>
        <v>30</v>
      </c>
      <c r="N13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5" s="14">
        <f>IF(OR(tblMatriculas[[#This Row],[Estado]]&lt;&gt;"activa",tblMatriculas[[#This Row],[Clases dictadas]]=""),"",MAX(0,tblMatriculas[[#This Row],[Clases dictadas]]-tblMatriculas[[#This Row],[Asistidas]]))</f>
        <v>0</v>
      </c>
      <c r="P1395" s="1">
        <f>IF(OR(tblMatriculas[[#This Row],[Estado]]&lt;&gt;"activa",tblMatriculas[[#This Row],[Asistidas]]=""),"",tblMatriculas[[#This Row],[Asistencia]])</f>
        <v>6.7000000000000004E-2</v>
      </c>
      <c r="Q1395" t="b">
        <f>AND(tblMatriculas[[#This Row],[Estado]]="activa",ISNUMBER(tblMatriculas[[#This Row],[% asistencia]]),NOT(ISNUMBER(SEARCH(pPrueba,tblMatriculas[[#This Row],[Nombre]]))))</f>
        <v>1</v>
      </c>
      <c r="R13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5" s="23" t="str" cm="1">
        <f t="array" ref="S13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5" s="23" t="str" cm="1">
        <f t="array" ref="T13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5" s="14" t="str" cm="1">
        <f t="array" ref="U13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5" t="str" cm="1">
        <f t="array" ref="V13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5" t="str" cm="1">
        <f t="array" ref="W13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5" t="str">
        <f>IF(COUNTIFS('Base Estudiantes'!$C:$C,tblMatriculas[[#This Row],[Cédula]],'Base Estudiantes'!$I:$I,tblMatriculas[[#This Row],[Código]])&gt;0,"Sí","No")</f>
        <v>Sí</v>
      </c>
      <c r="Z1395" s="23" cm="1">
        <f t="array" ref="Z1395">_xlfn.XLOOKUP(tblMatriculas[[#This Row],[Cédula]]&amp;"|"&amp;tblMatriculas[[#This Row],[Código]],tblBase[Documento]&amp;"|"&amp;tblBase[Código grupo],tblBase[Fecha matrícula],"")</f>
        <v>46263</v>
      </c>
    </row>
    <row r="1396" spans="1:26" x14ac:dyDescent="0.2">
      <c r="A1396" t="s">
        <v>2937</v>
      </c>
      <c r="B1396" t="s">
        <v>2938</v>
      </c>
      <c r="C1396" t="s">
        <v>13</v>
      </c>
      <c r="D1396" t="s">
        <v>2869</v>
      </c>
      <c r="E1396" t="s">
        <v>2870</v>
      </c>
      <c r="F1396" t="s">
        <v>516</v>
      </c>
      <c r="G1396" s="1">
        <v>6.7000000000000004E-2</v>
      </c>
      <c r="H1396" t="s">
        <v>166</v>
      </c>
      <c r="I1396" t="s">
        <v>1580</v>
      </c>
      <c r="J1396" t="s">
        <v>2260</v>
      </c>
      <c r="K1396" t="s">
        <v>1585</v>
      </c>
      <c r="L1396" s="14">
        <f>IFERROR(VALUE(LEFT(tblMatriculas[[#This Row],[Clases]],FIND("/",tblMatriculas[[#This Row],[Clases]])-1)),"")</f>
        <v>2</v>
      </c>
      <c r="M1396" s="14">
        <f>IFERROR(VALUE(MID(tblMatriculas[[#This Row],[Clases]],FIND("/",tblMatriculas[[#This Row],[Clases]])+1,5)),"")</f>
        <v>30</v>
      </c>
      <c r="N13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6" s="14">
        <f>IF(OR(tblMatriculas[[#This Row],[Estado]]&lt;&gt;"activa",tblMatriculas[[#This Row],[Clases dictadas]]=""),"",MAX(0,tblMatriculas[[#This Row],[Clases dictadas]]-tblMatriculas[[#This Row],[Asistidas]]))</f>
        <v>0</v>
      </c>
      <c r="P1396" s="1">
        <f>IF(OR(tblMatriculas[[#This Row],[Estado]]&lt;&gt;"activa",tblMatriculas[[#This Row],[Asistidas]]=""),"",tblMatriculas[[#This Row],[Asistencia]])</f>
        <v>6.7000000000000004E-2</v>
      </c>
      <c r="Q1396" t="b">
        <f>AND(tblMatriculas[[#This Row],[Estado]]="activa",ISNUMBER(tblMatriculas[[#This Row],[% asistencia]]),NOT(ISNUMBER(SEARCH(pPrueba,tblMatriculas[[#This Row],[Nombre]]))))</f>
        <v>1</v>
      </c>
      <c r="R13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6" s="23" t="str" cm="1">
        <f t="array" ref="S13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6" s="23" t="str" cm="1">
        <f t="array" ref="T13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6" s="14" t="str" cm="1">
        <f t="array" ref="U13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6" t="str" cm="1">
        <f t="array" ref="V13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6" t="str" cm="1">
        <f t="array" ref="W13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6" t="str">
        <f>IF(COUNTIFS('Base Estudiantes'!$C:$C,tblMatriculas[[#This Row],[Cédula]],'Base Estudiantes'!$I:$I,tblMatriculas[[#This Row],[Código]])&gt;0,"Sí","No")</f>
        <v>Sí</v>
      </c>
      <c r="Z1396" s="23" cm="1">
        <f t="array" ref="Z1396">_xlfn.XLOOKUP(tblMatriculas[[#This Row],[Cédula]]&amp;"|"&amp;tblMatriculas[[#This Row],[Código]],tblBase[Documento]&amp;"|"&amp;tblBase[Código grupo],tblBase[Fecha matrícula],"")</f>
        <v>46263</v>
      </c>
    </row>
    <row r="1397" spans="1:26" x14ac:dyDescent="0.2">
      <c r="A1397" t="s">
        <v>2939</v>
      </c>
      <c r="B1397" t="s">
        <v>2940</v>
      </c>
      <c r="C1397" t="s">
        <v>13</v>
      </c>
      <c r="D1397" t="s">
        <v>2869</v>
      </c>
      <c r="E1397" t="s">
        <v>2870</v>
      </c>
      <c r="F1397" t="s">
        <v>516</v>
      </c>
      <c r="G1397" s="1">
        <v>3.3000000000000002E-2</v>
      </c>
      <c r="H1397" t="s">
        <v>225</v>
      </c>
      <c r="I1397" t="s">
        <v>1580</v>
      </c>
      <c r="J1397" t="s">
        <v>2260</v>
      </c>
      <c r="K1397" t="s">
        <v>1590</v>
      </c>
      <c r="L1397" s="14">
        <f>IFERROR(VALUE(LEFT(tblMatriculas[[#This Row],[Clases]],FIND("/",tblMatriculas[[#This Row],[Clases]])-1)),"")</f>
        <v>1</v>
      </c>
      <c r="M1397" s="14">
        <f>IFERROR(VALUE(MID(tblMatriculas[[#This Row],[Clases]],FIND("/",tblMatriculas[[#This Row],[Clases]])+1,5)),"")</f>
        <v>30</v>
      </c>
      <c r="N13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7" s="14">
        <f>IF(OR(tblMatriculas[[#This Row],[Estado]]&lt;&gt;"activa",tblMatriculas[[#This Row],[Clases dictadas]]=""),"",MAX(0,tblMatriculas[[#This Row],[Clases dictadas]]-tblMatriculas[[#This Row],[Asistidas]]))</f>
        <v>1</v>
      </c>
      <c r="P1397" s="1">
        <f>IF(OR(tblMatriculas[[#This Row],[Estado]]&lt;&gt;"activa",tblMatriculas[[#This Row],[Asistidas]]=""),"",tblMatriculas[[#This Row],[Asistencia]])</f>
        <v>3.3000000000000002E-2</v>
      </c>
      <c r="Q1397" t="b">
        <f>AND(tblMatriculas[[#This Row],[Estado]]="activa",ISNUMBER(tblMatriculas[[#This Row],[% asistencia]]),NOT(ISNUMBER(SEARCH(pPrueba,tblMatriculas[[#This Row],[Nombre]]))))</f>
        <v>1</v>
      </c>
      <c r="R13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97" s="23" t="str" cm="1">
        <f t="array" ref="S13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7" s="23" t="str" cm="1">
        <f t="array" ref="T13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7" s="14" t="str" cm="1">
        <f t="array" ref="U13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7" t="str" cm="1">
        <f t="array" ref="V13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7" t="str" cm="1">
        <f t="array" ref="W13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97" t="str">
        <f>IF(COUNTIFS('Base Estudiantes'!$C:$C,tblMatriculas[[#This Row],[Cédula]],'Base Estudiantes'!$I:$I,tblMatriculas[[#This Row],[Código]])&gt;0,"Sí","No")</f>
        <v>Sí</v>
      </c>
      <c r="Z1397" s="23" cm="1">
        <f t="array" ref="Z1397">_xlfn.XLOOKUP(tblMatriculas[[#This Row],[Cédula]]&amp;"|"&amp;tblMatriculas[[#This Row],[Código]],tblBase[Documento]&amp;"|"&amp;tblBase[Código grupo],tblBase[Fecha matrícula],"")</f>
        <v>46263</v>
      </c>
    </row>
    <row r="1398" spans="1:26" x14ac:dyDescent="0.2">
      <c r="A1398" t="s">
        <v>2941</v>
      </c>
      <c r="B1398" t="s">
        <v>2942</v>
      </c>
      <c r="C1398" t="s">
        <v>13</v>
      </c>
      <c r="D1398" t="s">
        <v>2869</v>
      </c>
      <c r="E1398" t="s">
        <v>2870</v>
      </c>
      <c r="F1398" t="s">
        <v>516</v>
      </c>
      <c r="G1398" s="1">
        <v>3.3000000000000002E-2</v>
      </c>
      <c r="H1398" t="s">
        <v>225</v>
      </c>
      <c r="I1398" t="s">
        <v>1580</v>
      </c>
      <c r="J1398" t="s">
        <v>2260</v>
      </c>
      <c r="K1398" t="s">
        <v>1710</v>
      </c>
      <c r="L1398" s="14">
        <f>IFERROR(VALUE(LEFT(tblMatriculas[[#This Row],[Clases]],FIND("/",tblMatriculas[[#This Row],[Clases]])-1)),"")</f>
        <v>1</v>
      </c>
      <c r="M1398" s="14">
        <f>IFERROR(VALUE(MID(tblMatriculas[[#This Row],[Clases]],FIND("/",tblMatriculas[[#This Row],[Clases]])+1,5)),"")</f>
        <v>30</v>
      </c>
      <c r="N13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8" s="14">
        <f>IF(OR(tblMatriculas[[#This Row],[Estado]]&lt;&gt;"activa",tblMatriculas[[#This Row],[Clases dictadas]]=""),"",MAX(0,tblMatriculas[[#This Row],[Clases dictadas]]-tblMatriculas[[#This Row],[Asistidas]]))</f>
        <v>1</v>
      </c>
      <c r="P1398" s="1">
        <f>IF(OR(tblMatriculas[[#This Row],[Estado]]&lt;&gt;"activa",tblMatriculas[[#This Row],[Asistidas]]=""),"",tblMatriculas[[#This Row],[Asistencia]])</f>
        <v>3.3000000000000002E-2</v>
      </c>
      <c r="Q1398" t="b">
        <f>AND(tblMatriculas[[#This Row],[Estado]]="activa",ISNUMBER(tblMatriculas[[#This Row],[% asistencia]]),NOT(ISNUMBER(SEARCH(pPrueba,tblMatriculas[[#This Row],[Nombre]]))))</f>
        <v>1</v>
      </c>
      <c r="R13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398" s="23" t="str" cm="1">
        <f t="array" ref="S13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8" s="23" t="str" cm="1">
        <f t="array" ref="T13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8" s="14" t="str" cm="1">
        <f t="array" ref="U13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8" t="str" cm="1">
        <f t="array" ref="V13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8" t="str" cm="1">
        <f t="array" ref="W13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3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398" t="str">
        <f>IF(COUNTIFS('Base Estudiantes'!$C:$C,tblMatriculas[[#This Row],[Cédula]],'Base Estudiantes'!$I:$I,tblMatriculas[[#This Row],[Código]])&gt;0,"Sí","No")</f>
        <v>Sí</v>
      </c>
      <c r="Z1398" s="23" cm="1">
        <f t="array" ref="Z1398">_xlfn.XLOOKUP(tblMatriculas[[#This Row],[Cédula]]&amp;"|"&amp;tblMatriculas[[#This Row],[Código]],tblBase[Documento]&amp;"|"&amp;tblBase[Código grupo],tblBase[Fecha matrícula],"")</f>
        <v>46263</v>
      </c>
    </row>
    <row r="1399" spans="1:26" x14ac:dyDescent="0.2">
      <c r="A1399" t="s">
        <v>613</v>
      </c>
      <c r="B1399" t="s">
        <v>614</v>
      </c>
      <c r="C1399" t="s">
        <v>13</v>
      </c>
      <c r="D1399" t="s">
        <v>2869</v>
      </c>
      <c r="E1399" t="s">
        <v>2870</v>
      </c>
      <c r="F1399" t="s">
        <v>516</v>
      </c>
      <c r="G1399" s="1">
        <v>6.7000000000000004E-2</v>
      </c>
      <c r="H1399" t="s">
        <v>166</v>
      </c>
      <c r="I1399" t="s">
        <v>1580</v>
      </c>
      <c r="J1399" t="s">
        <v>2260</v>
      </c>
      <c r="K1399" t="s">
        <v>24</v>
      </c>
      <c r="L1399" s="14">
        <f>IFERROR(VALUE(LEFT(tblMatriculas[[#This Row],[Clases]],FIND("/",tblMatriculas[[#This Row],[Clases]])-1)),"")</f>
        <v>2</v>
      </c>
      <c r="M1399" s="14">
        <f>IFERROR(VALUE(MID(tblMatriculas[[#This Row],[Clases]],FIND("/",tblMatriculas[[#This Row],[Clases]])+1,5)),"")</f>
        <v>30</v>
      </c>
      <c r="N13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399" s="14">
        <f>IF(OR(tblMatriculas[[#This Row],[Estado]]&lt;&gt;"activa",tblMatriculas[[#This Row],[Clases dictadas]]=""),"",MAX(0,tblMatriculas[[#This Row],[Clases dictadas]]-tblMatriculas[[#This Row],[Asistidas]]))</f>
        <v>0</v>
      </c>
      <c r="P1399" s="1">
        <f>IF(OR(tblMatriculas[[#This Row],[Estado]]&lt;&gt;"activa",tblMatriculas[[#This Row],[Asistidas]]=""),"",tblMatriculas[[#This Row],[Asistencia]])</f>
        <v>6.7000000000000004E-2</v>
      </c>
      <c r="Q1399" t="b">
        <f>AND(tblMatriculas[[#This Row],[Estado]]="activa",ISNUMBER(tblMatriculas[[#This Row],[% asistencia]]),NOT(ISNUMBER(SEARCH(pPrueba,tblMatriculas[[#This Row],[Nombre]]))))</f>
        <v>1</v>
      </c>
      <c r="R13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399" s="23" t="str" cm="1">
        <f t="array" ref="S13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399" s="23" t="str" cm="1">
        <f t="array" ref="T13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399" s="14" t="str" cm="1">
        <f t="array" ref="U13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399" t="str" cm="1">
        <f t="array" ref="V13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399" t="str" cm="1">
        <f t="array" ref="W13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3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399" t="str">
        <f>IF(COUNTIFS('Base Estudiantes'!$C:$C,tblMatriculas[[#This Row],[Cédula]],'Base Estudiantes'!$I:$I,tblMatriculas[[#This Row],[Código]])&gt;0,"Sí","No")</f>
        <v>Sí</v>
      </c>
      <c r="Z1399" s="23" cm="1">
        <f t="array" ref="Z1399">_xlfn.XLOOKUP(tblMatriculas[[#This Row],[Cédula]]&amp;"|"&amp;tblMatriculas[[#This Row],[Código]],tblBase[Documento]&amp;"|"&amp;tblBase[Código grupo],tblBase[Fecha matrícula],"")</f>
        <v>46272</v>
      </c>
    </row>
    <row r="1400" spans="1:26" x14ac:dyDescent="0.2">
      <c r="A1400" t="s">
        <v>2943</v>
      </c>
      <c r="B1400" t="s">
        <v>2944</v>
      </c>
      <c r="C1400" t="s">
        <v>13</v>
      </c>
      <c r="D1400" t="s">
        <v>2945</v>
      </c>
      <c r="E1400" t="s">
        <v>2946</v>
      </c>
      <c r="F1400" t="s">
        <v>649</v>
      </c>
      <c r="G1400" s="1">
        <v>0.1</v>
      </c>
      <c r="H1400" t="s">
        <v>117</v>
      </c>
      <c r="I1400" t="s">
        <v>1580</v>
      </c>
      <c r="J1400" t="s">
        <v>2077</v>
      </c>
      <c r="K1400" t="s">
        <v>1582</v>
      </c>
      <c r="L1400" s="14">
        <f>IFERROR(VALUE(LEFT(tblMatriculas[[#This Row],[Clases]],FIND("/",tblMatriculas[[#This Row],[Clases]])-1)),"")</f>
        <v>3</v>
      </c>
      <c r="M1400" s="14">
        <f>IFERROR(VALUE(MID(tblMatriculas[[#This Row],[Clases]],FIND("/",tblMatriculas[[#This Row],[Clases]])+1,5)),"")</f>
        <v>30</v>
      </c>
      <c r="N14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0" s="14">
        <f>IF(OR(tblMatriculas[[#This Row],[Estado]]&lt;&gt;"activa",tblMatriculas[[#This Row],[Clases dictadas]]=""),"",MAX(0,tblMatriculas[[#This Row],[Clases dictadas]]-tblMatriculas[[#This Row],[Asistidas]]))</f>
        <v>1</v>
      </c>
      <c r="P1400" s="1">
        <f>IF(OR(tblMatriculas[[#This Row],[Estado]]&lt;&gt;"activa",tblMatriculas[[#This Row],[Asistidas]]=""),"",tblMatriculas[[#This Row],[Asistencia]])</f>
        <v>0.1</v>
      </c>
      <c r="Q1400" t="b">
        <f>AND(tblMatriculas[[#This Row],[Estado]]="activa",ISNUMBER(tblMatriculas[[#This Row],[% asistencia]]),NOT(ISNUMBER(SEARCH(pPrueba,tblMatriculas[[#This Row],[Nombre]]))))</f>
        <v>1</v>
      </c>
      <c r="R14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0" s="23" t="str" cm="1">
        <f t="array" ref="S14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0" s="23" t="str" cm="1">
        <f t="array" ref="T14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0" s="14" t="str" cm="1">
        <f t="array" ref="U14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0" t="str" cm="1">
        <f t="array" ref="V14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0" t="str" cm="1">
        <f t="array" ref="W14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0" t="str">
        <f>IF(COUNTIFS('Base Estudiantes'!$C:$C,tblMatriculas[[#This Row],[Cédula]],'Base Estudiantes'!$I:$I,tblMatriculas[[#This Row],[Código]])&gt;0,"Sí","No")</f>
        <v>Sí</v>
      </c>
      <c r="Z1400" s="23" cm="1">
        <f t="array" ref="Z1400">_xlfn.XLOOKUP(tblMatriculas[[#This Row],[Cédula]]&amp;"|"&amp;tblMatriculas[[#This Row],[Código]],tblBase[Documento]&amp;"|"&amp;tblBase[Código grupo],tblBase[Fecha matrícula],"")</f>
        <v>46263</v>
      </c>
    </row>
    <row r="1401" spans="1:26" x14ac:dyDescent="0.2">
      <c r="A1401" t="s">
        <v>2947</v>
      </c>
      <c r="B1401" t="s">
        <v>2948</v>
      </c>
      <c r="C1401" t="s">
        <v>13</v>
      </c>
      <c r="D1401" t="s">
        <v>2945</v>
      </c>
      <c r="E1401" t="s">
        <v>2946</v>
      </c>
      <c r="F1401" t="s">
        <v>649</v>
      </c>
      <c r="G1401" s="1">
        <v>0.13300000000000001</v>
      </c>
      <c r="H1401" t="s">
        <v>112</v>
      </c>
      <c r="I1401" t="s">
        <v>1580</v>
      </c>
      <c r="J1401" t="s">
        <v>2077</v>
      </c>
      <c r="K1401" t="s">
        <v>24</v>
      </c>
      <c r="L1401" s="14">
        <f>IFERROR(VALUE(LEFT(tblMatriculas[[#This Row],[Clases]],FIND("/",tblMatriculas[[#This Row],[Clases]])-1)),"")</f>
        <v>4</v>
      </c>
      <c r="M1401" s="14">
        <f>IFERROR(VALUE(MID(tblMatriculas[[#This Row],[Clases]],FIND("/",tblMatriculas[[#This Row],[Clases]])+1,5)),"")</f>
        <v>30</v>
      </c>
      <c r="N14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1" s="14">
        <f>IF(OR(tblMatriculas[[#This Row],[Estado]]&lt;&gt;"activa",tblMatriculas[[#This Row],[Clases dictadas]]=""),"",MAX(0,tblMatriculas[[#This Row],[Clases dictadas]]-tblMatriculas[[#This Row],[Asistidas]]))</f>
        <v>0</v>
      </c>
      <c r="P1401" s="1">
        <f>IF(OR(tblMatriculas[[#This Row],[Estado]]&lt;&gt;"activa",tblMatriculas[[#This Row],[Asistidas]]=""),"",tblMatriculas[[#This Row],[Asistencia]])</f>
        <v>0.13300000000000001</v>
      </c>
      <c r="Q1401" t="b">
        <f>AND(tblMatriculas[[#This Row],[Estado]]="activa",ISNUMBER(tblMatriculas[[#This Row],[% asistencia]]),NOT(ISNUMBER(SEARCH(pPrueba,tblMatriculas[[#This Row],[Nombre]]))))</f>
        <v>1</v>
      </c>
      <c r="R14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1" s="23" t="str" cm="1">
        <f t="array" ref="S14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1" s="23" t="str" cm="1">
        <f t="array" ref="T14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1" s="14" t="str" cm="1">
        <f t="array" ref="U14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1" t="str" cm="1">
        <f t="array" ref="V14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1" t="str" cm="1">
        <f t="array" ref="W14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1" t="str">
        <f>IF(COUNTIFS('Base Estudiantes'!$C:$C,tblMatriculas[[#This Row],[Cédula]],'Base Estudiantes'!$I:$I,tblMatriculas[[#This Row],[Código]])&gt;0,"Sí","No")</f>
        <v>Sí</v>
      </c>
      <c r="Z1401" s="23" cm="1">
        <f t="array" ref="Z1401">_xlfn.XLOOKUP(tblMatriculas[[#This Row],[Cédula]]&amp;"|"&amp;tblMatriculas[[#This Row],[Código]],tblBase[Documento]&amp;"|"&amp;tblBase[Código grupo],tblBase[Fecha matrícula],"")</f>
        <v>46263</v>
      </c>
    </row>
    <row r="1402" spans="1:26" x14ac:dyDescent="0.2">
      <c r="A1402" t="s">
        <v>2949</v>
      </c>
      <c r="B1402" t="s">
        <v>2950</v>
      </c>
      <c r="C1402" t="s">
        <v>13</v>
      </c>
      <c r="D1402" t="s">
        <v>2945</v>
      </c>
      <c r="E1402" t="s">
        <v>2946</v>
      </c>
      <c r="F1402" t="s">
        <v>649</v>
      </c>
      <c r="G1402" s="1">
        <v>0.13300000000000001</v>
      </c>
      <c r="H1402" t="s">
        <v>112</v>
      </c>
      <c r="I1402" t="s">
        <v>1580</v>
      </c>
      <c r="J1402" t="s">
        <v>2077</v>
      </c>
      <c r="K1402" t="s">
        <v>24</v>
      </c>
      <c r="L1402" s="14">
        <f>IFERROR(VALUE(LEFT(tblMatriculas[[#This Row],[Clases]],FIND("/",tblMatriculas[[#This Row],[Clases]])-1)),"")</f>
        <v>4</v>
      </c>
      <c r="M1402" s="14">
        <f>IFERROR(VALUE(MID(tblMatriculas[[#This Row],[Clases]],FIND("/",tblMatriculas[[#This Row],[Clases]])+1,5)),"")</f>
        <v>30</v>
      </c>
      <c r="N14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2" s="14">
        <f>IF(OR(tblMatriculas[[#This Row],[Estado]]&lt;&gt;"activa",tblMatriculas[[#This Row],[Clases dictadas]]=""),"",MAX(0,tblMatriculas[[#This Row],[Clases dictadas]]-tblMatriculas[[#This Row],[Asistidas]]))</f>
        <v>0</v>
      </c>
      <c r="P1402" s="1">
        <f>IF(OR(tblMatriculas[[#This Row],[Estado]]&lt;&gt;"activa",tblMatriculas[[#This Row],[Asistidas]]=""),"",tblMatriculas[[#This Row],[Asistencia]])</f>
        <v>0.13300000000000001</v>
      </c>
      <c r="Q1402" t="b">
        <f>AND(tblMatriculas[[#This Row],[Estado]]="activa",ISNUMBER(tblMatriculas[[#This Row],[% asistencia]]),NOT(ISNUMBER(SEARCH(pPrueba,tblMatriculas[[#This Row],[Nombre]]))))</f>
        <v>1</v>
      </c>
      <c r="R14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2" s="23" t="str" cm="1">
        <f t="array" ref="S14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2" s="23" t="str" cm="1">
        <f t="array" ref="T14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2" s="14" t="str" cm="1">
        <f t="array" ref="U14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2" t="str" cm="1">
        <f t="array" ref="V14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2" t="str" cm="1">
        <f t="array" ref="W14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2" t="str">
        <f>IF(COUNTIFS('Base Estudiantes'!$C:$C,tblMatriculas[[#This Row],[Cédula]],'Base Estudiantes'!$I:$I,tblMatriculas[[#This Row],[Código]])&gt;0,"Sí","No")</f>
        <v>Sí</v>
      </c>
      <c r="Z1402" s="23" cm="1">
        <f t="array" ref="Z1402">_xlfn.XLOOKUP(tblMatriculas[[#This Row],[Cédula]]&amp;"|"&amp;tblMatriculas[[#This Row],[Código]],tblBase[Documento]&amp;"|"&amp;tblBase[Código grupo],tblBase[Fecha matrícula],"")</f>
        <v>46263</v>
      </c>
    </row>
    <row r="1403" spans="1:26" x14ac:dyDescent="0.2">
      <c r="A1403" t="s">
        <v>2951</v>
      </c>
      <c r="B1403" t="s">
        <v>2952</v>
      </c>
      <c r="C1403" t="s">
        <v>13</v>
      </c>
      <c r="D1403" t="s">
        <v>2945</v>
      </c>
      <c r="E1403" t="s">
        <v>2946</v>
      </c>
      <c r="F1403" t="s">
        <v>649</v>
      </c>
      <c r="G1403" s="1">
        <v>3.3000000000000002E-2</v>
      </c>
      <c r="H1403" t="s">
        <v>225</v>
      </c>
      <c r="I1403" t="s">
        <v>1580</v>
      </c>
      <c r="J1403" t="s">
        <v>2077</v>
      </c>
      <c r="K1403" t="s">
        <v>24</v>
      </c>
      <c r="L1403" s="14">
        <f>IFERROR(VALUE(LEFT(tblMatriculas[[#This Row],[Clases]],FIND("/",tblMatriculas[[#This Row],[Clases]])-1)),"")</f>
        <v>1</v>
      </c>
      <c r="M1403" s="14">
        <f>IFERROR(VALUE(MID(tblMatriculas[[#This Row],[Clases]],FIND("/",tblMatriculas[[#This Row],[Clases]])+1,5)),"")</f>
        <v>30</v>
      </c>
      <c r="N14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3" s="14">
        <f>IF(OR(tblMatriculas[[#This Row],[Estado]]&lt;&gt;"activa",tblMatriculas[[#This Row],[Clases dictadas]]=""),"",MAX(0,tblMatriculas[[#This Row],[Clases dictadas]]-tblMatriculas[[#This Row],[Asistidas]]))</f>
        <v>3</v>
      </c>
      <c r="P1403" s="1">
        <f>IF(OR(tblMatriculas[[#This Row],[Estado]]&lt;&gt;"activa",tblMatriculas[[#This Row],[Asistidas]]=""),"",tblMatriculas[[#This Row],[Asistencia]])</f>
        <v>3.3000000000000002E-2</v>
      </c>
      <c r="Q1403" t="b">
        <f>AND(tblMatriculas[[#This Row],[Estado]]="activa",ISNUMBER(tblMatriculas[[#This Row],[% asistencia]]),NOT(ISNUMBER(SEARCH(pPrueba,tblMatriculas[[#This Row],[Nombre]]))))</f>
        <v>1</v>
      </c>
      <c r="R14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03" s="23" t="str" cm="1">
        <f t="array" ref="S14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3" s="23" t="str" cm="1">
        <f t="array" ref="T14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3" s="14" t="str" cm="1">
        <f t="array" ref="U14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3" t="str" cm="1">
        <f t="array" ref="V14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3" t="str" cm="1">
        <f t="array" ref="W14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0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03" t="str">
        <f>IF(COUNTIFS('Base Estudiantes'!$C:$C,tblMatriculas[[#This Row],[Cédula]],'Base Estudiantes'!$I:$I,tblMatriculas[[#This Row],[Código]])&gt;0,"Sí","No")</f>
        <v>Sí</v>
      </c>
      <c r="Z1403" s="23" cm="1">
        <f t="array" ref="Z1403">_xlfn.XLOOKUP(tblMatriculas[[#This Row],[Cédula]]&amp;"|"&amp;tblMatriculas[[#This Row],[Código]],tblBase[Documento]&amp;"|"&amp;tblBase[Código grupo],tblBase[Fecha matrícula],"")</f>
        <v>46263</v>
      </c>
    </row>
    <row r="1404" spans="1:26" x14ac:dyDescent="0.2">
      <c r="A1404" t="s">
        <v>2953</v>
      </c>
      <c r="B1404" t="s">
        <v>2954</v>
      </c>
      <c r="C1404" t="s">
        <v>13</v>
      </c>
      <c r="D1404" t="s">
        <v>2945</v>
      </c>
      <c r="E1404" t="s">
        <v>2946</v>
      </c>
      <c r="F1404" t="s">
        <v>649</v>
      </c>
      <c r="G1404" s="1">
        <v>0.13300000000000001</v>
      </c>
      <c r="H1404" t="s">
        <v>112</v>
      </c>
      <c r="I1404" t="s">
        <v>1580</v>
      </c>
      <c r="J1404" t="s">
        <v>2077</v>
      </c>
      <c r="K1404" t="s">
        <v>24</v>
      </c>
      <c r="L1404" s="14">
        <f>IFERROR(VALUE(LEFT(tblMatriculas[[#This Row],[Clases]],FIND("/",tblMatriculas[[#This Row],[Clases]])-1)),"")</f>
        <v>4</v>
      </c>
      <c r="M1404" s="14">
        <f>IFERROR(VALUE(MID(tblMatriculas[[#This Row],[Clases]],FIND("/",tblMatriculas[[#This Row],[Clases]])+1,5)),"")</f>
        <v>30</v>
      </c>
      <c r="N14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4" s="14">
        <f>IF(OR(tblMatriculas[[#This Row],[Estado]]&lt;&gt;"activa",tblMatriculas[[#This Row],[Clases dictadas]]=""),"",MAX(0,tblMatriculas[[#This Row],[Clases dictadas]]-tblMatriculas[[#This Row],[Asistidas]]))</f>
        <v>0</v>
      </c>
      <c r="P1404" s="1">
        <f>IF(OR(tblMatriculas[[#This Row],[Estado]]&lt;&gt;"activa",tblMatriculas[[#This Row],[Asistidas]]=""),"",tblMatriculas[[#This Row],[Asistencia]])</f>
        <v>0.13300000000000001</v>
      </c>
      <c r="Q1404" t="b">
        <f>AND(tblMatriculas[[#This Row],[Estado]]="activa",ISNUMBER(tblMatriculas[[#This Row],[% asistencia]]),NOT(ISNUMBER(SEARCH(pPrueba,tblMatriculas[[#This Row],[Nombre]]))))</f>
        <v>1</v>
      </c>
      <c r="R14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4" s="23" t="str" cm="1">
        <f t="array" ref="S14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4" s="23" t="str" cm="1">
        <f t="array" ref="T14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4" s="14" t="str" cm="1">
        <f t="array" ref="U14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4" t="str" cm="1">
        <f t="array" ref="V14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4" t="str" cm="1">
        <f t="array" ref="W14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4" t="str">
        <f>IF(COUNTIFS('Base Estudiantes'!$C:$C,tblMatriculas[[#This Row],[Cédula]],'Base Estudiantes'!$I:$I,tblMatriculas[[#This Row],[Código]])&gt;0,"Sí","No")</f>
        <v>Sí</v>
      </c>
      <c r="Z1404" s="23" cm="1">
        <f t="array" ref="Z1404">_xlfn.XLOOKUP(tblMatriculas[[#This Row],[Cédula]]&amp;"|"&amp;tblMatriculas[[#This Row],[Código]],tblBase[Documento]&amp;"|"&amp;tblBase[Código grupo],tblBase[Fecha matrícula],"")</f>
        <v>46263</v>
      </c>
    </row>
    <row r="1405" spans="1:26" x14ac:dyDescent="0.2">
      <c r="A1405" t="s">
        <v>2955</v>
      </c>
      <c r="B1405" t="s">
        <v>2956</v>
      </c>
      <c r="C1405" t="s">
        <v>13</v>
      </c>
      <c r="D1405" t="s">
        <v>2945</v>
      </c>
      <c r="E1405" t="s">
        <v>2946</v>
      </c>
      <c r="F1405" t="s">
        <v>649</v>
      </c>
      <c r="G1405" s="1">
        <v>0.13300000000000001</v>
      </c>
      <c r="H1405" t="s">
        <v>112</v>
      </c>
      <c r="I1405" t="s">
        <v>1580</v>
      </c>
      <c r="J1405" t="s">
        <v>2077</v>
      </c>
      <c r="K1405" t="s">
        <v>24</v>
      </c>
      <c r="L1405" s="14">
        <f>IFERROR(VALUE(LEFT(tblMatriculas[[#This Row],[Clases]],FIND("/",tblMatriculas[[#This Row],[Clases]])-1)),"")</f>
        <v>4</v>
      </c>
      <c r="M1405" s="14">
        <f>IFERROR(VALUE(MID(tblMatriculas[[#This Row],[Clases]],FIND("/",tblMatriculas[[#This Row],[Clases]])+1,5)),"")</f>
        <v>30</v>
      </c>
      <c r="N14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5" s="14">
        <f>IF(OR(tblMatriculas[[#This Row],[Estado]]&lt;&gt;"activa",tblMatriculas[[#This Row],[Clases dictadas]]=""),"",MAX(0,tblMatriculas[[#This Row],[Clases dictadas]]-tblMatriculas[[#This Row],[Asistidas]]))</f>
        <v>0</v>
      </c>
      <c r="P1405" s="1">
        <f>IF(OR(tblMatriculas[[#This Row],[Estado]]&lt;&gt;"activa",tblMatriculas[[#This Row],[Asistidas]]=""),"",tblMatriculas[[#This Row],[Asistencia]])</f>
        <v>0.13300000000000001</v>
      </c>
      <c r="Q1405" t="b">
        <f>AND(tblMatriculas[[#This Row],[Estado]]="activa",ISNUMBER(tblMatriculas[[#This Row],[% asistencia]]),NOT(ISNUMBER(SEARCH(pPrueba,tblMatriculas[[#This Row],[Nombre]]))))</f>
        <v>1</v>
      </c>
      <c r="R14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5" s="23" t="str" cm="1">
        <f t="array" ref="S14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5" s="23" t="str" cm="1">
        <f t="array" ref="T14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5" s="14" t="str" cm="1">
        <f t="array" ref="U14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5" t="str" cm="1">
        <f t="array" ref="V14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5" t="str" cm="1">
        <f t="array" ref="W14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5" t="str">
        <f>IF(COUNTIFS('Base Estudiantes'!$C:$C,tblMatriculas[[#This Row],[Cédula]],'Base Estudiantes'!$I:$I,tblMatriculas[[#This Row],[Código]])&gt;0,"Sí","No")</f>
        <v>Sí</v>
      </c>
      <c r="Z1405" s="23" cm="1">
        <f t="array" ref="Z1405">_xlfn.XLOOKUP(tblMatriculas[[#This Row],[Cédula]]&amp;"|"&amp;tblMatriculas[[#This Row],[Código]],tblBase[Documento]&amp;"|"&amp;tblBase[Código grupo],tblBase[Fecha matrícula],"")</f>
        <v>46263</v>
      </c>
    </row>
    <row r="1406" spans="1:26" x14ac:dyDescent="0.2">
      <c r="A1406" t="s">
        <v>2957</v>
      </c>
      <c r="B1406" t="s">
        <v>2958</v>
      </c>
      <c r="C1406" t="s">
        <v>13</v>
      </c>
      <c r="D1406" t="s">
        <v>2945</v>
      </c>
      <c r="E1406" t="s">
        <v>2946</v>
      </c>
      <c r="F1406" t="s">
        <v>649</v>
      </c>
      <c r="G1406" s="1">
        <v>0.13300000000000001</v>
      </c>
      <c r="H1406" t="s">
        <v>112</v>
      </c>
      <c r="I1406" t="s">
        <v>1580</v>
      </c>
      <c r="J1406" t="s">
        <v>2077</v>
      </c>
      <c r="K1406" t="s">
        <v>24</v>
      </c>
      <c r="L1406" s="14">
        <f>IFERROR(VALUE(LEFT(tblMatriculas[[#This Row],[Clases]],FIND("/",tblMatriculas[[#This Row],[Clases]])-1)),"")</f>
        <v>4</v>
      </c>
      <c r="M1406" s="14">
        <f>IFERROR(VALUE(MID(tblMatriculas[[#This Row],[Clases]],FIND("/",tblMatriculas[[#This Row],[Clases]])+1,5)),"")</f>
        <v>30</v>
      </c>
      <c r="N14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6" s="14">
        <f>IF(OR(tblMatriculas[[#This Row],[Estado]]&lt;&gt;"activa",tblMatriculas[[#This Row],[Clases dictadas]]=""),"",MAX(0,tblMatriculas[[#This Row],[Clases dictadas]]-tblMatriculas[[#This Row],[Asistidas]]))</f>
        <v>0</v>
      </c>
      <c r="P1406" s="1">
        <f>IF(OR(tblMatriculas[[#This Row],[Estado]]&lt;&gt;"activa",tblMatriculas[[#This Row],[Asistidas]]=""),"",tblMatriculas[[#This Row],[Asistencia]])</f>
        <v>0.13300000000000001</v>
      </c>
      <c r="Q1406" t="b">
        <f>AND(tblMatriculas[[#This Row],[Estado]]="activa",ISNUMBER(tblMatriculas[[#This Row],[% asistencia]]),NOT(ISNUMBER(SEARCH(pPrueba,tblMatriculas[[#This Row],[Nombre]]))))</f>
        <v>1</v>
      </c>
      <c r="R14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6" s="23" t="str" cm="1">
        <f t="array" ref="S14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6" s="23" t="str" cm="1">
        <f t="array" ref="T14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6" s="14" t="str" cm="1">
        <f t="array" ref="U14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6" t="str" cm="1">
        <f t="array" ref="V14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6" t="str" cm="1">
        <f t="array" ref="W14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6" t="str">
        <f>IF(COUNTIFS('Base Estudiantes'!$C:$C,tblMatriculas[[#This Row],[Cédula]],'Base Estudiantes'!$I:$I,tblMatriculas[[#This Row],[Código]])&gt;0,"Sí","No")</f>
        <v>Sí</v>
      </c>
      <c r="Z1406" s="23" cm="1">
        <f t="array" ref="Z1406">_xlfn.XLOOKUP(tblMatriculas[[#This Row],[Cédula]]&amp;"|"&amp;tblMatriculas[[#This Row],[Código]],tblBase[Documento]&amp;"|"&amp;tblBase[Código grupo],tblBase[Fecha matrícula],"")</f>
        <v>46263</v>
      </c>
    </row>
    <row r="1407" spans="1:26" x14ac:dyDescent="0.2">
      <c r="A1407" t="s">
        <v>2959</v>
      </c>
      <c r="B1407" t="s">
        <v>2960</v>
      </c>
      <c r="C1407" t="s">
        <v>13</v>
      </c>
      <c r="D1407" t="s">
        <v>2945</v>
      </c>
      <c r="E1407" t="s">
        <v>2946</v>
      </c>
      <c r="F1407" t="s">
        <v>649</v>
      </c>
      <c r="G1407" s="1">
        <v>0.13300000000000001</v>
      </c>
      <c r="H1407" t="s">
        <v>112</v>
      </c>
      <c r="I1407" t="s">
        <v>1580</v>
      </c>
      <c r="J1407" t="s">
        <v>2077</v>
      </c>
      <c r="K1407" t="s">
        <v>24</v>
      </c>
      <c r="L1407" s="14">
        <f>IFERROR(VALUE(LEFT(tblMatriculas[[#This Row],[Clases]],FIND("/",tblMatriculas[[#This Row],[Clases]])-1)),"")</f>
        <v>4</v>
      </c>
      <c r="M1407" s="14">
        <f>IFERROR(VALUE(MID(tblMatriculas[[#This Row],[Clases]],FIND("/",tblMatriculas[[#This Row],[Clases]])+1,5)),"")</f>
        <v>30</v>
      </c>
      <c r="N14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7" s="14">
        <f>IF(OR(tblMatriculas[[#This Row],[Estado]]&lt;&gt;"activa",tblMatriculas[[#This Row],[Clases dictadas]]=""),"",MAX(0,tblMatriculas[[#This Row],[Clases dictadas]]-tblMatriculas[[#This Row],[Asistidas]]))</f>
        <v>0</v>
      </c>
      <c r="P1407" s="1">
        <f>IF(OR(tblMatriculas[[#This Row],[Estado]]&lt;&gt;"activa",tblMatriculas[[#This Row],[Asistidas]]=""),"",tblMatriculas[[#This Row],[Asistencia]])</f>
        <v>0.13300000000000001</v>
      </c>
      <c r="Q1407" t="b">
        <f>AND(tblMatriculas[[#This Row],[Estado]]="activa",ISNUMBER(tblMatriculas[[#This Row],[% asistencia]]),NOT(ISNUMBER(SEARCH(pPrueba,tblMatriculas[[#This Row],[Nombre]]))))</f>
        <v>1</v>
      </c>
      <c r="R14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7" s="23" t="str" cm="1">
        <f t="array" ref="S14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7" s="23" t="str" cm="1">
        <f t="array" ref="T14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7" s="14" t="str" cm="1">
        <f t="array" ref="U14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7" t="str" cm="1">
        <f t="array" ref="V14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7" t="str" cm="1">
        <f t="array" ref="W14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7" t="str">
        <f>IF(COUNTIFS('Base Estudiantes'!$C:$C,tblMatriculas[[#This Row],[Cédula]],'Base Estudiantes'!$I:$I,tblMatriculas[[#This Row],[Código]])&gt;0,"Sí","No")</f>
        <v>Sí</v>
      </c>
      <c r="Z1407" s="23" cm="1">
        <f t="array" ref="Z1407">_xlfn.XLOOKUP(tblMatriculas[[#This Row],[Cédula]]&amp;"|"&amp;tblMatriculas[[#This Row],[Código]],tblBase[Documento]&amp;"|"&amp;tblBase[Código grupo],tblBase[Fecha matrícula],"")</f>
        <v>46263</v>
      </c>
    </row>
    <row r="1408" spans="1:26" x14ac:dyDescent="0.2">
      <c r="A1408" t="s">
        <v>2961</v>
      </c>
      <c r="B1408" t="s">
        <v>2962</v>
      </c>
      <c r="C1408" t="s">
        <v>13</v>
      </c>
      <c r="D1408" t="s">
        <v>2945</v>
      </c>
      <c r="E1408" t="s">
        <v>2946</v>
      </c>
      <c r="F1408" t="s">
        <v>649</v>
      </c>
      <c r="G1408" s="1">
        <v>0.13300000000000001</v>
      </c>
      <c r="H1408" t="s">
        <v>112</v>
      </c>
      <c r="I1408" t="s">
        <v>1580</v>
      </c>
      <c r="J1408" t="s">
        <v>2077</v>
      </c>
      <c r="K1408" t="s">
        <v>24</v>
      </c>
      <c r="L1408" s="14">
        <f>IFERROR(VALUE(LEFT(tblMatriculas[[#This Row],[Clases]],FIND("/",tblMatriculas[[#This Row],[Clases]])-1)),"")</f>
        <v>4</v>
      </c>
      <c r="M1408" s="14">
        <f>IFERROR(VALUE(MID(tblMatriculas[[#This Row],[Clases]],FIND("/",tblMatriculas[[#This Row],[Clases]])+1,5)),"")</f>
        <v>30</v>
      </c>
      <c r="N14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8" s="14">
        <f>IF(OR(tblMatriculas[[#This Row],[Estado]]&lt;&gt;"activa",tblMatriculas[[#This Row],[Clases dictadas]]=""),"",MAX(0,tblMatriculas[[#This Row],[Clases dictadas]]-tblMatriculas[[#This Row],[Asistidas]]))</f>
        <v>0</v>
      </c>
      <c r="P1408" s="1">
        <f>IF(OR(tblMatriculas[[#This Row],[Estado]]&lt;&gt;"activa",tblMatriculas[[#This Row],[Asistidas]]=""),"",tblMatriculas[[#This Row],[Asistencia]])</f>
        <v>0.13300000000000001</v>
      </c>
      <c r="Q1408" t="b">
        <f>AND(tblMatriculas[[#This Row],[Estado]]="activa",ISNUMBER(tblMatriculas[[#This Row],[% asistencia]]),NOT(ISNUMBER(SEARCH(pPrueba,tblMatriculas[[#This Row],[Nombre]]))))</f>
        <v>1</v>
      </c>
      <c r="R14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8" s="23" t="str" cm="1">
        <f t="array" ref="S14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8" s="23" t="str" cm="1">
        <f t="array" ref="T14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8" s="14" t="str" cm="1">
        <f t="array" ref="U14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8" t="str" cm="1">
        <f t="array" ref="V14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8" t="str" cm="1">
        <f t="array" ref="W14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8" t="str">
        <f>IF(COUNTIFS('Base Estudiantes'!$C:$C,tblMatriculas[[#This Row],[Cédula]],'Base Estudiantes'!$I:$I,tblMatriculas[[#This Row],[Código]])&gt;0,"Sí","No")</f>
        <v>Sí</v>
      </c>
      <c r="Z1408" s="23" cm="1">
        <f t="array" ref="Z1408">_xlfn.XLOOKUP(tblMatriculas[[#This Row],[Cédula]]&amp;"|"&amp;tblMatriculas[[#This Row],[Código]],tblBase[Documento]&amp;"|"&amp;tblBase[Código grupo],tblBase[Fecha matrícula],"")</f>
        <v>46263</v>
      </c>
    </row>
    <row r="1409" spans="1:26" x14ac:dyDescent="0.2">
      <c r="A1409" t="s">
        <v>2963</v>
      </c>
      <c r="B1409" t="s">
        <v>2964</v>
      </c>
      <c r="C1409" t="s">
        <v>13</v>
      </c>
      <c r="D1409" t="s">
        <v>2945</v>
      </c>
      <c r="E1409" t="s">
        <v>2946</v>
      </c>
      <c r="F1409" t="s">
        <v>649</v>
      </c>
      <c r="G1409" s="1">
        <v>0.1</v>
      </c>
      <c r="H1409" t="s">
        <v>117</v>
      </c>
      <c r="I1409" t="s">
        <v>1580</v>
      </c>
      <c r="J1409" t="s">
        <v>2077</v>
      </c>
      <c r="K1409" t="s">
        <v>24</v>
      </c>
      <c r="L1409" s="14">
        <f>IFERROR(VALUE(LEFT(tblMatriculas[[#This Row],[Clases]],FIND("/",tblMatriculas[[#This Row],[Clases]])-1)),"")</f>
        <v>3</v>
      </c>
      <c r="M1409" s="14">
        <f>IFERROR(VALUE(MID(tblMatriculas[[#This Row],[Clases]],FIND("/",tblMatriculas[[#This Row],[Clases]])+1,5)),"")</f>
        <v>30</v>
      </c>
      <c r="N14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09" s="14">
        <f>IF(OR(tblMatriculas[[#This Row],[Estado]]&lt;&gt;"activa",tblMatriculas[[#This Row],[Clases dictadas]]=""),"",MAX(0,tblMatriculas[[#This Row],[Clases dictadas]]-tblMatriculas[[#This Row],[Asistidas]]))</f>
        <v>1</v>
      </c>
      <c r="P1409" s="1">
        <f>IF(OR(tblMatriculas[[#This Row],[Estado]]&lt;&gt;"activa",tblMatriculas[[#This Row],[Asistidas]]=""),"",tblMatriculas[[#This Row],[Asistencia]])</f>
        <v>0.1</v>
      </c>
      <c r="Q1409" t="b">
        <f>AND(tblMatriculas[[#This Row],[Estado]]="activa",ISNUMBER(tblMatriculas[[#This Row],[% asistencia]]),NOT(ISNUMBER(SEARCH(pPrueba,tblMatriculas[[#This Row],[Nombre]]))))</f>
        <v>1</v>
      </c>
      <c r="R14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09" s="23" t="str" cm="1">
        <f t="array" ref="S14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09" s="23" t="str" cm="1">
        <f t="array" ref="T14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09" s="14" t="str" cm="1">
        <f t="array" ref="U14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09" t="str" cm="1">
        <f t="array" ref="V14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09" t="str" cm="1">
        <f t="array" ref="W14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09" t="str">
        <f>IF(COUNTIFS('Base Estudiantes'!$C:$C,tblMatriculas[[#This Row],[Cédula]],'Base Estudiantes'!$I:$I,tblMatriculas[[#This Row],[Código]])&gt;0,"Sí","No")</f>
        <v>Sí</v>
      </c>
      <c r="Z1409" s="23" cm="1">
        <f t="array" ref="Z1409">_xlfn.XLOOKUP(tblMatriculas[[#This Row],[Cédula]]&amp;"|"&amp;tblMatriculas[[#This Row],[Código]],tblBase[Documento]&amp;"|"&amp;tblBase[Código grupo],tblBase[Fecha matrícula],"")</f>
        <v>46263</v>
      </c>
    </row>
    <row r="1410" spans="1:26" x14ac:dyDescent="0.2">
      <c r="A1410" t="s">
        <v>2965</v>
      </c>
      <c r="B1410" t="s">
        <v>2966</v>
      </c>
      <c r="C1410" t="s">
        <v>13</v>
      </c>
      <c r="D1410" t="s">
        <v>2945</v>
      </c>
      <c r="E1410" t="s">
        <v>2946</v>
      </c>
      <c r="F1410" t="s">
        <v>649</v>
      </c>
      <c r="G1410" s="1">
        <v>0.13300000000000001</v>
      </c>
      <c r="H1410" t="s">
        <v>112</v>
      </c>
      <c r="I1410" t="s">
        <v>1580</v>
      </c>
      <c r="J1410" t="s">
        <v>2077</v>
      </c>
      <c r="K1410" t="s">
        <v>24</v>
      </c>
      <c r="L1410" s="14">
        <f>IFERROR(VALUE(LEFT(tblMatriculas[[#This Row],[Clases]],FIND("/",tblMatriculas[[#This Row],[Clases]])-1)),"")</f>
        <v>4</v>
      </c>
      <c r="M1410" s="14">
        <f>IFERROR(VALUE(MID(tblMatriculas[[#This Row],[Clases]],FIND("/",tblMatriculas[[#This Row],[Clases]])+1,5)),"")</f>
        <v>30</v>
      </c>
      <c r="N14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0" s="14">
        <f>IF(OR(tblMatriculas[[#This Row],[Estado]]&lt;&gt;"activa",tblMatriculas[[#This Row],[Clases dictadas]]=""),"",MAX(0,tblMatriculas[[#This Row],[Clases dictadas]]-tblMatriculas[[#This Row],[Asistidas]]))</f>
        <v>0</v>
      </c>
      <c r="P1410" s="1">
        <f>IF(OR(tblMatriculas[[#This Row],[Estado]]&lt;&gt;"activa",tblMatriculas[[#This Row],[Asistidas]]=""),"",tblMatriculas[[#This Row],[Asistencia]])</f>
        <v>0.13300000000000001</v>
      </c>
      <c r="Q1410" t="b">
        <f>AND(tblMatriculas[[#This Row],[Estado]]="activa",ISNUMBER(tblMatriculas[[#This Row],[% asistencia]]),NOT(ISNUMBER(SEARCH(pPrueba,tblMatriculas[[#This Row],[Nombre]]))))</f>
        <v>1</v>
      </c>
      <c r="R14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0" s="23" t="str" cm="1">
        <f t="array" ref="S14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0" s="23" t="str" cm="1">
        <f t="array" ref="T14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0" s="14" t="str" cm="1">
        <f t="array" ref="U14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0" t="str" cm="1">
        <f t="array" ref="V14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0" t="str" cm="1">
        <f t="array" ref="W14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0" t="str">
        <f>IF(COUNTIFS('Base Estudiantes'!$C:$C,tblMatriculas[[#This Row],[Cédula]],'Base Estudiantes'!$I:$I,tblMatriculas[[#This Row],[Código]])&gt;0,"Sí","No")</f>
        <v>Sí</v>
      </c>
      <c r="Z1410" s="23" cm="1">
        <f t="array" ref="Z1410">_xlfn.XLOOKUP(tblMatriculas[[#This Row],[Cédula]]&amp;"|"&amp;tblMatriculas[[#This Row],[Código]],tblBase[Documento]&amp;"|"&amp;tblBase[Código grupo],tblBase[Fecha matrícula],"")</f>
        <v>46263</v>
      </c>
    </row>
    <row r="1411" spans="1:26" x14ac:dyDescent="0.2">
      <c r="A1411" t="s">
        <v>2967</v>
      </c>
      <c r="B1411" t="s">
        <v>2968</v>
      </c>
      <c r="C1411" t="s">
        <v>13</v>
      </c>
      <c r="D1411" t="s">
        <v>2945</v>
      </c>
      <c r="E1411" t="s">
        <v>2946</v>
      </c>
      <c r="F1411" t="s">
        <v>649</v>
      </c>
      <c r="G1411" s="1">
        <v>0.13300000000000001</v>
      </c>
      <c r="H1411" t="s">
        <v>112</v>
      </c>
      <c r="I1411" t="s">
        <v>1580</v>
      </c>
      <c r="J1411" t="s">
        <v>2077</v>
      </c>
      <c r="K1411" t="s">
        <v>24</v>
      </c>
      <c r="L1411" s="14">
        <f>IFERROR(VALUE(LEFT(tblMatriculas[[#This Row],[Clases]],FIND("/",tblMatriculas[[#This Row],[Clases]])-1)),"")</f>
        <v>4</v>
      </c>
      <c r="M1411" s="14">
        <f>IFERROR(VALUE(MID(tblMatriculas[[#This Row],[Clases]],FIND("/",tblMatriculas[[#This Row],[Clases]])+1,5)),"")</f>
        <v>30</v>
      </c>
      <c r="N14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1" s="14">
        <f>IF(OR(tblMatriculas[[#This Row],[Estado]]&lt;&gt;"activa",tblMatriculas[[#This Row],[Clases dictadas]]=""),"",MAX(0,tblMatriculas[[#This Row],[Clases dictadas]]-tblMatriculas[[#This Row],[Asistidas]]))</f>
        <v>0</v>
      </c>
      <c r="P1411" s="1">
        <f>IF(OR(tblMatriculas[[#This Row],[Estado]]&lt;&gt;"activa",tblMatriculas[[#This Row],[Asistidas]]=""),"",tblMatriculas[[#This Row],[Asistencia]])</f>
        <v>0.13300000000000001</v>
      </c>
      <c r="Q1411" t="b">
        <f>AND(tblMatriculas[[#This Row],[Estado]]="activa",ISNUMBER(tblMatriculas[[#This Row],[% asistencia]]),NOT(ISNUMBER(SEARCH(pPrueba,tblMatriculas[[#This Row],[Nombre]]))))</f>
        <v>1</v>
      </c>
      <c r="R14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1" s="23" t="str" cm="1">
        <f t="array" ref="S14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1" s="23" t="str" cm="1">
        <f t="array" ref="T14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1" s="14" t="str" cm="1">
        <f t="array" ref="U14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1" t="str" cm="1">
        <f t="array" ref="V14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1" t="str" cm="1">
        <f t="array" ref="W14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1" t="str">
        <f>IF(COUNTIFS('Base Estudiantes'!$C:$C,tblMatriculas[[#This Row],[Cédula]],'Base Estudiantes'!$I:$I,tblMatriculas[[#This Row],[Código]])&gt;0,"Sí","No")</f>
        <v>Sí</v>
      </c>
      <c r="Z1411" s="23" cm="1">
        <f t="array" ref="Z1411">_xlfn.XLOOKUP(tblMatriculas[[#This Row],[Cédula]]&amp;"|"&amp;tblMatriculas[[#This Row],[Código]],tblBase[Documento]&amp;"|"&amp;tblBase[Código grupo],tblBase[Fecha matrícula],"")</f>
        <v>46263</v>
      </c>
    </row>
    <row r="1412" spans="1:26" x14ac:dyDescent="0.2">
      <c r="A1412" t="s">
        <v>2969</v>
      </c>
      <c r="B1412" t="s">
        <v>2970</v>
      </c>
      <c r="C1412" t="s">
        <v>13</v>
      </c>
      <c r="D1412" t="s">
        <v>2945</v>
      </c>
      <c r="E1412" t="s">
        <v>2946</v>
      </c>
      <c r="F1412" t="s">
        <v>649</v>
      </c>
      <c r="G1412" s="1">
        <v>6.7000000000000004E-2</v>
      </c>
      <c r="H1412" t="s">
        <v>166</v>
      </c>
      <c r="I1412" t="s">
        <v>1580</v>
      </c>
      <c r="J1412" t="s">
        <v>2077</v>
      </c>
      <c r="K1412" t="s">
        <v>24</v>
      </c>
      <c r="L1412" s="14">
        <f>IFERROR(VALUE(LEFT(tblMatriculas[[#This Row],[Clases]],FIND("/",tblMatriculas[[#This Row],[Clases]])-1)),"")</f>
        <v>2</v>
      </c>
      <c r="M1412" s="14">
        <f>IFERROR(VALUE(MID(tblMatriculas[[#This Row],[Clases]],FIND("/",tblMatriculas[[#This Row],[Clases]])+1,5)),"")</f>
        <v>30</v>
      </c>
      <c r="N14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2" s="14">
        <f>IF(OR(tblMatriculas[[#This Row],[Estado]]&lt;&gt;"activa",tblMatriculas[[#This Row],[Clases dictadas]]=""),"",MAX(0,tblMatriculas[[#This Row],[Clases dictadas]]-tblMatriculas[[#This Row],[Asistidas]]))</f>
        <v>2</v>
      </c>
      <c r="P1412" s="1">
        <f>IF(OR(tblMatriculas[[#This Row],[Estado]]&lt;&gt;"activa",tblMatriculas[[#This Row],[Asistidas]]=""),"",tblMatriculas[[#This Row],[Asistencia]])</f>
        <v>6.7000000000000004E-2</v>
      </c>
      <c r="Q1412" t="b">
        <f>AND(tblMatriculas[[#This Row],[Estado]]="activa",ISNUMBER(tblMatriculas[[#This Row],[% asistencia]]),NOT(ISNUMBER(SEARCH(pPrueba,tblMatriculas[[#This Row],[Nombre]]))))</f>
        <v>1</v>
      </c>
      <c r="R14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12" s="23" t="str" cm="1">
        <f t="array" ref="S14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2" s="23" t="str" cm="1">
        <f t="array" ref="T14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2" s="14" t="str" cm="1">
        <f t="array" ref="U14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2" t="str" cm="1">
        <f t="array" ref="V14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2" t="str" cm="1">
        <f t="array" ref="W14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12" t="str">
        <f>IF(COUNTIFS('Base Estudiantes'!$C:$C,tblMatriculas[[#This Row],[Cédula]],'Base Estudiantes'!$I:$I,tblMatriculas[[#This Row],[Código]])&gt;0,"Sí","No")</f>
        <v>Sí</v>
      </c>
      <c r="Z1412" s="23" cm="1">
        <f t="array" ref="Z1412">_xlfn.XLOOKUP(tblMatriculas[[#This Row],[Cédula]]&amp;"|"&amp;tblMatriculas[[#This Row],[Código]],tblBase[Documento]&amp;"|"&amp;tblBase[Código grupo],tblBase[Fecha matrícula],"")</f>
        <v>46263</v>
      </c>
    </row>
    <row r="1413" spans="1:26" x14ac:dyDescent="0.2">
      <c r="A1413" t="s">
        <v>2971</v>
      </c>
      <c r="B1413" t="s">
        <v>2972</v>
      </c>
      <c r="C1413" t="s">
        <v>13</v>
      </c>
      <c r="D1413" t="s">
        <v>2945</v>
      </c>
      <c r="E1413" t="s">
        <v>2946</v>
      </c>
      <c r="F1413" t="s">
        <v>649</v>
      </c>
      <c r="G1413" s="1">
        <v>0.13300000000000001</v>
      </c>
      <c r="H1413" t="s">
        <v>112</v>
      </c>
      <c r="I1413" t="s">
        <v>1580</v>
      </c>
      <c r="J1413" t="s">
        <v>2077</v>
      </c>
      <c r="K1413" t="s">
        <v>24</v>
      </c>
      <c r="L1413" s="14">
        <f>IFERROR(VALUE(LEFT(tblMatriculas[[#This Row],[Clases]],FIND("/",tblMatriculas[[#This Row],[Clases]])-1)),"")</f>
        <v>4</v>
      </c>
      <c r="M1413" s="14">
        <f>IFERROR(VALUE(MID(tblMatriculas[[#This Row],[Clases]],FIND("/",tblMatriculas[[#This Row],[Clases]])+1,5)),"")</f>
        <v>30</v>
      </c>
      <c r="N14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3" s="14">
        <f>IF(OR(tblMatriculas[[#This Row],[Estado]]&lt;&gt;"activa",tblMatriculas[[#This Row],[Clases dictadas]]=""),"",MAX(0,tblMatriculas[[#This Row],[Clases dictadas]]-tblMatriculas[[#This Row],[Asistidas]]))</f>
        <v>0</v>
      </c>
      <c r="P1413" s="1">
        <f>IF(OR(tblMatriculas[[#This Row],[Estado]]&lt;&gt;"activa",tblMatriculas[[#This Row],[Asistidas]]=""),"",tblMatriculas[[#This Row],[Asistencia]])</f>
        <v>0.13300000000000001</v>
      </c>
      <c r="Q1413" t="b">
        <f>AND(tblMatriculas[[#This Row],[Estado]]="activa",ISNUMBER(tblMatriculas[[#This Row],[% asistencia]]),NOT(ISNUMBER(SEARCH(pPrueba,tblMatriculas[[#This Row],[Nombre]]))))</f>
        <v>1</v>
      </c>
      <c r="R14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3" s="23" t="str" cm="1">
        <f t="array" ref="S14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3" s="23" t="str" cm="1">
        <f t="array" ref="T14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3" s="14" t="str" cm="1">
        <f t="array" ref="U14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3" t="str" cm="1">
        <f t="array" ref="V14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3" t="str" cm="1">
        <f t="array" ref="W14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3" t="str">
        <f>IF(COUNTIFS('Base Estudiantes'!$C:$C,tblMatriculas[[#This Row],[Cédula]],'Base Estudiantes'!$I:$I,tblMatriculas[[#This Row],[Código]])&gt;0,"Sí","No")</f>
        <v>Sí</v>
      </c>
      <c r="Z1413" s="23" cm="1">
        <f t="array" ref="Z1413">_xlfn.XLOOKUP(tblMatriculas[[#This Row],[Cédula]]&amp;"|"&amp;tblMatriculas[[#This Row],[Código]],tblBase[Documento]&amp;"|"&amp;tblBase[Código grupo],tblBase[Fecha matrícula],"")</f>
        <v>46263</v>
      </c>
    </row>
    <row r="1414" spans="1:26" x14ac:dyDescent="0.2">
      <c r="A1414" t="s">
        <v>2973</v>
      </c>
      <c r="B1414" t="s">
        <v>2974</v>
      </c>
      <c r="C1414" t="s">
        <v>13</v>
      </c>
      <c r="D1414" t="s">
        <v>2945</v>
      </c>
      <c r="E1414" t="s">
        <v>2946</v>
      </c>
      <c r="F1414" t="s">
        <v>649</v>
      </c>
      <c r="G1414" s="1">
        <v>0.13300000000000001</v>
      </c>
      <c r="H1414" t="s">
        <v>112</v>
      </c>
      <c r="I1414" t="s">
        <v>1580</v>
      </c>
      <c r="J1414" t="s">
        <v>2077</v>
      </c>
      <c r="K1414" t="s">
        <v>24</v>
      </c>
      <c r="L1414" s="14">
        <f>IFERROR(VALUE(LEFT(tblMatriculas[[#This Row],[Clases]],FIND("/",tblMatriculas[[#This Row],[Clases]])-1)),"")</f>
        <v>4</v>
      </c>
      <c r="M1414" s="14">
        <f>IFERROR(VALUE(MID(tblMatriculas[[#This Row],[Clases]],FIND("/",tblMatriculas[[#This Row],[Clases]])+1,5)),"")</f>
        <v>30</v>
      </c>
      <c r="N14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4" s="14">
        <f>IF(OR(tblMatriculas[[#This Row],[Estado]]&lt;&gt;"activa",tblMatriculas[[#This Row],[Clases dictadas]]=""),"",MAX(0,tblMatriculas[[#This Row],[Clases dictadas]]-tblMatriculas[[#This Row],[Asistidas]]))</f>
        <v>0</v>
      </c>
      <c r="P1414" s="1">
        <f>IF(OR(tblMatriculas[[#This Row],[Estado]]&lt;&gt;"activa",tblMatriculas[[#This Row],[Asistidas]]=""),"",tblMatriculas[[#This Row],[Asistencia]])</f>
        <v>0.13300000000000001</v>
      </c>
      <c r="Q1414" t="b">
        <f>AND(tblMatriculas[[#This Row],[Estado]]="activa",ISNUMBER(tblMatriculas[[#This Row],[% asistencia]]),NOT(ISNUMBER(SEARCH(pPrueba,tblMatriculas[[#This Row],[Nombre]]))))</f>
        <v>1</v>
      </c>
      <c r="R14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4" s="23" t="str" cm="1">
        <f t="array" ref="S14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4" s="23" t="str" cm="1">
        <f t="array" ref="T14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4" s="14" t="str" cm="1">
        <f t="array" ref="U14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4" t="str" cm="1">
        <f t="array" ref="V14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4" t="str" cm="1">
        <f t="array" ref="W14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4" t="str">
        <f>IF(COUNTIFS('Base Estudiantes'!$C:$C,tblMatriculas[[#This Row],[Cédula]],'Base Estudiantes'!$I:$I,tblMatriculas[[#This Row],[Código]])&gt;0,"Sí","No")</f>
        <v>Sí</v>
      </c>
      <c r="Z1414" s="23" cm="1">
        <f t="array" ref="Z1414">_xlfn.XLOOKUP(tblMatriculas[[#This Row],[Cédula]]&amp;"|"&amp;tblMatriculas[[#This Row],[Código]],tblBase[Documento]&amp;"|"&amp;tblBase[Código grupo],tblBase[Fecha matrícula],"")</f>
        <v>46263</v>
      </c>
    </row>
    <row r="1415" spans="1:26" x14ac:dyDescent="0.2">
      <c r="A1415" t="s">
        <v>2975</v>
      </c>
      <c r="B1415" t="s">
        <v>2976</v>
      </c>
      <c r="C1415" t="s">
        <v>13</v>
      </c>
      <c r="D1415" t="s">
        <v>2945</v>
      </c>
      <c r="E1415" t="s">
        <v>2946</v>
      </c>
      <c r="F1415" t="s">
        <v>649</v>
      </c>
      <c r="G1415" s="1">
        <v>0.1</v>
      </c>
      <c r="H1415" t="s">
        <v>117</v>
      </c>
      <c r="I1415" t="s">
        <v>1580</v>
      </c>
      <c r="J1415" t="s">
        <v>2077</v>
      </c>
      <c r="K1415" t="s">
        <v>24</v>
      </c>
      <c r="L1415" s="14">
        <f>IFERROR(VALUE(LEFT(tblMatriculas[[#This Row],[Clases]],FIND("/",tblMatriculas[[#This Row],[Clases]])-1)),"")</f>
        <v>3</v>
      </c>
      <c r="M1415" s="14">
        <f>IFERROR(VALUE(MID(tblMatriculas[[#This Row],[Clases]],FIND("/",tblMatriculas[[#This Row],[Clases]])+1,5)),"")</f>
        <v>30</v>
      </c>
      <c r="N14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5" s="14">
        <f>IF(OR(tblMatriculas[[#This Row],[Estado]]&lt;&gt;"activa",tblMatriculas[[#This Row],[Clases dictadas]]=""),"",MAX(0,tblMatriculas[[#This Row],[Clases dictadas]]-tblMatriculas[[#This Row],[Asistidas]]))</f>
        <v>1</v>
      </c>
      <c r="P1415" s="1">
        <f>IF(OR(tblMatriculas[[#This Row],[Estado]]&lt;&gt;"activa",tblMatriculas[[#This Row],[Asistidas]]=""),"",tblMatriculas[[#This Row],[Asistencia]])</f>
        <v>0.1</v>
      </c>
      <c r="Q1415" t="b">
        <f>AND(tblMatriculas[[#This Row],[Estado]]="activa",ISNUMBER(tblMatriculas[[#This Row],[% asistencia]]),NOT(ISNUMBER(SEARCH(pPrueba,tblMatriculas[[#This Row],[Nombre]]))))</f>
        <v>1</v>
      </c>
      <c r="R14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5" s="23" t="str" cm="1">
        <f t="array" ref="S14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5" s="23" t="str" cm="1">
        <f t="array" ref="T14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5" s="14" t="str" cm="1">
        <f t="array" ref="U14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5" t="str" cm="1">
        <f t="array" ref="V14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5" t="str" cm="1">
        <f t="array" ref="W14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5" t="str">
        <f>IF(COUNTIFS('Base Estudiantes'!$C:$C,tblMatriculas[[#This Row],[Cédula]],'Base Estudiantes'!$I:$I,tblMatriculas[[#This Row],[Código]])&gt;0,"Sí","No")</f>
        <v>Sí</v>
      </c>
      <c r="Z1415" s="23" cm="1">
        <f t="array" ref="Z1415">_xlfn.XLOOKUP(tblMatriculas[[#This Row],[Cédula]]&amp;"|"&amp;tblMatriculas[[#This Row],[Código]],tblBase[Documento]&amp;"|"&amp;tblBase[Código grupo],tblBase[Fecha matrícula],"")</f>
        <v>46263</v>
      </c>
    </row>
    <row r="1416" spans="1:26" x14ac:dyDescent="0.2">
      <c r="A1416" t="s">
        <v>2977</v>
      </c>
      <c r="B1416" t="s">
        <v>2978</v>
      </c>
      <c r="C1416" t="s">
        <v>13</v>
      </c>
      <c r="D1416" t="s">
        <v>2945</v>
      </c>
      <c r="E1416" t="s">
        <v>2946</v>
      </c>
      <c r="F1416" t="s">
        <v>649</v>
      </c>
      <c r="G1416" s="1">
        <v>0.13300000000000001</v>
      </c>
      <c r="H1416" t="s">
        <v>112</v>
      </c>
      <c r="I1416" t="s">
        <v>1580</v>
      </c>
      <c r="J1416" t="s">
        <v>2077</v>
      </c>
      <c r="K1416" t="s">
        <v>24</v>
      </c>
      <c r="L1416" s="14">
        <f>IFERROR(VALUE(LEFT(tblMatriculas[[#This Row],[Clases]],FIND("/",tblMatriculas[[#This Row],[Clases]])-1)),"")</f>
        <v>4</v>
      </c>
      <c r="M1416" s="14">
        <f>IFERROR(VALUE(MID(tblMatriculas[[#This Row],[Clases]],FIND("/",tblMatriculas[[#This Row],[Clases]])+1,5)),"")</f>
        <v>30</v>
      </c>
      <c r="N14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6" s="14">
        <f>IF(OR(tblMatriculas[[#This Row],[Estado]]&lt;&gt;"activa",tblMatriculas[[#This Row],[Clases dictadas]]=""),"",MAX(0,tblMatriculas[[#This Row],[Clases dictadas]]-tblMatriculas[[#This Row],[Asistidas]]))</f>
        <v>0</v>
      </c>
      <c r="P1416" s="1">
        <f>IF(OR(tblMatriculas[[#This Row],[Estado]]&lt;&gt;"activa",tblMatriculas[[#This Row],[Asistidas]]=""),"",tblMatriculas[[#This Row],[Asistencia]])</f>
        <v>0.13300000000000001</v>
      </c>
      <c r="Q1416" t="b">
        <f>AND(tblMatriculas[[#This Row],[Estado]]="activa",ISNUMBER(tblMatriculas[[#This Row],[% asistencia]]),NOT(ISNUMBER(SEARCH(pPrueba,tblMatriculas[[#This Row],[Nombre]]))))</f>
        <v>1</v>
      </c>
      <c r="R14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16" s="23" t="str" cm="1">
        <f t="array" ref="S14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6" s="23" t="str" cm="1">
        <f t="array" ref="T14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6" s="14" t="str" cm="1">
        <f t="array" ref="U14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6" t="str" cm="1">
        <f t="array" ref="V14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6" t="str" cm="1">
        <f t="array" ref="W14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16" t="str">
        <f>IF(COUNTIFS('Base Estudiantes'!$C:$C,tblMatriculas[[#This Row],[Cédula]],'Base Estudiantes'!$I:$I,tblMatriculas[[#This Row],[Código]])&gt;0,"Sí","No")</f>
        <v>Sí</v>
      </c>
      <c r="Z1416" s="23" cm="1">
        <f t="array" ref="Z1416">_xlfn.XLOOKUP(tblMatriculas[[#This Row],[Cédula]]&amp;"|"&amp;tblMatriculas[[#This Row],[Código]],tblBase[Documento]&amp;"|"&amp;tblBase[Código grupo],tblBase[Fecha matrícula],"")</f>
        <v>46263</v>
      </c>
    </row>
    <row r="1417" spans="1:26" x14ac:dyDescent="0.2">
      <c r="A1417" t="s">
        <v>2979</v>
      </c>
      <c r="B1417" t="s">
        <v>2980</v>
      </c>
      <c r="C1417" t="s">
        <v>13</v>
      </c>
      <c r="D1417" t="s">
        <v>2945</v>
      </c>
      <c r="E1417" t="s">
        <v>2946</v>
      </c>
      <c r="F1417" t="s">
        <v>649</v>
      </c>
      <c r="G1417" s="1">
        <v>3.3000000000000002E-2</v>
      </c>
      <c r="H1417" t="s">
        <v>225</v>
      </c>
      <c r="I1417" t="s">
        <v>1580</v>
      </c>
      <c r="J1417" t="s">
        <v>2077</v>
      </c>
      <c r="K1417" t="s">
        <v>24</v>
      </c>
      <c r="L1417" s="14">
        <f>IFERROR(VALUE(LEFT(tblMatriculas[[#This Row],[Clases]],FIND("/",tblMatriculas[[#This Row],[Clases]])-1)),"")</f>
        <v>1</v>
      </c>
      <c r="M1417" s="14">
        <f>IFERROR(VALUE(MID(tblMatriculas[[#This Row],[Clases]],FIND("/",tblMatriculas[[#This Row],[Clases]])+1,5)),"")</f>
        <v>30</v>
      </c>
      <c r="N14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7" s="14">
        <f>IF(OR(tblMatriculas[[#This Row],[Estado]]&lt;&gt;"activa",tblMatriculas[[#This Row],[Clases dictadas]]=""),"",MAX(0,tblMatriculas[[#This Row],[Clases dictadas]]-tblMatriculas[[#This Row],[Asistidas]]))</f>
        <v>3</v>
      </c>
      <c r="P1417" s="1">
        <f>IF(OR(tblMatriculas[[#This Row],[Estado]]&lt;&gt;"activa",tblMatriculas[[#This Row],[Asistidas]]=""),"",tblMatriculas[[#This Row],[Asistencia]])</f>
        <v>3.3000000000000002E-2</v>
      </c>
      <c r="Q1417" t="b">
        <f>AND(tblMatriculas[[#This Row],[Estado]]="activa",ISNUMBER(tblMatriculas[[#This Row],[% asistencia]]),NOT(ISNUMBER(SEARCH(pPrueba,tblMatriculas[[#This Row],[Nombre]]))))</f>
        <v>1</v>
      </c>
      <c r="R14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17" s="23" t="str" cm="1">
        <f t="array" ref="S14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7" s="23" t="str" cm="1">
        <f t="array" ref="T14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7" s="14" t="str" cm="1">
        <f t="array" ref="U14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7" t="str" cm="1">
        <f t="array" ref="V14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7" t="str" cm="1">
        <f t="array" ref="W14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17" t="str">
        <f>IF(COUNTIFS('Base Estudiantes'!$C:$C,tblMatriculas[[#This Row],[Cédula]],'Base Estudiantes'!$I:$I,tblMatriculas[[#This Row],[Código]])&gt;0,"Sí","No")</f>
        <v>Sí</v>
      </c>
      <c r="Z1417" s="23" cm="1">
        <f t="array" ref="Z1417">_xlfn.XLOOKUP(tblMatriculas[[#This Row],[Cédula]]&amp;"|"&amp;tblMatriculas[[#This Row],[Código]],tblBase[Documento]&amp;"|"&amp;tblBase[Código grupo],tblBase[Fecha matrícula],"")</f>
        <v>46263</v>
      </c>
    </row>
    <row r="1418" spans="1:26" x14ac:dyDescent="0.2">
      <c r="A1418" t="s">
        <v>2981</v>
      </c>
      <c r="B1418" t="s">
        <v>2982</v>
      </c>
      <c r="C1418" t="s">
        <v>13</v>
      </c>
      <c r="D1418" t="s">
        <v>2945</v>
      </c>
      <c r="E1418" t="s">
        <v>2946</v>
      </c>
      <c r="F1418" t="s">
        <v>649</v>
      </c>
      <c r="G1418" s="1">
        <v>6.7000000000000004E-2</v>
      </c>
      <c r="H1418" t="s">
        <v>166</v>
      </c>
      <c r="I1418" t="s">
        <v>1580</v>
      </c>
      <c r="J1418" t="s">
        <v>2077</v>
      </c>
      <c r="K1418" t="s">
        <v>24</v>
      </c>
      <c r="L1418" s="14">
        <f>IFERROR(VALUE(LEFT(tblMatriculas[[#This Row],[Clases]],FIND("/",tblMatriculas[[#This Row],[Clases]])-1)),"")</f>
        <v>2</v>
      </c>
      <c r="M1418" s="14">
        <f>IFERROR(VALUE(MID(tblMatriculas[[#This Row],[Clases]],FIND("/",tblMatriculas[[#This Row],[Clases]])+1,5)),"")</f>
        <v>30</v>
      </c>
      <c r="N14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8" s="14">
        <f>IF(OR(tblMatriculas[[#This Row],[Estado]]&lt;&gt;"activa",tblMatriculas[[#This Row],[Clases dictadas]]=""),"",MAX(0,tblMatriculas[[#This Row],[Clases dictadas]]-tblMatriculas[[#This Row],[Asistidas]]))</f>
        <v>2</v>
      </c>
      <c r="P1418" s="1">
        <f>IF(OR(tblMatriculas[[#This Row],[Estado]]&lt;&gt;"activa",tblMatriculas[[#This Row],[Asistidas]]=""),"",tblMatriculas[[#This Row],[Asistencia]])</f>
        <v>6.7000000000000004E-2</v>
      </c>
      <c r="Q1418" t="b">
        <f>AND(tblMatriculas[[#This Row],[Estado]]="activa",ISNUMBER(tblMatriculas[[#This Row],[% asistencia]]),NOT(ISNUMBER(SEARCH(pPrueba,tblMatriculas[[#This Row],[Nombre]]))))</f>
        <v>1</v>
      </c>
      <c r="R14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18" s="23" t="str" cm="1">
        <f t="array" ref="S14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8" s="23" t="str" cm="1">
        <f t="array" ref="T14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8" s="14" t="str" cm="1">
        <f t="array" ref="U14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8" t="str" cm="1">
        <f t="array" ref="V14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8" t="str" cm="1">
        <f t="array" ref="W14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18" t="str">
        <f>IF(COUNTIFS('Base Estudiantes'!$C:$C,tblMatriculas[[#This Row],[Cédula]],'Base Estudiantes'!$I:$I,tblMatriculas[[#This Row],[Código]])&gt;0,"Sí","No")</f>
        <v>Sí</v>
      </c>
      <c r="Z1418" s="23" cm="1">
        <f t="array" ref="Z1418">_xlfn.XLOOKUP(tblMatriculas[[#This Row],[Cédula]]&amp;"|"&amp;tblMatriculas[[#This Row],[Código]],tblBase[Documento]&amp;"|"&amp;tblBase[Código grupo],tblBase[Fecha matrícula],"")</f>
        <v>46263</v>
      </c>
    </row>
    <row r="1419" spans="1:26" x14ac:dyDescent="0.2">
      <c r="A1419" t="s">
        <v>2983</v>
      </c>
      <c r="B1419" t="s">
        <v>2984</v>
      </c>
      <c r="C1419" t="s">
        <v>13</v>
      </c>
      <c r="D1419" t="s">
        <v>2945</v>
      </c>
      <c r="E1419" t="s">
        <v>2946</v>
      </c>
      <c r="F1419" t="s">
        <v>649</v>
      </c>
      <c r="G1419" s="1">
        <v>3.3000000000000002E-2</v>
      </c>
      <c r="H1419" t="s">
        <v>225</v>
      </c>
      <c r="I1419" t="s">
        <v>1580</v>
      </c>
      <c r="J1419" t="s">
        <v>2077</v>
      </c>
      <c r="K1419" t="s">
        <v>24</v>
      </c>
      <c r="L1419" s="14">
        <f>IFERROR(VALUE(LEFT(tblMatriculas[[#This Row],[Clases]],FIND("/",tblMatriculas[[#This Row],[Clases]])-1)),"")</f>
        <v>1</v>
      </c>
      <c r="M1419" s="14">
        <f>IFERROR(VALUE(MID(tblMatriculas[[#This Row],[Clases]],FIND("/",tblMatriculas[[#This Row],[Clases]])+1,5)),"")</f>
        <v>30</v>
      </c>
      <c r="N14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19" s="14">
        <f>IF(OR(tblMatriculas[[#This Row],[Estado]]&lt;&gt;"activa",tblMatriculas[[#This Row],[Clases dictadas]]=""),"",MAX(0,tblMatriculas[[#This Row],[Clases dictadas]]-tblMatriculas[[#This Row],[Asistidas]]))</f>
        <v>3</v>
      </c>
      <c r="P1419" s="1">
        <f>IF(OR(tblMatriculas[[#This Row],[Estado]]&lt;&gt;"activa",tblMatriculas[[#This Row],[Asistidas]]=""),"",tblMatriculas[[#This Row],[Asistencia]])</f>
        <v>3.3000000000000002E-2</v>
      </c>
      <c r="Q1419" t="b">
        <f>AND(tblMatriculas[[#This Row],[Estado]]="activa",ISNUMBER(tblMatriculas[[#This Row],[% asistencia]]),NOT(ISNUMBER(SEARCH(pPrueba,tblMatriculas[[#This Row],[Nombre]]))))</f>
        <v>1</v>
      </c>
      <c r="R14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19" s="23" t="str" cm="1">
        <f t="array" ref="S14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19" s="23" t="str" cm="1">
        <f t="array" ref="T14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19" s="14" t="str" cm="1">
        <f t="array" ref="U14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19" t="str" cm="1">
        <f t="array" ref="V14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19" t="str" cm="1">
        <f t="array" ref="W14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19" t="str">
        <f>IF(COUNTIFS('Base Estudiantes'!$C:$C,tblMatriculas[[#This Row],[Cédula]],'Base Estudiantes'!$I:$I,tblMatriculas[[#This Row],[Código]])&gt;0,"Sí","No")</f>
        <v>Sí</v>
      </c>
      <c r="Z1419" s="23" cm="1">
        <f t="array" ref="Z1419">_xlfn.XLOOKUP(tblMatriculas[[#This Row],[Cédula]]&amp;"|"&amp;tblMatriculas[[#This Row],[Código]],tblBase[Documento]&amp;"|"&amp;tblBase[Código grupo],tblBase[Fecha matrícula],"")</f>
        <v>46263</v>
      </c>
    </row>
    <row r="1420" spans="1:26" x14ac:dyDescent="0.2">
      <c r="A1420" t="s">
        <v>2985</v>
      </c>
      <c r="B1420" t="s">
        <v>2986</v>
      </c>
      <c r="C1420" t="s">
        <v>13</v>
      </c>
      <c r="D1420" t="s">
        <v>2945</v>
      </c>
      <c r="E1420" t="s">
        <v>2946</v>
      </c>
      <c r="F1420" t="s">
        <v>649</v>
      </c>
      <c r="G1420" s="1">
        <v>3.3000000000000002E-2</v>
      </c>
      <c r="H1420" t="s">
        <v>225</v>
      </c>
      <c r="I1420" t="s">
        <v>1580</v>
      </c>
      <c r="J1420" t="s">
        <v>2077</v>
      </c>
      <c r="K1420" t="s">
        <v>24</v>
      </c>
      <c r="L1420" s="14">
        <f>IFERROR(VALUE(LEFT(tblMatriculas[[#This Row],[Clases]],FIND("/",tblMatriculas[[#This Row],[Clases]])-1)),"")</f>
        <v>1</v>
      </c>
      <c r="M1420" s="14">
        <f>IFERROR(VALUE(MID(tblMatriculas[[#This Row],[Clases]],FIND("/",tblMatriculas[[#This Row],[Clases]])+1,5)),"")</f>
        <v>30</v>
      </c>
      <c r="N14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0" s="14">
        <f>IF(OR(tblMatriculas[[#This Row],[Estado]]&lt;&gt;"activa",tblMatriculas[[#This Row],[Clases dictadas]]=""),"",MAX(0,tblMatriculas[[#This Row],[Clases dictadas]]-tblMatriculas[[#This Row],[Asistidas]]))</f>
        <v>3</v>
      </c>
      <c r="P1420" s="1">
        <f>IF(OR(tblMatriculas[[#This Row],[Estado]]&lt;&gt;"activa",tblMatriculas[[#This Row],[Asistidas]]=""),"",tblMatriculas[[#This Row],[Asistencia]])</f>
        <v>3.3000000000000002E-2</v>
      </c>
      <c r="Q1420" t="b">
        <f>AND(tblMatriculas[[#This Row],[Estado]]="activa",ISNUMBER(tblMatriculas[[#This Row],[% asistencia]]),NOT(ISNUMBER(SEARCH(pPrueba,tblMatriculas[[#This Row],[Nombre]]))))</f>
        <v>1</v>
      </c>
      <c r="R14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20" s="23" t="str" cm="1">
        <f t="array" ref="S14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0" s="23" t="str" cm="1">
        <f t="array" ref="T14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0" s="14" t="str" cm="1">
        <f t="array" ref="U14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0" t="str" cm="1">
        <f t="array" ref="V14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0" t="str" cm="1">
        <f t="array" ref="W14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20" t="str">
        <f>IF(COUNTIFS('Base Estudiantes'!$C:$C,tblMatriculas[[#This Row],[Cédula]],'Base Estudiantes'!$I:$I,tblMatriculas[[#This Row],[Código]])&gt;0,"Sí","No")</f>
        <v>Sí</v>
      </c>
      <c r="Z1420" s="23" cm="1">
        <f t="array" ref="Z1420">_xlfn.XLOOKUP(tblMatriculas[[#This Row],[Cédula]]&amp;"|"&amp;tblMatriculas[[#This Row],[Código]],tblBase[Documento]&amp;"|"&amp;tblBase[Código grupo],tblBase[Fecha matrícula],"")</f>
        <v>46263</v>
      </c>
    </row>
    <row r="1421" spans="1:26" x14ac:dyDescent="0.2">
      <c r="A1421" t="s">
        <v>2987</v>
      </c>
      <c r="B1421" t="s">
        <v>2988</v>
      </c>
      <c r="C1421" t="s">
        <v>13</v>
      </c>
      <c r="D1421" t="s">
        <v>2945</v>
      </c>
      <c r="E1421" t="s">
        <v>2946</v>
      </c>
      <c r="F1421" t="s">
        <v>649</v>
      </c>
      <c r="G1421" s="1">
        <v>3.3000000000000002E-2</v>
      </c>
      <c r="H1421" t="s">
        <v>225</v>
      </c>
      <c r="I1421" t="s">
        <v>1580</v>
      </c>
      <c r="J1421" t="s">
        <v>2077</v>
      </c>
      <c r="K1421" t="s">
        <v>24</v>
      </c>
      <c r="L1421" s="14">
        <f>IFERROR(VALUE(LEFT(tblMatriculas[[#This Row],[Clases]],FIND("/",tblMatriculas[[#This Row],[Clases]])-1)),"")</f>
        <v>1</v>
      </c>
      <c r="M1421" s="14">
        <f>IFERROR(VALUE(MID(tblMatriculas[[#This Row],[Clases]],FIND("/",tblMatriculas[[#This Row],[Clases]])+1,5)),"")</f>
        <v>30</v>
      </c>
      <c r="N14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1" s="14">
        <f>IF(OR(tblMatriculas[[#This Row],[Estado]]&lt;&gt;"activa",tblMatriculas[[#This Row],[Clases dictadas]]=""),"",MAX(0,tblMatriculas[[#This Row],[Clases dictadas]]-tblMatriculas[[#This Row],[Asistidas]]))</f>
        <v>3</v>
      </c>
      <c r="P1421" s="1">
        <f>IF(OR(tblMatriculas[[#This Row],[Estado]]&lt;&gt;"activa",tblMatriculas[[#This Row],[Asistidas]]=""),"",tblMatriculas[[#This Row],[Asistencia]])</f>
        <v>3.3000000000000002E-2</v>
      </c>
      <c r="Q1421" t="b">
        <f>AND(tblMatriculas[[#This Row],[Estado]]="activa",ISNUMBER(tblMatriculas[[#This Row],[% asistencia]]),NOT(ISNUMBER(SEARCH(pPrueba,tblMatriculas[[#This Row],[Nombre]]))))</f>
        <v>1</v>
      </c>
      <c r="R14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21" s="23" t="str" cm="1">
        <f t="array" ref="S14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1" s="23" t="str" cm="1">
        <f t="array" ref="T14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1" s="14" t="str" cm="1">
        <f t="array" ref="U14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1" t="str" cm="1">
        <f t="array" ref="V14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1" t="str" cm="1">
        <f t="array" ref="W14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21" t="str">
        <f>IF(COUNTIFS('Base Estudiantes'!$C:$C,tblMatriculas[[#This Row],[Cédula]],'Base Estudiantes'!$I:$I,tblMatriculas[[#This Row],[Código]])&gt;0,"Sí","No")</f>
        <v>Sí</v>
      </c>
      <c r="Z1421" s="23" cm="1">
        <f t="array" ref="Z1421">_xlfn.XLOOKUP(tblMatriculas[[#This Row],[Cédula]]&amp;"|"&amp;tblMatriculas[[#This Row],[Código]],tblBase[Documento]&amp;"|"&amp;tblBase[Código grupo],tblBase[Fecha matrícula],"")</f>
        <v>46263</v>
      </c>
    </row>
    <row r="1422" spans="1:26" x14ac:dyDescent="0.2">
      <c r="A1422" t="s">
        <v>2989</v>
      </c>
      <c r="B1422" t="s">
        <v>2990</v>
      </c>
      <c r="C1422" t="s">
        <v>13</v>
      </c>
      <c r="D1422" t="s">
        <v>2945</v>
      </c>
      <c r="E1422" t="s">
        <v>2946</v>
      </c>
      <c r="F1422" t="s">
        <v>649</v>
      </c>
      <c r="G1422" s="1">
        <v>3.3000000000000002E-2</v>
      </c>
      <c r="H1422" t="s">
        <v>225</v>
      </c>
      <c r="I1422" t="s">
        <v>1580</v>
      </c>
      <c r="J1422" t="s">
        <v>2077</v>
      </c>
      <c r="K1422" t="s">
        <v>24</v>
      </c>
      <c r="L1422" s="14">
        <f>IFERROR(VALUE(LEFT(tblMatriculas[[#This Row],[Clases]],FIND("/",tblMatriculas[[#This Row],[Clases]])-1)),"")</f>
        <v>1</v>
      </c>
      <c r="M1422" s="14">
        <f>IFERROR(VALUE(MID(tblMatriculas[[#This Row],[Clases]],FIND("/",tblMatriculas[[#This Row],[Clases]])+1,5)),"")</f>
        <v>30</v>
      </c>
      <c r="N14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2" s="14">
        <f>IF(OR(tblMatriculas[[#This Row],[Estado]]&lt;&gt;"activa",tblMatriculas[[#This Row],[Clases dictadas]]=""),"",MAX(0,tblMatriculas[[#This Row],[Clases dictadas]]-tblMatriculas[[#This Row],[Asistidas]]))</f>
        <v>3</v>
      </c>
      <c r="P1422" s="1">
        <f>IF(OR(tblMatriculas[[#This Row],[Estado]]&lt;&gt;"activa",tblMatriculas[[#This Row],[Asistidas]]=""),"",tblMatriculas[[#This Row],[Asistencia]])</f>
        <v>3.3000000000000002E-2</v>
      </c>
      <c r="Q1422" t="b">
        <f>AND(tblMatriculas[[#This Row],[Estado]]="activa",ISNUMBER(tblMatriculas[[#This Row],[% asistencia]]),NOT(ISNUMBER(SEARCH(pPrueba,tblMatriculas[[#This Row],[Nombre]]))))</f>
        <v>1</v>
      </c>
      <c r="R14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22" s="23" t="str" cm="1">
        <f t="array" ref="S14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2" s="23" t="str" cm="1">
        <f t="array" ref="T14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2" s="14" t="str" cm="1">
        <f t="array" ref="U14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2" t="str" cm="1">
        <f t="array" ref="V14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2" t="str" cm="1">
        <f t="array" ref="W14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22" t="str">
        <f>IF(COUNTIFS('Base Estudiantes'!$C:$C,tblMatriculas[[#This Row],[Cédula]],'Base Estudiantes'!$I:$I,tblMatriculas[[#This Row],[Código]])&gt;0,"Sí","No")</f>
        <v>Sí</v>
      </c>
      <c r="Z1422" s="23" cm="1">
        <f t="array" ref="Z1422">_xlfn.XLOOKUP(tblMatriculas[[#This Row],[Cédula]]&amp;"|"&amp;tblMatriculas[[#This Row],[Código]],tblBase[Documento]&amp;"|"&amp;tblBase[Código grupo],tblBase[Fecha matrícula],"")</f>
        <v>46263</v>
      </c>
    </row>
    <row r="1423" spans="1:26" x14ac:dyDescent="0.2">
      <c r="A1423" t="s">
        <v>2991</v>
      </c>
      <c r="B1423" t="s">
        <v>2992</v>
      </c>
      <c r="C1423" t="s">
        <v>13</v>
      </c>
      <c r="D1423" t="s">
        <v>2945</v>
      </c>
      <c r="E1423" t="s">
        <v>2946</v>
      </c>
      <c r="F1423" t="s">
        <v>649</v>
      </c>
      <c r="G1423" s="1">
        <v>3.3000000000000002E-2</v>
      </c>
      <c r="H1423" t="s">
        <v>225</v>
      </c>
      <c r="I1423" t="s">
        <v>1580</v>
      </c>
      <c r="J1423" t="s">
        <v>2077</v>
      </c>
      <c r="K1423" t="s">
        <v>24</v>
      </c>
      <c r="L1423" s="14">
        <f>IFERROR(VALUE(LEFT(tblMatriculas[[#This Row],[Clases]],FIND("/",tblMatriculas[[#This Row],[Clases]])-1)),"")</f>
        <v>1</v>
      </c>
      <c r="M1423" s="14">
        <f>IFERROR(VALUE(MID(tblMatriculas[[#This Row],[Clases]],FIND("/",tblMatriculas[[#This Row],[Clases]])+1,5)),"")</f>
        <v>30</v>
      </c>
      <c r="N14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3" s="14">
        <f>IF(OR(tblMatriculas[[#This Row],[Estado]]&lt;&gt;"activa",tblMatriculas[[#This Row],[Clases dictadas]]=""),"",MAX(0,tblMatriculas[[#This Row],[Clases dictadas]]-tblMatriculas[[#This Row],[Asistidas]]))</f>
        <v>3</v>
      </c>
      <c r="P1423" s="1">
        <f>IF(OR(tblMatriculas[[#This Row],[Estado]]&lt;&gt;"activa",tblMatriculas[[#This Row],[Asistidas]]=""),"",tblMatriculas[[#This Row],[Asistencia]])</f>
        <v>3.3000000000000002E-2</v>
      </c>
      <c r="Q1423" t="b">
        <f>AND(tblMatriculas[[#This Row],[Estado]]="activa",ISNUMBER(tblMatriculas[[#This Row],[% asistencia]]),NOT(ISNUMBER(SEARCH(pPrueba,tblMatriculas[[#This Row],[Nombre]]))))</f>
        <v>1</v>
      </c>
      <c r="R14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23" s="23" t="str" cm="1">
        <f t="array" ref="S14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3" s="23" t="str" cm="1">
        <f t="array" ref="T14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3" s="14" t="str" cm="1">
        <f t="array" ref="U14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3" t="str" cm="1">
        <f t="array" ref="V14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3" t="str" cm="1">
        <f t="array" ref="W14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23" t="str">
        <f>IF(COUNTIFS('Base Estudiantes'!$C:$C,tblMatriculas[[#This Row],[Cédula]],'Base Estudiantes'!$I:$I,tblMatriculas[[#This Row],[Código]])&gt;0,"Sí","No")</f>
        <v>Sí</v>
      </c>
      <c r="Z1423" s="23" cm="1">
        <f t="array" ref="Z1423">_xlfn.XLOOKUP(tblMatriculas[[#This Row],[Cédula]]&amp;"|"&amp;tblMatriculas[[#This Row],[Código]],tblBase[Documento]&amp;"|"&amp;tblBase[Código grupo],tblBase[Fecha matrícula],"")</f>
        <v>46263</v>
      </c>
    </row>
    <row r="1424" spans="1:26" x14ac:dyDescent="0.2">
      <c r="A1424" t="s">
        <v>2993</v>
      </c>
      <c r="B1424" t="s">
        <v>2994</v>
      </c>
      <c r="C1424" t="s">
        <v>13</v>
      </c>
      <c r="D1424" t="s">
        <v>2945</v>
      </c>
      <c r="E1424" t="s">
        <v>2946</v>
      </c>
      <c r="F1424" t="s">
        <v>649</v>
      </c>
      <c r="G1424" s="1">
        <v>0.13300000000000001</v>
      </c>
      <c r="H1424" t="s">
        <v>112</v>
      </c>
      <c r="I1424" t="s">
        <v>1580</v>
      </c>
      <c r="J1424" t="s">
        <v>2077</v>
      </c>
      <c r="K1424" t="s">
        <v>24</v>
      </c>
      <c r="L1424" s="14">
        <f>IFERROR(VALUE(LEFT(tblMatriculas[[#This Row],[Clases]],FIND("/",tblMatriculas[[#This Row],[Clases]])-1)),"")</f>
        <v>4</v>
      </c>
      <c r="M1424" s="14">
        <f>IFERROR(VALUE(MID(tblMatriculas[[#This Row],[Clases]],FIND("/",tblMatriculas[[#This Row],[Clases]])+1,5)),"")</f>
        <v>30</v>
      </c>
      <c r="N14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4" s="14">
        <f>IF(OR(tblMatriculas[[#This Row],[Estado]]&lt;&gt;"activa",tblMatriculas[[#This Row],[Clases dictadas]]=""),"",MAX(0,tblMatriculas[[#This Row],[Clases dictadas]]-tblMatriculas[[#This Row],[Asistidas]]))</f>
        <v>0</v>
      </c>
      <c r="P1424" s="1">
        <f>IF(OR(tblMatriculas[[#This Row],[Estado]]&lt;&gt;"activa",tblMatriculas[[#This Row],[Asistidas]]=""),"",tblMatriculas[[#This Row],[Asistencia]])</f>
        <v>0.13300000000000001</v>
      </c>
      <c r="Q1424" t="b">
        <f>AND(tblMatriculas[[#This Row],[Estado]]="activa",ISNUMBER(tblMatriculas[[#This Row],[% asistencia]]),NOT(ISNUMBER(SEARCH(pPrueba,tblMatriculas[[#This Row],[Nombre]]))))</f>
        <v>1</v>
      </c>
      <c r="R14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4" s="23" t="str" cm="1">
        <f t="array" ref="S14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4" s="23" t="str" cm="1">
        <f t="array" ref="T14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4" s="14" t="str" cm="1">
        <f t="array" ref="U14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4" t="str" cm="1">
        <f t="array" ref="V14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4" t="str" cm="1">
        <f t="array" ref="W14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4" t="str">
        <f>IF(COUNTIFS('Base Estudiantes'!$C:$C,tblMatriculas[[#This Row],[Cédula]],'Base Estudiantes'!$I:$I,tblMatriculas[[#This Row],[Código]])&gt;0,"Sí","No")</f>
        <v>Sí</v>
      </c>
      <c r="Z1424" s="23" cm="1">
        <f t="array" ref="Z1424">_xlfn.XLOOKUP(tblMatriculas[[#This Row],[Cédula]]&amp;"|"&amp;tblMatriculas[[#This Row],[Código]],tblBase[Documento]&amp;"|"&amp;tblBase[Código grupo],tblBase[Fecha matrícula],"")</f>
        <v>46263</v>
      </c>
    </row>
    <row r="1425" spans="1:26" x14ac:dyDescent="0.2">
      <c r="A1425" t="s">
        <v>2995</v>
      </c>
      <c r="B1425" t="s">
        <v>2996</v>
      </c>
      <c r="C1425" t="s">
        <v>13</v>
      </c>
      <c r="D1425" t="s">
        <v>2945</v>
      </c>
      <c r="E1425" t="s">
        <v>2946</v>
      </c>
      <c r="F1425" t="s">
        <v>649</v>
      </c>
      <c r="G1425" s="1">
        <v>0.13300000000000001</v>
      </c>
      <c r="H1425" t="s">
        <v>112</v>
      </c>
      <c r="I1425" t="s">
        <v>1580</v>
      </c>
      <c r="J1425" t="s">
        <v>2077</v>
      </c>
      <c r="K1425" t="s">
        <v>24</v>
      </c>
      <c r="L1425" s="14">
        <f>IFERROR(VALUE(LEFT(tblMatriculas[[#This Row],[Clases]],FIND("/",tblMatriculas[[#This Row],[Clases]])-1)),"")</f>
        <v>4</v>
      </c>
      <c r="M1425" s="14">
        <f>IFERROR(VALUE(MID(tblMatriculas[[#This Row],[Clases]],FIND("/",tblMatriculas[[#This Row],[Clases]])+1,5)),"")</f>
        <v>30</v>
      </c>
      <c r="N14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5" s="14">
        <f>IF(OR(tblMatriculas[[#This Row],[Estado]]&lt;&gt;"activa",tblMatriculas[[#This Row],[Clases dictadas]]=""),"",MAX(0,tblMatriculas[[#This Row],[Clases dictadas]]-tblMatriculas[[#This Row],[Asistidas]]))</f>
        <v>0</v>
      </c>
      <c r="P1425" s="1">
        <f>IF(OR(tblMatriculas[[#This Row],[Estado]]&lt;&gt;"activa",tblMatriculas[[#This Row],[Asistidas]]=""),"",tblMatriculas[[#This Row],[Asistencia]])</f>
        <v>0.13300000000000001</v>
      </c>
      <c r="Q1425" t="b">
        <f>AND(tblMatriculas[[#This Row],[Estado]]="activa",ISNUMBER(tblMatriculas[[#This Row],[% asistencia]]),NOT(ISNUMBER(SEARCH(pPrueba,tblMatriculas[[#This Row],[Nombre]]))))</f>
        <v>1</v>
      </c>
      <c r="R14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5" s="23" t="str" cm="1">
        <f t="array" ref="S14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5" s="23" t="str" cm="1">
        <f t="array" ref="T14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5" s="14" t="str" cm="1">
        <f t="array" ref="U14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5" t="str" cm="1">
        <f t="array" ref="V14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5" t="str" cm="1">
        <f t="array" ref="W14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5" t="str">
        <f>IF(COUNTIFS('Base Estudiantes'!$C:$C,tblMatriculas[[#This Row],[Cédula]],'Base Estudiantes'!$I:$I,tblMatriculas[[#This Row],[Código]])&gt;0,"Sí","No")</f>
        <v>Sí</v>
      </c>
      <c r="Z1425" s="23" cm="1">
        <f t="array" ref="Z1425">_xlfn.XLOOKUP(tblMatriculas[[#This Row],[Cédula]]&amp;"|"&amp;tblMatriculas[[#This Row],[Código]],tblBase[Documento]&amp;"|"&amp;tblBase[Código grupo],tblBase[Fecha matrícula],"")</f>
        <v>46263</v>
      </c>
    </row>
    <row r="1426" spans="1:26" x14ac:dyDescent="0.2">
      <c r="A1426" t="s">
        <v>2997</v>
      </c>
      <c r="B1426" t="s">
        <v>2998</v>
      </c>
      <c r="C1426" t="s">
        <v>13</v>
      </c>
      <c r="D1426" t="s">
        <v>2945</v>
      </c>
      <c r="E1426" t="s">
        <v>2946</v>
      </c>
      <c r="F1426" t="s">
        <v>649</v>
      </c>
      <c r="G1426" s="1">
        <v>0.13300000000000001</v>
      </c>
      <c r="H1426" t="s">
        <v>112</v>
      </c>
      <c r="I1426" t="s">
        <v>1580</v>
      </c>
      <c r="J1426" t="s">
        <v>2077</v>
      </c>
      <c r="K1426" t="s">
        <v>24</v>
      </c>
      <c r="L1426" s="14">
        <f>IFERROR(VALUE(LEFT(tblMatriculas[[#This Row],[Clases]],FIND("/",tblMatriculas[[#This Row],[Clases]])-1)),"")</f>
        <v>4</v>
      </c>
      <c r="M1426" s="14">
        <f>IFERROR(VALUE(MID(tblMatriculas[[#This Row],[Clases]],FIND("/",tblMatriculas[[#This Row],[Clases]])+1,5)),"")</f>
        <v>30</v>
      </c>
      <c r="N14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6" s="14">
        <f>IF(OR(tblMatriculas[[#This Row],[Estado]]&lt;&gt;"activa",tblMatriculas[[#This Row],[Clases dictadas]]=""),"",MAX(0,tblMatriculas[[#This Row],[Clases dictadas]]-tblMatriculas[[#This Row],[Asistidas]]))</f>
        <v>0</v>
      </c>
      <c r="P1426" s="1">
        <f>IF(OR(tblMatriculas[[#This Row],[Estado]]&lt;&gt;"activa",tblMatriculas[[#This Row],[Asistidas]]=""),"",tblMatriculas[[#This Row],[Asistencia]])</f>
        <v>0.13300000000000001</v>
      </c>
      <c r="Q1426" t="b">
        <f>AND(tblMatriculas[[#This Row],[Estado]]="activa",ISNUMBER(tblMatriculas[[#This Row],[% asistencia]]),NOT(ISNUMBER(SEARCH(pPrueba,tblMatriculas[[#This Row],[Nombre]]))))</f>
        <v>1</v>
      </c>
      <c r="R14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6" s="23" t="str" cm="1">
        <f t="array" ref="S14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6" s="23" t="str" cm="1">
        <f t="array" ref="T14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6" s="14" t="str" cm="1">
        <f t="array" ref="U14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6" t="str" cm="1">
        <f t="array" ref="V14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6" t="str" cm="1">
        <f t="array" ref="W14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6" t="str">
        <f>IF(COUNTIFS('Base Estudiantes'!$C:$C,tblMatriculas[[#This Row],[Cédula]],'Base Estudiantes'!$I:$I,tblMatriculas[[#This Row],[Código]])&gt;0,"Sí","No")</f>
        <v>Sí</v>
      </c>
      <c r="Z1426" s="23" cm="1">
        <f t="array" ref="Z1426">_xlfn.XLOOKUP(tblMatriculas[[#This Row],[Cédula]]&amp;"|"&amp;tblMatriculas[[#This Row],[Código]],tblBase[Documento]&amp;"|"&amp;tblBase[Código grupo],tblBase[Fecha matrícula],"")</f>
        <v>46263</v>
      </c>
    </row>
    <row r="1427" spans="1:26" x14ac:dyDescent="0.2">
      <c r="A1427" t="s">
        <v>2999</v>
      </c>
      <c r="B1427" t="s">
        <v>3000</v>
      </c>
      <c r="C1427" t="s">
        <v>13</v>
      </c>
      <c r="D1427" t="s">
        <v>2945</v>
      </c>
      <c r="E1427" t="s">
        <v>2946</v>
      </c>
      <c r="F1427" t="s">
        <v>649</v>
      </c>
      <c r="G1427" s="1">
        <v>6.7000000000000004E-2</v>
      </c>
      <c r="H1427" t="s">
        <v>166</v>
      </c>
      <c r="I1427" t="s">
        <v>1580</v>
      </c>
      <c r="J1427" t="s">
        <v>2077</v>
      </c>
      <c r="K1427" t="s">
        <v>24</v>
      </c>
      <c r="L1427" s="14">
        <f>IFERROR(VALUE(LEFT(tblMatriculas[[#This Row],[Clases]],FIND("/",tblMatriculas[[#This Row],[Clases]])-1)),"")</f>
        <v>2</v>
      </c>
      <c r="M1427" s="14">
        <f>IFERROR(VALUE(MID(tblMatriculas[[#This Row],[Clases]],FIND("/",tblMatriculas[[#This Row],[Clases]])+1,5)),"")</f>
        <v>30</v>
      </c>
      <c r="N14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7" s="14">
        <f>IF(OR(tblMatriculas[[#This Row],[Estado]]&lt;&gt;"activa",tblMatriculas[[#This Row],[Clases dictadas]]=""),"",MAX(0,tblMatriculas[[#This Row],[Clases dictadas]]-tblMatriculas[[#This Row],[Asistidas]]))</f>
        <v>2</v>
      </c>
      <c r="P1427" s="1">
        <f>IF(OR(tblMatriculas[[#This Row],[Estado]]&lt;&gt;"activa",tblMatriculas[[#This Row],[Asistidas]]=""),"",tblMatriculas[[#This Row],[Asistencia]])</f>
        <v>6.7000000000000004E-2</v>
      </c>
      <c r="Q1427" t="b">
        <f>AND(tblMatriculas[[#This Row],[Estado]]="activa",ISNUMBER(tblMatriculas[[#This Row],[% asistencia]]),NOT(ISNUMBER(SEARCH(pPrueba,tblMatriculas[[#This Row],[Nombre]]))))</f>
        <v>1</v>
      </c>
      <c r="R14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27" s="23" t="str" cm="1">
        <f t="array" ref="S14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7" s="23" t="str" cm="1">
        <f t="array" ref="T14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7" s="14" t="str" cm="1">
        <f t="array" ref="U14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7" t="str" cm="1">
        <f t="array" ref="V14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7" t="str" cm="1">
        <f t="array" ref="W14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27" t="str">
        <f>IF(COUNTIFS('Base Estudiantes'!$C:$C,tblMatriculas[[#This Row],[Cédula]],'Base Estudiantes'!$I:$I,tblMatriculas[[#This Row],[Código]])&gt;0,"Sí","No")</f>
        <v>Sí</v>
      </c>
      <c r="Z1427" s="23" cm="1">
        <f t="array" ref="Z1427">_xlfn.XLOOKUP(tblMatriculas[[#This Row],[Cédula]]&amp;"|"&amp;tblMatriculas[[#This Row],[Código]],tblBase[Documento]&amp;"|"&amp;tblBase[Código grupo],tblBase[Fecha matrícula],"")</f>
        <v>46263</v>
      </c>
    </row>
    <row r="1428" spans="1:26" x14ac:dyDescent="0.2">
      <c r="A1428" t="s">
        <v>3001</v>
      </c>
      <c r="B1428" t="s">
        <v>3002</v>
      </c>
      <c r="C1428" t="s">
        <v>13</v>
      </c>
      <c r="D1428" t="s">
        <v>2945</v>
      </c>
      <c r="E1428" t="s">
        <v>2946</v>
      </c>
      <c r="F1428" t="s">
        <v>649</v>
      </c>
      <c r="G1428" s="1">
        <v>0.1</v>
      </c>
      <c r="H1428" t="s">
        <v>117</v>
      </c>
      <c r="I1428" t="s">
        <v>1580</v>
      </c>
      <c r="J1428" t="s">
        <v>2077</v>
      </c>
      <c r="K1428" t="s">
        <v>2078</v>
      </c>
      <c r="L1428" s="14">
        <f>IFERROR(VALUE(LEFT(tblMatriculas[[#This Row],[Clases]],FIND("/",tblMatriculas[[#This Row],[Clases]])-1)),"")</f>
        <v>3</v>
      </c>
      <c r="M1428" s="14">
        <f>IFERROR(VALUE(MID(tblMatriculas[[#This Row],[Clases]],FIND("/",tblMatriculas[[#This Row],[Clases]])+1,5)),"")</f>
        <v>30</v>
      </c>
      <c r="N14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8" s="14">
        <f>IF(OR(tblMatriculas[[#This Row],[Estado]]&lt;&gt;"activa",tblMatriculas[[#This Row],[Clases dictadas]]=""),"",MAX(0,tblMatriculas[[#This Row],[Clases dictadas]]-tblMatriculas[[#This Row],[Asistidas]]))</f>
        <v>1</v>
      </c>
      <c r="P1428" s="1">
        <f>IF(OR(tblMatriculas[[#This Row],[Estado]]&lt;&gt;"activa",tblMatriculas[[#This Row],[Asistidas]]=""),"",tblMatriculas[[#This Row],[Asistencia]])</f>
        <v>0.1</v>
      </c>
      <c r="Q1428" t="b">
        <f>AND(tblMatriculas[[#This Row],[Estado]]="activa",ISNUMBER(tblMatriculas[[#This Row],[% asistencia]]),NOT(ISNUMBER(SEARCH(pPrueba,tblMatriculas[[#This Row],[Nombre]]))))</f>
        <v>1</v>
      </c>
      <c r="R14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8" s="23" t="str" cm="1">
        <f t="array" ref="S14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8" s="23" t="str" cm="1">
        <f t="array" ref="T14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8" s="14" t="str" cm="1">
        <f t="array" ref="U14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8" t="str" cm="1">
        <f t="array" ref="V14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8" t="str" cm="1">
        <f t="array" ref="W14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8" t="str">
        <f>IF(COUNTIFS('Base Estudiantes'!$C:$C,tblMatriculas[[#This Row],[Cédula]],'Base Estudiantes'!$I:$I,tblMatriculas[[#This Row],[Código]])&gt;0,"Sí","No")</f>
        <v>Sí</v>
      </c>
      <c r="Z1428" s="23" cm="1">
        <f t="array" ref="Z1428">_xlfn.XLOOKUP(tblMatriculas[[#This Row],[Cédula]]&amp;"|"&amp;tblMatriculas[[#This Row],[Código]],tblBase[Documento]&amp;"|"&amp;tblBase[Código grupo],tblBase[Fecha matrícula],"")</f>
        <v>46263</v>
      </c>
    </row>
    <row r="1429" spans="1:26" x14ac:dyDescent="0.2">
      <c r="A1429" t="s">
        <v>3003</v>
      </c>
      <c r="B1429" t="s">
        <v>3004</v>
      </c>
      <c r="C1429" t="s">
        <v>13</v>
      </c>
      <c r="D1429" t="s">
        <v>2945</v>
      </c>
      <c r="E1429" t="s">
        <v>2946</v>
      </c>
      <c r="F1429" t="s">
        <v>649</v>
      </c>
      <c r="G1429" s="1">
        <v>0.13300000000000001</v>
      </c>
      <c r="H1429" t="s">
        <v>112</v>
      </c>
      <c r="I1429" t="s">
        <v>1580</v>
      </c>
      <c r="J1429" t="s">
        <v>2077</v>
      </c>
      <c r="K1429" t="s">
        <v>1986</v>
      </c>
      <c r="L1429" s="14">
        <f>IFERROR(VALUE(LEFT(tblMatriculas[[#This Row],[Clases]],FIND("/",tblMatriculas[[#This Row],[Clases]])-1)),"")</f>
        <v>4</v>
      </c>
      <c r="M1429" s="14">
        <f>IFERROR(VALUE(MID(tblMatriculas[[#This Row],[Clases]],FIND("/",tblMatriculas[[#This Row],[Clases]])+1,5)),"")</f>
        <v>30</v>
      </c>
      <c r="N14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29" s="14">
        <f>IF(OR(tblMatriculas[[#This Row],[Estado]]&lt;&gt;"activa",tblMatriculas[[#This Row],[Clases dictadas]]=""),"",MAX(0,tblMatriculas[[#This Row],[Clases dictadas]]-tblMatriculas[[#This Row],[Asistidas]]))</f>
        <v>0</v>
      </c>
      <c r="P1429" s="1">
        <f>IF(OR(tblMatriculas[[#This Row],[Estado]]&lt;&gt;"activa",tblMatriculas[[#This Row],[Asistidas]]=""),"",tblMatriculas[[#This Row],[Asistencia]])</f>
        <v>0.13300000000000001</v>
      </c>
      <c r="Q1429" t="b">
        <f>AND(tblMatriculas[[#This Row],[Estado]]="activa",ISNUMBER(tblMatriculas[[#This Row],[% asistencia]]),NOT(ISNUMBER(SEARCH(pPrueba,tblMatriculas[[#This Row],[Nombre]]))))</f>
        <v>1</v>
      </c>
      <c r="R14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29" s="23" t="str" cm="1">
        <f t="array" ref="S14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29" s="23" t="str" cm="1">
        <f t="array" ref="T14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29" s="14" t="str" cm="1">
        <f t="array" ref="U14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29" t="str" cm="1">
        <f t="array" ref="V14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29" t="str" cm="1">
        <f t="array" ref="W14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29" t="str">
        <f>IF(COUNTIFS('Base Estudiantes'!$C:$C,tblMatriculas[[#This Row],[Cédula]],'Base Estudiantes'!$I:$I,tblMatriculas[[#This Row],[Código]])&gt;0,"Sí","No")</f>
        <v>Sí</v>
      </c>
      <c r="Z1429" s="23" cm="1">
        <f t="array" ref="Z1429">_xlfn.XLOOKUP(tblMatriculas[[#This Row],[Cédula]]&amp;"|"&amp;tblMatriculas[[#This Row],[Código]],tblBase[Documento]&amp;"|"&amp;tblBase[Código grupo],tblBase[Fecha matrícula],"")</f>
        <v>46263</v>
      </c>
    </row>
    <row r="1430" spans="1:26" x14ac:dyDescent="0.2">
      <c r="A1430" t="s">
        <v>3005</v>
      </c>
      <c r="B1430" t="s">
        <v>3006</v>
      </c>
      <c r="C1430" t="s">
        <v>13</v>
      </c>
      <c r="D1430" t="s">
        <v>2945</v>
      </c>
      <c r="E1430" t="s">
        <v>2946</v>
      </c>
      <c r="F1430" t="s">
        <v>649</v>
      </c>
      <c r="G1430" s="1">
        <v>8.3000000000000004E-2</v>
      </c>
      <c r="H1430" t="s">
        <v>1867</v>
      </c>
      <c r="I1430" t="s">
        <v>1580</v>
      </c>
      <c r="J1430" t="s">
        <v>2077</v>
      </c>
      <c r="K1430" t="s">
        <v>1781</v>
      </c>
      <c r="L1430" s="14">
        <f>IFERROR(VALUE(LEFT(tblMatriculas[[#This Row],[Clases]],FIND("/",tblMatriculas[[#This Row],[Clases]])-1)),"")</f>
        <v>5</v>
      </c>
      <c r="M1430" s="14">
        <f>IFERROR(VALUE(MID(tblMatriculas[[#This Row],[Clases]],FIND("/",tblMatriculas[[#This Row],[Clases]])+1,5)),"")</f>
        <v>60</v>
      </c>
      <c r="N14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430" s="14">
        <f>IF(OR(tblMatriculas[[#This Row],[Estado]]&lt;&gt;"activa",tblMatriculas[[#This Row],[Clases dictadas]]=""),"",MAX(0,tblMatriculas[[#This Row],[Clases dictadas]]-tblMatriculas[[#This Row],[Asistidas]]))</f>
        <v>5</v>
      </c>
      <c r="P1430" s="1">
        <f>IF(OR(tblMatriculas[[#This Row],[Estado]]&lt;&gt;"activa",tblMatriculas[[#This Row],[Asistidas]]=""),"",tblMatriculas[[#This Row],[Asistencia]])</f>
        <v>8.3000000000000004E-2</v>
      </c>
      <c r="Q1430" t="b">
        <f>AND(tblMatriculas[[#This Row],[Estado]]="activa",ISNUMBER(tblMatriculas[[#This Row],[% asistencia]]),NOT(ISNUMBER(SEARCH(pPrueba,tblMatriculas[[#This Row],[Nombre]]))))</f>
        <v>1</v>
      </c>
      <c r="R14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0" s="23" t="str" cm="1">
        <f t="array" ref="S14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0" s="23" t="str" cm="1">
        <f t="array" ref="T14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0" s="14" t="str" cm="1">
        <f t="array" ref="U14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0" t="str" cm="1">
        <f t="array" ref="V14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0" t="str" cm="1">
        <f t="array" ref="W14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0" t="str">
        <f>IF(COUNTIFS('Base Estudiantes'!$C:$C,tblMatriculas[[#This Row],[Cédula]],'Base Estudiantes'!$I:$I,tblMatriculas[[#This Row],[Código]])&gt;0,"Sí","No")</f>
        <v>Sí</v>
      </c>
      <c r="Z1430" s="23" cm="1">
        <f t="array" ref="Z1430">_xlfn.XLOOKUP(tblMatriculas[[#This Row],[Cédula]]&amp;"|"&amp;tblMatriculas[[#This Row],[Código]],tblBase[Documento]&amp;"|"&amp;tblBase[Código grupo],tblBase[Fecha matrícula],"")</f>
        <v>46263</v>
      </c>
    </row>
    <row r="1431" spans="1:26" x14ac:dyDescent="0.2">
      <c r="A1431" t="s">
        <v>3007</v>
      </c>
      <c r="B1431" t="s">
        <v>3008</v>
      </c>
      <c r="C1431" t="s">
        <v>13</v>
      </c>
      <c r="D1431" t="s">
        <v>2945</v>
      </c>
      <c r="E1431" t="s">
        <v>2946</v>
      </c>
      <c r="F1431" t="s">
        <v>649</v>
      </c>
      <c r="G1431" s="1">
        <v>3.3000000000000002E-2</v>
      </c>
      <c r="H1431" t="s">
        <v>225</v>
      </c>
      <c r="I1431" t="s">
        <v>1580</v>
      </c>
      <c r="J1431" t="s">
        <v>2077</v>
      </c>
      <c r="K1431" t="s">
        <v>2078</v>
      </c>
      <c r="L1431" s="14">
        <f>IFERROR(VALUE(LEFT(tblMatriculas[[#This Row],[Clases]],FIND("/",tblMatriculas[[#This Row],[Clases]])-1)),"")</f>
        <v>1</v>
      </c>
      <c r="M1431" s="14">
        <f>IFERROR(VALUE(MID(tblMatriculas[[#This Row],[Clases]],FIND("/",tblMatriculas[[#This Row],[Clases]])+1,5)),"")</f>
        <v>30</v>
      </c>
      <c r="N14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1" s="14">
        <f>IF(OR(tblMatriculas[[#This Row],[Estado]]&lt;&gt;"activa",tblMatriculas[[#This Row],[Clases dictadas]]=""),"",MAX(0,tblMatriculas[[#This Row],[Clases dictadas]]-tblMatriculas[[#This Row],[Asistidas]]))</f>
        <v>3</v>
      </c>
      <c r="P1431" s="1">
        <f>IF(OR(tblMatriculas[[#This Row],[Estado]]&lt;&gt;"activa",tblMatriculas[[#This Row],[Asistidas]]=""),"",tblMatriculas[[#This Row],[Asistencia]])</f>
        <v>3.3000000000000002E-2</v>
      </c>
      <c r="Q1431" t="b">
        <f>AND(tblMatriculas[[#This Row],[Estado]]="activa",ISNUMBER(tblMatriculas[[#This Row],[% asistencia]]),NOT(ISNUMBER(SEARCH(pPrueba,tblMatriculas[[#This Row],[Nombre]]))))</f>
        <v>1</v>
      </c>
      <c r="R14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31" s="23" t="str" cm="1">
        <f t="array" ref="S14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1" s="23" t="str" cm="1">
        <f t="array" ref="T14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1" s="14" t="str" cm="1">
        <f t="array" ref="U14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1" t="str" cm="1">
        <f t="array" ref="V14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1" t="str" cm="1">
        <f t="array" ref="W14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3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31" t="str">
        <f>IF(COUNTIFS('Base Estudiantes'!$C:$C,tblMatriculas[[#This Row],[Cédula]],'Base Estudiantes'!$I:$I,tblMatriculas[[#This Row],[Código]])&gt;0,"Sí","No")</f>
        <v>Sí</v>
      </c>
      <c r="Z1431" s="23" cm="1">
        <f t="array" ref="Z1431">_xlfn.XLOOKUP(tblMatriculas[[#This Row],[Cédula]]&amp;"|"&amp;tblMatriculas[[#This Row],[Código]],tblBase[Documento]&amp;"|"&amp;tblBase[Código grupo],tblBase[Fecha matrícula],"")</f>
        <v>46263</v>
      </c>
    </row>
    <row r="1432" spans="1:26" x14ac:dyDescent="0.2">
      <c r="A1432" t="s">
        <v>3009</v>
      </c>
      <c r="B1432" t="s">
        <v>3010</v>
      </c>
      <c r="C1432" t="s">
        <v>13</v>
      </c>
      <c r="D1432" t="s">
        <v>2945</v>
      </c>
      <c r="E1432" t="s">
        <v>2946</v>
      </c>
      <c r="F1432" t="s">
        <v>649</v>
      </c>
      <c r="G1432" s="1">
        <v>0.1</v>
      </c>
      <c r="H1432" t="s">
        <v>117</v>
      </c>
      <c r="I1432" t="s">
        <v>1580</v>
      </c>
      <c r="J1432" t="s">
        <v>2077</v>
      </c>
      <c r="K1432" t="s">
        <v>1715</v>
      </c>
      <c r="L1432" s="14">
        <f>IFERROR(VALUE(LEFT(tblMatriculas[[#This Row],[Clases]],FIND("/",tblMatriculas[[#This Row],[Clases]])-1)),"")</f>
        <v>3</v>
      </c>
      <c r="M1432" s="14">
        <f>IFERROR(VALUE(MID(tblMatriculas[[#This Row],[Clases]],FIND("/",tblMatriculas[[#This Row],[Clases]])+1,5)),"")</f>
        <v>30</v>
      </c>
      <c r="N14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2" s="14">
        <f>IF(OR(tblMatriculas[[#This Row],[Estado]]&lt;&gt;"activa",tblMatriculas[[#This Row],[Clases dictadas]]=""),"",MAX(0,tblMatriculas[[#This Row],[Clases dictadas]]-tblMatriculas[[#This Row],[Asistidas]]))</f>
        <v>1</v>
      </c>
      <c r="P1432" s="1">
        <f>IF(OR(tblMatriculas[[#This Row],[Estado]]&lt;&gt;"activa",tblMatriculas[[#This Row],[Asistidas]]=""),"",tblMatriculas[[#This Row],[Asistencia]])</f>
        <v>0.1</v>
      </c>
      <c r="Q1432" t="b">
        <f>AND(tblMatriculas[[#This Row],[Estado]]="activa",ISNUMBER(tblMatriculas[[#This Row],[% asistencia]]),NOT(ISNUMBER(SEARCH(pPrueba,tblMatriculas[[#This Row],[Nombre]]))))</f>
        <v>1</v>
      </c>
      <c r="R14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2" s="23" t="str" cm="1">
        <f t="array" ref="S14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2" s="23" t="str" cm="1">
        <f t="array" ref="T14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2" s="14" t="str" cm="1">
        <f t="array" ref="U14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2" t="str" cm="1">
        <f t="array" ref="V14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2" t="str" cm="1">
        <f t="array" ref="W14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2" t="str">
        <f>IF(COUNTIFS('Base Estudiantes'!$C:$C,tblMatriculas[[#This Row],[Cédula]],'Base Estudiantes'!$I:$I,tblMatriculas[[#This Row],[Código]])&gt;0,"Sí","No")</f>
        <v>Sí</v>
      </c>
      <c r="Z1432" s="23" cm="1">
        <f t="array" ref="Z1432">_xlfn.XLOOKUP(tblMatriculas[[#This Row],[Cédula]]&amp;"|"&amp;tblMatriculas[[#This Row],[Código]],tblBase[Documento]&amp;"|"&amp;tblBase[Código grupo],tblBase[Fecha matrícula],"")</f>
        <v>46263</v>
      </c>
    </row>
    <row r="1433" spans="1:26" x14ac:dyDescent="0.2">
      <c r="A1433" t="s">
        <v>3011</v>
      </c>
      <c r="B1433" t="s">
        <v>3012</v>
      </c>
      <c r="C1433" t="s">
        <v>13</v>
      </c>
      <c r="D1433" t="s">
        <v>2945</v>
      </c>
      <c r="E1433" t="s">
        <v>2946</v>
      </c>
      <c r="F1433" t="s">
        <v>649</v>
      </c>
      <c r="G1433" s="1">
        <v>0.13300000000000001</v>
      </c>
      <c r="H1433" t="s">
        <v>112</v>
      </c>
      <c r="I1433" t="s">
        <v>1580</v>
      </c>
      <c r="J1433" t="s">
        <v>2077</v>
      </c>
      <c r="K1433" t="s">
        <v>1992</v>
      </c>
      <c r="L1433" s="14">
        <f>IFERROR(VALUE(LEFT(tblMatriculas[[#This Row],[Clases]],FIND("/",tblMatriculas[[#This Row],[Clases]])-1)),"")</f>
        <v>4</v>
      </c>
      <c r="M1433" s="14">
        <f>IFERROR(VALUE(MID(tblMatriculas[[#This Row],[Clases]],FIND("/",tblMatriculas[[#This Row],[Clases]])+1,5)),"")</f>
        <v>30</v>
      </c>
      <c r="N14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3" s="14">
        <f>IF(OR(tblMatriculas[[#This Row],[Estado]]&lt;&gt;"activa",tblMatriculas[[#This Row],[Clases dictadas]]=""),"",MAX(0,tblMatriculas[[#This Row],[Clases dictadas]]-tblMatriculas[[#This Row],[Asistidas]]))</f>
        <v>0</v>
      </c>
      <c r="P1433" s="1">
        <f>IF(OR(tblMatriculas[[#This Row],[Estado]]&lt;&gt;"activa",tblMatriculas[[#This Row],[Asistidas]]=""),"",tblMatriculas[[#This Row],[Asistencia]])</f>
        <v>0.13300000000000001</v>
      </c>
      <c r="Q1433" t="b">
        <f>AND(tblMatriculas[[#This Row],[Estado]]="activa",ISNUMBER(tblMatriculas[[#This Row],[% asistencia]]),NOT(ISNUMBER(SEARCH(pPrueba,tblMatriculas[[#This Row],[Nombre]]))))</f>
        <v>1</v>
      </c>
      <c r="R14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3" s="23" t="str" cm="1">
        <f t="array" ref="S14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3" s="23" t="str" cm="1">
        <f t="array" ref="T14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3" s="14" t="str" cm="1">
        <f t="array" ref="U14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3" t="str" cm="1">
        <f t="array" ref="V14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3" t="str" cm="1">
        <f t="array" ref="W14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3" t="str">
        <f>IF(COUNTIFS('Base Estudiantes'!$C:$C,tblMatriculas[[#This Row],[Cédula]],'Base Estudiantes'!$I:$I,tblMatriculas[[#This Row],[Código]])&gt;0,"Sí","No")</f>
        <v>Sí</v>
      </c>
      <c r="Z1433" s="23" cm="1">
        <f t="array" ref="Z1433">_xlfn.XLOOKUP(tblMatriculas[[#This Row],[Cédula]]&amp;"|"&amp;tblMatriculas[[#This Row],[Código]],tblBase[Documento]&amp;"|"&amp;tblBase[Código grupo],tblBase[Fecha matrícula],"")</f>
        <v>46263</v>
      </c>
    </row>
    <row r="1434" spans="1:26" x14ac:dyDescent="0.2">
      <c r="A1434" t="s">
        <v>3013</v>
      </c>
      <c r="B1434" t="s">
        <v>3014</v>
      </c>
      <c r="C1434" t="s">
        <v>13</v>
      </c>
      <c r="D1434" t="s">
        <v>2945</v>
      </c>
      <c r="E1434" t="s">
        <v>2946</v>
      </c>
      <c r="F1434" t="s">
        <v>649</v>
      </c>
      <c r="G1434" s="1">
        <v>0.1</v>
      </c>
      <c r="H1434" t="s">
        <v>117</v>
      </c>
      <c r="I1434" t="s">
        <v>1580</v>
      </c>
      <c r="J1434" t="s">
        <v>2077</v>
      </c>
      <c r="K1434" t="s">
        <v>1992</v>
      </c>
      <c r="L1434" s="14">
        <f>IFERROR(VALUE(LEFT(tblMatriculas[[#This Row],[Clases]],FIND("/",tblMatriculas[[#This Row],[Clases]])-1)),"")</f>
        <v>3</v>
      </c>
      <c r="M1434" s="14">
        <f>IFERROR(VALUE(MID(tblMatriculas[[#This Row],[Clases]],FIND("/",tblMatriculas[[#This Row],[Clases]])+1,5)),"")</f>
        <v>30</v>
      </c>
      <c r="N14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4" s="14">
        <f>IF(OR(tblMatriculas[[#This Row],[Estado]]&lt;&gt;"activa",tblMatriculas[[#This Row],[Clases dictadas]]=""),"",MAX(0,tblMatriculas[[#This Row],[Clases dictadas]]-tblMatriculas[[#This Row],[Asistidas]]))</f>
        <v>1</v>
      </c>
      <c r="P1434" s="1">
        <f>IF(OR(tblMatriculas[[#This Row],[Estado]]&lt;&gt;"activa",tblMatriculas[[#This Row],[Asistidas]]=""),"",tblMatriculas[[#This Row],[Asistencia]])</f>
        <v>0.1</v>
      </c>
      <c r="Q1434" t="b">
        <f>AND(tblMatriculas[[#This Row],[Estado]]="activa",ISNUMBER(tblMatriculas[[#This Row],[% asistencia]]),NOT(ISNUMBER(SEARCH(pPrueba,tblMatriculas[[#This Row],[Nombre]]))))</f>
        <v>1</v>
      </c>
      <c r="R14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4" s="23" t="str" cm="1">
        <f t="array" ref="S14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4" s="23" t="str" cm="1">
        <f t="array" ref="T14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4" s="14" t="str" cm="1">
        <f t="array" ref="U14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4" t="str" cm="1">
        <f t="array" ref="V14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4" t="str" cm="1">
        <f t="array" ref="W14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4" t="str">
        <f>IF(COUNTIFS('Base Estudiantes'!$C:$C,tblMatriculas[[#This Row],[Cédula]],'Base Estudiantes'!$I:$I,tblMatriculas[[#This Row],[Código]])&gt;0,"Sí","No")</f>
        <v>Sí</v>
      </c>
      <c r="Z1434" s="23" cm="1">
        <f t="array" ref="Z1434">_xlfn.XLOOKUP(tblMatriculas[[#This Row],[Cédula]]&amp;"|"&amp;tblMatriculas[[#This Row],[Código]],tblBase[Documento]&amp;"|"&amp;tblBase[Código grupo],tblBase[Fecha matrícula],"")</f>
        <v>46263</v>
      </c>
    </row>
    <row r="1435" spans="1:26" x14ac:dyDescent="0.2">
      <c r="A1435" t="s">
        <v>3015</v>
      </c>
      <c r="B1435" t="s">
        <v>3016</v>
      </c>
      <c r="C1435" t="s">
        <v>13</v>
      </c>
      <c r="D1435" t="s">
        <v>2945</v>
      </c>
      <c r="E1435" t="s">
        <v>2946</v>
      </c>
      <c r="F1435" t="s">
        <v>649</v>
      </c>
      <c r="G1435" s="1">
        <v>3.3000000000000002E-2</v>
      </c>
      <c r="H1435" t="s">
        <v>225</v>
      </c>
      <c r="I1435" t="s">
        <v>1580</v>
      </c>
      <c r="J1435" t="s">
        <v>2077</v>
      </c>
      <c r="K1435" t="s">
        <v>2078</v>
      </c>
      <c r="L1435" s="14">
        <f>IFERROR(VALUE(LEFT(tblMatriculas[[#This Row],[Clases]],FIND("/",tblMatriculas[[#This Row],[Clases]])-1)),"")</f>
        <v>1</v>
      </c>
      <c r="M1435" s="14">
        <f>IFERROR(VALUE(MID(tblMatriculas[[#This Row],[Clases]],FIND("/",tblMatriculas[[#This Row],[Clases]])+1,5)),"")</f>
        <v>30</v>
      </c>
      <c r="N14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5" s="14">
        <f>IF(OR(tblMatriculas[[#This Row],[Estado]]&lt;&gt;"activa",tblMatriculas[[#This Row],[Clases dictadas]]=""),"",MAX(0,tblMatriculas[[#This Row],[Clases dictadas]]-tblMatriculas[[#This Row],[Asistidas]]))</f>
        <v>3</v>
      </c>
      <c r="P1435" s="1">
        <f>IF(OR(tblMatriculas[[#This Row],[Estado]]&lt;&gt;"activa",tblMatriculas[[#This Row],[Asistidas]]=""),"",tblMatriculas[[#This Row],[Asistencia]])</f>
        <v>3.3000000000000002E-2</v>
      </c>
      <c r="Q1435" t="b">
        <f>AND(tblMatriculas[[#This Row],[Estado]]="activa",ISNUMBER(tblMatriculas[[#This Row],[% asistencia]]),NOT(ISNUMBER(SEARCH(pPrueba,tblMatriculas[[#This Row],[Nombre]]))))</f>
        <v>1</v>
      </c>
      <c r="R14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35" s="23" t="str" cm="1">
        <f t="array" ref="S14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5" s="23" t="str" cm="1">
        <f t="array" ref="T14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5" s="14" t="str" cm="1">
        <f t="array" ref="U14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5" t="str" cm="1">
        <f t="array" ref="V14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5" t="str" cm="1">
        <f t="array" ref="W14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35" t="str">
        <f>IF(COUNTIFS('Base Estudiantes'!$C:$C,tblMatriculas[[#This Row],[Cédula]],'Base Estudiantes'!$I:$I,tblMatriculas[[#This Row],[Código]])&gt;0,"Sí","No")</f>
        <v>Sí</v>
      </c>
      <c r="Z1435" s="23" cm="1">
        <f t="array" ref="Z1435">_xlfn.XLOOKUP(tblMatriculas[[#This Row],[Cédula]]&amp;"|"&amp;tblMatriculas[[#This Row],[Código]],tblBase[Documento]&amp;"|"&amp;tblBase[Código grupo],tblBase[Fecha matrícula],"")</f>
        <v>46263</v>
      </c>
    </row>
    <row r="1436" spans="1:26" x14ac:dyDescent="0.2">
      <c r="A1436" t="s">
        <v>3017</v>
      </c>
      <c r="B1436" t="s">
        <v>3018</v>
      </c>
      <c r="C1436" t="s">
        <v>13</v>
      </c>
      <c r="D1436" t="s">
        <v>2945</v>
      </c>
      <c r="E1436" t="s">
        <v>2946</v>
      </c>
      <c r="F1436" t="s">
        <v>649</v>
      </c>
      <c r="G1436" s="1">
        <v>0.13300000000000001</v>
      </c>
      <c r="H1436" t="s">
        <v>112</v>
      </c>
      <c r="I1436" t="s">
        <v>1580</v>
      </c>
      <c r="J1436" t="s">
        <v>2077</v>
      </c>
      <c r="K1436" t="s">
        <v>2188</v>
      </c>
      <c r="L1436" s="14">
        <f>IFERROR(VALUE(LEFT(tblMatriculas[[#This Row],[Clases]],FIND("/",tblMatriculas[[#This Row],[Clases]])-1)),"")</f>
        <v>4</v>
      </c>
      <c r="M1436" s="14">
        <f>IFERROR(VALUE(MID(tblMatriculas[[#This Row],[Clases]],FIND("/",tblMatriculas[[#This Row],[Clases]])+1,5)),"")</f>
        <v>30</v>
      </c>
      <c r="N14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6" s="14">
        <f>IF(OR(tblMatriculas[[#This Row],[Estado]]&lt;&gt;"activa",tblMatriculas[[#This Row],[Clases dictadas]]=""),"",MAX(0,tblMatriculas[[#This Row],[Clases dictadas]]-tblMatriculas[[#This Row],[Asistidas]]))</f>
        <v>0</v>
      </c>
      <c r="P1436" s="1">
        <f>IF(OR(tblMatriculas[[#This Row],[Estado]]&lt;&gt;"activa",tblMatriculas[[#This Row],[Asistidas]]=""),"",tblMatriculas[[#This Row],[Asistencia]])</f>
        <v>0.13300000000000001</v>
      </c>
      <c r="Q1436" t="b">
        <f>AND(tblMatriculas[[#This Row],[Estado]]="activa",ISNUMBER(tblMatriculas[[#This Row],[% asistencia]]),NOT(ISNUMBER(SEARCH(pPrueba,tblMatriculas[[#This Row],[Nombre]]))))</f>
        <v>1</v>
      </c>
      <c r="R14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6" s="23" t="str" cm="1">
        <f t="array" ref="S14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6" s="23" t="str" cm="1">
        <f t="array" ref="T14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6" s="14" t="str" cm="1">
        <f t="array" ref="U14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6" t="str" cm="1">
        <f t="array" ref="V14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6" t="str" cm="1">
        <f t="array" ref="W14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6" t="str">
        <f>IF(COUNTIFS('Base Estudiantes'!$C:$C,tblMatriculas[[#This Row],[Cédula]],'Base Estudiantes'!$I:$I,tblMatriculas[[#This Row],[Código]])&gt;0,"Sí","No")</f>
        <v>Sí</v>
      </c>
      <c r="Z1436" s="23" cm="1">
        <f t="array" ref="Z1436">_xlfn.XLOOKUP(tblMatriculas[[#This Row],[Cédula]]&amp;"|"&amp;tblMatriculas[[#This Row],[Código]],tblBase[Documento]&amp;"|"&amp;tblBase[Código grupo],tblBase[Fecha matrícula],"")</f>
        <v>46263</v>
      </c>
    </row>
    <row r="1437" spans="1:26" x14ac:dyDescent="0.2">
      <c r="A1437" t="s">
        <v>3019</v>
      </c>
      <c r="B1437" t="s">
        <v>3020</v>
      </c>
      <c r="C1437" t="s">
        <v>13</v>
      </c>
      <c r="D1437" t="s">
        <v>2945</v>
      </c>
      <c r="E1437" t="s">
        <v>2946</v>
      </c>
      <c r="F1437" t="s">
        <v>649</v>
      </c>
      <c r="G1437" s="1">
        <v>0.1</v>
      </c>
      <c r="H1437" t="s">
        <v>117</v>
      </c>
      <c r="I1437" t="s">
        <v>1580</v>
      </c>
      <c r="J1437" t="s">
        <v>2077</v>
      </c>
      <c r="K1437" t="s">
        <v>1986</v>
      </c>
      <c r="L1437" s="14">
        <f>IFERROR(VALUE(LEFT(tblMatriculas[[#This Row],[Clases]],FIND("/",tblMatriculas[[#This Row],[Clases]])-1)),"")</f>
        <v>3</v>
      </c>
      <c r="M1437" s="14">
        <f>IFERROR(VALUE(MID(tblMatriculas[[#This Row],[Clases]],FIND("/",tblMatriculas[[#This Row],[Clases]])+1,5)),"")</f>
        <v>30</v>
      </c>
      <c r="N14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7" s="14">
        <f>IF(OR(tblMatriculas[[#This Row],[Estado]]&lt;&gt;"activa",tblMatriculas[[#This Row],[Clases dictadas]]=""),"",MAX(0,tblMatriculas[[#This Row],[Clases dictadas]]-tblMatriculas[[#This Row],[Asistidas]]))</f>
        <v>1</v>
      </c>
      <c r="P1437" s="1">
        <f>IF(OR(tblMatriculas[[#This Row],[Estado]]&lt;&gt;"activa",tblMatriculas[[#This Row],[Asistidas]]=""),"",tblMatriculas[[#This Row],[Asistencia]])</f>
        <v>0.1</v>
      </c>
      <c r="Q1437" t="b">
        <f>AND(tblMatriculas[[#This Row],[Estado]]="activa",ISNUMBER(tblMatriculas[[#This Row],[% asistencia]]),NOT(ISNUMBER(SEARCH(pPrueba,tblMatriculas[[#This Row],[Nombre]]))))</f>
        <v>1</v>
      </c>
      <c r="R14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7" s="23" t="str" cm="1">
        <f t="array" ref="S14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7" s="23" t="str" cm="1">
        <f t="array" ref="T14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7" s="14" t="str" cm="1">
        <f t="array" ref="U14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7" t="str" cm="1">
        <f t="array" ref="V14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7" t="str" cm="1">
        <f t="array" ref="W14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7" t="str">
        <f>IF(COUNTIFS('Base Estudiantes'!$C:$C,tblMatriculas[[#This Row],[Cédula]],'Base Estudiantes'!$I:$I,tblMatriculas[[#This Row],[Código]])&gt;0,"Sí","No")</f>
        <v>Sí</v>
      </c>
      <c r="Z1437" s="23" cm="1">
        <f t="array" ref="Z1437">_xlfn.XLOOKUP(tblMatriculas[[#This Row],[Cédula]]&amp;"|"&amp;tblMatriculas[[#This Row],[Código]],tblBase[Documento]&amp;"|"&amp;tblBase[Código grupo],tblBase[Fecha matrícula],"")</f>
        <v>46263</v>
      </c>
    </row>
    <row r="1438" spans="1:26" x14ac:dyDescent="0.2">
      <c r="A1438" t="s">
        <v>3021</v>
      </c>
      <c r="B1438" t="s">
        <v>3022</v>
      </c>
      <c r="C1438" t="s">
        <v>13</v>
      </c>
      <c r="D1438" t="s">
        <v>2945</v>
      </c>
      <c r="E1438" t="s">
        <v>2946</v>
      </c>
      <c r="F1438" t="s">
        <v>649</v>
      </c>
      <c r="G1438" s="1">
        <v>0.1</v>
      </c>
      <c r="H1438" t="s">
        <v>117</v>
      </c>
      <c r="I1438" t="s">
        <v>1580</v>
      </c>
      <c r="J1438" t="s">
        <v>2077</v>
      </c>
      <c r="K1438" t="s">
        <v>1986</v>
      </c>
      <c r="L1438" s="14">
        <f>IFERROR(VALUE(LEFT(tblMatriculas[[#This Row],[Clases]],FIND("/",tblMatriculas[[#This Row],[Clases]])-1)),"")</f>
        <v>3</v>
      </c>
      <c r="M1438" s="14">
        <f>IFERROR(VALUE(MID(tblMatriculas[[#This Row],[Clases]],FIND("/",tblMatriculas[[#This Row],[Clases]])+1,5)),"")</f>
        <v>30</v>
      </c>
      <c r="N14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8" s="14">
        <f>IF(OR(tblMatriculas[[#This Row],[Estado]]&lt;&gt;"activa",tblMatriculas[[#This Row],[Clases dictadas]]=""),"",MAX(0,tblMatriculas[[#This Row],[Clases dictadas]]-tblMatriculas[[#This Row],[Asistidas]]))</f>
        <v>1</v>
      </c>
      <c r="P1438" s="1">
        <f>IF(OR(tblMatriculas[[#This Row],[Estado]]&lt;&gt;"activa",tblMatriculas[[#This Row],[Asistidas]]=""),"",tblMatriculas[[#This Row],[Asistencia]])</f>
        <v>0.1</v>
      </c>
      <c r="Q1438" t="b">
        <f>AND(tblMatriculas[[#This Row],[Estado]]="activa",ISNUMBER(tblMatriculas[[#This Row],[% asistencia]]),NOT(ISNUMBER(SEARCH(pPrueba,tblMatriculas[[#This Row],[Nombre]]))))</f>
        <v>1</v>
      </c>
      <c r="R14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438" s="23" t="str" cm="1">
        <f t="array" ref="S14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8" s="23" t="str" cm="1">
        <f t="array" ref="T14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8" s="14" t="str" cm="1">
        <f t="array" ref="U14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8" t="str" cm="1">
        <f t="array" ref="V14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8" t="str" cm="1">
        <f t="array" ref="W14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38" t="str">
        <f>IF(COUNTIFS('Base Estudiantes'!$C:$C,tblMatriculas[[#This Row],[Cédula]],'Base Estudiantes'!$I:$I,tblMatriculas[[#This Row],[Código]])&gt;0,"Sí","No")</f>
        <v>Sí</v>
      </c>
      <c r="Z1438" s="23" cm="1">
        <f t="array" ref="Z1438">_xlfn.XLOOKUP(tblMatriculas[[#This Row],[Cédula]]&amp;"|"&amp;tblMatriculas[[#This Row],[Código]],tblBase[Documento]&amp;"|"&amp;tblBase[Código grupo],tblBase[Fecha matrícula],"")</f>
        <v>46263</v>
      </c>
    </row>
    <row r="1439" spans="1:26" x14ac:dyDescent="0.2">
      <c r="A1439" t="s">
        <v>3023</v>
      </c>
      <c r="B1439" t="s">
        <v>3024</v>
      </c>
      <c r="C1439" t="s">
        <v>13</v>
      </c>
      <c r="D1439" t="s">
        <v>2945</v>
      </c>
      <c r="E1439" t="s">
        <v>2946</v>
      </c>
      <c r="F1439" t="s">
        <v>649</v>
      </c>
      <c r="G1439" s="1">
        <v>6.7000000000000004E-2</v>
      </c>
      <c r="H1439" t="s">
        <v>166</v>
      </c>
      <c r="I1439" t="s">
        <v>1580</v>
      </c>
      <c r="J1439" t="s">
        <v>2077</v>
      </c>
      <c r="K1439" t="s">
        <v>3025</v>
      </c>
      <c r="L1439" s="14">
        <f>IFERROR(VALUE(LEFT(tblMatriculas[[#This Row],[Clases]],FIND("/",tblMatriculas[[#This Row],[Clases]])-1)),"")</f>
        <v>2</v>
      </c>
      <c r="M1439" s="14">
        <f>IFERROR(VALUE(MID(tblMatriculas[[#This Row],[Clases]],FIND("/",tblMatriculas[[#This Row],[Clases]])+1,5)),"")</f>
        <v>30</v>
      </c>
      <c r="N14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439" s="14">
        <f>IF(OR(tblMatriculas[[#This Row],[Estado]]&lt;&gt;"activa",tblMatriculas[[#This Row],[Clases dictadas]]=""),"",MAX(0,tblMatriculas[[#This Row],[Clases dictadas]]-tblMatriculas[[#This Row],[Asistidas]]))</f>
        <v>2</v>
      </c>
      <c r="P1439" s="1">
        <f>IF(OR(tblMatriculas[[#This Row],[Estado]]&lt;&gt;"activa",tblMatriculas[[#This Row],[Asistidas]]=""),"",tblMatriculas[[#This Row],[Asistencia]])</f>
        <v>6.7000000000000004E-2</v>
      </c>
      <c r="Q1439" t="b">
        <f>AND(tblMatriculas[[#This Row],[Estado]]="activa",ISNUMBER(tblMatriculas[[#This Row],[% asistencia]]),NOT(ISNUMBER(SEARCH(pPrueba,tblMatriculas[[#This Row],[Nombre]]))))</f>
        <v>1</v>
      </c>
      <c r="R14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39" s="23" t="str" cm="1">
        <f t="array" ref="S14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39" s="23" t="str" cm="1">
        <f t="array" ref="T14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39" s="14" t="str" cm="1">
        <f t="array" ref="U14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39" t="str" cm="1">
        <f t="array" ref="V14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39" t="str" cm="1">
        <f t="array" ref="W14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39" t="str">
        <f>IF(COUNTIFS('Base Estudiantes'!$C:$C,tblMatriculas[[#This Row],[Cédula]],'Base Estudiantes'!$I:$I,tblMatriculas[[#This Row],[Código]])&gt;0,"Sí","No")</f>
        <v>Sí</v>
      </c>
      <c r="Z1439" s="23" cm="1">
        <f t="array" ref="Z1439">_xlfn.XLOOKUP(tblMatriculas[[#This Row],[Cédula]]&amp;"|"&amp;tblMatriculas[[#This Row],[Código]],tblBase[Documento]&amp;"|"&amp;tblBase[Código grupo],tblBase[Fecha matrícula],"")</f>
        <v>46263</v>
      </c>
    </row>
    <row r="1440" spans="1:26" x14ac:dyDescent="0.2">
      <c r="A1440" t="s">
        <v>3026</v>
      </c>
      <c r="B1440" t="s">
        <v>3027</v>
      </c>
      <c r="C1440" t="s">
        <v>13</v>
      </c>
      <c r="D1440" t="s">
        <v>3028</v>
      </c>
      <c r="E1440" t="s">
        <v>3029</v>
      </c>
      <c r="F1440" t="s">
        <v>649</v>
      </c>
      <c r="G1440" s="1">
        <v>3.3000000000000002E-2</v>
      </c>
      <c r="H1440" t="s">
        <v>225</v>
      </c>
      <c r="I1440" t="s">
        <v>1580</v>
      </c>
      <c r="J1440" t="s">
        <v>3030</v>
      </c>
      <c r="K1440" t="s">
        <v>24</v>
      </c>
      <c r="L1440" s="14">
        <f>IFERROR(VALUE(LEFT(tblMatriculas[[#This Row],[Clases]],FIND("/",tblMatriculas[[#This Row],[Clases]])-1)),"")</f>
        <v>1</v>
      </c>
      <c r="M1440" s="14">
        <f>IFERROR(VALUE(MID(tblMatriculas[[#This Row],[Clases]],FIND("/",tblMatriculas[[#This Row],[Clases]])+1,5)),"")</f>
        <v>30</v>
      </c>
      <c r="N14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0" s="14">
        <f>IF(OR(tblMatriculas[[#This Row],[Estado]]&lt;&gt;"activa",tblMatriculas[[#This Row],[Clases dictadas]]=""),"",MAX(0,tblMatriculas[[#This Row],[Clases dictadas]]-tblMatriculas[[#This Row],[Asistidas]]))</f>
        <v>0</v>
      </c>
      <c r="P1440" s="1">
        <f>IF(OR(tblMatriculas[[#This Row],[Estado]]&lt;&gt;"activa",tblMatriculas[[#This Row],[Asistidas]]=""),"",tblMatriculas[[#This Row],[Asistencia]])</f>
        <v>3.3000000000000002E-2</v>
      </c>
      <c r="Q1440" t="b">
        <f>AND(tblMatriculas[[#This Row],[Estado]]="activa",ISNUMBER(tblMatriculas[[#This Row],[% asistencia]]),NOT(ISNUMBER(SEARCH(pPrueba,tblMatriculas[[#This Row],[Nombre]]))))</f>
        <v>1</v>
      </c>
      <c r="R14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0" s="23" t="str" cm="1">
        <f t="array" ref="S14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0" s="23" t="str" cm="1">
        <f t="array" ref="T14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0" s="14" t="str" cm="1">
        <f t="array" ref="U14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0" t="str" cm="1">
        <f t="array" ref="V14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0" t="str" cm="1">
        <f t="array" ref="W14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0" t="str">
        <f>IF(COUNTIFS('Base Estudiantes'!$C:$C,tblMatriculas[[#This Row],[Cédula]],'Base Estudiantes'!$I:$I,tblMatriculas[[#This Row],[Código]])&gt;0,"Sí","No")</f>
        <v>Sí</v>
      </c>
      <c r="Z1440" s="23" cm="1">
        <f t="array" ref="Z1440">_xlfn.XLOOKUP(tblMatriculas[[#This Row],[Cédula]]&amp;"|"&amp;tblMatriculas[[#This Row],[Código]],tblBase[Documento]&amp;"|"&amp;tblBase[Código grupo],tblBase[Fecha matrícula],"")</f>
        <v>46263</v>
      </c>
    </row>
    <row r="1441" spans="1:26" x14ac:dyDescent="0.2">
      <c r="A1441" t="s">
        <v>3031</v>
      </c>
      <c r="B1441" t="s">
        <v>3032</v>
      </c>
      <c r="C1441" t="s">
        <v>13</v>
      </c>
      <c r="D1441" t="s">
        <v>3028</v>
      </c>
      <c r="E1441" t="s">
        <v>3029</v>
      </c>
      <c r="F1441" t="s">
        <v>649</v>
      </c>
      <c r="G1441" s="1">
        <v>3.3000000000000002E-2</v>
      </c>
      <c r="H1441" t="s">
        <v>225</v>
      </c>
      <c r="I1441" t="s">
        <v>1580</v>
      </c>
      <c r="J1441" t="s">
        <v>3030</v>
      </c>
      <c r="K1441" t="s">
        <v>24</v>
      </c>
      <c r="L1441" s="14">
        <f>IFERROR(VALUE(LEFT(tblMatriculas[[#This Row],[Clases]],FIND("/",tblMatriculas[[#This Row],[Clases]])-1)),"")</f>
        <v>1</v>
      </c>
      <c r="M1441" s="14">
        <f>IFERROR(VALUE(MID(tblMatriculas[[#This Row],[Clases]],FIND("/",tblMatriculas[[#This Row],[Clases]])+1,5)),"")</f>
        <v>30</v>
      </c>
      <c r="N14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1" s="14">
        <f>IF(OR(tblMatriculas[[#This Row],[Estado]]&lt;&gt;"activa",tblMatriculas[[#This Row],[Clases dictadas]]=""),"",MAX(0,tblMatriculas[[#This Row],[Clases dictadas]]-tblMatriculas[[#This Row],[Asistidas]]))</f>
        <v>0</v>
      </c>
      <c r="P1441" s="1">
        <f>IF(OR(tblMatriculas[[#This Row],[Estado]]&lt;&gt;"activa",tblMatriculas[[#This Row],[Asistidas]]=""),"",tblMatriculas[[#This Row],[Asistencia]])</f>
        <v>3.3000000000000002E-2</v>
      </c>
      <c r="Q1441" t="b">
        <f>AND(tblMatriculas[[#This Row],[Estado]]="activa",ISNUMBER(tblMatriculas[[#This Row],[% asistencia]]),NOT(ISNUMBER(SEARCH(pPrueba,tblMatriculas[[#This Row],[Nombre]]))))</f>
        <v>1</v>
      </c>
      <c r="R14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1" s="23" t="str" cm="1">
        <f t="array" ref="S14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1" s="23" t="str" cm="1">
        <f t="array" ref="T14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1" s="14" t="str" cm="1">
        <f t="array" ref="U14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1" t="str" cm="1">
        <f t="array" ref="V14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1" t="str" cm="1">
        <f t="array" ref="W14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1" t="str">
        <f>IF(COUNTIFS('Base Estudiantes'!$C:$C,tblMatriculas[[#This Row],[Cédula]],'Base Estudiantes'!$I:$I,tblMatriculas[[#This Row],[Código]])&gt;0,"Sí","No")</f>
        <v>Sí</v>
      </c>
      <c r="Z1441" s="23" cm="1">
        <f t="array" ref="Z1441">_xlfn.XLOOKUP(tblMatriculas[[#This Row],[Cédula]]&amp;"|"&amp;tblMatriculas[[#This Row],[Código]],tblBase[Documento]&amp;"|"&amp;tblBase[Código grupo],tblBase[Fecha matrícula],"")</f>
        <v>46263</v>
      </c>
    </row>
    <row r="1442" spans="1:26" x14ac:dyDescent="0.2">
      <c r="A1442" t="s">
        <v>1137</v>
      </c>
      <c r="B1442" t="s">
        <v>1138</v>
      </c>
      <c r="C1442" t="s">
        <v>49</v>
      </c>
      <c r="D1442" t="s">
        <v>3028</v>
      </c>
      <c r="E1442" t="s">
        <v>3029</v>
      </c>
      <c r="F1442" t="s">
        <v>649</v>
      </c>
      <c r="G1442" s="1">
        <v>0</v>
      </c>
      <c r="H1442" t="s">
        <v>254</v>
      </c>
      <c r="I1442" t="s">
        <v>1580</v>
      </c>
      <c r="J1442" t="s">
        <v>3030</v>
      </c>
      <c r="K1442" t="s">
        <v>24</v>
      </c>
      <c r="L1442" s="14">
        <f>IFERROR(VALUE(LEFT(tblMatriculas[[#This Row],[Clases]],FIND("/",tblMatriculas[[#This Row],[Clases]])-1)),"")</f>
        <v>0</v>
      </c>
      <c r="M1442" s="14">
        <f>IFERROR(VALUE(MID(tblMatriculas[[#This Row],[Clases]],FIND("/",tblMatriculas[[#This Row],[Clases]])+1,5)),"")</f>
        <v>30</v>
      </c>
      <c r="N14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2" s="14" t="str">
        <f>IF(OR(tblMatriculas[[#This Row],[Estado]]&lt;&gt;"activa",tblMatriculas[[#This Row],[Clases dictadas]]=""),"",MAX(0,tblMatriculas[[#This Row],[Clases dictadas]]-tblMatriculas[[#This Row],[Asistidas]]))</f>
        <v/>
      </c>
      <c r="P1442" s="1" t="str">
        <f>IF(OR(tblMatriculas[[#This Row],[Estado]]&lt;&gt;"activa",tblMatriculas[[#This Row],[Asistidas]]=""),"",tblMatriculas[[#This Row],[Asistencia]])</f>
        <v/>
      </c>
      <c r="Q1442" t="b">
        <f>AND(tblMatriculas[[#This Row],[Estado]]="activa",ISNUMBER(tblMatriculas[[#This Row],[% asistencia]]),NOT(ISNUMBER(SEARCH(pPrueba,tblMatriculas[[#This Row],[Nombre]]))))</f>
        <v>0</v>
      </c>
      <c r="R14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442" s="23" t="str" cm="1">
        <f t="array" ref="S14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2" s="23" t="str" cm="1">
        <f t="array" ref="T14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2" s="14" t="str" cm="1">
        <f t="array" ref="U14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2" t="str" cm="1">
        <f t="array" ref="V14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2" t="str" cm="1">
        <f t="array" ref="W14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42" t="str">
        <f>IF(COUNTIFS('Base Estudiantes'!$C:$C,tblMatriculas[[#This Row],[Cédula]],'Base Estudiantes'!$I:$I,tblMatriculas[[#This Row],[Código]])&gt;0,"Sí","No")</f>
        <v>No</v>
      </c>
      <c r="Z1442" s="23" t="str" cm="1">
        <f t="array" ref="Z1442">_xlfn.XLOOKUP(tblMatriculas[[#This Row],[Cédula]]&amp;"|"&amp;tblMatriculas[[#This Row],[Código]],tblBase[Documento]&amp;"|"&amp;tblBase[Código grupo],tblBase[Fecha matrícula],"")</f>
        <v/>
      </c>
    </row>
    <row r="1443" spans="1:26" x14ac:dyDescent="0.2">
      <c r="A1443" t="s">
        <v>3033</v>
      </c>
      <c r="B1443" t="s">
        <v>3034</v>
      </c>
      <c r="C1443" t="s">
        <v>13</v>
      </c>
      <c r="D1443" t="s">
        <v>3028</v>
      </c>
      <c r="E1443" t="s">
        <v>3029</v>
      </c>
      <c r="F1443" t="s">
        <v>649</v>
      </c>
      <c r="G1443" s="1">
        <v>0</v>
      </c>
      <c r="H1443" t="s">
        <v>254</v>
      </c>
      <c r="I1443" t="s">
        <v>1580</v>
      </c>
      <c r="J1443" t="s">
        <v>3030</v>
      </c>
      <c r="K1443" t="s">
        <v>24</v>
      </c>
      <c r="L1443" s="14">
        <f>IFERROR(VALUE(LEFT(tblMatriculas[[#This Row],[Clases]],FIND("/",tblMatriculas[[#This Row],[Clases]])-1)),"")</f>
        <v>0</v>
      </c>
      <c r="M1443" s="14">
        <f>IFERROR(VALUE(MID(tblMatriculas[[#This Row],[Clases]],FIND("/",tblMatriculas[[#This Row],[Clases]])+1,5)),"")</f>
        <v>30</v>
      </c>
      <c r="N14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3" s="14">
        <f>IF(OR(tblMatriculas[[#This Row],[Estado]]&lt;&gt;"activa",tblMatriculas[[#This Row],[Clases dictadas]]=""),"",MAX(0,tblMatriculas[[#This Row],[Clases dictadas]]-tblMatriculas[[#This Row],[Asistidas]]))</f>
        <v>1</v>
      </c>
      <c r="P1443" s="1">
        <f>IF(OR(tblMatriculas[[#This Row],[Estado]]&lt;&gt;"activa",tblMatriculas[[#This Row],[Asistidas]]=""),"",tblMatriculas[[#This Row],[Asistencia]])</f>
        <v>0</v>
      </c>
      <c r="Q1443" t="b">
        <f>AND(tblMatriculas[[#This Row],[Estado]]="activa",ISNUMBER(tblMatriculas[[#This Row],[% asistencia]]),NOT(ISNUMBER(SEARCH(pPrueba,tblMatriculas[[#This Row],[Nombre]]))))</f>
        <v>1</v>
      </c>
      <c r="R14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43" s="23" t="str" cm="1">
        <f t="array" ref="S14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3" s="23" t="str" cm="1">
        <f t="array" ref="T14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3" s="14" t="str" cm="1">
        <f t="array" ref="U14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3" t="str" cm="1">
        <f t="array" ref="V14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3" t="str" cm="1">
        <f t="array" ref="W14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4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43" t="str">
        <f>IF(COUNTIFS('Base Estudiantes'!$C:$C,tblMatriculas[[#This Row],[Cédula]],'Base Estudiantes'!$I:$I,tblMatriculas[[#This Row],[Código]])&gt;0,"Sí","No")</f>
        <v>Sí</v>
      </c>
      <c r="Z1443" s="23" cm="1">
        <f t="array" ref="Z1443">_xlfn.XLOOKUP(tblMatriculas[[#This Row],[Cédula]]&amp;"|"&amp;tblMatriculas[[#This Row],[Código]],tblBase[Documento]&amp;"|"&amp;tblBase[Código grupo],tblBase[Fecha matrícula],"")</f>
        <v>46263</v>
      </c>
    </row>
    <row r="1444" spans="1:26" x14ac:dyDescent="0.2">
      <c r="A1444" t="s">
        <v>3035</v>
      </c>
      <c r="B1444" t="s">
        <v>3036</v>
      </c>
      <c r="C1444" t="s">
        <v>13</v>
      </c>
      <c r="D1444" t="s">
        <v>3028</v>
      </c>
      <c r="E1444" t="s">
        <v>3029</v>
      </c>
      <c r="F1444" t="s">
        <v>649</v>
      </c>
      <c r="G1444" s="1">
        <v>3.3000000000000002E-2</v>
      </c>
      <c r="H1444" t="s">
        <v>225</v>
      </c>
      <c r="I1444" t="s">
        <v>1580</v>
      </c>
      <c r="J1444" t="s">
        <v>3030</v>
      </c>
      <c r="K1444" t="s">
        <v>24</v>
      </c>
      <c r="L1444" s="14">
        <f>IFERROR(VALUE(LEFT(tblMatriculas[[#This Row],[Clases]],FIND("/",tblMatriculas[[#This Row],[Clases]])-1)),"")</f>
        <v>1</v>
      </c>
      <c r="M1444" s="14">
        <f>IFERROR(VALUE(MID(tblMatriculas[[#This Row],[Clases]],FIND("/",tblMatriculas[[#This Row],[Clases]])+1,5)),"")</f>
        <v>30</v>
      </c>
      <c r="N14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4" s="14">
        <f>IF(OR(tblMatriculas[[#This Row],[Estado]]&lt;&gt;"activa",tblMatriculas[[#This Row],[Clases dictadas]]=""),"",MAX(0,tblMatriculas[[#This Row],[Clases dictadas]]-tblMatriculas[[#This Row],[Asistidas]]))</f>
        <v>0</v>
      </c>
      <c r="P1444" s="1">
        <f>IF(OR(tblMatriculas[[#This Row],[Estado]]&lt;&gt;"activa",tblMatriculas[[#This Row],[Asistidas]]=""),"",tblMatriculas[[#This Row],[Asistencia]])</f>
        <v>3.3000000000000002E-2</v>
      </c>
      <c r="Q1444" t="b">
        <f>AND(tblMatriculas[[#This Row],[Estado]]="activa",ISNUMBER(tblMatriculas[[#This Row],[% asistencia]]),NOT(ISNUMBER(SEARCH(pPrueba,tblMatriculas[[#This Row],[Nombre]]))))</f>
        <v>1</v>
      </c>
      <c r="R14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4" s="23" t="str" cm="1">
        <f t="array" ref="S14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4" s="23" t="str" cm="1">
        <f t="array" ref="T14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4" s="14" t="str" cm="1">
        <f t="array" ref="U14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4" t="str" cm="1">
        <f t="array" ref="V14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4" t="str" cm="1">
        <f t="array" ref="W14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4" t="str">
        <f>IF(COUNTIFS('Base Estudiantes'!$C:$C,tblMatriculas[[#This Row],[Cédula]],'Base Estudiantes'!$I:$I,tblMatriculas[[#This Row],[Código]])&gt;0,"Sí","No")</f>
        <v>Sí</v>
      </c>
      <c r="Z1444" s="23" cm="1">
        <f t="array" ref="Z1444">_xlfn.XLOOKUP(tblMatriculas[[#This Row],[Cédula]]&amp;"|"&amp;tblMatriculas[[#This Row],[Código]],tblBase[Documento]&amp;"|"&amp;tblBase[Código grupo],tblBase[Fecha matrícula],"")</f>
        <v>46263</v>
      </c>
    </row>
    <row r="1445" spans="1:26" x14ac:dyDescent="0.2">
      <c r="A1445" t="s">
        <v>3037</v>
      </c>
      <c r="B1445" t="s">
        <v>3038</v>
      </c>
      <c r="C1445" t="s">
        <v>13</v>
      </c>
      <c r="D1445" t="s">
        <v>3028</v>
      </c>
      <c r="E1445" t="s">
        <v>3029</v>
      </c>
      <c r="F1445" t="s">
        <v>649</v>
      </c>
      <c r="G1445" s="1">
        <v>0</v>
      </c>
      <c r="H1445" t="s">
        <v>254</v>
      </c>
      <c r="I1445" t="s">
        <v>1580</v>
      </c>
      <c r="J1445" t="s">
        <v>3030</v>
      </c>
      <c r="K1445" t="s">
        <v>24</v>
      </c>
      <c r="L1445" s="14">
        <f>IFERROR(VALUE(LEFT(tblMatriculas[[#This Row],[Clases]],FIND("/",tblMatriculas[[#This Row],[Clases]])-1)),"")</f>
        <v>0</v>
      </c>
      <c r="M1445" s="14">
        <f>IFERROR(VALUE(MID(tblMatriculas[[#This Row],[Clases]],FIND("/",tblMatriculas[[#This Row],[Clases]])+1,5)),"")</f>
        <v>30</v>
      </c>
      <c r="N14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5" s="14">
        <f>IF(OR(tblMatriculas[[#This Row],[Estado]]&lt;&gt;"activa",tblMatriculas[[#This Row],[Clases dictadas]]=""),"",MAX(0,tblMatriculas[[#This Row],[Clases dictadas]]-tblMatriculas[[#This Row],[Asistidas]]))</f>
        <v>1</v>
      </c>
      <c r="P1445" s="1">
        <f>IF(OR(tblMatriculas[[#This Row],[Estado]]&lt;&gt;"activa",tblMatriculas[[#This Row],[Asistidas]]=""),"",tblMatriculas[[#This Row],[Asistencia]])</f>
        <v>0</v>
      </c>
      <c r="Q1445" t="b">
        <f>AND(tblMatriculas[[#This Row],[Estado]]="activa",ISNUMBER(tblMatriculas[[#This Row],[% asistencia]]),NOT(ISNUMBER(SEARCH(pPrueba,tblMatriculas[[#This Row],[Nombre]]))))</f>
        <v>1</v>
      </c>
      <c r="R14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45" s="23" t="str" cm="1">
        <f t="array" ref="S14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5" s="23" t="str" cm="1">
        <f t="array" ref="T14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5" s="14" t="str" cm="1">
        <f t="array" ref="U14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5" t="str" cm="1">
        <f t="array" ref="V14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5" t="str" cm="1">
        <f t="array" ref="W14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45" t="str">
        <f>IF(COUNTIFS('Base Estudiantes'!$C:$C,tblMatriculas[[#This Row],[Cédula]],'Base Estudiantes'!$I:$I,tblMatriculas[[#This Row],[Código]])&gt;0,"Sí","No")</f>
        <v>Sí</v>
      </c>
      <c r="Z1445" s="23" cm="1">
        <f t="array" ref="Z1445">_xlfn.XLOOKUP(tblMatriculas[[#This Row],[Cédula]]&amp;"|"&amp;tblMatriculas[[#This Row],[Código]],tblBase[Documento]&amp;"|"&amp;tblBase[Código grupo],tblBase[Fecha matrícula],"")</f>
        <v>46263</v>
      </c>
    </row>
    <row r="1446" spans="1:26" x14ac:dyDescent="0.2">
      <c r="A1446" t="s">
        <v>3039</v>
      </c>
      <c r="B1446" t="s">
        <v>3040</v>
      </c>
      <c r="C1446" t="s">
        <v>13</v>
      </c>
      <c r="D1446" t="s">
        <v>3028</v>
      </c>
      <c r="E1446" t="s">
        <v>3029</v>
      </c>
      <c r="F1446" t="s">
        <v>649</v>
      </c>
      <c r="G1446" s="1">
        <v>3.3000000000000002E-2</v>
      </c>
      <c r="H1446" t="s">
        <v>225</v>
      </c>
      <c r="I1446" t="s">
        <v>1580</v>
      </c>
      <c r="J1446" t="s">
        <v>3030</v>
      </c>
      <c r="K1446" t="s">
        <v>24</v>
      </c>
      <c r="L1446" s="14">
        <f>IFERROR(VALUE(LEFT(tblMatriculas[[#This Row],[Clases]],FIND("/",tblMatriculas[[#This Row],[Clases]])-1)),"")</f>
        <v>1</v>
      </c>
      <c r="M1446" s="14">
        <f>IFERROR(VALUE(MID(tblMatriculas[[#This Row],[Clases]],FIND("/",tblMatriculas[[#This Row],[Clases]])+1,5)),"")</f>
        <v>30</v>
      </c>
      <c r="N14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6" s="14">
        <f>IF(OR(tblMatriculas[[#This Row],[Estado]]&lt;&gt;"activa",tblMatriculas[[#This Row],[Clases dictadas]]=""),"",MAX(0,tblMatriculas[[#This Row],[Clases dictadas]]-tblMatriculas[[#This Row],[Asistidas]]))</f>
        <v>0</v>
      </c>
      <c r="P1446" s="1">
        <f>IF(OR(tblMatriculas[[#This Row],[Estado]]&lt;&gt;"activa",tblMatriculas[[#This Row],[Asistidas]]=""),"",tblMatriculas[[#This Row],[Asistencia]])</f>
        <v>3.3000000000000002E-2</v>
      </c>
      <c r="Q1446" t="b">
        <f>AND(tblMatriculas[[#This Row],[Estado]]="activa",ISNUMBER(tblMatriculas[[#This Row],[% asistencia]]),NOT(ISNUMBER(SEARCH(pPrueba,tblMatriculas[[#This Row],[Nombre]]))))</f>
        <v>1</v>
      </c>
      <c r="R14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6" s="23" t="str" cm="1">
        <f t="array" ref="S14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6" s="23" t="str" cm="1">
        <f t="array" ref="T14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6" s="14" t="str" cm="1">
        <f t="array" ref="U14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6" t="str" cm="1">
        <f t="array" ref="V14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6" t="str" cm="1">
        <f t="array" ref="W14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6" t="str">
        <f>IF(COUNTIFS('Base Estudiantes'!$C:$C,tblMatriculas[[#This Row],[Cédula]],'Base Estudiantes'!$I:$I,tblMatriculas[[#This Row],[Código]])&gt;0,"Sí","No")</f>
        <v>Sí</v>
      </c>
      <c r="Z1446" s="23" cm="1">
        <f t="array" ref="Z1446">_xlfn.XLOOKUP(tblMatriculas[[#This Row],[Cédula]]&amp;"|"&amp;tblMatriculas[[#This Row],[Código]],tblBase[Documento]&amp;"|"&amp;tblBase[Código grupo],tblBase[Fecha matrícula],"")</f>
        <v>46263</v>
      </c>
    </row>
    <row r="1447" spans="1:26" x14ac:dyDescent="0.2">
      <c r="A1447" t="s">
        <v>3041</v>
      </c>
      <c r="B1447" t="s">
        <v>3042</v>
      </c>
      <c r="C1447" t="s">
        <v>13</v>
      </c>
      <c r="D1447" t="s">
        <v>3028</v>
      </c>
      <c r="E1447" t="s">
        <v>3029</v>
      </c>
      <c r="F1447" t="s">
        <v>649</v>
      </c>
      <c r="G1447" s="1">
        <v>3.3000000000000002E-2</v>
      </c>
      <c r="H1447" t="s">
        <v>225</v>
      </c>
      <c r="I1447" t="s">
        <v>1580</v>
      </c>
      <c r="J1447" t="s">
        <v>3030</v>
      </c>
      <c r="K1447" t="s">
        <v>24</v>
      </c>
      <c r="L1447" s="14">
        <f>IFERROR(VALUE(LEFT(tblMatriculas[[#This Row],[Clases]],FIND("/",tblMatriculas[[#This Row],[Clases]])-1)),"")</f>
        <v>1</v>
      </c>
      <c r="M1447" s="14">
        <f>IFERROR(VALUE(MID(tblMatriculas[[#This Row],[Clases]],FIND("/",tblMatriculas[[#This Row],[Clases]])+1,5)),"")</f>
        <v>30</v>
      </c>
      <c r="N14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7" s="14">
        <f>IF(OR(tblMatriculas[[#This Row],[Estado]]&lt;&gt;"activa",tblMatriculas[[#This Row],[Clases dictadas]]=""),"",MAX(0,tblMatriculas[[#This Row],[Clases dictadas]]-tblMatriculas[[#This Row],[Asistidas]]))</f>
        <v>0</v>
      </c>
      <c r="P1447" s="1">
        <f>IF(OR(tblMatriculas[[#This Row],[Estado]]&lt;&gt;"activa",tblMatriculas[[#This Row],[Asistidas]]=""),"",tblMatriculas[[#This Row],[Asistencia]])</f>
        <v>3.3000000000000002E-2</v>
      </c>
      <c r="Q1447" t="b">
        <f>AND(tblMatriculas[[#This Row],[Estado]]="activa",ISNUMBER(tblMatriculas[[#This Row],[% asistencia]]),NOT(ISNUMBER(SEARCH(pPrueba,tblMatriculas[[#This Row],[Nombre]]))))</f>
        <v>1</v>
      </c>
      <c r="R14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7" s="23" t="str" cm="1">
        <f t="array" ref="S14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7" s="23" t="str" cm="1">
        <f t="array" ref="T14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7" s="14" t="str" cm="1">
        <f t="array" ref="U14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7" t="str" cm="1">
        <f t="array" ref="V14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7" t="str" cm="1">
        <f t="array" ref="W14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7" t="str">
        <f>IF(COUNTIFS('Base Estudiantes'!$C:$C,tblMatriculas[[#This Row],[Cédula]],'Base Estudiantes'!$I:$I,tblMatriculas[[#This Row],[Código]])&gt;0,"Sí","No")</f>
        <v>Sí</v>
      </c>
      <c r="Z1447" s="23" cm="1">
        <f t="array" ref="Z1447">_xlfn.XLOOKUP(tblMatriculas[[#This Row],[Cédula]]&amp;"|"&amp;tblMatriculas[[#This Row],[Código]],tblBase[Documento]&amp;"|"&amp;tblBase[Código grupo],tblBase[Fecha matrícula],"")</f>
        <v>46263</v>
      </c>
    </row>
    <row r="1448" spans="1:26" x14ac:dyDescent="0.2">
      <c r="A1448" t="s">
        <v>3043</v>
      </c>
      <c r="B1448" t="s">
        <v>3044</v>
      </c>
      <c r="C1448" t="s">
        <v>13</v>
      </c>
      <c r="D1448" t="s">
        <v>3028</v>
      </c>
      <c r="E1448" t="s">
        <v>3029</v>
      </c>
      <c r="F1448" t="s">
        <v>649</v>
      </c>
      <c r="G1448" s="1">
        <v>0</v>
      </c>
      <c r="H1448" t="s">
        <v>254</v>
      </c>
      <c r="I1448" t="s">
        <v>1580</v>
      </c>
      <c r="J1448" t="s">
        <v>3030</v>
      </c>
      <c r="K1448" t="s">
        <v>24</v>
      </c>
      <c r="L1448" s="14">
        <f>IFERROR(VALUE(LEFT(tblMatriculas[[#This Row],[Clases]],FIND("/",tblMatriculas[[#This Row],[Clases]])-1)),"")</f>
        <v>0</v>
      </c>
      <c r="M1448" s="14">
        <f>IFERROR(VALUE(MID(tblMatriculas[[#This Row],[Clases]],FIND("/",tblMatriculas[[#This Row],[Clases]])+1,5)),"")</f>
        <v>30</v>
      </c>
      <c r="N14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8" s="14">
        <f>IF(OR(tblMatriculas[[#This Row],[Estado]]&lt;&gt;"activa",tblMatriculas[[#This Row],[Clases dictadas]]=""),"",MAX(0,tblMatriculas[[#This Row],[Clases dictadas]]-tblMatriculas[[#This Row],[Asistidas]]))</f>
        <v>1</v>
      </c>
      <c r="P1448" s="1">
        <f>IF(OR(tblMatriculas[[#This Row],[Estado]]&lt;&gt;"activa",tblMatriculas[[#This Row],[Asistidas]]=""),"",tblMatriculas[[#This Row],[Asistencia]])</f>
        <v>0</v>
      </c>
      <c r="Q1448" t="b">
        <f>AND(tblMatriculas[[#This Row],[Estado]]="activa",ISNUMBER(tblMatriculas[[#This Row],[% asistencia]]),NOT(ISNUMBER(SEARCH(pPrueba,tblMatriculas[[#This Row],[Nombre]]))))</f>
        <v>1</v>
      </c>
      <c r="R14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48" s="23" t="str" cm="1">
        <f t="array" ref="S14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8" s="23" t="str" cm="1">
        <f t="array" ref="T14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8" s="14" t="str" cm="1">
        <f t="array" ref="U14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8" t="str" cm="1">
        <f t="array" ref="V14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8" t="str" cm="1">
        <f t="array" ref="W14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48" t="str">
        <f>IF(COUNTIFS('Base Estudiantes'!$C:$C,tblMatriculas[[#This Row],[Cédula]],'Base Estudiantes'!$I:$I,tblMatriculas[[#This Row],[Código]])&gt;0,"Sí","No")</f>
        <v>Sí</v>
      </c>
      <c r="Z1448" s="23" cm="1">
        <f t="array" ref="Z1448">_xlfn.XLOOKUP(tblMatriculas[[#This Row],[Cédula]]&amp;"|"&amp;tblMatriculas[[#This Row],[Código]],tblBase[Documento]&amp;"|"&amp;tblBase[Código grupo],tblBase[Fecha matrícula],"")</f>
        <v>46263</v>
      </c>
    </row>
    <row r="1449" spans="1:26" x14ac:dyDescent="0.2">
      <c r="A1449" t="s">
        <v>3045</v>
      </c>
      <c r="B1449" t="s">
        <v>3046</v>
      </c>
      <c r="C1449" t="s">
        <v>13</v>
      </c>
      <c r="D1449" t="s">
        <v>3028</v>
      </c>
      <c r="E1449" t="s">
        <v>3029</v>
      </c>
      <c r="F1449" t="s">
        <v>649</v>
      </c>
      <c r="G1449" s="1">
        <v>3.3000000000000002E-2</v>
      </c>
      <c r="H1449" t="s">
        <v>225</v>
      </c>
      <c r="I1449" t="s">
        <v>1580</v>
      </c>
      <c r="J1449" t="s">
        <v>3030</v>
      </c>
      <c r="K1449" t="s">
        <v>24</v>
      </c>
      <c r="L1449" s="14">
        <f>IFERROR(VALUE(LEFT(tblMatriculas[[#This Row],[Clases]],FIND("/",tblMatriculas[[#This Row],[Clases]])-1)),"")</f>
        <v>1</v>
      </c>
      <c r="M1449" s="14">
        <f>IFERROR(VALUE(MID(tblMatriculas[[#This Row],[Clases]],FIND("/",tblMatriculas[[#This Row],[Clases]])+1,5)),"")</f>
        <v>30</v>
      </c>
      <c r="N14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49" s="14">
        <f>IF(OR(tblMatriculas[[#This Row],[Estado]]&lt;&gt;"activa",tblMatriculas[[#This Row],[Clases dictadas]]=""),"",MAX(0,tblMatriculas[[#This Row],[Clases dictadas]]-tblMatriculas[[#This Row],[Asistidas]]))</f>
        <v>0</v>
      </c>
      <c r="P1449" s="1">
        <f>IF(OR(tblMatriculas[[#This Row],[Estado]]&lt;&gt;"activa",tblMatriculas[[#This Row],[Asistidas]]=""),"",tblMatriculas[[#This Row],[Asistencia]])</f>
        <v>3.3000000000000002E-2</v>
      </c>
      <c r="Q1449" t="b">
        <f>AND(tblMatriculas[[#This Row],[Estado]]="activa",ISNUMBER(tblMatriculas[[#This Row],[% asistencia]]),NOT(ISNUMBER(SEARCH(pPrueba,tblMatriculas[[#This Row],[Nombre]]))))</f>
        <v>1</v>
      </c>
      <c r="R14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49" s="23" t="str" cm="1">
        <f t="array" ref="S14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49" s="23" t="str" cm="1">
        <f t="array" ref="T14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49" s="14" t="str" cm="1">
        <f t="array" ref="U14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49" t="str" cm="1">
        <f t="array" ref="V14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49" t="str" cm="1">
        <f t="array" ref="W14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49" t="str">
        <f>IF(COUNTIFS('Base Estudiantes'!$C:$C,tblMatriculas[[#This Row],[Cédula]],'Base Estudiantes'!$I:$I,tblMatriculas[[#This Row],[Código]])&gt;0,"Sí","No")</f>
        <v>Sí</v>
      </c>
      <c r="Z1449" s="23" cm="1">
        <f t="array" ref="Z1449">_xlfn.XLOOKUP(tblMatriculas[[#This Row],[Cédula]]&amp;"|"&amp;tblMatriculas[[#This Row],[Código]],tblBase[Documento]&amp;"|"&amp;tblBase[Código grupo],tblBase[Fecha matrícula],"")</f>
        <v>46263</v>
      </c>
    </row>
    <row r="1450" spans="1:26" x14ac:dyDescent="0.2">
      <c r="A1450" t="s">
        <v>3047</v>
      </c>
      <c r="B1450" t="s">
        <v>3048</v>
      </c>
      <c r="C1450" t="s">
        <v>13</v>
      </c>
      <c r="D1450" t="s">
        <v>3028</v>
      </c>
      <c r="E1450" t="s">
        <v>3029</v>
      </c>
      <c r="F1450" t="s">
        <v>649</v>
      </c>
      <c r="G1450" s="1">
        <v>3.3000000000000002E-2</v>
      </c>
      <c r="H1450" t="s">
        <v>225</v>
      </c>
      <c r="I1450" t="s">
        <v>1580</v>
      </c>
      <c r="J1450" t="s">
        <v>3030</v>
      </c>
      <c r="K1450" t="s">
        <v>24</v>
      </c>
      <c r="L1450" s="14">
        <f>IFERROR(VALUE(LEFT(tblMatriculas[[#This Row],[Clases]],FIND("/",tblMatriculas[[#This Row],[Clases]])-1)),"")</f>
        <v>1</v>
      </c>
      <c r="M1450" s="14">
        <f>IFERROR(VALUE(MID(tblMatriculas[[#This Row],[Clases]],FIND("/",tblMatriculas[[#This Row],[Clases]])+1,5)),"")</f>
        <v>30</v>
      </c>
      <c r="N14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0" s="14">
        <f>IF(OR(tblMatriculas[[#This Row],[Estado]]&lt;&gt;"activa",tblMatriculas[[#This Row],[Clases dictadas]]=""),"",MAX(0,tblMatriculas[[#This Row],[Clases dictadas]]-tblMatriculas[[#This Row],[Asistidas]]))</f>
        <v>0</v>
      </c>
      <c r="P1450" s="1">
        <f>IF(OR(tblMatriculas[[#This Row],[Estado]]&lt;&gt;"activa",tblMatriculas[[#This Row],[Asistidas]]=""),"",tblMatriculas[[#This Row],[Asistencia]])</f>
        <v>3.3000000000000002E-2</v>
      </c>
      <c r="Q1450" t="b">
        <f>AND(tblMatriculas[[#This Row],[Estado]]="activa",ISNUMBER(tblMatriculas[[#This Row],[% asistencia]]),NOT(ISNUMBER(SEARCH(pPrueba,tblMatriculas[[#This Row],[Nombre]]))))</f>
        <v>1</v>
      </c>
      <c r="R14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0" s="23" t="str" cm="1">
        <f t="array" ref="S14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0" s="23" t="str" cm="1">
        <f t="array" ref="T14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0" s="14" t="str" cm="1">
        <f t="array" ref="U14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0" t="str" cm="1">
        <f t="array" ref="V14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0" t="str" cm="1">
        <f t="array" ref="W14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0" t="str">
        <f>IF(COUNTIFS('Base Estudiantes'!$C:$C,tblMatriculas[[#This Row],[Cédula]],'Base Estudiantes'!$I:$I,tblMatriculas[[#This Row],[Código]])&gt;0,"Sí","No")</f>
        <v>Sí</v>
      </c>
      <c r="Z1450" s="23" cm="1">
        <f t="array" ref="Z1450">_xlfn.XLOOKUP(tblMatriculas[[#This Row],[Cédula]]&amp;"|"&amp;tblMatriculas[[#This Row],[Código]],tblBase[Documento]&amp;"|"&amp;tblBase[Código grupo],tblBase[Fecha matrícula],"")</f>
        <v>46263</v>
      </c>
    </row>
    <row r="1451" spans="1:26" x14ac:dyDescent="0.2">
      <c r="A1451" t="s">
        <v>3049</v>
      </c>
      <c r="B1451" t="s">
        <v>3050</v>
      </c>
      <c r="C1451" t="s">
        <v>13</v>
      </c>
      <c r="D1451" t="s">
        <v>3028</v>
      </c>
      <c r="E1451" t="s">
        <v>3029</v>
      </c>
      <c r="F1451" t="s">
        <v>649</v>
      </c>
      <c r="G1451" s="1">
        <v>0</v>
      </c>
      <c r="H1451" t="s">
        <v>254</v>
      </c>
      <c r="I1451" t="s">
        <v>1580</v>
      </c>
      <c r="J1451" t="s">
        <v>3030</v>
      </c>
      <c r="K1451" t="s">
        <v>24</v>
      </c>
      <c r="L1451" s="14">
        <f>IFERROR(VALUE(LEFT(tblMatriculas[[#This Row],[Clases]],FIND("/",tblMatriculas[[#This Row],[Clases]])-1)),"")</f>
        <v>0</v>
      </c>
      <c r="M1451" s="14">
        <f>IFERROR(VALUE(MID(tblMatriculas[[#This Row],[Clases]],FIND("/",tblMatriculas[[#This Row],[Clases]])+1,5)),"")</f>
        <v>30</v>
      </c>
      <c r="N14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1" s="14">
        <f>IF(OR(tblMatriculas[[#This Row],[Estado]]&lt;&gt;"activa",tblMatriculas[[#This Row],[Clases dictadas]]=""),"",MAX(0,tblMatriculas[[#This Row],[Clases dictadas]]-tblMatriculas[[#This Row],[Asistidas]]))</f>
        <v>1</v>
      </c>
      <c r="P1451" s="1">
        <f>IF(OR(tblMatriculas[[#This Row],[Estado]]&lt;&gt;"activa",tblMatriculas[[#This Row],[Asistidas]]=""),"",tblMatriculas[[#This Row],[Asistencia]])</f>
        <v>0</v>
      </c>
      <c r="Q1451" t="b">
        <f>AND(tblMatriculas[[#This Row],[Estado]]="activa",ISNUMBER(tblMatriculas[[#This Row],[% asistencia]]),NOT(ISNUMBER(SEARCH(pPrueba,tblMatriculas[[#This Row],[Nombre]]))))</f>
        <v>1</v>
      </c>
      <c r="R14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51" s="23" t="str" cm="1">
        <f t="array" ref="S14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1" s="23" t="str" cm="1">
        <f t="array" ref="T14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1" s="14" t="str" cm="1">
        <f t="array" ref="U14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1" t="str" cm="1">
        <f t="array" ref="V14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1" t="str" cm="1">
        <f t="array" ref="W14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51" t="str">
        <f>IF(COUNTIFS('Base Estudiantes'!$C:$C,tblMatriculas[[#This Row],[Cédula]],'Base Estudiantes'!$I:$I,tblMatriculas[[#This Row],[Código]])&gt;0,"Sí","No")</f>
        <v>Sí</v>
      </c>
      <c r="Z1451" s="23" cm="1">
        <f t="array" ref="Z1451">_xlfn.XLOOKUP(tblMatriculas[[#This Row],[Cédula]]&amp;"|"&amp;tblMatriculas[[#This Row],[Código]],tblBase[Documento]&amp;"|"&amp;tblBase[Código grupo],tblBase[Fecha matrícula],"")</f>
        <v>46263</v>
      </c>
    </row>
    <row r="1452" spans="1:26" x14ac:dyDescent="0.2">
      <c r="A1452" t="s">
        <v>3051</v>
      </c>
      <c r="B1452" t="s">
        <v>3052</v>
      </c>
      <c r="C1452" t="s">
        <v>13</v>
      </c>
      <c r="D1452" t="s">
        <v>3028</v>
      </c>
      <c r="E1452" t="s">
        <v>3029</v>
      </c>
      <c r="F1452" t="s">
        <v>649</v>
      </c>
      <c r="G1452" s="1">
        <v>3.3000000000000002E-2</v>
      </c>
      <c r="H1452" t="s">
        <v>225</v>
      </c>
      <c r="I1452" t="s">
        <v>1580</v>
      </c>
      <c r="J1452" t="s">
        <v>3030</v>
      </c>
      <c r="K1452" t="s">
        <v>24</v>
      </c>
      <c r="L1452" s="14">
        <f>IFERROR(VALUE(LEFT(tblMatriculas[[#This Row],[Clases]],FIND("/",tblMatriculas[[#This Row],[Clases]])-1)),"")</f>
        <v>1</v>
      </c>
      <c r="M1452" s="14">
        <f>IFERROR(VALUE(MID(tblMatriculas[[#This Row],[Clases]],FIND("/",tblMatriculas[[#This Row],[Clases]])+1,5)),"")</f>
        <v>30</v>
      </c>
      <c r="N14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2" s="14">
        <f>IF(OR(tblMatriculas[[#This Row],[Estado]]&lt;&gt;"activa",tblMatriculas[[#This Row],[Clases dictadas]]=""),"",MAX(0,tblMatriculas[[#This Row],[Clases dictadas]]-tblMatriculas[[#This Row],[Asistidas]]))</f>
        <v>0</v>
      </c>
      <c r="P1452" s="1">
        <f>IF(OR(tblMatriculas[[#This Row],[Estado]]&lt;&gt;"activa",tblMatriculas[[#This Row],[Asistidas]]=""),"",tblMatriculas[[#This Row],[Asistencia]])</f>
        <v>3.3000000000000002E-2</v>
      </c>
      <c r="Q1452" t="b">
        <f>AND(tblMatriculas[[#This Row],[Estado]]="activa",ISNUMBER(tblMatriculas[[#This Row],[% asistencia]]),NOT(ISNUMBER(SEARCH(pPrueba,tblMatriculas[[#This Row],[Nombre]]))))</f>
        <v>1</v>
      </c>
      <c r="R14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2" s="23" t="str" cm="1">
        <f t="array" ref="S14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2" s="23" t="str" cm="1">
        <f t="array" ref="T14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2" s="14" t="str" cm="1">
        <f t="array" ref="U14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2" t="str" cm="1">
        <f t="array" ref="V14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2" t="str" cm="1">
        <f t="array" ref="W14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2" t="str">
        <f>IF(COUNTIFS('Base Estudiantes'!$C:$C,tblMatriculas[[#This Row],[Cédula]],'Base Estudiantes'!$I:$I,tblMatriculas[[#This Row],[Código]])&gt;0,"Sí","No")</f>
        <v>Sí</v>
      </c>
      <c r="Z1452" s="23" cm="1">
        <f t="array" ref="Z1452">_xlfn.XLOOKUP(tblMatriculas[[#This Row],[Cédula]]&amp;"|"&amp;tblMatriculas[[#This Row],[Código]],tblBase[Documento]&amp;"|"&amp;tblBase[Código grupo],tblBase[Fecha matrícula],"")</f>
        <v>46263</v>
      </c>
    </row>
    <row r="1453" spans="1:26" x14ac:dyDescent="0.2">
      <c r="A1453" t="s">
        <v>3053</v>
      </c>
      <c r="B1453" t="s">
        <v>3054</v>
      </c>
      <c r="C1453" t="s">
        <v>13</v>
      </c>
      <c r="D1453" t="s">
        <v>3028</v>
      </c>
      <c r="E1453" t="s">
        <v>3029</v>
      </c>
      <c r="F1453" t="s">
        <v>649</v>
      </c>
      <c r="G1453" s="1">
        <v>0</v>
      </c>
      <c r="H1453" t="s">
        <v>254</v>
      </c>
      <c r="I1453" t="s">
        <v>1580</v>
      </c>
      <c r="J1453" t="s">
        <v>3030</v>
      </c>
      <c r="K1453" t="s">
        <v>24</v>
      </c>
      <c r="L1453" s="14">
        <f>IFERROR(VALUE(LEFT(tblMatriculas[[#This Row],[Clases]],FIND("/",tblMatriculas[[#This Row],[Clases]])-1)),"")</f>
        <v>0</v>
      </c>
      <c r="M1453" s="14">
        <f>IFERROR(VALUE(MID(tblMatriculas[[#This Row],[Clases]],FIND("/",tblMatriculas[[#This Row],[Clases]])+1,5)),"")</f>
        <v>30</v>
      </c>
      <c r="N14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3" s="14">
        <f>IF(OR(tblMatriculas[[#This Row],[Estado]]&lt;&gt;"activa",tblMatriculas[[#This Row],[Clases dictadas]]=""),"",MAX(0,tblMatriculas[[#This Row],[Clases dictadas]]-tblMatriculas[[#This Row],[Asistidas]]))</f>
        <v>1</v>
      </c>
      <c r="P1453" s="1">
        <f>IF(OR(tblMatriculas[[#This Row],[Estado]]&lt;&gt;"activa",tblMatriculas[[#This Row],[Asistidas]]=""),"",tblMatriculas[[#This Row],[Asistencia]])</f>
        <v>0</v>
      </c>
      <c r="Q1453" t="b">
        <f>AND(tblMatriculas[[#This Row],[Estado]]="activa",ISNUMBER(tblMatriculas[[#This Row],[% asistencia]]),NOT(ISNUMBER(SEARCH(pPrueba,tblMatriculas[[#This Row],[Nombre]]))))</f>
        <v>1</v>
      </c>
      <c r="R14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53" s="23" t="str" cm="1">
        <f t="array" ref="S14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3" s="23" t="str" cm="1">
        <f t="array" ref="T14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3" s="14" t="str" cm="1">
        <f t="array" ref="U14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3" t="str" cm="1">
        <f t="array" ref="V14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3" t="str" cm="1">
        <f t="array" ref="W14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53" t="str">
        <f>IF(COUNTIFS('Base Estudiantes'!$C:$C,tblMatriculas[[#This Row],[Cédula]],'Base Estudiantes'!$I:$I,tblMatriculas[[#This Row],[Código]])&gt;0,"Sí","No")</f>
        <v>Sí</v>
      </c>
      <c r="Z1453" s="23" cm="1">
        <f t="array" ref="Z1453">_xlfn.XLOOKUP(tblMatriculas[[#This Row],[Cédula]]&amp;"|"&amp;tblMatriculas[[#This Row],[Código]],tblBase[Documento]&amp;"|"&amp;tblBase[Código grupo],tblBase[Fecha matrícula],"")</f>
        <v>46263</v>
      </c>
    </row>
    <row r="1454" spans="1:26" x14ac:dyDescent="0.2">
      <c r="A1454" t="s">
        <v>3055</v>
      </c>
      <c r="B1454" t="s">
        <v>3056</v>
      </c>
      <c r="C1454" t="s">
        <v>13</v>
      </c>
      <c r="D1454" t="s">
        <v>3028</v>
      </c>
      <c r="E1454" t="s">
        <v>3029</v>
      </c>
      <c r="F1454" t="s">
        <v>649</v>
      </c>
      <c r="G1454" s="1">
        <v>3.3000000000000002E-2</v>
      </c>
      <c r="H1454" t="s">
        <v>225</v>
      </c>
      <c r="I1454" t="s">
        <v>1580</v>
      </c>
      <c r="J1454" t="s">
        <v>3030</v>
      </c>
      <c r="K1454" t="s">
        <v>24</v>
      </c>
      <c r="L1454" s="14">
        <f>IFERROR(VALUE(LEFT(tblMatriculas[[#This Row],[Clases]],FIND("/",tblMatriculas[[#This Row],[Clases]])-1)),"")</f>
        <v>1</v>
      </c>
      <c r="M1454" s="14">
        <f>IFERROR(VALUE(MID(tblMatriculas[[#This Row],[Clases]],FIND("/",tblMatriculas[[#This Row],[Clases]])+1,5)),"")</f>
        <v>30</v>
      </c>
      <c r="N14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4" s="14">
        <f>IF(OR(tblMatriculas[[#This Row],[Estado]]&lt;&gt;"activa",tblMatriculas[[#This Row],[Clases dictadas]]=""),"",MAX(0,tblMatriculas[[#This Row],[Clases dictadas]]-tblMatriculas[[#This Row],[Asistidas]]))</f>
        <v>0</v>
      </c>
      <c r="P1454" s="1">
        <f>IF(OR(tblMatriculas[[#This Row],[Estado]]&lt;&gt;"activa",tblMatriculas[[#This Row],[Asistidas]]=""),"",tblMatriculas[[#This Row],[Asistencia]])</f>
        <v>3.3000000000000002E-2</v>
      </c>
      <c r="Q1454" t="b">
        <f>AND(tblMatriculas[[#This Row],[Estado]]="activa",ISNUMBER(tblMatriculas[[#This Row],[% asistencia]]),NOT(ISNUMBER(SEARCH(pPrueba,tblMatriculas[[#This Row],[Nombre]]))))</f>
        <v>1</v>
      </c>
      <c r="R14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4" s="23" t="str" cm="1">
        <f t="array" ref="S14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4" s="23" t="str" cm="1">
        <f t="array" ref="T14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4" s="14" t="str" cm="1">
        <f t="array" ref="U14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4" t="str" cm="1">
        <f t="array" ref="V14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4" t="str" cm="1">
        <f t="array" ref="W14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4" t="str">
        <f>IF(COUNTIFS('Base Estudiantes'!$C:$C,tblMatriculas[[#This Row],[Cédula]],'Base Estudiantes'!$I:$I,tblMatriculas[[#This Row],[Código]])&gt;0,"Sí","No")</f>
        <v>Sí</v>
      </c>
      <c r="Z1454" s="23" cm="1">
        <f t="array" ref="Z1454">_xlfn.XLOOKUP(tblMatriculas[[#This Row],[Cédula]]&amp;"|"&amp;tblMatriculas[[#This Row],[Código]],tblBase[Documento]&amp;"|"&amp;tblBase[Código grupo],tblBase[Fecha matrícula],"")</f>
        <v>46263</v>
      </c>
    </row>
    <row r="1455" spans="1:26" x14ac:dyDescent="0.2">
      <c r="A1455" t="s">
        <v>3057</v>
      </c>
      <c r="B1455" t="s">
        <v>3058</v>
      </c>
      <c r="C1455" t="s">
        <v>13</v>
      </c>
      <c r="D1455" t="s">
        <v>3028</v>
      </c>
      <c r="E1455" t="s">
        <v>3029</v>
      </c>
      <c r="F1455" t="s">
        <v>649</v>
      </c>
      <c r="G1455" s="1">
        <v>3.3000000000000002E-2</v>
      </c>
      <c r="H1455" t="s">
        <v>225</v>
      </c>
      <c r="I1455" t="s">
        <v>1580</v>
      </c>
      <c r="J1455" t="s">
        <v>3030</v>
      </c>
      <c r="K1455" t="s">
        <v>24</v>
      </c>
      <c r="L1455" s="14">
        <f>IFERROR(VALUE(LEFT(tblMatriculas[[#This Row],[Clases]],FIND("/",tblMatriculas[[#This Row],[Clases]])-1)),"")</f>
        <v>1</v>
      </c>
      <c r="M1455" s="14">
        <f>IFERROR(VALUE(MID(tblMatriculas[[#This Row],[Clases]],FIND("/",tblMatriculas[[#This Row],[Clases]])+1,5)),"")</f>
        <v>30</v>
      </c>
      <c r="N14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5" s="14">
        <f>IF(OR(tblMatriculas[[#This Row],[Estado]]&lt;&gt;"activa",tblMatriculas[[#This Row],[Clases dictadas]]=""),"",MAX(0,tblMatriculas[[#This Row],[Clases dictadas]]-tblMatriculas[[#This Row],[Asistidas]]))</f>
        <v>0</v>
      </c>
      <c r="P1455" s="1">
        <f>IF(OR(tblMatriculas[[#This Row],[Estado]]&lt;&gt;"activa",tblMatriculas[[#This Row],[Asistidas]]=""),"",tblMatriculas[[#This Row],[Asistencia]])</f>
        <v>3.3000000000000002E-2</v>
      </c>
      <c r="Q1455" t="b">
        <f>AND(tblMatriculas[[#This Row],[Estado]]="activa",ISNUMBER(tblMatriculas[[#This Row],[% asistencia]]),NOT(ISNUMBER(SEARCH(pPrueba,tblMatriculas[[#This Row],[Nombre]]))))</f>
        <v>1</v>
      </c>
      <c r="R14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5" s="23" t="str" cm="1">
        <f t="array" ref="S14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5" s="23" t="str" cm="1">
        <f t="array" ref="T14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5" s="14" t="str" cm="1">
        <f t="array" ref="U14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5" t="str" cm="1">
        <f t="array" ref="V14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5" t="str" cm="1">
        <f t="array" ref="W14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5" t="str">
        <f>IF(COUNTIFS('Base Estudiantes'!$C:$C,tblMatriculas[[#This Row],[Cédula]],'Base Estudiantes'!$I:$I,tblMatriculas[[#This Row],[Código]])&gt;0,"Sí","No")</f>
        <v>Sí</v>
      </c>
      <c r="Z1455" s="23" cm="1">
        <f t="array" ref="Z1455">_xlfn.XLOOKUP(tblMatriculas[[#This Row],[Cédula]]&amp;"|"&amp;tblMatriculas[[#This Row],[Código]],tblBase[Documento]&amp;"|"&amp;tblBase[Código grupo],tblBase[Fecha matrícula],"")</f>
        <v>46263</v>
      </c>
    </row>
    <row r="1456" spans="1:26" x14ac:dyDescent="0.2">
      <c r="A1456" t="s">
        <v>3059</v>
      </c>
      <c r="B1456" t="s">
        <v>3060</v>
      </c>
      <c r="C1456" t="s">
        <v>13</v>
      </c>
      <c r="D1456" t="s">
        <v>3028</v>
      </c>
      <c r="E1456" t="s">
        <v>3029</v>
      </c>
      <c r="F1456" t="s">
        <v>649</v>
      </c>
      <c r="G1456" s="1">
        <v>3.3000000000000002E-2</v>
      </c>
      <c r="H1456" t="s">
        <v>225</v>
      </c>
      <c r="I1456" t="s">
        <v>1580</v>
      </c>
      <c r="J1456" t="s">
        <v>3030</v>
      </c>
      <c r="K1456" t="s">
        <v>24</v>
      </c>
      <c r="L1456" s="14">
        <f>IFERROR(VALUE(LEFT(tblMatriculas[[#This Row],[Clases]],FIND("/",tblMatriculas[[#This Row],[Clases]])-1)),"")</f>
        <v>1</v>
      </c>
      <c r="M1456" s="14">
        <f>IFERROR(VALUE(MID(tblMatriculas[[#This Row],[Clases]],FIND("/",tblMatriculas[[#This Row],[Clases]])+1,5)),"")</f>
        <v>30</v>
      </c>
      <c r="N14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6" s="14">
        <f>IF(OR(tblMatriculas[[#This Row],[Estado]]&lt;&gt;"activa",tblMatriculas[[#This Row],[Clases dictadas]]=""),"",MAX(0,tblMatriculas[[#This Row],[Clases dictadas]]-tblMatriculas[[#This Row],[Asistidas]]))</f>
        <v>0</v>
      </c>
      <c r="P1456" s="1">
        <f>IF(OR(tblMatriculas[[#This Row],[Estado]]&lt;&gt;"activa",tblMatriculas[[#This Row],[Asistidas]]=""),"",tblMatriculas[[#This Row],[Asistencia]])</f>
        <v>3.3000000000000002E-2</v>
      </c>
      <c r="Q1456" t="b">
        <f>AND(tblMatriculas[[#This Row],[Estado]]="activa",ISNUMBER(tblMatriculas[[#This Row],[% asistencia]]),NOT(ISNUMBER(SEARCH(pPrueba,tblMatriculas[[#This Row],[Nombre]]))))</f>
        <v>1</v>
      </c>
      <c r="R14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6" s="23" t="str" cm="1">
        <f t="array" ref="S14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6" s="23" t="str" cm="1">
        <f t="array" ref="T14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6" s="14" t="str" cm="1">
        <f t="array" ref="U14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6" t="str" cm="1">
        <f t="array" ref="V14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6" t="str" cm="1">
        <f t="array" ref="W14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6" t="str">
        <f>IF(COUNTIFS('Base Estudiantes'!$C:$C,tblMatriculas[[#This Row],[Cédula]],'Base Estudiantes'!$I:$I,tblMatriculas[[#This Row],[Código]])&gt;0,"Sí","No")</f>
        <v>Sí</v>
      </c>
      <c r="Z1456" s="23" cm="1">
        <f t="array" ref="Z1456">_xlfn.XLOOKUP(tblMatriculas[[#This Row],[Cédula]]&amp;"|"&amp;tblMatriculas[[#This Row],[Código]],tblBase[Documento]&amp;"|"&amp;tblBase[Código grupo],tblBase[Fecha matrícula],"")</f>
        <v>46263</v>
      </c>
    </row>
    <row r="1457" spans="1:26" x14ac:dyDescent="0.2">
      <c r="A1457" t="s">
        <v>3061</v>
      </c>
      <c r="B1457" t="s">
        <v>3062</v>
      </c>
      <c r="C1457" t="s">
        <v>13</v>
      </c>
      <c r="D1457" t="s">
        <v>3028</v>
      </c>
      <c r="E1457" t="s">
        <v>3029</v>
      </c>
      <c r="F1457" t="s">
        <v>649</v>
      </c>
      <c r="G1457" s="1">
        <v>3.3000000000000002E-2</v>
      </c>
      <c r="H1457" t="s">
        <v>225</v>
      </c>
      <c r="I1457" t="s">
        <v>1580</v>
      </c>
      <c r="J1457" t="s">
        <v>3030</v>
      </c>
      <c r="K1457" t="s">
        <v>24</v>
      </c>
      <c r="L1457" s="14">
        <f>IFERROR(VALUE(LEFT(tblMatriculas[[#This Row],[Clases]],FIND("/",tblMatriculas[[#This Row],[Clases]])-1)),"")</f>
        <v>1</v>
      </c>
      <c r="M1457" s="14">
        <f>IFERROR(VALUE(MID(tblMatriculas[[#This Row],[Clases]],FIND("/",tblMatriculas[[#This Row],[Clases]])+1,5)),"")</f>
        <v>30</v>
      </c>
      <c r="N14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7" s="14">
        <f>IF(OR(tblMatriculas[[#This Row],[Estado]]&lt;&gt;"activa",tblMatriculas[[#This Row],[Clases dictadas]]=""),"",MAX(0,tblMatriculas[[#This Row],[Clases dictadas]]-tblMatriculas[[#This Row],[Asistidas]]))</f>
        <v>0</v>
      </c>
      <c r="P1457" s="1">
        <f>IF(OR(tblMatriculas[[#This Row],[Estado]]&lt;&gt;"activa",tblMatriculas[[#This Row],[Asistidas]]=""),"",tblMatriculas[[#This Row],[Asistencia]])</f>
        <v>3.3000000000000002E-2</v>
      </c>
      <c r="Q1457" t="b">
        <f>AND(tblMatriculas[[#This Row],[Estado]]="activa",ISNUMBER(tblMatriculas[[#This Row],[% asistencia]]),NOT(ISNUMBER(SEARCH(pPrueba,tblMatriculas[[#This Row],[Nombre]]))))</f>
        <v>1</v>
      </c>
      <c r="R14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7" s="23" t="str" cm="1">
        <f t="array" ref="S14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7" s="23" t="str" cm="1">
        <f t="array" ref="T14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7" s="14" t="str" cm="1">
        <f t="array" ref="U14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7" t="str" cm="1">
        <f t="array" ref="V14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7" t="str" cm="1">
        <f t="array" ref="W14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7" t="str">
        <f>IF(COUNTIFS('Base Estudiantes'!$C:$C,tblMatriculas[[#This Row],[Cédula]],'Base Estudiantes'!$I:$I,tblMatriculas[[#This Row],[Código]])&gt;0,"Sí","No")</f>
        <v>Sí</v>
      </c>
      <c r="Z1457" s="23" cm="1">
        <f t="array" ref="Z1457">_xlfn.XLOOKUP(tblMatriculas[[#This Row],[Cédula]]&amp;"|"&amp;tblMatriculas[[#This Row],[Código]],tblBase[Documento]&amp;"|"&amp;tblBase[Código grupo],tblBase[Fecha matrícula],"")</f>
        <v>46263</v>
      </c>
    </row>
    <row r="1458" spans="1:26" x14ac:dyDescent="0.2">
      <c r="A1458" t="s">
        <v>3063</v>
      </c>
      <c r="B1458" t="s">
        <v>3064</v>
      </c>
      <c r="C1458" t="s">
        <v>13</v>
      </c>
      <c r="D1458" t="s">
        <v>3028</v>
      </c>
      <c r="E1458" t="s">
        <v>3029</v>
      </c>
      <c r="F1458" t="s">
        <v>649</v>
      </c>
      <c r="G1458" s="1">
        <v>0</v>
      </c>
      <c r="H1458" t="s">
        <v>254</v>
      </c>
      <c r="I1458" t="s">
        <v>1580</v>
      </c>
      <c r="J1458" t="s">
        <v>3030</v>
      </c>
      <c r="K1458" t="s">
        <v>24</v>
      </c>
      <c r="L1458" s="14">
        <f>IFERROR(VALUE(LEFT(tblMatriculas[[#This Row],[Clases]],FIND("/",tblMatriculas[[#This Row],[Clases]])-1)),"")</f>
        <v>0</v>
      </c>
      <c r="M1458" s="14">
        <f>IFERROR(VALUE(MID(tblMatriculas[[#This Row],[Clases]],FIND("/",tblMatriculas[[#This Row],[Clases]])+1,5)),"")</f>
        <v>30</v>
      </c>
      <c r="N14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8" s="14">
        <f>IF(OR(tblMatriculas[[#This Row],[Estado]]&lt;&gt;"activa",tblMatriculas[[#This Row],[Clases dictadas]]=""),"",MAX(0,tblMatriculas[[#This Row],[Clases dictadas]]-tblMatriculas[[#This Row],[Asistidas]]))</f>
        <v>1</v>
      </c>
      <c r="P1458" s="1">
        <f>IF(OR(tblMatriculas[[#This Row],[Estado]]&lt;&gt;"activa",tblMatriculas[[#This Row],[Asistidas]]=""),"",tblMatriculas[[#This Row],[Asistencia]])</f>
        <v>0</v>
      </c>
      <c r="Q1458" t="b">
        <f>AND(tblMatriculas[[#This Row],[Estado]]="activa",ISNUMBER(tblMatriculas[[#This Row],[% asistencia]]),NOT(ISNUMBER(SEARCH(pPrueba,tblMatriculas[[#This Row],[Nombre]]))))</f>
        <v>1</v>
      </c>
      <c r="R14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58" s="23" t="str" cm="1">
        <f t="array" ref="S14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8" s="23" t="str" cm="1">
        <f t="array" ref="T14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8" s="14" t="str" cm="1">
        <f t="array" ref="U14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8" t="str" cm="1">
        <f t="array" ref="V14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8" t="str" cm="1">
        <f t="array" ref="W14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58" t="str">
        <f>IF(COUNTIFS('Base Estudiantes'!$C:$C,tblMatriculas[[#This Row],[Cédula]],'Base Estudiantes'!$I:$I,tblMatriculas[[#This Row],[Código]])&gt;0,"Sí","No")</f>
        <v>Sí</v>
      </c>
      <c r="Z1458" s="23" cm="1">
        <f t="array" ref="Z1458">_xlfn.XLOOKUP(tblMatriculas[[#This Row],[Cédula]]&amp;"|"&amp;tblMatriculas[[#This Row],[Código]],tblBase[Documento]&amp;"|"&amp;tblBase[Código grupo],tblBase[Fecha matrícula],"")</f>
        <v>46263</v>
      </c>
    </row>
    <row r="1459" spans="1:26" x14ac:dyDescent="0.2">
      <c r="A1459" t="s">
        <v>3065</v>
      </c>
      <c r="B1459" t="s">
        <v>3066</v>
      </c>
      <c r="C1459" t="s">
        <v>13</v>
      </c>
      <c r="D1459" t="s">
        <v>3028</v>
      </c>
      <c r="E1459" t="s">
        <v>3029</v>
      </c>
      <c r="F1459" t="s">
        <v>649</v>
      </c>
      <c r="G1459" s="1">
        <v>3.3000000000000002E-2</v>
      </c>
      <c r="H1459" t="s">
        <v>225</v>
      </c>
      <c r="I1459" t="s">
        <v>1580</v>
      </c>
      <c r="J1459" t="s">
        <v>3030</v>
      </c>
      <c r="K1459" t="s">
        <v>24</v>
      </c>
      <c r="L1459" s="14">
        <f>IFERROR(VALUE(LEFT(tblMatriculas[[#This Row],[Clases]],FIND("/",tblMatriculas[[#This Row],[Clases]])-1)),"")</f>
        <v>1</v>
      </c>
      <c r="M1459" s="14">
        <f>IFERROR(VALUE(MID(tblMatriculas[[#This Row],[Clases]],FIND("/",tblMatriculas[[#This Row],[Clases]])+1,5)),"")</f>
        <v>30</v>
      </c>
      <c r="N14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59" s="14">
        <f>IF(OR(tblMatriculas[[#This Row],[Estado]]&lt;&gt;"activa",tblMatriculas[[#This Row],[Clases dictadas]]=""),"",MAX(0,tblMatriculas[[#This Row],[Clases dictadas]]-tblMatriculas[[#This Row],[Asistidas]]))</f>
        <v>0</v>
      </c>
      <c r="P1459" s="1">
        <f>IF(OR(tblMatriculas[[#This Row],[Estado]]&lt;&gt;"activa",tblMatriculas[[#This Row],[Asistidas]]=""),"",tblMatriculas[[#This Row],[Asistencia]])</f>
        <v>3.3000000000000002E-2</v>
      </c>
      <c r="Q1459" t="b">
        <f>AND(tblMatriculas[[#This Row],[Estado]]="activa",ISNUMBER(tblMatriculas[[#This Row],[% asistencia]]),NOT(ISNUMBER(SEARCH(pPrueba,tblMatriculas[[#This Row],[Nombre]]))))</f>
        <v>1</v>
      </c>
      <c r="R14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59" s="23" t="str" cm="1">
        <f t="array" ref="S14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59" s="23" t="str" cm="1">
        <f t="array" ref="T14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59" s="14" t="str" cm="1">
        <f t="array" ref="U14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59" t="str" cm="1">
        <f t="array" ref="V14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59" t="str" cm="1">
        <f t="array" ref="W14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59" t="str">
        <f>IF(COUNTIFS('Base Estudiantes'!$C:$C,tblMatriculas[[#This Row],[Cédula]],'Base Estudiantes'!$I:$I,tblMatriculas[[#This Row],[Código]])&gt;0,"Sí","No")</f>
        <v>Sí</v>
      </c>
      <c r="Z1459" s="23" cm="1">
        <f t="array" ref="Z1459">_xlfn.XLOOKUP(tblMatriculas[[#This Row],[Cédula]]&amp;"|"&amp;tblMatriculas[[#This Row],[Código]],tblBase[Documento]&amp;"|"&amp;tblBase[Código grupo],tblBase[Fecha matrícula],"")</f>
        <v>46263</v>
      </c>
    </row>
    <row r="1460" spans="1:26" x14ac:dyDescent="0.2">
      <c r="A1460" t="s">
        <v>3067</v>
      </c>
      <c r="B1460" t="s">
        <v>3068</v>
      </c>
      <c r="C1460" t="s">
        <v>13</v>
      </c>
      <c r="D1460" t="s">
        <v>3028</v>
      </c>
      <c r="E1460" t="s">
        <v>3029</v>
      </c>
      <c r="F1460" t="s">
        <v>649</v>
      </c>
      <c r="G1460" s="1">
        <v>3.3000000000000002E-2</v>
      </c>
      <c r="H1460" t="s">
        <v>225</v>
      </c>
      <c r="I1460" t="s">
        <v>1580</v>
      </c>
      <c r="J1460" t="s">
        <v>3030</v>
      </c>
      <c r="K1460" t="s">
        <v>24</v>
      </c>
      <c r="L1460" s="14">
        <f>IFERROR(VALUE(LEFT(tblMatriculas[[#This Row],[Clases]],FIND("/",tblMatriculas[[#This Row],[Clases]])-1)),"")</f>
        <v>1</v>
      </c>
      <c r="M1460" s="14">
        <f>IFERROR(VALUE(MID(tblMatriculas[[#This Row],[Clases]],FIND("/",tblMatriculas[[#This Row],[Clases]])+1,5)),"")</f>
        <v>30</v>
      </c>
      <c r="N14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0" s="14">
        <f>IF(OR(tblMatriculas[[#This Row],[Estado]]&lt;&gt;"activa",tblMatriculas[[#This Row],[Clases dictadas]]=""),"",MAX(0,tblMatriculas[[#This Row],[Clases dictadas]]-tblMatriculas[[#This Row],[Asistidas]]))</f>
        <v>0</v>
      </c>
      <c r="P1460" s="1">
        <f>IF(OR(tblMatriculas[[#This Row],[Estado]]&lt;&gt;"activa",tblMatriculas[[#This Row],[Asistidas]]=""),"",tblMatriculas[[#This Row],[Asistencia]])</f>
        <v>3.3000000000000002E-2</v>
      </c>
      <c r="Q1460" t="b">
        <f>AND(tblMatriculas[[#This Row],[Estado]]="activa",ISNUMBER(tblMatriculas[[#This Row],[% asistencia]]),NOT(ISNUMBER(SEARCH(pPrueba,tblMatriculas[[#This Row],[Nombre]]))))</f>
        <v>1</v>
      </c>
      <c r="R14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60" s="23" t="str" cm="1">
        <f t="array" ref="S14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0" s="23" t="str" cm="1">
        <f t="array" ref="T14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0" s="14" t="str" cm="1">
        <f t="array" ref="U14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0" t="str" cm="1">
        <f t="array" ref="V14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0" t="str" cm="1">
        <f t="array" ref="W14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60" t="str">
        <f>IF(COUNTIFS('Base Estudiantes'!$C:$C,tblMatriculas[[#This Row],[Cédula]],'Base Estudiantes'!$I:$I,tblMatriculas[[#This Row],[Código]])&gt;0,"Sí","No")</f>
        <v>Sí</v>
      </c>
      <c r="Z1460" s="23" cm="1">
        <f t="array" ref="Z1460">_xlfn.XLOOKUP(tblMatriculas[[#This Row],[Cédula]]&amp;"|"&amp;tblMatriculas[[#This Row],[Código]],tblBase[Documento]&amp;"|"&amp;tblBase[Código grupo],tblBase[Fecha matrícula],"")</f>
        <v>46263</v>
      </c>
    </row>
    <row r="1461" spans="1:26" x14ac:dyDescent="0.2">
      <c r="A1461" t="s">
        <v>3069</v>
      </c>
      <c r="B1461" t="s">
        <v>3070</v>
      </c>
      <c r="C1461" t="s">
        <v>13</v>
      </c>
      <c r="D1461" t="s">
        <v>3028</v>
      </c>
      <c r="E1461" t="s">
        <v>3029</v>
      </c>
      <c r="F1461" t="s">
        <v>649</v>
      </c>
      <c r="G1461" s="1">
        <v>0</v>
      </c>
      <c r="H1461" t="s">
        <v>254</v>
      </c>
      <c r="I1461" t="s">
        <v>1580</v>
      </c>
      <c r="J1461" t="s">
        <v>3030</v>
      </c>
      <c r="K1461" t="s">
        <v>24</v>
      </c>
      <c r="L1461" s="14">
        <f>IFERROR(VALUE(LEFT(tblMatriculas[[#This Row],[Clases]],FIND("/",tblMatriculas[[#This Row],[Clases]])-1)),"")</f>
        <v>0</v>
      </c>
      <c r="M1461" s="14">
        <f>IFERROR(VALUE(MID(tblMatriculas[[#This Row],[Clases]],FIND("/",tblMatriculas[[#This Row],[Clases]])+1,5)),"")</f>
        <v>30</v>
      </c>
      <c r="N14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1" s="14">
        <f>IF(OR(tblMatriculas[[#This Row],[Estado]]&lt;&gt;"activa",tblMatriculas[[#This Row],[Clases dictadas]]=""),"",MAX(0,tblMatriculas[[#This Row],[Clases dictadas]]-tblMatriculas[[#This Row],[Asistidas]]))</f>
        <v>1</v>
      </c>
      <c r="P1461" s="1">
        <f>IF(OR(tblMatriculas[[#This Row],[Estado]]&lt;&gt;"activa",tblMatriculas[[#This Row],[Asistidas]]=""),"",tblMatriculas[[#This Row],[Asistencia]])</f>
        <v>0</v>
      </c>
      <c r="Q1461" t="b">
        <f>AND(tblMatriculas[[#This Row],[Estado]]="activa",ISNUMBER(tblMatriculas[[#This Row],[% asistencia]]),NOT(ISNUMBER(SEARCH(pPrueba,tblMatriculas[[#This Row],[Nombre]]))))</f>
        <v>1</v>
      </c>
      <c r="R14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61" s="23" t="str" cm="1">
        <f t="array" ref="S14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1" s="23" t="str" cm="1">
        <f t="array" ref="T14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1" s="14" t="str" cm="1">
        <f t="array" ref="U14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1" t="str" cm="1">
        <f t="array" ref="V14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1" t="str" cm="1">
        <f t="array" ref="W14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61" t="str">
        <f>IF(COUNTIFS('Base Estudiantes'!$C:$C,tblMatriculas[[#This Row],[Cédula]],'Base Estudiantes'!$I:$I,tblMatriculas[[#This Row],[Código]])&gt;0,"Sí","No")</f>
        <v>Sí</v>
      </c>
      <c r="Z1461" s="23" cm="1">
        <f t="array" ref="Z1461">_xlfn.XLOOKUP(tblMatriculas[[#This Row],[Cédula]]&amp;"|"&amp;tblMatriculas[[#This Row],[Código]],tblBase[Documento]&amp;"|"&amp;tblBase[Código grupo],tblBase[Fecha matrícula],"")</f>
        <v>46263</v>
      </c>
    </row>
    <row r="1462" spans="1:26" x14ac:dyDescent="0.2">
      <c r="A1462" t="s">
        <v>3071</v>
      </c>
      <c r="B1462" t="s">
        <v>3072</v>
      </c>
      <c r="C1462" t="s">
        <v>13</v>
      </c>
      <c r="D1462" t="s">
        <v>3028</v>
      </c>
      <c r="E1462" t="s">
        <v>3029</v>
      </c>
      <c r="F1462" t="s">
        <v>649</v>
      </c>
      <c r="G1462" s="1">
        <v>0</v>
      </c>
      <c r="H1462" t="s">
        <v>254</v>
      </c>
      <c r="I1462" t="s">
        <v>1580</v>
      </c>
      <c r="J1462" t="s">
        <v>3030</v>
      </c>
      <c r="K1462" t="s">
        <v>24</v>
      </c>
      <c r="L1462" s="14">
        <f>IFERROR(VALUE(LEFT(tblMatriculas[[#This Row],[Clases]],FIND("/",tblMatriculas[[#This Row],[Clases]])-1)),"")</f>
        <v>0</v>
      </c>
      <c r="M1462" s="14">
        <f>IFERROR(VALUE(MID(tblMatriculas[[#This Row],[Clases]],FIND("/",tblMatriculas[[#This Row],[Clases]])+1,5)),"")</f>
        <v>30</v>
      </c>
      <c r="N14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2" s="14">
        <f>IF(OR(tblMatriculas[[#This Row],[Estado]]&lt;&gt;"activa",tblMatriculas[[#This Row],[Clases dictadas]]=""),"",MAX(0,tblMatriculas[[#This Row],[Clases dictadas]]-tblMatriculas[[#This Row],[Asistidas]]))</f>
        <v>1</v>
      </c>
      <c r="P1462" s="1">
        <f>IF(OR(tblMatriculas[[#This Row],[Estado]]&lt;&gt;"activa",tblMatriculas[[#This Row],[Asistidas]]=""),"",tblMatriculas[[#This Row],[Asistencia]])</f>
        <v>0</v>
      </c>
      <c r="Q1462" t="b">
        <f>AND(tblMatriculas[[#This Row],[Estado]]="activa",ISNUMBER(tblMatriculas[[#This Row],[% asistencia]]),NOT(ISNUMBER(SEARCH(pPrueba,tblMatriculas[[#This Row],[Nombre]]))))</f>
        <v>1</v>
      </c>
      <c r="R14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62" s="23" t="str" cm="1">
        <f t="array" ref="S14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2" s="23" t="str" cm="1">
        <f t="array" ref="T14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2" s="14" t="str" cm="1">
        <f t="array" ref="U14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2" t="str" cm="1">
        <f t="array" ref="V14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2" t="str" cm="1">
        <f t="array" ref="W14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62" t="str">
        <f>IF(COUNTIFS('Base Estudiantes'!$C:$C,tblMatriculas[[#This Row],[Cédula]],'Base Estudiantes'!$I:$I,tblMatriculas[[#This Row],[Código]])&gt;0,"Sí","No")</f>
        <v>Sí</v>
      </c>
      <c r="Z1462" s="23" cm="1">
        <f t="array" ref="Z1462">_xlfn.XLOOKUP(tblMatriculas[[#This Row],[Cédula]]&amp;"|"&amp;tblMatriculas[[#This Row],[Código]],tblBase[Documento]&amp;"|"&amp;tblBase[Código grupo],tblBase[Fecha matrícula],"")</f>
        <v>46263</v>
      </c>
    </row>
    <row r="1463" spans="1:26" x14ac:dyDescent="0.2">
      <c r="A1463" t="s">
        <v>3073</v>
      </c>
      <c r="B1463" t="s">
        <v>3074</v>
      </c>
      <c r="C1463" t="s">
        <v>13</v>
      </c>
      <c r="D1463" t="s">
        <v>3028</v>
      </c>
      <c r="E1463" t="s">
        <v>3029</v>
      </c>
      <c r="F1463" t="s">
        <v>649</v>
      </c>
      <c r="G1463" s="1">
        <v>3.3000000000000002E-2</v>
      </c>
      <c r="H1463" t="s">
        <v>225</v>
      </c>
      <c r="I1463" t="s">
        <v>1580</v>
      </c>
      <c r="J1463" t="s">
        <v>3030</v>
      </c>
      <c r="K1463" t="s">
        <v>24</v>
      </c>
      <c r="L1463" s="14">
        <f>IFERROR(VALUE(LEFT(tblMatriculas[[#This Row],[Clases]],FIND("/",tblMatriculas[[#This Row],[Clases]])-1)),"")</f>
        <v>1</v>
      </c>
      <c r="M1463" s="14">
        <f>IFERROR(VALUE(MID(tblMatriculas[[#This Row],[Clases]],FIND("/",tblMatriculas[[#This Row],[Clases]])+1,5)),"")</f>
        <v>30</v>
      </c>
      <c r="N14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3" s="14">
        <f>IF(OR(tblMatriculas[[#This Row],[Estado]]&lt;&gt;"activa",tblMatriculas[[#This Row],[Clases dictadas]]=""),"",MAX(0,tblMatriculas[[#This Row],[Clases dictadas]]-tblMatriculas[[#This Row],[Asistidas]]))</f>
        <v>0</v>
      </c>
      <c r="P1463" s="1">
        <f>IF(OR(tblMatriculas[[#This Row],[Estado]]&lt;&gt;"activa",tblMatriculas[[#This Row],[Asistidas]]=""),"",tblMatriculas[[#This Row],[Asistencia]])</f>
        <v>3.3000000000000002E-2</v>
      </c>
      <c r="Q1463" t="b">
        <f>AND(tblMatriculas[[#This Row],[Estado]]="activa",ISNUMBER(tblMatriculas[[#This Row],[% asistencia]]),NOT(ISNUMBER(SEARCH(pPrueba,tblMatriculas[[#This Row],[Nombre]]))))</f>
        <v>1</v>
      </c>
      <c r="R14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63" s="23" t="str" cm="1">
        <f t="array" ref="S14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3" s="23" t="str" cm="1">
        <f t="array" ref="T14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3" s="14" t="str" cm="1">
        <f t="array" ref="U14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3" t="str" cm="1">
        <f t="array" ref="V14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3" t="str" cm="1">
        <f t="array" ref="W14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63" t="str">
        <f>IF(COUNTIFS('Base Estudiantes'!$C:$C,tblMatriculas[[#This Row],[Cédula]],'Base Estudiantes'!$I:$I,tblMatriculas[[#This Row],[Código]])&gt;0,"Sí","No")</f>
        <v>Sí</v>
      </c>
      <c r="Z1463" s="23" cm="1">
        <f t="array" ref="Z1463">_xlfn.XLOOKUP(tblMatriculas[[#This Row],[Cédula]]&amp;"|"&amp;tblMatriculas[[#This Row],[Código]],tblBase[Documento]&amp;"|"&amp;tblBase[Código grupo],tblBase[Fecha matrícula],"")</f>
        <v>46263</v>
      </c>
    </row>
    <row r="1464" spans="1:26" x14ac:dyDescent="0.2">
      <c r="A1464" t="s">
        <v>2865</v>
      </c>
      <c r="B1464" t="s">
        <v>2866</v>
      </c>
      <c r="C1464" t="s">
        <v>49</v>
      </c>
      <c r="D1464" t="s">
        <v>3028</v>
      </c>
      <c r="E1464" t="s">
        <v>3029</v>
      </c>
      <c r="F1464" t="s">
        <v>649</v>
      </c>
      <c r="G1464" s="1">
        <v>0</v>
      </c>
      <c r="H1464" t="s">
        <v>1128</v>
      </c>
      <c r="I1464" t="s">
        <v>1580</v>
      </c>
      <c r="J1464" t="s">
        <v>3030</v>
      </c>
      <c r="K1464" t="s">
        <v>24</v>
      </c>
      <c r="L1464" s="14">
        <f>IFERROR(VALUE(LEFT(tblMatriculas[[#This Row],[Clases]],FIND("/",tblMatriculas[[#This Row],[Clases]])-1)),"")</f>
        <v>0</v>
      </c>
      <c r="M1464" s="14">
        <f>IFERROR(VALUE(MID(tblMatriculas[[#This Row],[Clases]],FIND("/",tblMatriculas[[#This Row],[Clases]])+1,5)),"")</f>
        <v>60</v>
      </c>
      <c r="N14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64" s="14" t="str">
        <f>IF(OR(tblMatriculas[[#This Row],[Estado]]&lt;&gt;"activa",tblMatriculas[[#This Row],[Clases dictadas]]=""),"",MAX(0,tblMatriculas[[#This Row],[Clases dictadas]]-tblMatriculas[[#This Row],[Asistidas]]))</f>
        <v/>
      </c>
      <c r="P1464" s="1" t="str">
        <f>IF(OR(tblMatriculas[[#This Row],[Estado]]&lt;&gt;"activa",tblMatriculas[[#This Row],[Asistidas]]=""),"",tblMatriculas[[#This Row],[Asistencia]])</f>
        <v/>
      </c>
      <c r="Q1464" t="b">
        <f>AND(tblMatriculas[[#This Row],[Estado]]="activa",ISNUMBER(tblMatriculas[[#This Row],[% asistencia]]),NOT(ISNUMBER(SEARCH(pPrueba,tblMatriculas[[#This Row],[Nombre]]))))</f>
        <v>0</v>
      </c>
      <c r="R14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464" s="23" t="str" cm="1">
        <f t="array" ref="S14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4" s="23" t="str" cm="1">
        <f t="array" ref="T14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4" s="14" t="str" cm="1">
        <f t="array" ref="U14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4" t="str" cm="1">
        <f t="array" ref="V14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4" t="str" cm="1">
        <f t="array" ref="W14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64" t="str">
        <f>IF(COUNTIFS('Base Estudiantes'!$C:$C,tblMatriculas[[#This Row],[Cédula]],'Base Estudiantes'!$I:$I,tblMatriculas[[#This Row],[Código]])&gt;0,"Sí","No")</f>
        <v>No</v>
      </c>
      <c r="Z1464" s="23" t="str" cm="1">
        <f t="array" ref="Z1464">_xlfn.XLOOKUP(tblMatriculas[[#This Row],[Cédula]]&amp;"|"&amp;tblMatriculas[[#This Row],[Código]],tblBase[Documento]&amp;"|"&amp;tblBase[Código grupo],tblBase[Fecha matrícula],"")</f>
        <v/>
      </c>
    </row>
    <row r="1465" spans="1:26" x14ac:dyDescent="0.2">
      <c r="A1465" t="s">
        <v>3075</v>
      </c>
      <c r="B1465" t="s">
        <v>3076</v>
      </c>
      <c r="C1465" t="s">
        <v>13</v>
      </c>
      <c r="D1465" t="s">
        <v>3028</v>
      </c>
      <c r="E1465" t="s">
        <v>3029</v>
      </c>
      <c r="F1465" t="s">
        <v>649</v>
      </c>
      <c r="G1465" s="1">
        <v>3.3000000000000002E-2</v>
      </c>
      <c r="H1465" t="s">
        <v>225</v>
      </c>
      <c r="I1465" t="s">
        <v>1580</v>
      </c>
      <c r="J1465" t="s">
        <v>3030</v>
      </c>
      <c r="K1465" t="s">
        <v>3025</v>
      </c>
      <c r="L1465" s="14">
        <f>IFERROR(VALUE(LEFT(tblMatriculas[[#This Row],[Clases]],FIND("/",tblMatriculas[[#This Row],[Clases]])-1)),"")</f>
        <v>1</v>
      </c>
      <c r="M1465" s="14">
        <f>IFERROR(VALUE(MID(tblMatriculas[[#This Row],[Clases]],FIND("/",tblMatriculas[[#This Row],[Clases]])+1,5)),"")</f>
        <v>30</v>
      </c>
      <c r="N14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5" s="14">
        <f>IF(OR(tblMatriculas[[#This Row],[Estado]]&lt;&gt;"activa",tblMatriculas[[#This Row],[Clases dictadas]]=""),"",MAX(0,tblMatriculas[[#This Row],[Clases dictadas]]-tblMatriculas[[#This Row],[Asistidas]]))</f>
        <v>0</v>
      </c>
      <c r="P1465" s="1">
        <f>IF(OR(tblMatriculas[[#This Row],[Estado]]&lt;&gt;"activa",tblMatriculas[[#This Row],[Asistidas]]=""),"",tblMatriculas[[#This Row],[Asistencia]])</f>
        <v>3.3000000000000002E-2</v>
      </c>
      <c r="Q1465" t="b">
        <f>AND(tblMatriculas[[#This Row],[Estado]]="activa",ISNUMBER(tblMatriculas[[#This Row],[% asistencia]]),NOT(ISNUMBER(SEARCH(pPrueba,tblMatriculas[[#This Row],[Nombre]]))))</f>
        <v>1</v>
      </c>
      <c r="R14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65" s="23" t="str" cm="1">
        <f t="array" ref="S14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5" s="23" t="str" cm="1">
        <f t="array" ref="T14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5" s="14" t="str" cm="1">
        <f t="array" ref="U14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5" t="str" cm="1">
        <f t="array" ref="V14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5" t="str" cm="1">
        <f t="array" ref="W14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65" t="str">
        <f>IF(COUNTIFS('Base Estudiantes'!$C:$C,tblMatriculas[[#This Row],[Cédula]],'Base Estudiantes'!$I:$I,tblMatriculas[[#This Row],[Código]])&gt;0,"Sí","No")</f>
        <v>Sí</v>
      </c>
      <c r="Z1465" s="23" cm="1">
        <f t="array" ref="Z1465">_xlfn.XLOOKUP(tblMatriculas[[#This Row],[Cédula]]&amp;"|"&amp;tblMatriculas[[#This Row],[Código]],tblBase[Documento]&amp;"|"&amp;tblBase[Código grupo],tblBase[Fecha matrícula],"")</f>
        <v>46263</v>
      </c>
    </row>
    <row r="1466" spans="1:26" x14ac:dyDescent="0.2">
      <c r="A1466" t="s">
        <v>3077</v>
      </c>
      <c r="B1466" t="s">
        <v>3078</v>
      </c>
      <c r="C1466" t="s">
        <v>13</v>
      </c>
      <c r="D1466" t="s">
        <v>3028</v>
      </c>
      <c r="E1466" t="s">
        <v>3029</v>
      </c>
      <c r="F1466" t="s">
        <v>649</v>
      </c>
      <c r="G1466" s="1">
        <v>0</v>
      </c>
      <c r="H1466" t="s">
        <v>254</v>
      </c>
      <c r="I1466" t="s">
        <v>1580</v>
      </c>
      <c r="J1466" t="s">
        <v>3030</v>
      </c>
      <c r="K1466" t="s">
        <v>1967</v>
      </c>
      <c r="L1466" s="14">
        <f>IFERROR(VALUE(LEFT(tblMatriculas[[#This Row],[Clases]],FIND("/",tblMatriculas[[#This Row],[Clases]])-1)),"")</f>
        <v>0</v>
      </c>
      <c r="M1466" s="14">
        <f>IFERROR(VALUE(MID(tblMatriculas[[#This Row],[Clases]],FIND("/",tblMatriculas[[#This Row],[Clases]])+1,5)),"")</f>
        <v>30</v>
      </c>
      <c r="N14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6" s="14">
        <f>IF(OR(tblMatriculas[[#This Row],[Estado]]&lt;&gt;"activa",tblMatriculas[[#This Row],[Clases dictadas]]=""),"",MAX(0,tblMatriculas[[#This Row],[Clases dictadas]]-tblMatriculas[[#This Row],[Asistidas]]))</f>
        <v>1</v>
      </c>
      <c r="P1466" s="1">
        <f>IF(OR(tblMatriculas[[#This Row],[Estado]]&lt;&gt;"activa",tblMatriculas[[#This Row],[Asistidas]]=""),"",tblMatriculas[[#This Row],[Asistencia]])</f>
        <v>0</v>
      </c>
      <c r="Q1466" t="b">
        <f>AND(tblMatriculas[[#This Row],[Estado]]="activa",ISNUMBER(tblMatriculas[[#This Row],[% asistencia]]),NOT(ISNUMBER(SEARCH(pPrueba,tblMatriculas[[#This Row],[Nombre]]))))</f>
        <v>1</v>
      </c>
      <c r="R14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466" s="23" t="str" cm="1">
        <f t="array" ref="S14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6" s="23" t="str" cm="1">
        <f t="array" ref="T14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6" s="14" t="str" cm="1">
        <f t="array" ref="U14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6" t="str" cm="1">
        <f t="array" ref="V14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6" t="str" cm="1">
        <f t="array" ref="W14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46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466" t="str">
        <f>IF(COUNTIFS('Base Estudiantes'!$C:$C,tblMatriculas[[#This Row],[Cédula]],'Base Estudiantes'!$I:$I,tblMatriculas[[#This Row],[Código]])&gt;0,"Sí","No")</f>
        <v>Sí</v>
      </c>
      <c r="Z1466" s="23" cm="1">
        <f t="array" ref="Z1466">_xlfn.XLOOKUP(tblMatriculas[[#This Row],[Cédula]]&amp;"|"&amp;tblMatriculas[[#This Row],[Código]],tblBase[Documento]&amp;"|"&amp;tblBase[Código grupo],tblBase[Fecha matrícula],"")</f>
        <v>46263</v>
      </c>
    </row>
    <row r="1467" spans="1:26" x14ac:dyDescent="0.2">
      <c r="A1467" t="s">
        <v>3079</v>
      </c>
      <c r="B1467" t="s">
        <v>3080</v>
      </c>
      <c r="C1467" t="s">
        <v>13</v>
      </c>
      <c r="D1467" t="s">
        <v>3028</v>
      </c>
      <c r="E1467" t="s">
        <v>3029</v>
      </c>
      <c r="F1467" t="s">
        <v>649</v>
      </c>
      <c r="G1467" s="1">
        <v>3.3000000000000002E-2</v>
      </c>
      <c r="H1467" t="s">
        <v>225</v>
      </c>
      <c r="I1467" t="s">
        <v>1580</v>
      </c>
      <c r="J1467" t="s">
        <v>3030</v>
      </c>
      <c r="K1467" t="s">
        <v>1986</v>
      </c>
      <c r="L1467" s="14">
        <f>IFERROR(VALUE(LEFT(tblMatriculas[[#This Row],[Clases]],FIND("/",tblMatriculas[[#This Row],[Clases]])-1)),"")</f>
        <v>1</v>
      </c>
      <c r="M1467" s="14">
        <f>IFERROR(VALUE(MID(tblMatriculas[[#This Row],[Clases]],FIND("/",tblMatriculas[[#This Row],[Clases]])+1,5)),"")</f>
        <v>30</v>
      </c>
      <c r="N14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</v>
      </c>
      <c r="O1467" s="14">
        <f>IF(OR(tblMatriculas[[#This Row],[Estado]]&lt;&gt;"activa",tblMatriculas[[#This Row],[Clases dictadas]]=""),"",MAX(0,tblMatriculas[[#This Row],[Clases dictadas]]-tblMatriculas[[#This Row],[Asistidas]]))</f>
        <v>0</v>
      </c>
      <c r="P1467" s="1">
        <f>IF(OR(tblMatriculas[[#This Row],[Estado]]&lt;&gt;"activa",tblMatriculas[[#This Row],[Asistidas]]=""),"",tblMatriculas[[#This Row],[Asistencia]])</f>
        <v>3.3000000000000002E-2</v>
      </c>
      <c r="Q1467" t="b">
        <f>AND(tblMatriculas[[#This Row],[Estado]]="activa",ISNUMBER(tblMatriculas[[#This Row],[% asistencia]]),NOT(ISNUMBER(SEARCH(pPrueba,tblMatriculas[[#This Row],[Nombre]]))))</f>
        <v>1</v>
      </c>
      <c r="R14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67" s="23" t="str" cm="1">
        <f t="array" ref="S14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7" s="23" t="str" cm="1">
        <f t="array" ref="T14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7" s="14" t="str" cm="1">
        <f t="array" ref="U14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7" t="str" cm="1">
        <f t="array" ref="V14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7" t="str" cm="1">
        <f t="array" ref="W14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67" t="str">
        <f>IF(COUNTIFS('Base Estudiantes'!$C:$C,tblMatriculas[[#This Row],[Cédula]],'Base Estudiantes'!$I:$I,tblMatriculas[[#This Row],[Código]])&gt;0,"Sí","No")</f>
        <v>Sí</v>
      </c>
      <c r="Z1467" s="23" cm="1">
        <f t="array" ref="Z1467">_xlfn.XLOOKUP(tblMatriculas[[#This Row],[Cédula]]&amp;"|"&amp;tblMatriculas[[#This Row],[Código]],tblBase[Documento]&amp;"|"&amp;tblBase[Código grupo],tblBase[Fecha matrícula],"")</f>
        <v>46263</v>
      </c>
    </row>
    <row r="1468" spans="1:26" x14ac:dyDescent="0.2">
      <c r="A1468" t="s">
        <v>3081</v>
      </c>
      <c r="B1468" t="s">
        <v>3082</v>
      </c>
      <c r="C1468" t="s">
        <v>13</v>
      </c>
      <c r="D1468" t="s">
        <v>3083</v>
      </c>
      <c r="E1468" t="s">
        <v>3084</v>
      </c>
      <c r="F1468" t="s">
        <v>516</v>
      </c>
      <c r="G1468" s="1">
        <v>6.7000000000000004E-2</v>
      </c>
      <c r="H1468" t="s">
        <v>166</v>
      </c>
      <c r="I1468" t="s">
        <v>1580</v>
      </c>
      <c r="J1468" t="s">
        <v>2649</v>
      </c>
      <c r="K1468" t="s">
        <v>24</v>
      </c>
      <c r="L1468" s="14">
        <f>IFERROR(VALUE(LEFT(tblMatriculas[[#This Row],[Clases]],FIND("/",tblMatriculas[[#This Row],[Clases]])-1)),"")</f>
        <v>2</v>
      </c>
      <c r="M1468" s="14">
        <f>IFERROR(VALUE(MID(tblMatriculas[[#This Row],[Clases]],FIND("/",tblMatriculas[[#This Row],[Clases]])+1,5)),"")</f>
        <v>30</v>
      </c>
      <c r="N14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68" s="14">
        <f>IF(OR(tblMatriculas[[#This Row],[Estado]]&lt;&gt;"activa",tblMatriculas[[#This Row],[Clases dictadas]]=""),"",MAX(0,tblMatriculas[[#This Row],[Clases dictadas]]-tblMatriculas[[#This Row],[Asistidas]]))</f>
        <v>0</v>
      </c>
      <c r="P1468" s="1">
        <f>IF(OR(tblMatriculas[[#This Row],[Estado]]&lt;&gt;"activa",tblMatriculas[[#This Row],[Asistidas]]=""),"",tblMatriculas[[#This Row],[Asistencia]])</f>
        <v>6.7000000000000004E-2</v>
      </c>
      <c r="Q1468" t="b">
        <f>AND(tblMatriculas[[#This Row],[Estado]]="activa",ISNUMBER(tblMatriculas[[#This Row],[% asistencia]]),NOT(ISNUMBER(SEARCH(pPrueba,tblMatriculas[[#This Row],[Nombre]]))))</f>
        <v>0</v>
      </c>
      <c r="R14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Prueba</v>
      </c>
      <c r="S1468" s="23" t="str" cm="1">
        <f t="array" ref="S14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8" s="23" t="str" cm="1">
        <f t="array" ref="T14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8" s="14" t="str" cm="1">
        <f t="array" ref="U14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8" t="str" cm="1">
        <f t="array" ref="V14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8" t="str" cm="1">
        <f t="array" ref="W14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4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468" t="str">
        <f>IF(COUNTIFS('Base Estudiantes'!$C:$C,tblMatriculas[[#This Row],[Cédula]],'Base Estudiantes'!$I:$I,tblMatriculas[[#This Row],[Código]])&gt;0,"Sí","No")</f>
        <v>Sí</v>
      </c>
      <c r="Z1468" s="23" cm="1">
        <f t="array" ref="Z1468">_xlfn.XLOOKUP(tblMatriculas[[#This Row],[Cédula]]&amp;"|"&amp;tblMatriculas[[#This Row],[Código]],tblBase[Documento]&amp;"|"&amp;tblBase[Código grupo],tblBase[Fecha matrícula],"")</f>
        <v>46263</v>
      </c>
    </row>
    <row r="1469" spans="1:26" x14ac:dyDescent="0.2">
      <c r="A1469" t="s">
        <v>3085</v>
      </c>
      <c r="B1469" t="s">
        <v>3086</v>
      </c>
      <c r="C1469" t="s">
        <v>13</v>
      </c>
      <c r="D1469" t="s">
        <v>3083</v>
      </c>
      <c r="E1469" t="s">
        <v>3084</v>
      </c>
      <c r="F1469" t="s">
        <v>516</v>
      </c>
      <c r="G1469" s="1">
        <v>6.7000000000000004E-2</v>
      </c>
      <c r="H1469" t="s">
        <v>166</v>
      </c>
      <c r="I1469" t="s">
        <v>1580</v>
      </c>
      <c r="J1469" t="s">
        <v>2649</v>
      </c>
      <c r="K1469" t="s">
        <v>24</v>
      </c>
      <c r="L1469" s="14">
        <f>IFERROR(VALUE(LEFT(tblMatriculas[[#This Row],[Clases]],FIND("/",tblMatriculas[[#This Row],[Clases]])-1)),"")</f>
        <v>2</v>
      </c>
      <c r="M1469" s="14">
        <f>IFERROR(VALUE(MID(tblMatriculas[[#This Row],[Clases]],FIND("/",tblMatriculas[[#This Row],[Clases]])+1,5)),"")</f>
        <v>30</v>
      </c>
      <c r="N14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69" s="14">
        <f>IF(OR(tblMatriculas[[#This Row],[Estado]]&lt;&gt;"activa",tblMatriculas[[#This Row],[Clases dictadas]]=""),"",MAX(0,tblMatriculas[[#This Row],[Clases dictadas]]-tblMatriculas[[#This Row],[Asistidas]]))</f>
        <v>0</v>
      </c>
      <c r="P1469" s="1">
        <f>IF(OR(tblMatriculas[[#This Row],[Estado]]&lt;&gt;"activa",tblMatriculas[[#This Row],[Asistidas]]=""),"",tblMatriculas[[#This Row],[Asistencia]])</f>
        <v>6.7000000000000004E-2</v>
      </c>
      <c r="Q1469" t="b">
        <f>AND(tblMatriculas[[#This Row],[Estado]]="activa",ISNUMBER(tblMatriculas[[#This Row],[% asistencia]]),NOT(ISNUMBER(SEARCH(pPrueba,tblMatriculas[[#This Row],[Nombre]]))))</f>
        <v>1</v>
      </c>
      <c r="R14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69" s="23" t="str" cm="1">
        <f t="array" ref="S14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69" s="23" t="str" cm="1">
        <f t="array" ref="T14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69" s="14" t="str" cm="1">
        <f t="array" ref="U14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69" t="str" cm="1">
        <f t="array" ref="V14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69" t="str" cm="1">
        <f t="array" ref="W14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69" t="str">
        <f>IF(COUNTIFS('Base Estudiantes'!$C:$C,tblMatriculas[[#This Row],[Cédula]],'Base Estudiantes'!$I:$I,tblMatriculas[[#This Row],[Código]])&gt;0,"Sí","No")</f>
        <v>Sí</v>
      </c>
      <c r="Z1469" s="23" cm="1">
        <f t="array" ref="Z1469">_xlfn.XLOOKUP(tblMatriculas[[#This Row],[Cédula]]&amp;"|"&amp;tblMatriculas[[#This Row],[Código]],tblBase[Documento]&amp;"|"&amp;tblBase[Código grupo],tblBase[Fecha matrícula],"")</f>
        <v>46263</v>
      </c>
    </row>
    <row r="1470" spans="1:26" x14ac:dyDescent="0.2">
      <c r="A1470" t="s">
        <v>3087</v>
      </c>
      <c r="B1470" t="s">
        <v>3088</v>
      </c>
      <c r="C1470" t="s">
        <v>13</v>
      </c>
      <c r="D1470" t="s">
        <v>3083</v>
      </c>
      <c r="E1470" t="s">
        <v>3084</v>
      </c>
      <c r="F1470" t="s">
        <v>516</v>
      </c>
      <c r="G1470" s="1">
        <v>6.7000000000000004E-2</v>
      </c>
      <c r="H1470" t="s">
        <v>166</v>
      </c>
      <c r="I1470" t="s">
        <v>1580</v>
      </c>
      <c r="J1470" t="s">
        <v>2649</v>
      </c>
      <c r="K1470" t="s">
        <v>24</v>
      </c>
      <c r="L1470" s="14">
        <f>IFERROR(VALUE(LEFT(tblMatriculas[[#This Row],[Clases]],FIND("/",tblMatriculas[[#This Row],[Clases]])-1)),"")</f>
        <v>2</v>
      </c>
      <c r="M1470" s="14">
        <f>IFERROR(VALUE(MID(tblMatriculas[[#This Row],[Clases]],FIND("/",tblMatriculas[[#This Row],[Clases]])+1,5)),"")</f>
        <v>30</v>
      </c>
      <c r="N14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0" s="14">
        <f>IF(OR(tblMatriculas[[#This Row],[Estado]]&lt;&gt;"activa",tblMatriculas[[#This Row],[Clases dictadas]]=""),"",MAX(0,tblMatriculas[[#This Row],[Clases dictadas]]-tblMatriculas[[#This Row],[Asistidas]]))</f>
        <v>0</v>
      </c>
      <c r="P1470" s="1">
        <f>IF(OR(tblMatriculas[[#This Row],[Estado]]&lt;&gt;"activa",tblMatriculas[[#This Row],[Asistidas]]=""),"",tblMatriculas[[#This Row],[Asistencia]])</f>
        <v>6.7000000000000004E-2</v>
      </c>
      <c r="Q1470" t="b">
        <f>AND(tblMatriculas[[#This Row],[Estado]]="activa",ISNUMBER(tblMatriculas[[#This Row],[% asistencia]]),NOT(ISNUMBER(SEARCH(pPrueba,tblMatriculas[[#This Row],[Nombre]]))))</f>
        <v>1</v>
      </c>
      <c r="R14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0" s="23" t="str" cm="1">
        <f t="array" ref="S14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0" s="23" t="str" cm="1">
        <f t="array" ref="T14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0" s="14" t="str" cm="1">
        <f t="array" ref="U14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0" t="str" cm="1">
        <f t="array" ref="V14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0" t="str" cm="1">
        <f t="array" ref="W14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0" t="str">
        <f>IF(COUNTIFS('Base Estudiantes'!$C:$C,tblMatriculas[[#This Row],[Cédula]],'Base Estudiantes'!$I:$I,tblMatriculas[[#This Row],[Código]])&gt;0,"Sí","No")</f>
        <v>Sí</v>
      </c>
      <c r="Z1470" s="23" cm="1">
        <f t="array" ref="Z1470">_xlfn.XLOOKUP(tblMatriculas[[#This Row],[Cédula]]&amp;"|"&amp;tblMatriculas[[#This Row],[Código]],tblBase[Documento]&amp;"|"&amp;tblBase[Código grupo],tblBase[Fecha matrícula],"")</f>
        <v>46263</v>
      </c>
    </row>
    <row r="1471" spans="1:26" x14ac:dyDescent="0.2">
      <c r="A1471" t="s">
        <v>3089</v>
      </c>
      <c r="B1471" t="s">
        <v>3090</v>
      </c>
      <c r="C1471" t="s">
        <v>13</v>
      </c>
      <c r="D1471" t="s">
        <v>3083</v>
      </c>
      <c r="E1471" t="s">
        <v>3084</v>
      </c>
      <c r="F1471" t="s">
        <v>516</v>
      </c>
      <c r="G1471" s="1">
        <v>3.3000000000000002E-2</v>
      </c>
      <c r="H1471" t="s">
        <v>225</v>
      </c>
      <c r="I1471" t="s">
        <v>1580</v>
      </c>
      <c r="J1471" t="s">
        <v>2649</v>
      </c>
      <c r="K1471" t="s">
        <v>24</v>
      </c>
      <c r="L1471" s="14">
        <f>IFERROR(VALUE(LEFT(tblMatriculas[[#This Row],[Clases]],FIND("/",tblMatriculas[[#This Row],[Clases]])-1)),"")</f>
        <v>1</v>
      </c>
      <c r="M1471" s="14">
        <f>IFERROR(VALUE(MID(tblMatriculas[[#This Row],[Clases]],FIND("/",tblMatriculas[[#This Row],[Clases]])+1,5)),"")</f>
        <v>30</v>
      </c>
      <c r="N14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1" s="14">
        <f>IF(OR(tblMatriculas[[#This Row],[Estado]]&lt;&gt;"activa",tblMatriculas[[#This Row],[Clases dictadas]]=""),"",MAX(0,tblMatriculas[[#This Row],[Clases dictadas]]-tblMatriculas[[#This Row],[Asistidas]]))</f>
        <v>1</v>
      </c>
      <c r="P1471" s="1">
        <f>IF(OR(tblMatriculas[[#This Row],[Estado]]&lt;&gt;"activa",tblMatriculas[[#This Row],[Asistidas]]=""),"",tblMatriculas[[#This Row],[Asistencia]])</f>
        <v>3.3000000000000002E-2</v>
      </c>
      <c r="Q1471" t="b">
        <f>AND(tblMatriculas[[#This Row],[Estado]]="activa",ISNUMBER(tblMatriculas[[#This Row],[% asistencia]]),NOT(ISNUMBER(SEARCH(pPrueba,tblMatriculas[[#This Row],[Nombre]]))))</f>
        <v>1</v>
      </c>
      <c r="R14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71" s="23" t="str" cm="1">
        <f t="array" ref="S14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1" s="23" t="str" cm="1">
        <f t="array" ref="T14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1" s="14" t="str" cm="1">
        <f t="array" ref="U14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1" t="str" cm="1">
        <f t="array" ref="V14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1" t="str" cm="1">
        <f t="array" ref="W14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71" t="str">
        <f>IF(COUNTIFS('Base Estudiantes'!$C:$C,tblMatriculas[[#This Row],[Cédula]],'Base Estudiantes'!$I:$I,tblMatriculas[[#This Row],[Código]])&gt;0,"Sí","No")</f>
        <v>Sí</v>
      </c>
      <c r="Z1471" s="23" cm="1">
        <f t="array" ref="Z1471">_xlfn.XLOOKUP(tblMatriculas[[#This Row],[Cédula]]&amp;"|"&amp;tblMatriculas[[#This Row],[Código]],tblBase[Documento]&amp;"|"&amp;tblBase[Código grupo],tblBase[Fecha matrícula],"")</f>
        <v>46263</v>
      </c>
    </row>
    <row r="1472" spans="1:26" x14ac:dyDescent="0.2">
      <c r="A1472" t="s">
        <v>3091</v>
      </c>
      <c r="B1472" t="s">
        <v>3092</v>
      </c>
      <c r="C1472" t="s">
        <v>13</v>
      </c>
      <c r="D1472" t="s">
        <v>3083</v>
      </c>
      <c r="E1472" t="s">
        <v>3084</v>
      </c>
      <c r="F1472" t="s">
        <v>516</v>
      </c>
      <c r="G1472" s="1">
        <v>6.7000000000000004E-2</v>
      </c>
      <c r="H1472" t="s">
        <v>166</v>
      </c>
      <c r="I1472" t="s">
        <v>1580</v>
      </c>
      <c r="J1472" t="s">
        <v>2649</v>
      </c>
      <c r="K1472" t="s">
        <v>24</v>
      </c>
      <c r="L1472" s="14">
        <f>IFERROR(VALUE(LEFT(tblMatriculas[[#This Row],[Clases]],FIND("/",tblMatriculas[[#This Row],[Clases]])-1)),"")</f>
        <v>2</v>
      </c>
      <c r="M1472" s="14">
        <f>IFERROR(VALUE(MID(tblMatriculas[[#This Row],[Clases]],FIND("/",tblMatriculas[[#This Row],[Clases]])+1,5)),"")</f>
        <v>30</v>
      </c>
      <c r="N14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2" s="14">
        <f>IF(OR(tblMatriculas[[#This Row],[Estado]]&lt;&gt;"activa",tblMatriculas[[#This Row],[Clases dictadas]]=""),"",MAX(0,tblMatriculas[[#This Row],[Clases dictadas]]-tblMatriculas[[#This Row],[Asistidas]]))</f>
        <v>0</v>
      </c>
      <c r="P1472" s="1">
        <f>IF(OR(tblMatriculas[[#This Row],[Estado]]&lt;&gt;"activa",tblMatriculas[[#This Row],[Asistidas]]=""),"",tblMatriculas[[#This Row],[Asistencia]])</f>
        <v>6.7000000000000004E-2</v>
      </c>
      <c r="Q1472" t="b">
        <f>AND(tblMatriculas[[#This Row],[Estado]]="activa",ISNUMBER(tblMatriculas[[#This Row],[% asistencia]]),NOT(ISNUMBER(SEARCH(pPrueba,tblMatriculas[[#This Row],[Nombre]]))))</f>
        <v>1</v>
      </c>
      <c r="R14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2" s="23" t="str" cm="1">
        <f t="array" ref="S14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2" s="23" t="str" cm="1">
        <f t="array" ref="T14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2" s="14" t="str" cm="1">
        <f t="array" ref="U14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2" t="str" cm="1">
        <f t="array" ref="V14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2" t="str" cm="1">
        <f t="array" ref="W14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2" t="str">
        <f>IF(COUNTIFS('Base Estudiantes'!$C:$C,tblMatriculas[[#This Row],[Cédula]],'Base Estudiantes'!$I:$I,tblMatriculas[[#This Row],[Código]])&gt;0,"Sí","No")</f>
        <v>Sí</v>
      </c>
      <c r="Z1472" s="23" cm="1">
        <f t="array" ref="Z1472">_xlfn.XLOOKUP(tblMatriculas[[#This Row],[Cédula]]&amp;"|"&amp;tblMatriculas[[#This Row],[Código]],tblBase[Documento]&amp;"|"&amp;tblBase[Código grupo],tblBase[Fecha matrícula],"")</f>
        <v>46263</v>
      </c>
    </row>
    <row r="1473" spans="1:26" x14ac:dyDescent="0.2">
      <c r="A1473" t="s">
        <v>3093</v>
      </c>
      <c r="B1473" t="s">
        <v>3094</v>
      </c>
      <c r="C1473" t="s">
        <v>13</v>
      </c>
      <c r="D1473" t="s">
        <v>3083</v>
      </c>
      <c r="E1473" t="s">
        <v>3084</v>
      </c>
      <c r="F1473" t="s">
        <v>516</v>
      </c>
      <c r="G1473" s="1">
        <v>6.7000000000000004E-2</v>
      </c>
      <c r="H1473" t="s">
        <v>166</v>
      </c>
      <c r="I1473" t="s">
        <v>1580</v>
      </c>
      <c r="J1473" t="s">
        <v>2649</v>
      </c>
      <c r="K1473" t="s">
        <v>24</v>
      </c>
      <c r="L1473" s="14">
        <f>IFERROR(VALUE(LEFT(tblMatriculas[[#This Row],[Clases]],FIND("/",tblMatriculas[[#This Row],[Clases]])-1)),"")</f>
        <v>2</v>
      </c>
      <c r="M1473" s="14">
        <f>IFERROR(VALUE(MID(tblMatriculas[[#This Row],[Clases]],FIND("/",tblMatriculas[[#This Row],[Clases]])+1,5)),"")</f>
        <v>30</v>
      </c>
      <c r="N14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3" s="14">
        <f>IF(OR(tblMatriculas[[#This Row],[Estado]]&lt;&gt;"activa",tblMatriculas[[#This Row],[Clases dictadas]]=""),"",MAX(0,tblMatriculas[[#This Row],[Clases dictadas]]-tblMatriculas[[#This Row],[Asistidas]]))</f>
        <v>0</v>
      </c>
      <c r="P1473" s="1">
        <f>IF(OR(tblMatriculas[[#This Row],[Estado]]&lt;&gt;"activa",tblMatriculas[[#This Row],[Asistidas]]=""),"",tblMatriculas[[#This Row],[Asistencia]])</f>
        <v>6.7000000000000004E-2</v>
      </c>
      <c r="Q1473" t="b">
        <f>AND(tblMatriculas[[#This Row],[Estado]]="activa",ISNUMBER(tblMatriculas[[#This Row],[% asistencia]]),NOT(ISNUMBER(SEARCH(pPrueba,tblMatriculas[[#This Row],[Nombre]]))))</f>
        <v>1</v>
      </c>
      <c r="R14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3" s="23" t="str" cm="1">
        <f t="array" ref="S14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3" s="23" t="str" cm="1">
        <f t="array" ref="T14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3" s="14" t="str" cm="1">
        <f t="array" ref="U14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3" t="str" cm="1">
        <f t="array" ref="V14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3" t="str" cm="1">
        <f t="array" ref="W14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3" t="str">
        <f>IF(COUNTIFS('Base Estudiantes'!$C:$C,tblMatriculas[[#This Row],[Cédula]],'Base Estudiantes'!$I:$I,tblMatriculas[[#This Row],[Código]])&gt;0,"Sí","No")</f>
        <v>Sí</v>
      </c>
      <c r="Z1473" s="23" cm="1">
        <f t="array" ref="Z1473">_xlfn.XLOOKUP(tblMatriculas[[#This Row],[Cédula]]&amp;"|"&amp;tblMatriculas[[#This Row],[Código]],tblBase[Documento]&amp;"|"&amp;tblBase[Código grupo],tblBase[Fecha matrícula],"")</f>
        <v>46263</v>
      </c>
    </row>
    <row r="1474" spans="1:26" x14ac:dyDescent="0.2">
      <c r="A1474" t="s">
        <v>3095</v>
      </c>
      <c r="B1474" t="s">
        <v>3096</v>
      </c>
      <c r="C1474" t="s">
        <v>13</v>
      </c>
      <c r="D1474" t="s">
        <v>3083</v>
      </c>
      <c r="E1474" t="s">
        <v>3084</v>
      </c>
      <c r="F1474" t="s">
        <v>516</v>
      </c>
      <c r="G1474" s="1">
        <v>6.7000000000000004E-2</v>
      </c>
      <c r="H1474" t="s">
        <v>166</v>
      </c>
      <c r="I1474" t="s">
        <v>1580</v>
      </c>
      <c r="J1474" t="s">
        <v>2649</v>
      </c>
      <c r="K1474" t="s">
        <v>24</v>
      </c>
      <c r="L1474" s="14">
        <f>IFERROR(VALUE(LEFT(tblMatriculas[[#This Row],[Clases]],FIND("/",tblMatriculas[[#This Row],[Clases]])-1)),"")</f>
        <v>2</v>
      </c>
      <c r="M1474" s="14">
        <f>IFERROR(VALUE(MID(tblMatriculas[[#This Row],[Clases]],FIND("/",tblMatriculas[[#This Row],[Clases]])+1,5)),"")</f>
        <v>30</v>
      </c>
      <c r="N14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4" s="14">
        <f>IF(OR(tblMatriculas[[#This Row],[Estado]]&lt;&gt;"activa",tblMatriculas[[#This Row],[Clases dictadas]]=""),"",MAX(0,tblMatriculas[[#This Row],[Clases dictadas]]-tblMatriculas[[#This Row],[Asistidas]]))</f>
        <v>0</v>
      </c>
      <c r="P1474" s="1">
        <f>IF(OR(tblMatriculas[[#This Row],[Estado]]&lt;&gt;"activa",tblMatriculas[[#This Row],[Asistidas]]=""),"",tblMatriculas[[#This Row],[Asistencia]])</f>
        <v>6.7000000000000004E-2</v>
      </c>
      <c r="Q1474" t="b">
        <f>AND(tblMatriculas[[#This Row],[Estado]]="activa",ISNUMBER(tblMatriculas[[#This Row],[% asistencia]]),NOT(ISNUMBER(SEARCH(pPrueba,tblMatriculas[[#This Row],[Nombre]]))))</f>
        <v>1</v>
      </c>
      <c r="R14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4" s="23" t="str" cm="1">
        <f t="array" ref="S14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4" s="23" t="str" cm="1">
        <f t="array" ref="T14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4" s="14" t="str" cm="1">
        <f t="array" ref="U14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4" t="str" cm="1">
        <f t="array" ref="V14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4" t="str" cm="1">
        <f t="array" ref="W14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4" t="str">
        <f>IF(COUNTIFS('Base Estudiantes'!$C:$C,tblMatriculas[[#This Row],[Cédula]],'Base Estudiantes'!$I:$I,tblMatriculas[[#This Row],[Código]])&gt;0,"Sí","No")</f>
        <v>Sí</v>
      </c>
      <c r="Z1474" s="23" cm="1">
        <f t="array" ref="Z1474">_xlfn.XLOOKUP(tblMatriculas[[#This Row],[Cédula]]&amp;"|"&amp;tblMatriculas[[#This Row],[Código]],tblBase[Documento]&amp;"|"&amp;tblBase[Código grupo],tblBase[Fecha matrícula],"")</f>
        <v>46263</v>
      </c>
    </row>
    <row r="1475" spans="1:26" x14ac:dyDescent="0.2">
      <c r="A1475" t="s">
        <v>3097</v>
      </c>
      <c r="B1475" t="s">
        <v>3098</v>
      </c>
      <c r="C1475" t="s">
        <v>13</v>
      </c>
      <c r="D1475" t="s">
        <v>3083</v>
      </c>
      <c r="E1475" t="s">
        <v>3084</v>
      </c>
      <c r="F1475" t="s">
        <v>516</v>
      </c>
      <c r="G1475" s="1">
        <v>6.7000000000000004E-2</v>
      </c>
      <c r="H1475" t="s">
        <v>166</v>
      </c>
      <c r="I1475" t="s">
        <v>1580</v>
      </c>
      <c r="J1475" t="s">
        <v>2649</v>
      </c>
      <c r="K1475" t="s">
        <v>24</v>
      </c>
      <c r="L1475" s="14">
        <f>IFERROR(VALUE(LEFT(tblMatriculas[[#This Row],[Clases]],FIND("/",tblMatriculas[[#This Row],[Clases]])-1)),"")</f>
        <v>2</v>
      </c>
      <c r="M1475" s="14">
        <f>IFERROR(VALUE(MID(tblMatriculas[[#This Row],[Clases]],FIND("/",tblMatriculas[[#This Row],[Clases]])+1,5)),"")</f>
        <v>30</v>
      </c>
      <c r="N14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5" s="14">
        <f>IF(OR(tblMatriculas[[#This Row],[Estado]]&lt;&gt;"activa",tblMatriculas[[#This Row],[Clases dictadas]]=""),"",MAX(0,tblMatriculas[[#This Row],[Clases dictadas]]-tblMatriculas[[#This Row],[Asistidas]]))</f>
        <v>0</v>
      </c>
      <c r="P1475" s="1">
        <f>IF(OR(tblMatriculas[[#This Row],[Estado]]&lt;&gt;"activa",tblMatriculas[[#This Row],[Asistidas]]=""),"",tblMatriculas[[#This Row],[Asistencia]])</f>
        <v>6.7000000000000004E-2</v>
      </c>
      <c r="Q1475" t="b">
        <f>AND(tblMatriculas[[#This Row],[Estado]]="activa",ISNUMBER(tblMatriculas[[#This Row],[% asistencia]]),NOT(ISNUMBER(SEARCH(pPrueba,tblMatriculas[[#This Row],[Nombre]]))))</f>
        <v>1</v>
      </c>
      <c r="R14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5" s="23" t="str" cm="1">
        <f t="array" ref="S14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5" s="23" t="str" cm="1">
        <f t="array" ref="T14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5" s="14" t="str" cm="1">
        <f t="array" ref="U14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5" t="str" cm="1">
        <f t="array" ref="V14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5" t="str" cm="1">
        <f t="array" ref="W14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5" t="str">
        <f>IF(COUNTIFS('Base Estudiantes'!$C:$C,tblMatriculas[[#This Row],[Cédula]],'Base Estudiantes'!$I:$I,tblMatriculas[[#This Row],[Código]])&gt;0,"Sí","No")</f>
        <v>Sí</v>
      </c>
      <c r="Z1475" s="23" cm="1">
        <f t="array" ref="Z1475">_xlfn.XLOOKUP(tblMatriculas[[#This Row],[Cédula]]&amp;"|"&amp;tblMatriculas[[#This Row],[Código]],tblBase[Documento]&amp;"|"&amp;tblBase[Código grupo],tblBase[Fecha matrícula],"")</f>
        <v>46263</v>
      </c>
    </row>
    <row r="1476" spans="1:26" x14ac:dyDescent="0.2">
      <c r="A1476" t="s">
        <v>3099</v>
      </c>
      <c r="B1476" t="s">
        <v>3100</v>
      </c>
      <c r="C1476" t="s">
        <v>13</v>
      </c>
      <c r="D1476" t="s">
        <v>3083</v>
      </c>
      <c r="E1476" t="s">
        <v>3084</v>
      </c>
      <c r="F1476" t="s">
        <v>516</v>
      </c>
      <c r="G1476" s="1">
        <v>6.7000000000000004E-2</v>
      </c>
      <c r="H1476" t="s">
        <v>166</v>
      </c>
      <c r="I1476" t="s">
        <v>1580</v>
      </c>
      <c r="J1476" t="s">
        <v>2649</v>
      </c>
      <c r="K1476" t="s">
        <v>24</v>
      </c>
      <c r="L1476" s="14">
        <f>IFERROR(VALUE(LEFT(tblMatriculas[[#This Row],[Clases]],FIND("/",tblMatriculas[[#This Row],[Clases]])-1)),"")</f>
        <v>2</v>
      </c>
      <c r="M1476" s="14">
        <f>IFERROR(VALUE(MID(tblMatriculas[[#This Row],[Clases]],FIND("/",tblMatriculas[[#This Row],[Clases]])+1,5)),"")</f>
        <v>30</v>
      </c>
      <c r="N14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6" s="14">
        <f>IF(OR(tblMatriculas[[#This Row],[Estado]]&lt;&gt;"activa",tblMatriculas[[#This Row],[Clases dictadas]]=""),"",MAX(0,tblMatriculas[[#This Row],[Clases dictadas]]-tblMatriculas[[#This Row],[Asistidas]]))</f>
        <v>0</v>
      </c>
      <c r="P1476" s="1">
        <f>IF(OR(tblMatriculas[[#This Row],[Estado]]&lt;&gt;"activa",tblMatriculas[[#This Row],[Asistidas]]=""),"",tblMatriculas[[#This Row],[Asistencia]])</f>
        <v>6.7000000000000004E-2</v>
      </c>
      <c r="Q1476" t="b">
        <f>AND(tblMatriculas[[#This Row],[Estado]]="activa",ISNUMBER(tblMatriculas[[#This Row],[% asistencia]]),NOT(ISNUMBER(SEARCH(pPrueba,tblMatriculas[[#This Row],[Nombre]]))))</f>
        <v>1</v>
      </c>
      <c r="R14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6" s="23" t="str" cm="1">
        <f t="array" ref="S14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6" s="23" t="str" cm="1">
        <f t="array" ref="T14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6" s="14" t="str" cm="1">
        <f t="array" ref="U14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6" t="str" cm="1">
        <f t="array" ref="V14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6" t="str" cm="1">
        <f t="array" ref="W14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6" t="str">
        <f>IF(COUNTIFS('Base Estudiantes'!$C:$C,tblMatriculas[[#This Row],[Cédula]],'Base Estudiantes'!$I:$I,tblMatriculas[[#This Row],[Código]])&gt;0,"Sí","No")</f>
        <v>Sí</v>
      </c>
      <c r="Z1476" s="23" cm="1">
        <f t="array" ref="Z1476">_xlfn.XLOOKUP(tblMatriculas[[#This Row],[Cédula]]&amp;"|"&amp;tblMatriculas[[#This Row],[Código]],tblBase[Documento]&amp;"|"&amp;tblBase[Código grupo],tblBase[Fecha matrícula],"")</f>
        <v>46263</v>
      </c>
    </row>
    <row r="1477" spans="1:26" x14ac:dyDescent="0.2">
      <c r="A1477" t="s">
        <v>3101</v>
      </c>
      <c r="B1477" t="s">
        <v>3102</v>
      </c>
      <c r="C1477" t="s">
        <v>13</v>
      </c>
      <c r="D1477" t="s">
        <v>3083</v>
      </c>
      <c r="E1477" t="s">
        <v>3084</v>
      </c>
      <c r="F1477" t="s">
        <v>516</v>
      </c>
      <c r="G1477" s="1">
        <v>6.7000000000000004E-2</v>
      </c>
      <c r="H1477" t="s">
        <v>166</v>
      </c>
      <c r="I1477" t="s">
        <v>1580</v>
      </c>
      <c r="J1477" t="s">
        <v>2649</v>
      </c>
      <c r="K1477" t="s">
        <v>24</v>
      </c>
      <c r="L1477" s="14">
        <f>IFERROR(VALUE(LEFT(tblMatriculas[[#This Row],[Clases]],FIND("/",tblMatriculas[[#This Row],[Clases]])-1)),"")</f>
        <v>2</v>
      </c>
      <c r="M1477" s="14">
        <f>IFERROR(VALUE(MID(tblMatriculas[[#This Row],[Clases]],FIND("/",tblMatriculas[[#This Row],[Clases]])+1,5)),"")</f>
        <v>30</v>
      </c>
      <c r="N14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7" s="14">
        <f>IF(OR(tblMatriculas[[#This Row],[Estado]]&lt;&gt;"activa",tblMatriculas[[#This Row],[Clases dictadas]]=""),"",MAX(0,tblMatriculas[[#This Row],[Clases dictadas]]-tblMatriculas[[#This Row],[Asistidas]]))</f>
        <v>0</v>
      </c>
      <c r="P1477" s="1">
        <f>IF(OR(tblMatriculas[[#This Row],[Estado]]&lt;&gt;"activa",tblMatriculas[[#This Row],[Asistidas]]=""),"",tblMatriculas[[#This Row],[Asistencia]])</f>
        <v>6.7000000000000004E-2</v>
      </c>
      <c r="Q1477" t="b">
        <f>AND(tblMatriculas[[#This Row],[Estado]]="activa",ISNUMBER(tblMatriculas[[#This Row],[% asistencia]]),NOT(ISNUMBER(SEARCH(pPrueba,tblMatriculas[[#This Row],[Nombre]]))))</f>
        <v>1</v>
      </c>
      <c r="R14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7" s="23" t="str" cm="1">
        <f t="array" ref="S14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7" s="23" t="str" cm="1">
        <f t="array" ref="T14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7" s="14" t="str" cm="1">
        <f t="array" ref="U14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7" t="str" cm="1">
        <f t="array" ref="V14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7" t="str" cm="1">
        <f t="array" ref="W14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7" t="str">
        <f>IF(COUNTIFS('Base Estudiantes'!$C:$C,tblMatriculas[[#This Row],[Cédula]],'Base Estudiantes'!$I:$I,tblMatriculas[[#This Row],[Código]])&gt;0,"Sí","No")</f>
        <v>Sí</v>
      </c>
      <c r="Z1477" s="23" cm="1">
        <f t="array" ref="Z1477">_xlfn.XLOOKUP(tblMatriculas[[#This Row],[Cédula]]&amp;"|"&amp;tblMatriculas[[#This Row],[Código]],tblBase[Documento]&amp;"|"&amp;tblBase[Código grupo],tblBase[Fecha matrícula],"")</f>
        <v>46263</v>
      </c>
    </row>
    <row r="1478" spans="1:26" x14ac:dyDescent="0.2">
      <c r="A1478" t="s">
        <v>3103</v>
      </c>
      <c r="B1478" t="s">
        <v>3104</v>
      </c>
      <c r="C1478" t="s">
        <v>13</v>
      </c>
      <c r="D1478" t="s">
        <v>3083</v>
      </c>
      <c r="E1478" t="s">
        <v>3084</v>
      </c>
      <c r="F1478" t="s">
        <v>516</v>
      </c>
      <c r="G1478" s="1">
        <v>3.3000000000000002E-2</v>
      </c>
      <c r="H1478" t="s">
        <v>225</v>
      </c>
      <c r="I1478" t="s">
        <v>1580</v>
      </c>
      <c r="J1478" t="s">
        <v>2649</v>
      </c>
      <c r="K1478" t="s">
        <v>24</v>
      </c>
      <c r="L1478" s="14">
        <f>IFERROR(VALUE(LEFT(tblMatriculas[[#This Row],[Clases]],FIND("/",tblMatriculas[[#This Row],[Clases]])-1)),"")</f>
        <v>1</v>
      </c>
      <c r="M1478" s="14">
        <f>IFERROR(VALUE(MID(tblMatriculas[[#This Row],[Clases]],FIND("/",tblMatriculas[[#This Row],[Clases]])+1,5)),"")</f>
        <v>30</v>
      </c>
      <c r="N14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8" s="14">
        <f>IF(OR(tblMatriculas[[#This Row],[Estado]]&lt;&gt;"activa",tblMatriculas[[#This Row],[Clases dictadas]]=""),"",MAX(0,tblMatriculas[[#This Row],[Clases dictadas]]-tblMatriculas[[#This Row],[Asistidas]]))</f>
        <v>1</v>
      </c>
      <c r="P1478" s="1">
        <f>IF(OR(tblMatriculas[[#This Row],[Estado]]&lt;&gt;"activa",tblMatriculas[[#This Row],[Asistidas]]=""),"",tblMatriculas[[#This Row],[Asistencia]])</f>
        <v>3.3000000000000002E-2</v>
      </c>
      <c r="Q1478" t="b">
        <f>AND(tblMatriculas[[#This Row],[Estado]]="activa",ISNUMBER(tblMatriculas[[#This Row],[% asistencia]]),NOT(ISNUMBER(SEARCH(pPrueba,tblMatriculas[[#This Row],[Nombre]]))))</f>
        <v>1</v>
      </c>
      <c r="R14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78" s="23" t="str" cm="1">
        <f t="array" ref="S14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8" s="23" t="str" cm="1">
        <f t="array" ref="T14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8" s="14" t="str" cm="1">
        <f t="array" ref="U14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8" t="str" cm="1">
        <f t="array" ref="V14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8" t="str" cm="1">
        <f t="array" ref="W14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78" t="str">
        <f>IF(COUNTIFS('Base Estudiantes'!$C:$C,tblMatriculas[[#This Row],[Cédula]],'Base Estudiantes'!$I:$I,tblMatriculas[[#This Row],[Código]])&gt;0,"Sí","No")</f>
        <v>Sí</v>
      </c>
      <c r="Z1478" s="23" cm="1">
        <f t="array" ref="Z1478">_xlfn.XLOOKUP(tblMatriculas[[#This Row],[Cédula]]&amp;"|"&amp;tblMatriculas[[#This Row],[Código]],tblBase[Documento]&amp;"|"&amp;tblBase[Código grupo],tblBase[Fecha matrícula],"")</f>
        <v>46263</v>
      </c>
    </row>
    <row r="1479" spans="1:26" x14ac:dyDescent="0.2">
      <c r="A1479" t="s">
        <v>3105</v>
      </c>
      <c r="B1479" t="s">
        <v>3106</v>
      </c>
      <c r="C1479" t="s">
        <v>13</v>
      </c>
      <c r="D1479" t="s">
        <v>3083</v>
      </c>
      <c r="E1479" t="s">
        <v>3084</v>
      </c>
      <c r="F1479" t="s">
        <v>516</v>
      </c>
      <c r="G1479" s="1">
        <v>6.7000000000000004E-2</v>
      </c>
      <c r="H1479" t="s">
        <v>166</v>
      </c>
      <c r="I1479" t="s">
        <v>1580</v>
      </c>
      <c r="J1479" t="s">
        <v>2649</v>
      </c>
      <c r="K1479" t="s">
        <v>24</v>
      </c>
      <c r="L1479" s="14">
        <f>IFERROR(VALUE(LEFT(tblMatriculas[[#This Row],[Clases]],FIND("/",tblMatriculas[[#This Row],[Clases]])-1)),"")</f>
        <v>2</v>
      </c>
      <c r="M1479" s="14">
        <f>IFERROR(VALUE(MID(tblMatriculas[[#This Row],[Clases]],FIND("/",tblMatriculas[[#This Row],[Clases]])+1,5)),"")</f>
        <v>30</v>
      </c>
      <c r="N14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79" s="14">
        <f>IF(OR(tblMatriculas[[#This Row],[Estado]]&lt;&gt;"activa",tblMatriculas[[#This Row],[Clases dictadas]]=""),"",MAX(0,tblMatriculas[[#This Row],[Clases dictadas]]-tblMatriculas[[#This Row],[Asistidas]]))</f>
        <v>0</v>
      </c>
      <c r="P1479" s="1">
        <f>IF(OR(tblMatriculas[[#This Row],[Estado]]&lt;&gt;"activa",tblMatriculas[[#This Row],[Asistidas]]=""),"",tblMatriculas[[#This Row],[Asistencia]])</f>
        <v>6.7000000000000004E-2</v>
      </c>
      <c r="Q1479" t="b">
        <f>AND(tblMatriculas[[#This Row],[Estado]]="activa",ISNUMBER(tblMatriculas[[#This Row],[% asistencia]]),NOT(ISNUMBER(SEARCH(pPrueba,tblMatriculas[[#This Row],[Nombre]]))))</f>
        <v>1</v>
      </c>
      <c r="R14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79" s="23" t="str" cm="1">
        <f t="array" ref="S14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79" s="23" t="str" cm="1">
        <f t="array" ref="T14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79" s="14" t="str" cm="1">
        <f t="array" ref="U14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79" t="str" cm="1">
        <f t="array" ref="V14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79" t="str" cm="1">
        <f t="array" ref="W14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7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79" t="str">
        <f>IF(COUNTIFS('Base Estudiantes'!$C:$C,tblMatriculas[[#This Row],[Cédula]],'Base Estudiantes'!$I:$I,tblMatriculas[[#This Row],[Código]])&gt;0,"Sí","No")</f>
        <v>Sí</v>
      </c>
      <c r="Z1479" s="23" cm="1">
        <f t="array" ref="Z1479">_xlfn.XLOOKUP(tblMatriculas[[#This Row],[Cédula]]&amp;"|"&amp;tblMatriculas[[#This Row],[Código]],tblBase[Documento]&amp;"|"&amp;tblBase[Código grupo],tblBase[Fecha matrícula],"")</f>
        <v>46263</v>
      </c>
    </row>
    <row r="1480" spans="1:26" x14ac:dyDescent="0.2">
      <c r="A1480" t="s">
        <v>3107</v>
      </c>
      <c r="B1480" t="s">
        <v>3108</v>
      </c>
      <c r="C1480" t="s">
        <v>13</v>
      </c>
      <c r="D1480" t="s">
        <v>3083</v>
      </c>
      <c r="E1480" t="s">
        <v>3084</v>
      </c>
      <c r="F1480" t="s">
        <v>516</v>
      </c>
      <c r="G1480" s="1">
        <v>6.7000000000000004E-2</v>
      </c>
      <c r="H1480" t="s">
        <v>166</v>
      </c>
      <c r="I1480" t="s">
        <v>1580</v>
      </c>
      <c r="J1480" t="s">
        <v>2649</v>
      </c>
      <c r="K1480" t="s">
        <v>24</v>
      </c>
      <c r="L1480" s="14">
        <f>IFERROR(VALUE(LEFT(tblMatriculas[[#This Row],[Clases]],FIND("/",tblMatriculas[[#This Row],[Clases]])-1)),"")</f>
        <v>2</v>
      </c>
      <c r="M1480" s="14">
        <f>IFERROR(VALUE(MID(tblMatriculas[[#This Row],[Clases]],FIND("/",tblMatriculas[[#This Row],[Clases]])+1,5)),"")</f>
        <v>30</v>
      </c>
      <c r="N14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0" s="14">
        <f>IF(OR(tblMatriculas[[#This Row],[Estado]]&lt;&gt;"activa",tblMatriculas[[#This Row],[Clases dictadas]]=""),"",MAX(0,tblMatriculas[[#This Row],[Clases dictadas]]-tblMatriculas[[#This Row],[Asistidas]]))</f>
        <v>0</v>
      </c>
      <c r="P1480" s="1">
        <f>IF(OR(tblMatriculas[[#This Row],[Estado]]&lt;&gt;"activa",tblMatriculas[[#This Row],[Asistidas]]=""),"",tblMatriculas[[#This Row],[Asistencia]])</f>
        <v>6.7000000000000004E-2</v>
      </c>
      <c r="Q1480" t="b">
        <f>AND(tblMatriculas[[#This Row],[Estado]]="activa",ISNUMBER(tblMatriculas[[#This Row],[% asistencia]]),NOT(ISNUMBER(SEARCH(pPrueba,tblMatriculas[[#This Row],[Nombre]]))))</f>
        <v>1</v>
      </c>
      <c r="R14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0" s="23" t="str" cm="1">
        <f t="array" ref="S14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0" s="23" t="str" cm="1">
        <f t="array" ref="T14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0" s="14" t="str" cm="1">
        <f t="array" ref="U14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0" t="str" cm="1">
        <f t="array" ref="V14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0" t="str" cm="1">
        <f t="array" ref="W14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0" t="str">
        <f>IF(COUNTIFS('Base Estudiantes'!$C:$C,tblMatriculas[[#This Row],[Cédula]],'Base Estudiantes'!$I:$I,tblMatriculas[[#This Row],[Código]])&gt;0,"Sí","No")</f>
        <v>Sí</v>
      </c>
      <c r="Z1480" s="23" cm="1">
        <f t="array" ref="Z1480">_xlfn.XLOOKUP(tblMatriculas[[#This Row],[Cédula]]&amp;"|"&amp;tblMatriculas[[#This Row],[Código]],tblBase[Documento]&amp;"|"&amp;tblBase[Código grupo],tblBase[Fecha matrícula],"")</f>
        <v>46263</v>
      </c>
    </row>
    <row r="1481" spans="1:26" x14ac:dyDescent="0.2">
      <c r="A1481" t="s">
        <v>3109</v>
      </c>
      <c r="B1481" t="s">
        <v>3110</v>
      </c>
      <c r="C1481" t="s">
        <v>13</v>
      </c>
      <c r="D1481" t="s">
        <v>3083</v>
      </c>
      <c r="E1481" t="s">
        <v>3084</v>
      </c>
      <c r="F1481" t="s">
        <v>516</v>
      </c>
      <c r="G1481" s="1">
        <v>3.3000000000000002E-2</v>
      </c>
      <c r="H1481" t="s">
        <v>225</v>
      </c>
      <c r="I1481" t="s">
        <v>1580</v>
      </c>
      <c r="J1481" t="s">
        <v>2649</v>
      </c>
      <c r="K1481" t="s">
        <v>24</v>
      </c>
      <c r="L1481" s="14">
        <f>IFERROR(VALUE(LEFT(tblMatriculas[[#This Row],[Clases]],FIND("/",tblMatriculas[[#This Row],[Clases]])-1)),"")</f>
        <v>1</v>
      </c>
      <c r="M1481" s="14">
        <f>IFERROR(VALUE(MID(tblMatriculas[[#This Row],[Clases]],FIND("/",tblMatriculas[[#This Row],[Clases]])+1,5)),"")</f>
        <v>30</v>
      </c>
      <c r="N14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1" s="14">
        <f>IF(OR(tblMatriculas[[#This Row],[Estado]]&lt;&gt;"activa",tblMatriculas[[#This Row],[Clases dictadas]]=""),"",MAX(0,tblMatriculas[[#This Row],[Clases dictadas]]-tblMatriculas[[#This Row],[Asistidas]]))</f>
        <v>1</v>
      </c>
      <c r="P1481" s="1">
        <f>IF(OR(tblMatriculas[[#This Row],[Estado]]&lt;&gt;"activa",tblMatriculas[[#This Row],[Asistidas]]=""),"",tblMatriculas[[#This Row],[Asistencia]])</f>
        <v>3.3000000000000002E-2</v>
      </c>
      <c r="Q1481" t="b">
        <f>AND(tblMatriculas[[#This Row],[Estado]]="activa",ISNUMBER(tblMatriculas[[#This Row],[% asistencia]]),NOT(ISNUMBER(SEARCH(pPrueba,tblMatriculas[[#This Row],[Nombre]]))))</f>
        <v>1</v>
      </c>
      <c r="R14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81" s="23" t="str" cm="1">
        <f t="array" ref="S14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1" s="23" t="str" cm="1">
        <f t="array" ref="T14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1" s="14" t="str" cm="1">
        <f t="array" ref="U14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1" t="str" cm="1">
        <f t="array" ref="V14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1" t="str" cm="1">
        <f t="array" ref="W14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81" t="str">
        <f>IF(COUNTIFS('Base Estudiantes'!$C:$C,tblMatriculas[[#This Row],[Cédula]],'Base Estudiantes'!$I:$I,tblMatriculas[[#This Row],[Código]])&gt;0,"Sí","No")</f>
        <v>Sí</v>
      </c>
      <c r="Z1481" s="23" cm="1">
        <f t="array" ref="Z1481">_xlfn.XLOOKUP(tblMatriculas[[#This Row],[Cédula]]&amp;"|"&amp;tblMatriculas[[#This Row],[Código]],tblBase[Documento]&amp;"|"&amp;tblBase[Código grupo],tblBase[Fecha matrícula],"")</f>
        <v>46263</v>
      </c>
    </row>
    <row r="1482" spans="1:26" x14ac:dyDescent="0.2">
      <c r="A1482" t="s">
        <v>3111</v>
      </c>
      <c r="B1482" t="s">
        <v>3112</v>
      </c>
      <c r="C1482" t="s">
        <v>13</v>
      </c>
      <c r="D1482" t="s">
        <v>3083</v>
      </c>
      <c r="E1482" t="s">
        <v>3084</v>
      </c>
      <c r="F1482" t="s">
        <v>516</v>
      </c>
      <c r="G1482" s="1">
        <v>3.3000000000000002E-2</v>
      </c>
      <c r="H1482" t="s">
        <v>225</v>
      </c>
      <c r="I1482" t="s">
        <v>1580</v>
      </c>
      <c r="J1482" t="s">
        <v>2649</v>
      </c>
      <c r="K1482" t="s">
        <v>1868</v>
      </c>
      <c r="L1482" s="14">
        <f>IFERROR(VALUE(LEFT(tblMatriculas[[#This Row],[Clases]],FIND("/",tblMatriculas[[#This Row],[Clases]])-1)),"")</f>
        <v>1</v>
      </c>
      <c r="M1482" s="14">
        <f>IFERROR(VALUE(MID(tblMatriculas[[#This Row],[Clases]],FIND("/",tblMatriculas[[#This Row],[Clases]])+1,5)),"")</f>
        <v>30</v>
      </c>
      <c r="N14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2" s="14">
        <f>IF(OR(tblMatriculas[[#This Row],[Estado]]&lt;&gt;"activa",tblMatriculas[[#This Row],[Clases dictadas]]=""),"",MAX(0,tblMatriculas[[#This Row],[Clases dictadas]]-tblMatriculas[[#This Row],[Asistidas]]))</f>
        <v>1</v>
      </c>
      <c r="P1482" s="1">
        <f>IF(OR(tblMatriculas[[#This Row],[Estado]]&lt;&gt;"activa",tblMatriculas[[#This Row],[Asistidas]]=""),"",tblMatriculas[[#This Row],[Asistencia]])</f>
        <v>3.3000000000000002E-2</v>
      </c>
      <c r="Q1482" t="b">
        <f>AND(tblMatriculas[[#This Row],[Estado]]="activa",ISNUMBER(tblMatriculas[[#This Row],[% asistencia]]),NOT(ISNUMBER(SEARCH(pPrueba,tblMatriculas[[#This Row],[Nombre]]))))</f>
        <v>1</v>
      </c>
      <c r="R14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82" s="23" t="str" cm="1">
        <f t="array" ref="S14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2" s="23" t="str" cm="1">
        <f t="array" ref="T14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2" s="14" t="str" cm="1">
        <f t="array" ref="U14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2" t="str" cm="1">
        <f t="array" ref="V14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2" t="str" cm="1">
        <f t="array" ref="W14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82" t="str">
        <f>IF(COUNTIFS('Base Estudiantes'!$C:$C,tblMatriculas[[#This Row],[Cédula]],'Base Estudiantes'!$I:$I,tblMatriculas[[#This Row],[Código]])&gt;0,"Sí","No")</f>
        <v>Sí</v>
      </c>
      <c r="Z1482" s="23" cm="1">
        <f t="array" ref="Z1482">_xlfn.XLOOKUP(tblMatriculas[[#This Row],[Cédula]]&amp;"|"&amp;tblMatriculas[[#This Row],[Código]],tblBase[Documento]&amp;"|"&amp;tblBase[Código grupo],tblBase[Fecha matrícula],"")</f>
        <v>46263</v>
      </c>
    </row>
    <row r="1483" spans="1:26" x14ac:dyDescent="0.2">
      <c r="A1483" t="s">
        <v>3113</v>
      </c>
      <c r="B1483" t="s">
        <v>3114</v>
      </c>
      <c r="C1483" t="s">
        <v>13</v>
      </c>
      <c r="D1483" t="s">
        <v>3083</v>
      </c>
      <c r="E1483" t="s">
        <v>3084</v>
      </c>
      <c r="F1483" t="s">
        <v>516</v>
      </c>
      <c r="G1483" s="1">
        <v>3.3000000000000002E-2</v>
      </c>
      <c r="H1483" t="s">
        <v>225</v>
      </c>
      <c r="I1483" t="s">
        <v>1580</v>
      </c>
      <c r="J1483" t="s">
        <v>2649</v>
      </c>
      <c r="K1483" t="s">
        <v>24</v>
      </c>
      <c r="L1483" s="14">
        <f>IFERROR(VALUE(LEFT(tblMatriculas[[#This Row],[Clases]],FIND("/",tblMatriculas[[#This Row],[Clases]])-1)),"")</f>
        <v>1</v>
      </c>
      <c r="M1483" s="14">
        <f>IFERROR(VALUE(MID(tblMatriculas[[#This Row],[Clases]],FIND("/",tblMatriculas[[#This Row],[Clases]])+1,5)),"")</f>
        <v>30</v>
      </c>
      <c r="N14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3" s="14">
        <f>IF(OR(tblMatriculas[[#This Row],[Estado]]&lt;&gt;"activa",tblMatriculas[[#This Row],[Clases dictadas]]=""),"",MAX(0,tblMatriculas[[#This Row],[Clases dictadas]]-tblMatriculas[[#This Row],[Asistidas]]))</f>
        <v>1</v>
      </c>
      <c r="P1483" s="1">
        <f>IF(OR(tblMatriculas[[#This Row],[Estado]]&lt;&gt;"activa",tblMatriculas[[#This Row],[Asistidas]]=""),"",tblMatriculas[[#This Row],[Asistencia]])</f>
        <v>3.3000000000000002E-2</v>
      </c>
      <c r="Q1483" t="b">
        <f>AND(tblMatriculas[[#This Row],[Estado]]="activa",ISNUMBER(tblMatriculas[[#This Row],[% asistencia]]),NOT(ISNUMBER(SEARCH(pPrueba,tblMatriculas[[#This Row],[Nombre]]))))</f>
        <v>1</v>
      </c>
      <c r="R14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83" s="23" t="str" cm="1">
        <f t="array" ref="S14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3" s="23" t="str" cm="1">
        <f t="array" ref="T14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3" s="14" t="str" cm="1">
        <f t="array" ref="U14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3" t="str" cm="1">
        <f t="array" ref="V14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3" t="str" cm="1">
        <f t="array" ref="W14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83" t="str">
        <f>IF(COUNTIFS('Base Estudiantes'!$C:$C,tblMatriculas[[#This Row],[Cédula]],'Base Estudiantes'!$I:$I,tblMatriculas[[#This Row],[Código]])&gt;0,"Sí","No")</f>
        <v>Sí</v>
      </c>
      <c r="Z1483" s="23" cm="1">
        <f t="array" ref="Z1483">_xlfn.XLOOKUP(tblMatriculas[[#This Row],[Cédula]]&amp;"|"&amp;tblMatriculas[[#This Row],[Código]],tblBase[Documento]&amp;"|"&amp;tblBase[Código grupo],tblBase[Fecha matrícula],"")</f>
        <v>46263</v>
      </c>
    </row>
    <row r="1484" spans="1:26" x14ac:dyDescent="0.2">
      <c r="A1484" t="s">
        <v>3115</v>
      </c>
      <c r="B1484" t="s">
        <v>3116</v>
      </c>
      <c r="C1484" t="s">
        <v>13</v>
      </c>
      <c r="D1484" t="s">
        <v>3083</v>
      </c>
      <c r="E1484" t="s">
        <v>3084</v>
      </c>
      <c r="F1484" t="s">
        <v>516</v>
      </c>
      <c r="G1484" s="1">
        <v>6.7000000000000004E-2</v>
      </c>
      <c r="H1484" t="s">
        <v>166</v>
      </c>
      <c r="I1484" t="s">
        <v>1580</v>
      </c>
      <c r="J1484" t="s">
        <v>2649</v>
      </c>
      <c r="K1484" t="s">
        <v>24</v>
      </c>
      <c r="L1484" s="14">
        <f>IFERROR(VALUE(LEFT(tblMatriculas[[#This Row],[Clases]],FIND("/",tblMatriculas[[#This Row],[Clases]])-1)),"")</f>
        <v>2</v>
      </c>
      <c r="M1484" s="14">
        <f>IFERROR(VALUE(MID(tblMatriculas[[#This Row],[Clases]],FIND("/",tblMatriculas[[#This Row],[Clases]])+1,5)),"")</f>
        <v>30</v>
      </c>
      <c r="N14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4" s="14">
        <f>IF(OR(tblMatriculas[[#This Row],[Estado]]&lt;&gt;"activa",tblMatriculas[[#This Row],[Clases dictadas]]=""),"",MAX(0,tblMatriculas[[#This Row],[Clases dictadas]]-tblMatriculas[[#This Row],[Asistidas]]))</f>
        <v>0</v>
      </c>
      <c r="P1484" s="1">
        <f>IF(OR(tblMatriculas[[#This Row],[Estado]]&lt;&gt;"activa",tblMatriculas[[#This Row],[Asistidas]]=""),"",tblMatriculas[[#This Row],[Asistencia]])</f>
        <v>6.7000000000000004E-2</v>
      </c>
      <c r="Q1484" t="b">
        <f>AND(tblMatriculas[[#This Row],[Estado]]="activa",ISNUMBER(tblMatriculas[[#This Row],[% asistencia]]),NOT(ISNUMBER(SEARCH(pPrueba,tblMatriculas[[#This Row],[Nombre]]))))</f>
        <v>1</v>
      </c>
      <c r="R14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4" s="23" t="str" cm="1">
        <f t="array" ref="S14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4" s="23" t="str" cm="1">
        <f t="array" ref="T14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4" s="14" t="str" cm="1">
        <f t="array" ref="U14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4" t="str" cm="1">
        <f t="array" ref="V14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4" t="str" cm="1">
        <f t="array" ref="W14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4" t="str">
        <f>IF(COUNTIFS('Base Estudiantes'!$C:$C,tblMatriculas[[#This Row],[Cédula]],'Base Estudiantes'!$I:$I,tblMatriculas[[#This Row],[Código]])&gt;0,"Sí","No")</f>
        <v>Sí</v>
      </c>
      <c r="Z1484" s="23" cm="1">
        <f t="array" ref="Z1484">_xlfn.XLOOKUP(tblMatriculas[[#This Row],[Cédula]]&amp;"|"&amp;tblMatriculas[[#This Row],[Código]],tblBase[Documento]&amp;"|"&amp;tblBase[Código grupo],tblBase[Fecha matrícula],"")</f>
        <v>46263</v>
      </c>
    </row>
    <row r="1485" spans="1:26" x14ac:dyDescent="0.2">
      <c r="A1485" t="s">
        <v>3117</v>
      </c>
      <c r="B1485" t="s">
        <v>3118</v>
      </c>
      <c r="C1485" t="s">
        <v>13</v>
      </c>
      <c r="D1485" t="s">
        <v>3083</v>
      </c>
      <c r="E1485" t="s">
        <v>3084</v>
      </c>
      <c r="F1485" t="s">
        <v>516</v>
      </c>
      <c r="G1485" s="1">
        <v>6.7000000000000004E-2</v>
      </c>
      <c r="H1485" t="s">
        <v>166</v>
      </c>
      <c r="I1485" t="s">
        <v>1580</v>
      </c>
      <c r="J1485" t="s">
        <v>2649</v>
      </c>
      <c r="K1485" t="s">
        <v>24</v>
      </c>
      <c r="L1485" s="14">
        <f>IFERROR(VALUE(LEFT(tblMatriculas[[#This Row],[Clases]],FIND("/",tblMatriculas[[#This Row],[Clases]])-1)),"")</f>
        <v>2</v>
      </c>
      <c r="M1485" s="14">
        <f>IFERROR(VALUE(MID(tblMatriculas[[#This Row],[Clases]],FIND("/",tblMatriculas[[#This Row],[Clases]])+1,5)),"")</f>
        <v>30</v>
      </c>
      <c r="N14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5" s="14">
        <f>IF(OR(tblMatriculas[[#This Row],[Estado]]&lt;&gt;"activa",tblMatriculas[[#This Row],[Clases dictadas]]=""),"",MAX(0,tblMatriculas[[#This Row],[Clases dictadas]]-tblMatriculas[[#This Row],[Asistidas]]))</f>
        <v>0</v>
      </c>
      <c r="P1485" s="1">
        <f>IF(OR(tblMatriculas[[#This Row],[Estado]]&lt;&gt;"activa",tblMatriculas[[#This Row],[Asistidas]]=""),"",tblMatriculas[[#This Row],[Asistencia]])</f>
        <v>6.7000000000000004E-2</v>
      </c>
      <c r="Q1485" t="b">
        <f>AND(tblMatriculas[[#This Row],[Estado]]="activa",ISNUMBER(tblMatriculas[[#This Row],[% asistencia]]),NOT(ISNUMBER(SEARCH(pPrueba,tblMatriculas[[#This Row],[Nombre]]))))</f>
        <v>1</v>
      </c>
      <c r="R14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5" s="23" t="str" cm="1">
        <f t="array" ref="S14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5" s="23" t="str" cm="1">
        <f t="array" ref="T14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5" s="14" t="str" cm="1">
        <f t="array" ref="U14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5" t="str" cm="1">
        <f t="array" ref="V14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5" t="str" cm="1">
        <f t="array" ref="W14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5" t="str">
        <f>IF(COUNTIFS('Base Estudiantes'!$C:$C,tblMatriculas[[#This Row],[Cédula]],'Base Estudiantes'!$I:$I,tblMatriculas[[#This Row],[Código]])&gt;0,"Sí","No")</f>
        <v>Sí</v>
      </c>
      <c r="Z1485" s="23" cm="1">
        <f t="array" ref="Z1485">_xlfn.XLOOKUP(tblMatriculas[[#This Row],[Cédula]]&amp;"|"&amp;tblMatriculas[[#This Row],[Código]],tblBase[Documento]&amp;"|"&amp;tblBase[Código grupo],tblBase[Fecha matrícula],"")</f>
        <v>46263</v>
      </c>
    </row>
    <row r="1486" spans="1:26" x14ac:dyDescent="0.2">
      <c r="A1486" t="s">
        <v>3119</v>
      </c>
      <c r="B1486" t="s">
        <v>3120</v>
      </c>
      <c r="C1486" t="s">
        <v>13</v>
      </c>
      <c r="D1486" t="s">
        <v>3083</v>
      </c>
      <c r="E1486" t="s">
        <v>3084</v>
      </c>
      <c r="F1486" t="s">
        <v>516</v>
      </c>
      <c r="G1486" s="1">
        <v>6.7000000000000004E-2</v>
      </c>
      <c r="H1486" t="s">
        <v>166</v>
      </c>
      <c r="I1486" t="s">
        <v>1580</v>
      </c>
      <c r="J1486" t="s">
        <v>2649</v>
      </c>
      <c r="K1486" t="s">
        <v>24</v>
      </c>
      <c r="L1486" s="14">
        <f>IFERROR(VALUE(LEFT(tblMatriculas[[#This Row],[Clases]],FIND("/",tblMatriculas[[#This Row],[Clases]])-1)),"")</f>
        <v>2</v>
      </c>
      <c r="M1486" s="14">
        <f>IFERROR(VALUE(MID(tblMatriculas[[#This Row],[Clases]],FIND("/",tblMatriculas[[#This Row],[Clases]])+1,5)),"")</f>
        <v>30</v>
      </c>
      <c r="N14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6" s="14">
        <f>IF(OR(tblMatriculas[[#This Row],[Estado]]&lt;&gt;"activa",tblMatriculas[[#This Row],[Clases dictadas]]=""),"",MAX(0,tblMatriculas[[#This Row],[Clases dictadas]]-tblMatriculas[[#This Row],[Asistidas]]))</f>
        <v>0</v>
      </c>
      <c r="P1486" s="1">
        <f>IF(OR(tblMatriculas[[#This Row],[Estado]]&lt;&gt;"activa",tblMatriculas[[#This Row],[Asistidas]]=""),"",tblMatriculas[[#This Row],[Asistencia]])</f>
        <v>6.7000000000000004E-2</v>
      </c>
      <c r="Q1486" t="b">
        <f>AND(tblMatriculas[[#This Row],[Estado]]="activa",ISNUMBER(tblMatriculas[[#This Row],[% asistencia]]),NOT(ISNUMBER(SEARCH(pPrueba,tblMatriculas[[#This Row],[Nombre]]))))</f>
        <v>1</v>
      </c>
      <c r="R14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6" s="23" t="str" cm="1">
        <f t="array" ref="S14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6" s="23" t="str" cm="1">
        <f t="array" ref="T14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6" s="14" t="str" cm="1">
        <f t="array" ref="U14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6" t="str" cm="1">
        <f t="array" ref="V14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6" t="str" cm="1">
        <f t="array" ref="W14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6" t="str">
        <f>IF(COUNTIFS('Base Estudiantes'!$C:$C,tblMatriculas[[#This Row],[Cédula]],'Base Estudiantes'!$I:$I,tblMatriculas[[#This Row],[Código]])&gt;0,"Sí","No")</f>
        <v>Sí</v>
      </c>
      <c r="Z1486" s="23" cm="1">
        <f t="array" ref="Z1486">_xlfn.XLOOKUP(tblMatriculas[[#This Row],[Cédula]]&amp;"|"&amp;tblMatriculas[[#This Row],[Código]],tblBase[Documento]&amp;"|"&amp;tblBase[Código grupo],tblBase[Fecha matrícula],"")</f>
        <v>46263</v>
      </c>
    </row>
    <row r="1487" spans="1:26" x14ac:dyDescent="0.2">
      <c r="A1487" t="s">
        <v>3121</v>
      </c>
      <c r="B1487" t="s">
        <v>3122</v>
      </c>
      <c r="C1487" t="s">
        <v>13</v>
      </c>
      <c r="D1487" t="s">
        <v>3083</v>
      </c>
      <c r="E1487" t="s">
        <v>3084</v>
      </c>
      <c r="F1487" t="s">
        <v>516</v>
      </c>
      <c r="G1487" s="1">
        <v>3.3000000000000002E-2</v>
      </c>
      <c r="H1487" t="s">
        <v>225</v>
      </c>
      <c r="I1487" t="s">
        <v>1580</v>
      </c>
      <c r="J1487" t="s">
        <v>2649</v>
      </c>
      <c r="K1487" t="s">
        <v>24</v>
      </c>
      <c r="L1487" s="14">
        <f>IFERROR(VALUE(LEFT(tblMatriculas[[#This Row],[Clases]],FIND("/",tblMatriculas[[#This Row],[Clases]])-1)),"")</f>
        <v>1</v>
      </c>
      <c r="M1487" s="14">
        <f>IFERROR(VALUE(MID(tblMatriculas[[#This Row],[Clases]],FIND("/",tblMatriculas[[#This Row],[Clases]])+1,5)),"")</f>
        <v>30</v>
      </c>
      <c r="N14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7" s="14">
        <f>IF(OR(tblMatriculas[[#This Row],[Estado]]&lt;&gt;"activa",tblMatriculas[[#This Row],[Clases dictadas]]=""),"",MAX(0,tblMatriculas[[#This Row],[Clases dictadas]]-tblMatriculas[[#This Row],[Asistidas]]))</f>
        <v>1</v>
      </c>
      <c r="P1487" s="1">
        <f>IF(OR(tblMatriculas[[#This Row],[Estado]]&lt;&gt;"activa",tblMatriculas[[#This Row],[Asistidas]]=""),"",tblMatriculas[[#This Row],[Asistencia]])</f>
        <v>3.3000000000000002E-2</v>
      </c>
      <c r="Q1487" t="b">
        <f>AND(tblMatriculas[[#This Row],[Estado]]="activa",ISNUMBER(tblMatriculas[[#This Row],[% asistencia]]),NOT(ISNUMBER(SEARCH(pPrueba,tblMatriculas[[#This Row],[Nombre]]))))</f>
        <v>1</v>
      </c>
      <c r="R14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87" s="23" t="str" cm="1">
        <f t="array" ref="S14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7" s="23" t="str" cm="1">
        <f t="array" ref="T14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7" s="14" t="str" cm="1">
        <f t="array" ref="U14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7" t="str" cm="1">
        <f t="array" ref="V14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7" t="str" cm="1">
        <f t="array" ref="W14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87" t="str">
        <f>IF(COUNTIFS('Base Estudiantes'!$C:$C,tblMatriculas[[#This Row],[Cédula]],'Base Estudiantes'!$I:$I,tblMatriculas[[#This Row],[Código]])&gt;0,"Sí","No")</f>
        <v>Sí</v>
      </c>
      <c r="Z1487" s="23" cm="1">
        <f t="array" ref="Z1487">_xlfn.XLOOKUP(tblMatriculas[[#This Row],[Cédula]]&amp;"|"&amp;tblMatriculas[[#This Row],[Código]],tblBase[Documento]&amp;"|"&amp;tblBase[Código grupo],tblBase[Fecha matrícula],"")</f>
        <v>46263</v>
      </c>
    </row>
    <row r="1488" spans="1:26" x14ac:dyDescent="0.2">
      <c r="A1488" t="s">
        <v>3123</v>
      </c>
      <c r="B1488" t="s">
        <v>3124</v>
      </c>
      <c r="C1488" t="s">
        <v>13</v>
      </c>
      <c r="D1488" t="s">
        <v>3083</v>
      </c>
      <c r="E1488" t="s">
        <v>3084</v>
      </c>
      <c r="F1488" t="s">
        <v>516</v>
      </c>
      <c r="G1488" s="1">
        <v>6.7000000000000004E-2</v>
      </c>
      <c r="H1488" t="s">
        <v>166</v>
      </c>
      <c r="I1488" t="s">
        <v>1580</v>
      </c>
      <c r="J1488" t="s">
        <v>2649</v>
      </c>
      <c r="K1488" t="s">
        <v>24</v>
      </c>
      <c r="L1488" s="14">
        <f>IFERROR(VALUE(LEFT(tblMatriculas[[#This Row],[Clases]],FIND("/",tblMatriculas[[#This Row],[Clases]])-1)),"")</f>
        <v>2</v>
      </c>
      <c r="M1488" s="14">
        <f>IFERROR(VALUE(MID(tblMatriculas[[#This Row],[Clases]],FIND("/",tblMatriculas[[#This Row],[Clases]])+1,5)),"")</f>
        <v>30</v>
      </c>
      <c r="N14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8" s="14">
        <f>IF(OR(tblMatriculas[[#This Row],[Estado]]&lt;&gt;"activa",tblMatriculas[[#This Row],[Clases dictadas]]=""),"",MAX(0,tblMatriculas[[#This Row],[Clases dictadas]]-tblMatriculas[[#This Row],[Asistidas]]))</f>
        <v>0</v>
      </c>
      <c r="P1488" s="1">
        <f>IF(OR(tblMatriculas[[#This Row],[Estado]]&lt;&gt;"activa",tblMatriculas[[#This Row],[Asistidas]]=""),"",tblMatriculas[[#This Row],[Asistencia]])</f>
        <v>6.7000000000000004E-2</v>
      </c>
      <c r="Q1488" t="b">
        <f>AND(tblMatriculas[[#This Row],[Estado]]="activa",ISNUMBER(tblMatriculas[[#This Row],[% asistencia]]),NOT(ISNUMBER(SEARCH(pPrueba,tblMatriculas[[#This Row],[Nombre]]))))</f>
        <v>1</v>
      </c>
      <c r="R14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8" s="23" t="str" cm="1">
        <f t="array" ref="S14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8" s="23" t="str" cm="1">
        <f t="array" ref="T14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8" s="14" t="str" cm="1">
        <f t="array" ref="U14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8" t="str" cm="1">
        <f t="array" ref="V14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8" t="str" cm="1">
        <f t="array" ref="W14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8" t="str">
        <f>IF(COUNTIFS('Base Estudiantes'!$C:$C,tblMatriculas[[#This Row],[Cédula]],'Base Estudiantes'!$I:$I,tblMatriculas[[#This Row],[Código]])&gt;0,"Sí","No")</f>
        <v>Sí</v>
      </c>
      <c r="Z1488" s="23" cm="1">
        <f t="array" ref="Z1488">_xlfn.XLOOKUP(tblMatriculas[[#This Row],[Cédula]]&amp;"|"&amp;tblMatriculas[[#This Row],[Código]],tblBase[Documento]&amp;"|"&amp;tblBase[Código grupo],tblBase[Fecha matrícula],"")</f>
        <v>46263</v>
      </c>
    </row>
    <row r="1489" spans="1:26" x14ac:dyDescent="0.2">
      <c r="A1489" t="s">
        <v>3125</v>
      </c>
      <c r="B1489" t="s">
        <v>3126</v>
      </c>
      <c r="C1489" t="s">
        <v>13</v>
      </c>
      <c r="D1489" t="s">
        <v>3083</v>
      </c>
      <c r="E1489" t="s">
        <v>3084</v>
      </c>
      <c r="F1489" t="s">
        <v>516</v>
      </c>
      <c r="G1489" s="1">
        <v>6.7000000000000004E-2</v>
      </c>
      <c r="H1489" t="s">
        <v>166</v>
      </c>
      <c r="I1489" t="s">
        <v>1580</v>
      </c>
      <c r="J1489" t="s">
        <v>2649</v>
      </c>
      <c r="K1489" t="s">
        <v>24</v>
      </c>
      <c r="L1489" s="14">
        <f>IFERROR(VALUE(LEFT(tblMatriculas[[#This Row],[Clases]],FIND("/",tblMatriculas[[#This Row],[Clases]])-1)),"")</f>
        <v>2</v>
      </c>
      <c r="M1489" s="14">
        <f>IFERROR(VALUE(MID(tblMatriculas[[#This Row],[Clases]],FIND("/",tblMatriculas[[#This Row],[Clases]])+1,5)),"")</f>
        <v>30</v>
      </c>
      <c r="N14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89" s="14">
        <f>IF(OR(tblMatriculas[[#This Row],[Estado]]&lt;&gt;"activa",tblMatriculas[[#This Row],[Clases dictadas]]=""),"",MAX(0,tblMatriculas[[#This Row],[Clases dictadas]]-tblMatriculas[[#This Row],[Asistidas]]))</f>
        <v>0</v>
      </c>
      <c r="P1489" s="1">
        <f>IF(OR(tblMatriculas[[#This Row],[Estado]]&lt;&gt;"activa",tblMatriculas[[#This Row],[Asistidas]]=""),"",tblMatriculas[[#This Row],[Asistencia]])</f>
        <v>6.7000000000000004E-2</v>
      </c>
      <c r="Q1489" t="b">
        <f>AND(tblMatriculas[[#This Row],[Estado]]="activa",ISNUMBER(tblMatriculas[[#This Row],[% asistencia]]),NOT(ISNUMBER(SEARCH(pPrueba,tblMatriculas[[#This Row],[Nombre]]))))</f>
        <v>1</v>
      </c>
      <c r="R14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89" s="23" t="str" cm="1">
        <f t="array" ref="S14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89" s="23" t="str" cm="1">
        <f t="array" ref="T14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89" s="14" t="str" cm="1">
        <f t="array" ref="U14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89" t="str" cm="1">
        <f t="array" ref="V14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89" t="str" cm="1">
        <f t="array" ref="W14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89" t="str">
        <f>IF(COUNTIFS('Base Estudiantes'!$C:$C,tblMatriculas[[#This Row],[Cédula]],'Base Estudiantes'!$I:$I,tblMatriculas[[#This Row],[Código]])&gt;0,"Sí","No")</f>
        <v>Sí</v>
      </c>
      <c r="Z1489" s="23" cm="1">
        <f t="array" ref="Z1489">_xlfn.XLOOKUP(tblMatriculas[[#This Row],[Cédula]]&amp;"|"&amp;tblMatriculas[[#This Row],[Código]],tblBase[Documento]&amp;"|"&amp;tblBase[Código grupo],tblBase[Fecha matrícula],"")</f>
        <v>46263</v>
      </c>
    </row>
    <row r="1490" spans="1:26" x14ac:dyDescent="0.2">
      <c r="A1490" t="s">
        <v>3127</v>
      </c>
      <c r="B1490" t="s">
        <v>3128</v>
      </c>
      <c r="C1490" t="s">
        <v>13</v>
      </c>
      <c r="D1490" t="s">
        <v>3083</v>
      </c>
      <c r="E1490" t="s">
        <v>3084</v>
      </c>
      <c r="F1490" t="s">
        <v>516</v>
      </c>
      <c r="G1490" s="1">
        <v>3.3000000000000002E-2</v>
      </c>
      <c r="H1490" t="s">
        <v>225</v>
      </c>
      <c r="I1490" t="s">
        <v>1580</v>
      </c>
      <c r="J1490" t="s">
        <v>2649</v>
      </c>
      <c r="K1490" t="s">
        <v>24</v>
      </c>
      <c r="L1490" s="14">
        <f>IFERROR(VALUE(LEFT(tblMatriculas[[#This Row],[Clases]],FIND("/",tblMatriculas[[#This Row],[Clases]])-1)),"")</f>
        <v>1</v>
      </c>
      <c r="M1490" s="14">
        <f>IFERROR(VALUE(MID(tblMatriculas[[#This Row],[Clases]],FIND("/",tblMatriculas[[#This Row],[Clases]])+1,5)),"")</f>
        <v>30</v>
      </c>
      <c r="N14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0" s="14">
        <f>IF(OR(tblMatriculas[[#This Row],[Estado]]&lt;&gt;"activa",tblMatriculas[[#This Row],[Clases dictadas]]=""),"",MAX(0,tblMatriculas[[#This Row],[Clases dictadas]]-tblMatriculas[[#This Row],[Asistidas]]))</f>
        <v>1</v>
      </c>
      <c r="P1490" s="1">
        <f>IF(OR(tblMatriculas[[#This Row],[Estado]]&lt;&gt;"activa",tblMatriculas[[#This Row],[Asistidas]]=""),"",tblMatriculas[[#This Row],[Asistencia]])</f>
        <v>3.3000000000000002E-2</v>
      </c>
      <c r="Q1490" t="b">
        <f>AND(tblMatriculas[[#This Row],[Estado]]="activa",ISNUMBER(tblMatriculas[[#This Row],[% asistencia]]),NOT(ISNUMBER(SEARCH(pPrueba,tblMatriculas[[#This Row],[Nombre]]))))</f>
        <v>1</v>
      </c>
      <c r="R14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90" s="23" t="str" cm="1">
        <f t="array" ref="S14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0" s="23" t="str" cm="1">
        <f t="array" ref="T14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0" s="14" t="str" cm="1">
        <f t="array" ref="U14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0" t="str" cm="1">
        <f t="array" ref="V14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0" t="str" cm="1">
        <f t="array" ref="W14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90" t="str">
        <f>IF(COUNTIFS('Base Estudiantes'!$C:$C,tblMatriculas[[#This Row],[Cédula]],'Base Estudiantes'!$I:$I,tblMatriculas[[#This Row],[Código]])&gt;0,"Sí","No")</f>
        <v>Sí</v>
      </c>
      <c r="Z1490" s="23" cm="1">
        <f t="array" ref="Z1490">_xlfn.XLOOKUP(tblMatriculas[[#This Row],[Cédula]]&amp;"|"&amp;tblMatriculas[[#This Row],[Código]],tblBase[Documento]&amp;"|"&amp;tblBase[Código grupo],tblBase[Fecha matrícula],"")</f>
        <v>46263</v>
      </c>
    </row>
    <row r="1491" spans="1:26" x14ac:dyDescent="0.2">
      <c r="A1491" t="s">
        <v>3129</v>
      </c>
      <c r="B1491" t="s">
        <v>3130</v>
      </c>
      <c r="C1491" t="s">
        <v>13</v>
      </c>
      <c r="D1491" t="s">
        <v>3083</v>
      </c>
      <c r="E1491" t="s">
        <v>3084</v>
      </c>
      <c r="F1491" t="s">
        <v>516</v>
      </c>
      <c r="G1491" s="1">
        <v>3.3000000000000002E-2</v>
      </c>
      <c r="H1491" t="s">
        <v>225</v>
      </c>
      <c r="I1491" t="s">
        <v>1580</v>
      </c>
      <c r="J1491" t="s">
        <v>2649</v>
      </c>
      <c r="K1491" t="s">
        <v>24</v>
      </c>
      <c r="L1491" s="14">
        <f>IFERROR(VALUE(LEFT(tblMatriculas[[#This Row],[Clases]],FIND("/",tblMatriculas[[#This Row],[Clases]])-1)),"")</f>
        <v>1</v>
      </c>
      <c r="M1491" s="14">
        <f>IFERROR(VALUE(MID(tblMatriculas[[#This Row],[Clases]],FIND("/",tblMatriculas[[#This Row],[Clases]])+1,5)),"")</f>
        <v>30</v>
      </c>
      <c r="N14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1" s="14">
        <f>IF(OR(tblMatriculas[[#This Row],[Estado]]&lt;&gt;"activa",tblMatriculas[[#This Row],[Clases dictadas]]=""),"",MAX(0,tblMatriculas[[#This Row],[Clases dictadas]]-tblMatriculas[[#This Row],[Asistidas]]))</f>
        <v>1</v>
      </c>
      <c r="P1491" s="1">
        <f>IF(OR(tblMatriculas[[#This Row],[Estado]]&lt;&gt;"activa",tblMatriculas[[#This Row],[Asistidas]]=""),"",tblMatriculas[[#This Row],[Asistencia]])</f>
        <v>3.3000000000000002E-2</v>
      </c>
      <c r="Q1491" t="b">
        <f>AND(tblMatriculas[[#This Row],[Estado]]="activa",ISNUMBER(tblMatriculas[[#This Row],[% asistencia]]),NOT(ISNUMBER(SEARCH(pPrueba,tblMatriculas[[#This Row],[Nombre]]))))</f>
        <v>1</v>
      </c>
      <c r="R14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91" s="23" t="str" cm="1">
        <f t="array" ref="S14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1" s="23" t="str" cm="1">
        <f t="array" ref="T14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1" s="14" t="str" cm="1">
        <f t="array" ref="U14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1" t="str" cm="1">
        <f t="array" ref="V14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1" t="str" cm="1">
        <f t="array" ref="W14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91" t="str">
        <f>IF(COUNTIFS('Base Estudiantes'!$C:$C,tblMatriculas[[#This Row],[Cédula]],'Base Estudiantes'!$I:$I,tblMatriculas[[#This Row],[Código]])&gt;0,"Sí","No")</f>
        <v>Sí</v>
      </c>
      <c r="Z1491" s="23" cm="1">
        <f t="array" ref="Z1491">_xlfn.XLOOKUP(tblMatriculas[[#This Row],[Cédula]]&amp;"|"&amp;tblMatriculas[[#This Row],[Código]],tblBase[Documento]&amp;"|"&amp;tblBase[Código grupo],tblBase[Fecha matrícula],"")</f>
        <v>46263</v>
      </c>
    </row>
    <row r="1492" spans="1:26" x14ac:dyDescent="0.2">
      <c r="A1492" t="s">
        <v>3131</v>
      </c>
      <c r="B1492" t="s">
        <v>3132</v>
      </c>
      <c r="C1492" t="s">
        <v>13</v>
      </c>
      <c r="D1492" t="s">
        <v>3083</v>
      </c>
      <c r="E1492" t="s">
        <v>3084</v>
      </c>
      <c r="F1492" t="s">
        <v>516</v>
      </c>
      <c r="G1492" s="1">
        <v>6.7000000000000004E-2</v>
      </c>
      <c r="H1492" t="s">
        <v>166</v>
      </c>
      <c r="I1492" t="s">
        <v>1580</v>
      </c>
      <c r="J1492" t="s">
        <v>2649</v>
      </c>
      <c r="K1492" t="s">
        <v>24</v>
      </c>
      <c r="L1492" s="14">
        <f>IFERROR(VALUE(LEFT(tblMatriculas[[#This Row],[Clases]],FIND("/",tblMatriculas[[#This Row],[Clases]])-1)),"")</f>
        <v>2</v>
      </c>
      <c r="M1492" s="14">
        <f>IFERROR(VALUE(MID(tblMatriculas[[#This Row],[Clases]],FIND("/",tblMatriculas[[#This Row],[Clases]])+1,5)),"")</f>
        <v>30</v>
      </c>
      <c r="N14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2" s="14">
        <f>IF(OR(tblMatriculas[[#This Row],[Estado]]&lt;&gt;"activa",tblMatriculas[[#This Row],[Clases dictadas]]=""),"",MAX(0,tblMatriculas[[#This Row],[Clases dictadas]]-tblMatriculas[[#This Row],[Asistidas]]))</f>
        <v>0</v>
      </c>
      <c r="P1492" s="1">
        <f>IF(OR(tblMatriculas[[#This Row],[Estado]]&lt;&gt;"activa",tblMatriculas[[#This Row],[Asistidas]]=""),"",tblMatriculas[[#This Row],[Asistencia]])</f>
        <v>6.7000000000000004E-2</v>
      </c>
      <c r="Q1492" t="b">
        <f>AND(tblMatriculas[[#This Row],[Estado]]="activa",ISNUMBER(tblMatriculas[[#This Row],[% asistencia]]),NOT(ISNUMBER(SEARCH(pPrueba,tblMatriculas[[#This Row],[Nombre]]))))</f>
        <v>1</v>
      </c>
      <c r="R14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2" s="23" t="str" cm="1">
        <f t="array" ref="S14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2" s="23" t="str" cm="1">
        <f t="array" ref="T14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2" s="14" t="str" cm="1">
        <f t="array" ref="U14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2" t="str" cm="1">
        <f t="array" ref="V14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2" t="str" cm="1">
        <f t="array" ref="W14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2" t="str">
        <f>IF(COUNTIFS('Base Estudiantes'!$C:$C,tblMatriculas[[#This Row],[Cédula]],'Base Estudiantes'!$I:$I,tblMatriculas[[#This Row],[Código]])&gt;0,"Sí","No")</f>
        <v>Sí</v>
      </c>
      <c r="Z1492" s="23" cm="1">
        <f t="array" ref="Z1492">_xlfn.XLOOKUP(tblMatriculas[[#This Row],[Cédula]]&amp;"|"&amp;tblMatriculas[[#This Row],[Código]],tblBase[Documento]&amp;"|"&amp;tblBase[Código grupo],tblBase[Fecha matrícula],"")</f>
        <v>46263</v>
      </c>
    </row>
    <row r="1493" spans="1:26" x14ac:dyDescent="0.2">
      <c r="A1493" t="s">
        <v>3133</v>
      </c>
      <c r="B1493" t="s">
        <v>3134</v>
      </c>
      <c r="C1493" t="s">
        <v>13</v>
      </c>
      <c r="D1493" t="s">
        <v>3083</v>
      </c>
      <c r="E1493" t="s">
        <v>3084</v>
      </c>
      <c r="F1493" t="s">
        <v>516</v>
      </c>
      <c r="G1493" s="1">
        <v>6.7000000000000004E-2</v>
      </c>
      <c r="H1493" t="s">
        <v>166</v>
      </c>
      <c r="I1493" t="s">
        <v>1580</v>
      </c>
      <c r="J1493" t="s">
        <v>2649</v>
      </c>
      <c r="K1493" t="s">
        <v>24</v>
      </c>
      <c r="L1493" s="14">
        <f>IFERROR(VALUE(LEFT(tblMatriculas[[#This Row],[Clases]],FIND("/",tblMatriculas[[#This Row],[Clases]])-1)),"")</f>
        <v>2</v>
      </c>
      <c r="M1493" s="14">
        <f>IFERROR(VALUE(MID(tblMatriculas[[#This Row],[Clases]],FIND("/",tblMatriculas[[#This Row],[Clases]])+1,5)),"")</f>
        <v>30</v>
      </c>
      <c r="N14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3" s="14">
        <f>IF(OR(tblMatriculas[[#This Row],[Estado]]&lt;&gt;"activa",tblMatriculas[[#This Row],[Clases dictadas]]=""),"",MAX(0,tblMatriculas[[#This Row],[Clases dictadas]]-tblMatriculas[[#This Row],[Asistidas]]))</f>
        <v>0</v>
      </c>
      <c r="P1493" s="1">
        <f>IF(OR(tblMatriculas[[#This Row],[Estado]]&lt;&gt;"activa",tblMatriculas[[#This Row],[Asistidas]]=""),"",tblMatriculas[[#This Row],[Asistencia]])</f>
        <v>6.7000000000000004E-2</v>
      </c>
      <c r="Q1493" t="b">
        <f>AND(tblMatriculas[[#This Row],[Estado]]="activa",ISNUMBER(tblMatriculas[[#This Row],[% asistencia]]),NOT(ISNUMBER(SEARCH(pPrueba,tblMatriculas[[#This Row],[Nombre]]))))</f>
        <v>1</v>
      </c>
      <c r="R14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3" s="23" t="str" cm="1">
        <f t="array" ref="S14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3" s="23" t="str" cm="1">
        <f t="array" ref="T14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3" s="14" t="str" cm="1">
        <f t="array" ref="U14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3" t="str" cm="1">
        <f t="array" ref="V14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3" t="str" cm="1">
        <f t="array" ref="W14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3" t="str">
        <f>IF(COUNTIFS('Base Estudiantes'!$C:$C,tblMatriculas[[#This Row],[Cédula]],'Base Estudiantes'!$I:$I,tblMatriculas[[#This Row],[Código]])&gt;0,"Sí","No")</f>
        <v>Sí</v>
      </c>
      <c r="Z1493" s="23" cm="1">
        <f t="array" ref="Z1493">_xlfn.XLOOKUP(tblMatriculas[[#This Row],[Cédula]]&amp;"|"&amp;tblMatriculas[[#This Row],[Código]],tblBase[Documento]&amp;"|"&amp;tblBase[Código grupo],tblBase[Fecha matrícula],"")</f>
        <v>46263</v>
      </c>
    </row>
    <row r="1494" spans="1:26" x14ac:dyDescent="0.2">
      <c r="A1494" t="s">
        <v>3135</v>
      </c>
      <c r="B1494" t="s">
        <v>3136</v>
      </c>
      <c r="C1494" t="s">
        <v>13</v>
      </c>
      <c r="D1494" t="s">
        <v>3083</v>
      </c>
      <c r="E1494" t="s">
        <v>3084</v>
      </c>
      <c r="F1494" t="s">
        <v>516</v>
      </c>
      <c r="G1494" s="1">
        <v>6.7000000000000004E-2</v>
      </c>
      <c r="H1494" t="s">
        <v>166</v>
      </c>
      <c r="I1494" t="s">
        <v>1580</v>
      </c>
      <c r="J1494" t="s">
        <v>2649</v>
      </c>
      <c r="K1494" t="s">
        <v>24</v>
      </c>
      <c r="L1494" s="14">
        <f>IFERROR(VALUE(LEFT(tblMatriculas[[#This Row],[Clases]],FIND("/",tblMatriculas[[#This Row],[Clases]])-1)),"")</f>
        <v>2</v>
      </c>
      <c r="M1494" s="14">
        <f>IFERROR(VALUE(MID(tblMatriculas[[#This Row],[Clases]],FIND("/",tblMatriculas[[#This Row],[Clases]])+1,5)),"")</f>
        <v>30</v>
      </c>
      <c r="N14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4" s="14">
        <f>IF(OR(tblMatriculas[[#This Row],[Estado]]&lt;&gt;"activa",tblMatriculas[[#This Row],[Clases dictadas]]=""),"",MAX(0,tblMatriculas[[#This Row],[Clases dictadas]]-tblMatriculas[[#This Row],[Asistidas]]))</f>
        <v>0</v>
      </c>
      <c r="P1494" s="1">
        <f>IF(OR(tblMatriculas[[#This Row],[Estado]]&lt;&gt;"activa",tblMatriculas[[#This Row],[Asistidas]]=""),"",tblMatriculas[[#This Row],[Asistencia]])</f>
        <v>6.7000000000000004E-2</v>
      </c>
      <c r="Q1494" t="b">
        <f>AND(tblMatriculas[[#This Row],[Estado]]="activa",ISNUMBER(tblMatriculas[[#This Row],[% asistencia]]),NOT(ISNUMBER(SEARCH(pPrueba,tblMatriculas[[#This Row],[Nombre]]))))</f>
        <v>1</v>
      </c>
      <c r="R14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4" s="23" t="str" cm="1">
        <f t="array" ref="S14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4" s="23" t="str" cm="1">
        <f t="array" ref="T14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4" s="14" t="str" cm="1">
        <f t="array" ref="U14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4" t="str" cm="1">
        <f t="array" ref="V14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4" t="str" cm="1">
        <f t="array" ref="W14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4" t="str">
        <f>IF(COUNTIFS('Base Estudiantes'!$C:$C,tblMatriculas[[#This Row],[Cédula]],'Base Estudiantes'!$I:$I,tblMatriculas[[#This Row],[Código]])&gt;0,"Sí","No")</f>
        <v>Sí</v>
      </c>
      <c r="Z1494" s="23" cm="1">
        <f t="array" ref="Z1494">_xlfn.XLOOKUP(tblMatriculas[[#This Row],[Cédula]]&amp;"|"&amp;tblMatriculas[[#This Row],[Código]],tblBase[Documento]&amp;"|"&amp;tblBase[Código grupo],tblBase[Fecha matrícula],"")</f>
        <v>46263</v>
      </c>
    </row>
    <row r="1495" spans="1:26" x14ac:dyDescent="0.2">
      <c r="A1495" t="s">
        <v>3137</v>
      </c>
      <c r="B1495" t="s">
        <v>3138</v>
      </c>
      <c r="C1495" t="s">
        <v>13</v>
      </c>
      <c r="D1495" t="s">
        <v>3083</v>
      </c>
      <c r="E1495" t="s">
        <v>3084</v>
      </c>
      <c r="F1495" t="s">
        <v>516</v>
      </c>
      <c r="G1495" s="1">
        <v>6.7000000000000004E-2</v>
      </c>
      <c r="H1495" t="s">
        <v>166</v>
      </c>
      <c r="I1495" t="s">
        <v>1580</v>
      </c>
      <c r="J1495" t="s">
        <v>2649</v>
      </c>
      <c r="K1495" t="s">
        <v>24</v>
      </c>
      <c r="L1495" s="14">
        <f>IFERROR(VALUE(LEFT(tblMatriculas[[#This Row],[Clases]],FIND("/",tblMatriculas[[#This Row],[Clases]])-1)),"")</f>
        <v>2</v>
      </c>
      <c r="M1495" s="14">
        <f>IFERROR(VALUE(MID(tblMatriculas[[#This Row],[Clases]],FIND("/",tblMatriculas[[#This Row],[Clases]])+1,5)),"")</f>
        <v>30</v>
      </c>
      <c r="N14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5" s="14">
        <f>IF(OR(tblMatriculas[[#This Row],[Estado]]&lt;&gt;"activa",tblMatriculas[[#This Row],[Clases dictadas]]=""),"",MAX(0,tblMatriculas[[#This Row],[Clases dictadas]]-tblMatriculas[[#This Row],[Asistidas]]))</f>
        <v>0</v>
      </c>
      <c r="P1495" s="1">
        <f>IF(OR(tblMatriculas[[#This Row],[Estado]]&lt;&gt;"activa",tblMatriculas[[#This Row],[Asistidas]]=""),"",tblMatriculas[[#This Row],[Asistencia]])</f>
        <v>6.7000000000000004E-2</v>
      </c>
      <c r="Q1495" t="b">
        <f>AND(tblMatriculas[[#This Row],[Estado]]="activa",ISNUMBER(tblMatriculas[[#This Row],[% asistencia]]),NOT(ISNUMBER(SEARCH(pPrueba,tblMatriculas[[#This Row],[Nombre]]))))</f>
        <v>1</v>
      </c>
      <c r="R14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5" s="23" t="str" cm="1">
        <f t="array" ref="S14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5" s="23" t="str" cm="1">
        <f t="array" ref="T14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5" s="14" t="str" cm="1">
        <f t="array" ref="U14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5" t="str" cm="1">
        <f t="array" ref="V14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5" t="str" cm="1">
        <f t="array" ref="W14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5" t="str">
        <f>IF(COUNTIFS('Base Estudiantes'!$C:$C,tblMatriculas[[#This Row],[Cédula]],'Base Estudiantes'!$I:$I,tblMatriculas[[#This Row],[Código]])&gt;0,"Sí","No")</f>
        <v>Sí</v>
      </c>
      <c r="Z1495" s="23" cm="1">
        <f t="array" ref="Z1495">_xlfn.XLOOKUP(tblMatriculas[[#This Row],[Cédula]]&amp;"|"&amp;tblMatriculas[[#This Row],[Código]],tblBase[Documento]&amp;"|"&amp;tblBase[Código grupo],tblBase[Fecha matrícula],"")</f>
        <v>46263</v>
      </c>
    </row>
    <row r="1496" spans="1:26" x14ac:dyDescent="0.2">
      <c r="A1496" t="s">
        <v>3139</v>
      </c>
      <c r="B1496" t="s">
        <v>3140</v>
      </c>
      <c r="C1496" t="s">
        <v>13</v>
      </c>
      <c r="D1496" t="s">
        <v>3083</v>
      </c>
      <c r="E1496" t="s">
        <v>3084</v>
      </c>
      <c r="F1496" t="s">
        <v>516</v>
      </c>
      <c r="G1496" s="1">
        <v>6.7000000000000004E-2</v>
      </c>
      <c r="H1496" t="s">
        <v>166</v>
      </c>
      <c r="I1496" t="s">
        <v>1580</v>
      </c>
      <c r="J1496" t="s">
        <v>2649</v>
      </c>
      <c r="K1496" t="s">
        <v>24</v>
      </c>
      <c r="L1496" s="14">
        <f>IFERROR(VALUE(LEFT(tblMatriculas[[#This Row],[Clases]],FIND("/",tblMatriculas[[#This Row],[Clases]])-1)),"")</f>
        <v>2</v>
      </c>
      <c r="M1496" s="14">
        <f>IFERROR(VALUE(MID(tblMatriculas[[#This Row],[Clases]],FIND("/",tblMatriculas[[#This Row],[Clases]])+1,5)),"")</f>
        <v>30</v>
      </c>
      <c r="N14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6" s="14">
        <f>IF(OR(tblMatriculas[[#This Row],[Estado]]&lt;&gt;"activa",tblMatriculas[[#This Row],[Clases dictadas]]=""),"",MAX(0,tblMatriculas[[#This Row],[Clases dictadas]]-tblMatriculas[[#This Row],[Asistidas]]))</f>
        <v>0</v>
      </c>
      <c r="P1496" s="1">
        <f>IF(OR(tblMatriculas[[#This Row],[Estado]]&lt;&gt;"activa",tblMatriculas[[#This Row],[Asistidas]]=""),"",tblMatriculas[[#This Row],[Asistencia]])</f>
        <v>6.7000000000000004E-2</v>
      </c>
      <c r="Q1496" t="b">
        <f>AND(tblMatriculas[[#This Row],[Estado]]="activa",ISNUMBER(tblMatriculas[[#This Row],[% asistencia]]),NOT(ISNUMBER(SEARCH(pPrueba,tblMatriculas[[#This Row],[Nombre]]))))</f>
        <v>1</v>
      </c>
      <c r="R14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6" s="23" t="str" cm="1">
        <f t="array" ref="S14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6" s="23" t="str" cm="1">
        <f t="array" ref="T14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6" s="14" t="str" cm="1">
        <f t="array" ref="U14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6" t="str" cm="1">
        <f t="array" ref="V14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6" t="str" cm="1">
        <f t="array" ref="W14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6" t="str">
        <f>IF(COUNTIFS('Base Estudiantes'!$C:$C,tblMatriculas[[#This Row],[Cédula]],'Base Estudiantes'!$I:$I,tblMatriculas[[#This Row],[Código]])&gt;0,"Sí","No")</f>
        <v>Sí</v>
      </c>
      <c r="Z1496" s="23" cm="1">
        <f t="array" ref="Z1496">_xlfn.XLOOKUP(tblMatriculas[[#This Row],[Cédula]]&amp;"|"&amp;tblMatriculas[[#This Row],[Código]],tblBase[Documento]&amp;"|"&amp;tblBase[Código grupo],tblBase[Fecha matrícula],"")</f>
        <v>46263</v>
      </c>
    </row>
    <row r="1497" spans="1:26" x14ac:dyDescent="0.2">
      <c r="A1497" t="s">
        <v>3141</v>
      </c>
      <c r="B1497" t="s">
        <v>3142</v>
      </c>
      <c r="C1497" t="s">
        <v>13</v>
      </c>
      <c r="D1497" t="s">
        <v>3083</v>
      </c>
      <c r="E1497" t="s">
        <v>3084</v>
      </c>
      <c r="F1497" t="s">
        <v>516</v>
      </c>
      <c r="G1497" s="1">
        <v>6.7000000000000004E-2</v>
      </c>
      <c r="H1497" t="s">
        <v>166</v>
      </c>
      <c r="I1497" t="s">
        <v>1580</v>
      </c>
      <c r="J1497" t="s">
        <v>2649</v>
      </c>
      <c r="K1497" t="s">
        <v>24</v>
      </c>
      <c r="L1497" s="14">
        <f>IFERROR(VALUE(LEFT(tblMatriculas[[#This Row],[Clases]],FIND("/",tblMatriculas[[#This Row],[Clases]])-1)),"")</f>
        <v>2</v>
      </c>
      <c r="M1497" s="14">
        <f>IFERROR(VALUE(MID(tblMatriculas[[#This Row],[Clases]],FIND("/",tblMatriculas[[#This Row],[Clases]])+1,5)),"")</f>
        <v>30</v>
      </c>
      <c r="N14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7" s="14">
        <f>IF(OR(tblMatriculas[[#This Row],[Estado]]&lt;&gt;"activa",tblMatriculas[[#This Row],[Clases dictadas]]=""),"",MAX(0,tblMatriculas[[#This Row],[Clases dictadas]]-tblMatriculas[[#This Row],[Asistidas]]))</f>
        <v>0</v>
      </c>
      <c r="P1497" s="1">
        <f>IF(OR(tblMatriculas[[#This Row],[Estado]]&lt;&gt;"activa",tblMatriculas[[#This Row],[Asistidas]]=""),"",tblMatriculas[[#This Row],[Asistencia]])</f>
        <v>6.7000000000000004E-2</v>
      </c>
      <c r="Q1497" t="b">
        <f>AND(tblMatriculas[[#This Row],[Estado]]="activa",ISNUMBER(tblMatriculas[[#This Row],[% asistencia]]),NOT(ISNUMBER(SEARCH(pPrueba,tblMatriculas[[#This Row],[Nombre]]))))</f>
        <v>1</v>
      </c>
      <c r="R14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497" s="23" t="str" cm="1">
        <f t="array" ref="S14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7" s="23" t="str" cm="1">
        <f t="array" ref="T14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7" s="14" t="str" cm="1">
        <f t="array" ref="U14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7" t="str" cm="1">
        <f t="array" ref="V14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7" t="str" cm="1">
        <f t="array" ref="W14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4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497" t="str">
        <f>IF(COUNTIFS('Base Estudiantes'!$C:$C,tblMatriculas[[#This Row],[Cédula]],'Base Estudiantes'!$I:$I,tblMatriculas[[#This Row],[Código]])&gt;0,"Sí","No")</f>
        <v>Sí</v>
      </c>
      <c r="Z1497" s="23" cm="1">
        <f t="array" ref="Z1497">_xlfn.XLOOKUP(tblMatriculas[[#This Row],[Cédula]]&amp;"|"&amp;tblMatriculas[[#This Row],[Código]],tblBase[Documento]&amp;"|"&amp;tblBase[Código grupo],tblBase[Fecha matrícula],"")</f>
        <v>46263</v>
      </c>
    </row>
    <row r="1498" spans="1:26" x14ac:dyDescent="0.2">
      <c r="A1498" t="s">
        <v>3143</v>
      </c>
      <c r="B1498" t="s">
        <v>3144</v>
      </c>
      <c r="C1498" t="s">
        <v>13</v>
      </c>
      <c r="D1498" t="s">
        <v>3083</v>
      </c>
      <c r="E1498" t="s">
        <v>3084</v>
      </c>
      <c r="F1498" t="s">
        <v>516</v>
      </c>
      <c r="G1498" s="1">
        <v>1.7000000000000001E-2</v>
      </c>
      <c r="H1498" t="s">
        <v>578</v>
      </c>
      <c r="I1498" t="s">
        <v>1580</v>
      </c>
      <c r="J1498" t="s">
        <v>2649</v>
      </c>
      <c r="K1498" t="s">
        <v>2452</v>
      </c>
      <c r="L1498" s="14">
        <f>IFERROR(VALUE(LEFT(tblMatriculas[[#This Row],[Clases]],FIND("/",tblMatriculas[[#This Row],[Clases]])-1)),"")</f>
        <v>1</v>
      </c>
      <c r="M1498" s="14">
        <f>IFERROR(VALUE(MID(tblMatriculas[[#This Row],[Clases]],FIND("/",tblMatriculas[[#This Row],[Clases]])+1,5)),"")</f>
        <v>60</v>
      </c>
      <c r="N14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3</v>
      </c>
      <c r="O1498" s="14">
        <f>IF(OR(tblMatriculas[[#This Row],[Estado]]&lt;&gt;"activa",tblMatriculas[[#This Row],[Clases dictadas]]=""),"",MAX(0,tblMatriculas[[#This Row],[Clases dictadas]]-tblMatriculas[[#This Row],[Asistidas]]))</f>
        <v>2</v>
      </c>
      <c r="P1498" s="1">
        <f>IF(OR(tblMatriculas[[#This Row],[Estado]]&lt;&gt;"activa",tblMatriculas[[#This Row],[Asistidas]]=""),"",tblMatriculas[[#This Row],[Asistencia]])</f>
        <v>1.7000000000000001E-2</v>
      </c>
      <c r="Q1498" t="b">
        <f>AND(tblMatriculas[[#This Row],[Estado]]="activa",ISNUMBER(tblMatriculas[[#This Row],[% asistencia]]),NOT(ISNUMBER(SEARCH(pPrueba,tblMatriculas[[#This Row],[Nombre]]))))</f>
        <v>1</v>
      </c>
      <c r="R14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98" s="23" t="str" cm="1">
        <f t="array" ref="S14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8" s="23" t="str" cm="1">
        <f t="array" ref="T14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8" s="14" t="str" cm="1">
        <f t="array" ref="U14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8" t="str" cm="1">
        <f t="array" ref="V14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8" t="str" cm="1">
        <f t="array" ref="W14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9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98" t="str">
        <f>IF(COUNTIFS('Base Estudiantes'!$C:$C,tblMatriculas[[#This Row],[Cédula]],'Base Estudiantes'!$I:$I,tblMatriculas[[#This Row],[Código]])&gt;0,"Sí","No")</f>
        <v>Sí</v>
      </c>
      <c r="Z1498" s="23" cm="1">
        <f t="array" ref="Z1498">_xlfn.XLOOKUP(tblMatriculas[[#This Row],[Cédula]]&amp;"|"&amp;tblMatriculas[[#This Row],[Código]],tblBase[Documento]&amp;"|"&amp;tblBase[Código grupo],tblBase[Fecha matrícula],"")</f>
        <v>46263</v>
      </c>
    </row>
    <row r="1499" spans="1:26" x14ac:dyDescent="0.2">
      <c r="A1499" t="s">
        <v>3145</v>
      </c>
      <c r="B1499" t="s">
        <v>3146</v>
      </c>
      <c r="C1499" t="s">
        <v>13</v>
      </c>
      <c r="D1499" t="s">
        <v>3083</v>
      </c>
      <c r="E1499" t="s">
        <v>3084</v>
      </c>
      <c r="F1499" t="s">
        <v>516</v>
      </c>
      <c r="G1499" s="1">
        <v>3.3000000000000002E-2</v>
      </c>
      <c r="H1499" t="s">
        <v>225</v>
      </c>
      <c r="I1499" t="s">
        <v>1580</v>
      </c>
      <c r="J1499" t="s">
        <v>2649</v>
      </c>
      <c r="K1499" t="s">
        <v>2078</v>
      </c>
      <c r="L1499" s="14">
        <f>IFERROR(VALUE(LEFT(tblMatriculas[[#This Row],[Clases]],FIND("/",tblMatriculas[[#This Row],[Clases]])-1)),"")</f>
        <v>1</v>
      </c>
      <c r="M1499" s="14">
        <f>IFERROR(VALUE(MID(tblMatriculas[[#This Row],[Clases]],FIND("/",tblMatriculas[[#This Row],[Clases]])+1,5)),"")</f>
        <v>30</v>
      </c>
      <c r="N14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499" s="14">
        <f>IF(OR(tblMatriculas[[#This Row],[Estado]]&lt;&gt;"activa",tblMatriculas[[#This Row],[Clases dictadas]]=""),"",MAX(0,tblMatriculas[[#This Row],[Clases dictadas]]-tblMatriculas[[#This Row],[Asistidas]]))</f>
        <v>1</v>
      </c>
      <c r="P1499" s="1">
        <f>IF(OR(tblMatriculas[[#This Row],[Estado]]&lt;&gt;"activa",tblMatriculas[[#This Row],[Asistidas]]=""),"",tblMatriculas[[#This Row],[Asistencia]])</f>
        <v>3.3000000000000002E-2</v>
      </c>
      <c r="Q1499" t="b">
        <f>AND(tblMatriculas[[#This Row],[Estado]]="activa",ISNUMBER(tblMatriculas[[#This Row],[% asistencia]]),NOT(ISNUMBER(SEARCH(pPrueba,tblMatriculas[[#This Row],[Nombre]]))))</f>
        <v>1</v>
      </c>
      <c r="R14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499" s="23" t="str" cm="1">
        <f t="array" ref="S14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499" s="23" t="str" cm="1">
        <f t="array" ref="T14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499" s="14" t="str" cm="1">
        <f t="array" ref="U14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499" t="str" cm="1">
        <f t="array" ref="V14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499" t="str" cm="1">
        <f t="array" ref="W14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4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499" t="str">
        <f>IF(COUNTIFS('Base Estudiantes'!$C:$C,tblMatriculas[[#This Row],[Cédula]],'Base Estudiantes'!$I:$I,tblMatriculas[[#This Row],[Código]])&gt;0,"Sí","No")</f>
        <v>Sí</v>
      </c>
      <c r="Z1499" s="23" cm="1">
        <f t="array" ref="Z1499">_xlfn.XLOOKUP(tblMatriculas[[#This Row],[Cédula]]&amp;"|"&amp;tblMatriculas[[#This Row],[Código]],tblBase[Documento]&amp;"|"&amp;tblBase[Código grupo],tblBase[Fecha matrícula],"")</f>
        <v>46263</v>
      </c>
    </row>
    <row r="1500" spans="1:26" x14ac:dyDescent="0.2">
      <c r="A1500" t="s">
        <v>3147</v>
      </c>
      <c r="B1500" t="s">
        <v>3148</v>
      </c>
      <c r="C1500" t="s">
        <v>13</v>
      </c>
      <c r="D1500" t="s">
        <v>3083</v>
      </c>
      <c r="E1500" t="s">
        <v>3084</v>
      </c>
      <c r="F1500" t="s">
        <v>516</v>
      </c>
      <c r="G1500" s="1">
        <v>6.7000000000000004E-2</v>
      </c>
      <c r="H1500" t="s">
        <v>166</v>
      </c>
      <c r="I1500" t="s">
        <v>1580</v>
      </c>
      <c r="J1500" t="s">
        <v>2649</v>
      </c>
      <c r="K1500" t="s">
        <v>2078</v>
      </c>
      <c r="L1500" s="14">
        <f>IFERROR(VALUE(LEFT(tblMatriculas[[#This Row],[Clases]],FIND("/",tblMatriculas[[#This Row],[Clases]])-1)),"")</f>
        <v>2</v>
      </c>
      <c r="M1500" s="14">
        <f>IFERROR(VALUE(MID(tblMatriculas[[#This Row],[Clases]],FIND("/",tblMatriculas[[#This Row],[Clases]])+1,5)),"")</f>
        <v>30</v>
      </c>
      <c r="N15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0" s="14">
        <f>IF(OR(tblMatriculas[[#This Row],[Estado]]&lt;&gt;"activa",tblMatriculas[[#This Row],[Clases dictadas]]=""),"",MAX(0,tblMatriculas[[#This Row],[Clases dictadas]]-tblMatriculas[[#This Row],[Asistidas]]))</f>
        <v>0</v>
      </c>
      <c r="P1500" s="1">
        <f>IF(OR(tblMatriculas[[#This Row],[Estado]]&lt;&gt;"activa",tblMatriculas[[#This Row],[Asistidas]]=""),"",tblMatriculas[[#This Row],[Asistencia]])</f>
        <v>6.7000000000000004E-2</v>
      </c>
      <c r="Q1500" t="b">
        <f>AND(tblMatriculas[[#This Row],[Estado]]="activa",ISNUMBER(tblMatriculas[[#This Row],[% asistencia]]),NOT(ISNUMBER(SEARCH(pPrueba,tblMatriculas[[#This Row],[Nombre]]))))</f>
        <v>1</v>
      </c>
      <c r="R15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0" s="23" t="str" cm="1">
        <f t="array" ref="S15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0" s="23" t="str" cm="1">
        <f t="array" ref="T15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0" s="14" t="str" cm="1">
        <f t="array" ref="U15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0" t="str" cm="1">
        <f t="array" ref="V15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0" t="str" cm="1">
        <f t="array" ref="W15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0" t="str">
        <f>IF(COUNTIFS('Base Estudiantes'!$C:$C,tblMatriculas[[#This Row],[Cédula]],'Base Estudiantes'!$I:$I,tblMatriculas[[#This Row],[Código]])&gt;0,"Sí","No")</f>
        <v>Sí</v>
      </c>
      <c r="Z1500" s="23" cm="1">
        <f t="array" ref="Z1500">_xlfn.XLOOKUP(tblMatriculas[[#This Row],[Cédula]]&amp;"|"&amp;tblMatriculas[[#This Row],[Código]],tblBase[Documento]&amp;"|"&amp;tblBase[Código grupo],tblBase[Fecha matrícula],"")</f>
        <v>46263</v>
      </c>
    </row>
    <row r="1501" spans="1:26" x14ac:dyDescent="0.2">
      <c r="A1501" t="s">
        <v>3149</v>
      </c>
      <c r="B1501" t="s">
        <v>3150</v>
      </c>
      <c r="C1501" t="s">
        <v>13</v>
      </c>
      <c r="D1501" t="s">
        <v>3083</v>
      </c>
      <c r="E1501" t="s">
        <v>3084</v>
      </c>
      <c r="F1501" t="s">
        <v>516</v>
      </c>
      <c r="G1501" s="1">
        <v>0.05</v>
      </c>
      <c r="H1501" t="s">
        <v>336</v>
      </c>
      <c r="I1501" t="s">
        <v>1580</v>
      </c>
      <c r="J1501" t="s">
        <v>2649</v>
      </c>
      <c r="K1501" t="s">
        <v>2078</v>
      </c>
      <c r="L1501" s="14">
        <f>IFERROR(VALUE(LEFT(tblMatriculas[[#This Row],[Clases]],FIND("/",tblMatriculas[[#This Row],[Clases]])-1)),"")</f>
        <v>3</v>
      </c>
      <c r="M1501" s="14">
        <f>IFERROR(VALUE(MID(tblMatriculas[[#This Row],[Clases]],FIND("/",tblMatriculas[[#This Row],[Clases]])+1,5)),"")</f>
        <v>60</v>
      </c>
      <c r="N15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01" s="14">
        <f>IF(OR(tblMatriculas[[#This Row],[Estado]]&lt;&gt;"activa",tblMatriculas[[#This Row],[Clases dictadas]]=""),"",MAX(0,tblMatriculas[[#This Row],[Clases dictadas]]-tblMatriculas[[#This Row],[Asistidas]]))</f>
        <v>3</v>
      </c>
      <c r="P1501" s="1">
        <f>IF(OR(tblMatriculas[[#This Row],[Estado]]&lt;&gt;"activa",tblMatriculas[[#This Row],[Asistidas]]=""),"",tblMatriculas[[#This Row],[Asistencia]])</f>
        <v>0.05</v>
      </c>
      <c r="Q1501" t="b">
        <f>AND(tblMatriculas[[#This Row],[Estado]]="activa",ISNUMBER(tblMatriculas[[#This Row],[% asistencia]]),NOT(ISNUMBER(SEARCH(pPrueba,tblMatriculas[[#This Row],[Nombre]]))))</f>
        <v>1</v>
      </c>
      <c r="R15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1" s="23" t="str" cm="1">
        <f t="array" ref="S15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1" s="23" t="str" cm="1">
        <f t="array" ref="T15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1" s="14" t="str" cm="1">
        <f t="array" ref="U15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1" t="str" cm="1">
        <f t="array" ref="V15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1" t="str" cm="1">
        <f t="array" ref="W15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1" t="str">
        <f>IF(COUNTIFS('Base Estudiantes'!$C:$C,tblMatriculas[[#This Row],[Cédula]],'Base Estudiantes'!$I:$I,tblMatriculas[[#This Row],[Código]])&gt;0,"Sí","No")</f>
        <v>Sí</v>
      </c>
      <c r="Z1501" s="23" cm="1">
        <f t="array" ref="Z1501">_xlfn.XLOOKUP(tblMatriculas[[#This Row],[Cédula]]&amp;"|"&amp;tblMatriculas[[#This Row],[Código]],tblBase[Documento]&amp;"|"&amp;tblBase[Código grupo],tblBase[Fecha matrícula],"")</f>
        <v>46263</v>
      </c>
    </row>
    <row r="1502" spans="1:26" x14ac:dyDescent="0.2">
      <c r="A1502" t="s">
        <v>3151</v>
      </c>
      <c r="B1502" t="s">
        <v>3152</v>
      </c>
      <c r="C1502" t="s">
        <v>13</v>
      </c>
      <c r="D1502" t="s">
        <v>3083</v>
      </c>
      <c r="E1502" t="s">
        <v>3084</v>
      </c>
      <c r="F1502" t="s">
        <v>516</v>
      </c>
      <c r="G1502" s="1">
        <v>6.7000000000000004E-2</v>
      </c>
      <c r="H1502" t="s">
        <v>166</v>
      </c>
      <c r="I1502" t="s">
        <v>1580</v>
      </c>
      <c r="J1502" t="s">
        <v>2649</v>
      </c>
      <c r="K1502" t="s">
        <v>2078</v>
      </c>
      <c r="L1502" s="14">
        <f>IFERROR(VALUE(LEFT(tblMatriculas[[#This Row],[Clases]],FIND("/",tblMatriculas[[#This Row],[Clases]])-1)),"")</f>
        <v>2</v>
      </c>
      <c r="M1502" s="14">
        <f>IFERROR(VALUE(MID(tblMatriculas[[#This Row],[Clases]],FIND("/",tblMatriculas[[#This Row],[Clases]])+1,5)),"")</f>
        <v>30</v>
      </c>
      <c r="N15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2" s="14">
        <f>IF(OR(tblMatriculas[[#This Row],[Estado]]&lt;&gt;"activa",tblMatriculas[[#This Row],[Clases dictadas]]=""),"",MAX(0,tblMatriculas[[#This Row],[Clases dictadas]]-tblMatriculas[[#This Row],[Asistidas]]))</f>
        <v>0</v>
      </c>
      <c r="P1502" s="1">
        <f>IF(OR(tblMatriculas[[#This Row],[Estado]]&lt;&gt;"activa",tblMatriculas[[#This Row],[Asistidas]]=""),"",tblMatriculas[[#This Row],[Asistencia]])</f>
        <v>6.7000000000000004E-2</v>
      </c>
      <c r="Q1502" t="b">
        <f>AND(tblMatriculas[[#This Row],[Estado]]="activa",ISNUMBER(tblMatriculas[[#This Row],[% asistencia]]),NOT(ISNUMBER(SEARCH(pPrueba,tblMatriculas[[#This Row],[Nombre]]))))</f>
        <v>1</v>
      </c>
      <c r="R15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2" s="23" t="str" cm="1">
        <f t="array" ref="S15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2" s="23" t="str" cm="1">
        <f t="array" ref="T15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2" s="14" t="str" cm="1">
        <f t="array" ref="U15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2" t="str" cm="1">
        <f t="array" ref="V15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2" t="str" cm="1">
        <f t="array" ref="W15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2" t="str">
        <f>IF(COUNTIFS('Base Estudiantes'!$C:$C,tblMatriculas[[#This Row],[Cédula]],'Base Estudiantes'!$I:$I,tblMatriculas[[#This Row],[Código]])&gt;0,"Sí","No")</f>
        <v>Sí</v>
      </c>
      <c r="Z1502" s="23" cm="1">
        <f t="array" ref="Z1502">_xlfn.XLOOKUP(tblMatriculas[[#This Row],[Cédula]]&amp;"|"&amp;tblMatriculas[[#This Row],[Código]],tblBase[Documento]&amp;"|"&amp;tblBase[Código grupo],tblBase[Fecha matrícula],"")</f>
        <v>46263</v>
      </c>
    </row>
    <row r="1503" spans="1:26" x14ac:dyDescent="0.2">
      <c r="A1503" t="s">
        <v>3153</v>
      </c>
      <c r="B1503" t="s">
        <v>3154</v>
      </c>
      <c r="C1503" t="s">
        <v>49</v>
      </c>
      <c r="D1503" t="s">
        <v>3083</v>
      </c>
      <c r="E1503" t="s">
        <v>3084</v>
      </c>
      <c r="F1503" t="s">
        <v>516</v>
      </c>
      <c r="G1503" s="1">
        <v>3.3000000000000002E-2</v>
      </c>
      <c r="H1503" t="s">
        <v>225</v>
      </c>
      <c r="I1503" t="s">
        <v>1580</v>
      </c>
      <c r="J1503" t="s">
        <v>2649</v>
      </c>
      <c r="K1503" t="s">
        <v>1864</v>
      </c>
      <c r="L1503" s="14">
        <f>IFERROR(VALUE(LEFT(tblMatriculas[[#This Row],[Clases]],FIND("/",tblMatriculas[[#This Row],[Clases]])-1)),"")</f>
        <v>1</v>
      </c>
      <c r="M1503" s="14">
        <f>IFERROR(VALUE(MID(tblMatriculas[[#This Row],[Clases]],FIND("/",tblMatriculas[[#This Row],[Clases]])+1,5)),"")</f>
        <v>30</v>
      </c>
      <c r="N15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3" s="14" t="str">
        <f>IF(OR(tblMatriculas[[#This Row],[Estado]]&lt;&gt;"activa",tblMatriculas[[#This Row],[Clases dictadas]]=""),"",MAX(0,tblMatriculas[[#This Row],[Clases dictadas]]-tblMatriculas[[#This Row],[Asistidas]]))</f>
        <v/>
      </c>
      <c r="P1503" s="1" t="str">
        <f>IF(OR(tblMatriculas[[#This Row],[Estado]]&lt;&gt;"activa",tblMatriculas[[#This Row],[Asistidas]]=""),"",tblMatriculas[[#This Row],[Asistencia]])</f>
        <v/>
      </c>
      <c r="Q1503" t="b">
        <f>AND(tblMatriculas[[#This Row],[Estado]]="activa",ISNUMBER(tblMatriculas[[#This Row],[% asistencia]]),NOT(ISNUMBER(SEARCH(pPrueba,tblMatriculas[[#This Row],[Nombre]]))))</f>
        <v>0</v>
      </c>
      <c r="R15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03" s="23" t="str" cm="1">
        <f t="array" ref="S15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3" s="23" t="str" cm="1">
        <f t="array" ref="T15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3" s="14" t="str" cm="1">
        <f t="array" ref="U15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3" t="str" cm="1">
        <f t="array" ref="V15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3" t="str" cm="1">
        <f t="array" ref="W15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03" t="str">
        <f>IF(COUNTIFS('Base Estudiantes'!$C:$C,tblMatriculas[[#This Row],[Cédula]],'Base Estudiantes'!$I:$I,tblMatriculas[[#This Row],[Código]])&gt;0,"Sí","No")</f>
        <v>No</v>
      </c>
      <c r="Z1503" s="23" t="str" cm="1">
        <f t="array" ref="Z1503">_xlfn.XLOOKUP(tblMatriculas[[#This Row],[Cédula]]&amp;"|"&amp;tblMatriculas[[#This Row],[Código]],tblBase[Documento]&amp;"|"&amp;tblBase[Código grupo],tblBase[Fecha matrícula],"")</f>
        <v/>
      </c>
    </row>
    <row r="1504" spans="1:26" x14ac:dyDescent="0.2">
      <c r="A1504" t="s">
        <v>3155</v>
      </c>
      <c r="B1504" t="s">
        <v>3156</v>
      </c>
      <c r="C1504" t="s">
        <v>13</v>
      </c>
      <c r="D1504" t="s">
        <v>3083</v>
      </c>
      <c r="E1504" t="s">
        <v>3084</v>
      </c>
      <c r="F1504" t="s">
        <v>516</v>
      </c>
      <c r="G1504" s="1">
        <v>6.7000000000000004E-2</v>
      </c>
      <c r="H1504" t="s">
        <v>166</v>
      </c>
      <c r="I1504" t="s">
        <v>1580</v>
      </c>
      <c r="J1504" t="s">
        <v>2649</v>
      </c>
      <c r="K1504" t="s">
        <v>1715</v>
      </c>
      <c r="L1504" s="14">
        <f>IFERROR(VALUE(LEFT(tblMatriculas[[#This Row],[Clases]],FIND("/",tblMatriculas[[#This Row],[Clases]])-1)),"")</f>
        <v>2</v>
      </c>
      <c r="M1504" s="14">
        <f>IFERROR(VALUE(MID(tblMatriculas[[#This Row],[Clases]],FIND("/",tblMatriculas[[#This Row],[Clases]])+1,5)),"")</f>
        <v>30</v>
      </c>
      <c r="N15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4" s="14">
        <f>IF(OR(tblMatriculas[[#This Row],[Estado]]&lt;&gt;"activa",tblMatriculas[[#This Row],[Clases dictadas]]=""),"",MAX(0,tblMatriculas[[#This Row],[Clases dictadas]]-tblMatriculas[[#This Row],[Asistidas]]))</f>
        <v>0</v>
      </c>
      <c r="P1504" s="1">
        <f>IF(OR(tblMatriculas[[#This Row],[Estado]]&lt;&gt;"activa",tblMatriculas[[#This Row],[Asistidas]]=""),"",tblMatriculas[[#This Row],[Asistencia]])</f>
        <v>6.7000000000000004E-2</v>
      </c>
      <c r="Q1504" t="b">
        <f>AND(tblMatriculas[[#This Row],[Estado]]="activa",ISNUMBER(tblMatriculas[[#This Row],[% asistencia]]),NOT(ISNUMBER(SEARCH(pPrueba,tblMatriculas[[#This Row],[Nombre]]))))</f>
        <v>1</v>
      </c>
      <c r="R15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4" s="23" t="str" cm="1">
        <f t="array" ref="S15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4" s="23" t="str" cm="1">
        <f t="array" ref="T15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4" s="14" t="str" cm="1">
        <f t="array" ref="U15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4" t="str" cm="1">
        <f t="array" ref="V15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4" t="str" cm="1">
        <f t="array" ref="W15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4" t="str">
        <f>IF(COUNTIFS('Base Estudiantes'!$C:$C,tblMatriculas[[#This Row],[Cédula]],'Base Estudiantes'!$I:$I,tblMatriculas[[#This Row],[Código]])&gt;0,"Sí","No")</f>
        <v>Sí</v>
      </c>
      <c r="Z1504" s="23" cm="1">
        <f t="array" ref="Z1504">_xlfn.XLOOKUP(tblMatriculas[[#This Row],[Cédula]]&amp;"|"&amp;tblMatriculas[[#This Row],[Código]],tblBase[Documento]&amp;"|"&amp;tblBase[Código grupo],tblBase[Fecha matrícula],"")</f>
        <v>46263</v>
      </c>
    </row>
    <row r="1505" spans="1:26" x14ac:dyDescent="0.2">
      <c r="A1505" t="s">
        <v>3157</v>
      </c>
      <c r="B1505" t="s">
        <v>3158</v>
      </c>
      <c r="C1505" t="s">
        <v>13</v>
      </c>
      <c r="D1505" t="s">
        <v>3083</v>
      </c>
      <c r="E1505" t="s">
        <v>3084</v>
      </c>
      <c r="F1505" t="s">
        <v>516</v>
      </c>
      <c r="G1505" s="1">
        <v>6.7000000000000004E-2</v>
      </c>
      <c r="H1505" t="s">
        <v>166</v>
      </c>
      <c r="I1505" t="s">
        <v>1580</v>
      </c>
      <c r="J1505" t="s">
        <v>2649</v>
      </c>
      <c r="K1505" t="s">
        <v>1868</v>
      </c>
      <c r="L1505" s="14">
        <f>IFERROR(VALUE(LEFT(tblMatriculas[[#This Row],[Clases]],FIND("/",tblMatriculas[[#This Row],[Clases]])-1)),"")</f>
        <v>2</v>
      </c>
      <c r="M1505" s="14">
        <f>IFERROR(VALUE(MID(tblMatriculas[[#This Row],[Clases]],FIND("/",tblMatriculas[[#This Row],[Clases]])+1,5)),"")</f>
        <v>30</v>
      </c>
      <c r="N15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5" s="14">
        <f>IF(OR(tblMatriculas[[#This Row],[Estado]]&lt;&gt;"activa",tblMatriculas[[#This Row],[Clases dictadas]]=""),"",MAX(0,tblMatriculas[[#This Row],[Clases dictadas]]-tblMatriculas[[#This Row],[Asistidas]]))</f>
        <v>0</v>
      </c>
      <c r="P1505" s="1">
        <f>IF(OR(tblMatriculas[[#This Row],[Estado]]&lt;&gt;"activa",tblMatriculas[[#This Row],[Asistidas]]=""),"",tblMatriculas[[#This Row],[Asistencia]])</f>
        <v>6.7000000000000004E-2</v>
      </c>
      <c r="Q1505" t="b">
        <f>AND(tblMatriculas[[#This Row],[Estado]]="activa",ISNUMBER(tblMatriculas[[#This Row],[% asistencia]]),NOT(ISNUMBER(SEARCH(pPrueba,tblMatriculas[[#This Row],[Nombre]]))))</f>
        <v>1</v>
      </c>
      <c r="R15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5" s="23" t="str" cm="1">
        <f t="array" ref="S15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5" s="23" t="str" cm="1">
        <f t="array" ref="T15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5" s="14" t="str" cm="1">
        <f t="array" ref="U15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5" t="str" cm="1">
        <f t="array" ref="V15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5" t="str" cm="1">
        <f t="array" ref="W15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5" t="str">
        <f>IF(COUNTIFS('Base Estudiantes'!$C:$C,tblMatriculas[[#This Row],[Cédula]],'Base Estudiantes'!$I:$I,tblMatriculas[[#This Row],[Código]])&gt;0,"Sí","No")</f>
        <v>Sí</v>
      </c>
      <c r="Z1505" s="23" cm="1">
        <f t="array" ref="Z1505">_xlfn.XLOOKUP(tblMatriculas[[#This Row],[Cédula]]&amp;"|"&amp;tblMatriculas[[#This Row],[Código]],tblBase[Documento]&amp;"|"&amp;tblBase[Código grupo],tblBase[Fecha matrícula],"")</f>
        <v>46263</v>
      </c>
    </row>
    <row r="1506" spans="1:26" x14ac:dyDescent="0.2">
      <c r="A1506" t="s">
        <v>3159</v>
      </c>
      <c r="B1506" t="s">
        <v>3160</v>
      </c>
      <c r="C1506" t="s">
        <v>13</v>
      </c>
      <c r="D1506" t="s">
        <v>3083</v>
      </c>
      <c r="E1506" t="s">
        <v>3084</v>
      </c>
      <c r="F1506" t="s">
        <v>516</v>
      </c>
      <c r="G1506" s="1">
        <v>6.7000000000000004E-2</v>
      </c>
      <c r="H1506" t="s">
        <v>166</v>
      </c>
      <c r="I1506" t="s">
        <v>1580</v>
      </c>
      <c r="J1506" t="s">
        <v>2649</v>
      </c>
      <c r="K1506" t="s">
        <v>1986</v>
      </c>
      <c r="L1506" s="14">
        <f>IFERROR(VALUE(LEFT(tblMatriculas[[#This Row],[Clases]],FIND("/",tblMatriculas[[#This Row],[Clases]])-1)),"")</f>
        <v>2</v>
      </c>
      <c r="M1506" s="14">
        <f>IFERROR(VALUE(MID(tblMatriculas[[#This Row],[Clases]],FIND("/",tblMatriculas[[#This Row],[Clases]])+1,5)),"")</f>
        <v>30</v>
      </c>
      <c r="N15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6" s="14">
        <f>IF(OR(tblMatriculas[[#This Row],[Estado]]&lt;&gt;"activa",tblMatriculas[[#This Row],[Clases dictadas]]=""),"",MAX(0,tblMatriculas[[#This Row],[Clases dictadas]]-tblMatriculas[[#This Row],[Asistidas]]))</f>
        <v>0</v>
      </c>
      <c r="P1506" s="1">
        <f>IF(OR(tblMatriculas[[#This Row],[Estado]]&lt;&gt;"activa",tblMatriculas[[#This Row],[Asistidas]]=""),"",tblMatriculas[[#This Row],[Asistencia]])</f>
        <v>6.7000000000000004E-2</v>
      </c>
      <c r="Q1506" t="b">
        <f>AND(tblMatriculas[[#This Row],[Estado]]="activa",ISNUMBER(tblMatriculas[[#This Row],[% asistencia]]),NOT(ISNUMBER(SEARCH(pPrueba,tblMatriculas[[#This Row],[Nombre]]))))</f>
        <v>1</v>
      </c>
      <c r="R15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6" s="23" t="str" cm="1">
        <f t="array" ref="S15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6" s="23" t="str" cm="1">
        <f t="array" ref="T15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6" s="14" t="str" cm="1">
        <f t="array" ref="U15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6" t="str" cm="1">
        <f t="array" ref="V15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6" t="str" cm="1">
        <f t="array" ref="W15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6" t="str">
        <f>IF(COUNTIFS('Base Estudiantes'!$C:$C,tblMatriculas[[#This Row],[Cédula]],'Base Estudiantes'!$I:$I,tblMatriculas[[#This Row],[Código]])&gt;0,"Sí","No")</f>
        <v>Sí</v>
      </c>
      <c r="Z1506" s="23" cm="1">
        <f t="array" ref="Z1506">_xlfn.XLOOKUP(tblMatriculas[[#This Row],[Cédula]]&amp;"|"&amp;tblMatriculas[[#This Row],[Código]],tblBase[Documento]&amp;"|"&amp;tblBase[Código grupo],tblBase[Fecha matrícula],"")</f>
        <v>46263</v>
      </c>
    </row>
    <row r="1507" spans="1:26" x14ac:dyDescent="0.2">
      <c r="A1507" t="s">
        <v>3161</v>
      </c>
      <c r="B1507" t="s">
        <v>3162</v>
      </c>
      <c r="C1507" t="s">
        <v>13</v>
      </c>
      <c r="D1507" t="s">
        <v>3083</v>
      </c>
      <c r="E1507" t="s">
        <v>3084</v>
      </c>
      <c r="F1507" t="s">
        <v>516</v>
      </c>
      <c r="G1507" s="1">
        <v>6.7000000000000004E-2</v>
      </c>
      <c r="H1507" t="s">
        <v>166</v>
      </c>
      <c r="I1507" t="s">
        <v>1580</v>
      </c>
      <c r="J1507" t="s">
        <v>2649</v>
      </c>
      <c r="K1507" t="s">
        <v>1590</v>
      </c>
      <c r="L1507" s="14">
        <f>IFERROR(VALUE(LEFT(tblMatriculas[[#This Row],[Clases]],FIND("/",tblMatriculas[[#This Row],[Clases]])-1)),"")</f>
        <v>2</v>
      </c>
      <c r="M1507" s="14">
        <f>IFERROR(VALUE(MID(tblMatriculas[[#This Row],[Clases]],FIND("/",tblMatriculas[[#This Row],[Clases]])+1,5)),"")</f>
        <v>30</v>
      </c>
      <c r="N15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07" s="14">
        <f>IF(OR(tblMatriculas[[#This Row],[Estado]]&lt;&gt;"activa",tblMatriculas[[#This Row],[Clases dictadas]]=""),"",MAX(0,tblMatriculas[[#This Row],[Clases dictadas]]-tblMatriculas[[#This Row],[Asistidas]]))</f>
        <v>0</v>
      </c>
      <c r="P1507" s="1">
        <f>IF(OR(tblMatriculas[[#This Row],[Estado]]&lt;&gt;"activa",tblMatriculas[[#This Row],[Asistidas]]=""),"",tblMatriculas[[#This Row],[Asistencia]])</f>
        <v>6.7000000000000004E-2</v>
      </c>
      <c r="Q1507" t="b">
        <f>AND(tblMatriculas[[#This Row],[Estado]]="activa",ISNUMBER(tblMatriculas[[#This Row],[% asistencia]]),NOT(ISNUMBER(SEARCH(pPrueba,tblMatriculas[[#This Row],[Nombre]]))))</f>
        <v>1</v>
      </c>
      <c r="R15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07" s="23" t="str" cm="1">
        <f t="array" ref="S15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7" s="23" t="str" cm="1">
        <f t="array" ref="T15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7" s="14" t="str" cm="1">
        <f t="array" ref="U15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7" t="str" cm="1">
        <f t="array" ref="V15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7" t="str" cm="1">
        <f t="array" ref="W15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07" t="str">
        <f>IF(COUNTIFS('Base Estudiantes'!$C:$C,tblMatriculas[[#This Row],[Cédula]],'Base Estudiantes'!$I:$I,tblMatriculas[[#This Row],[Código]])&gt;0,"Sí","No")</f>
        <v>Sí</v>
      </c>
      <c r="Z1507" s="23" cm="1">
        <f t="array" ref="Z1507">_xlfn.XLOOKUP(tblMatriculas[[#This Row],[Cédula]]&amp;"|"&amp;tblMatriculas[[#This Row],[Código]],tblBase[Documento]&amp;"|"&amp;tblBase[Código grupo],tblBase[Fecha matrícula],"")</f>
        <v>46263</v>
      </c>
    </row>
    <row r="1508" spans="1:26" x14ac:dyDescent="0.2">
      <c r="A1508" t="s">
        <v>2824</v>
      </c>
      <c r="B1508" t="s">
        <v>2825</v>
      </c>
      <c r="C1508" t="s">
        <v>13</v>
      </c>
      <c r="D1508" t="s">
        <v>3083</v>
      </c>
      <c r="E1508" t="s">
        <v>3084</v>
      </c>
      <c r="F1508" t="s">
        <v>516</v>
      </c>
      <c r="G1508" s="1">
        <v>3.3000000000000002E-2</v>
      </c>
      <c r="H1508" t="s">
        <v>2826</v>
      </c>
      <c r="I1508" t="s">
        <v>1580</v>
      </c>
      <c r="J1508" t="s">
        <v>2649</v>
      </c>
      <c r="K1508" t="s">
        <v>24</v>
      </c>
      <c r="L1508" s="14">
        <f>IFERROR(VALUE(LEFT(tblMatriculas[[#This Row],[Clases]],FIND("/",tblMatriculas[[#This Row],[Clases]])-1)),"")</f>
        <v>2</v>
      </c>
      <c r="M1508" s="14">
        <f>IFERROR(VALUE(MID(tblMatriculas[[#This Row],[Clases]],FIND("/",tblMatriculas[[#This Row],[Clases]])+1,5)),"")</f>
        <v>60</v>
      </c>
      <c r="N15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508" s="14">
        <f>IF(OR(tblMatriculas[[#This Row],[Estado]]&lt;&gt;"activa",tblMatriculas[[#This Row],[Clases dictadas]]=""),"",MAX(0,tblMatriculas[[#This Row],[Clases dictadas]]-tblMatriculas[[#This Row],[Asistidas]]))</f>
        <v>2</v>
      </c>
      <c r="P1508" s="1">
        <f>IF(OR(tblMatriculas[[#This Row],[Estado]]&lt;&gt;"activa",tblMatriculas[[#This Row],[Asistidas]]=""),"",tblMatriculas[[#This Row],[Asistencia]])</f>
        <v>3.3000000000000002E-2</v>
      </c>
      <c r="Q1508" t="b">
        <f>AND(tblMatriculas[[#This Row],[Estado]]="activa",ISNUMBER(tblMatriculas[[#This Row],[% asistencia]]),NOT(ISNUMBER(SEARCH(pPrueba,tblMatriculas[[#This Row],[Nombre]]))))</f>
        <v>1</v>
      </c>
      <c r="R15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508" s="23" t="str" cm="1">
        <f t="array" ref="S15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8" s="23" t="str" cm="1">
        <f t="array" ref="T15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8" s="14" t="str" cm="1">
        <f t="array" ref="U15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8" t="str" cm="1">
        <f t="array" ref="V15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8" t="str" cm="1">
        <f t="array" ref="W15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5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508" t="str">
        <f>IF(COUNTIFS('Base Estudiantes'!$C:$C,tblMatriculas[[#This Row],[Cédula]],'Base Estudiantes'!$I:$I,tblMatriculas[[#This Row],[Código]])&gt;0,"Sí","No")</f>
        <v>Sí</v>
      </c>
      <c r="Z1508" s="23" cm="1">
        <f t="array" ref="Z1508">_xlfn.XLOOKUP(tblMatriculas[[#This Row],[Cédula]]&amp;"|"&amp;tblMatriculas[[#This Row],[Código]],tblBase[Documento]&amp;"|"&amp;tblBase[Código grupo],tblBase[Fecha matrícula],"")</f>
        <v>46272</v>
      </c>
    </row>
    <row r="1509" spans="1:26" x14ac:dyDescent="0.2">
      <c r="A1509" t="s">
        <v>2905</v>
      </c>
      <c r="B1509" t="s">
        <v>2906</v>
      </c>
      <c r="C1509" t="s">
        <v>13</v>
      </c>
      <c r="D1509" t="s">
        <v>3083</v>
      </c>
      <c r="E1509" t="s">
        <v>3084</v>
      </c>
      <c r="F1509" t="s">
        <v>516</v>
      </c>
      <c r="G1509" s="1">
        <v>3.3000000000000002E-2</v>
      </c>
      <c r="H1509" t="s">
        <v>2826</v>
      </c>
      <c r="I1509" t="s">
        <v>1580</v>
      </c>
      <c r="J1509" t="s">
        <v>2649</v>
      </c>
      <c r="K1509" t="s">
        <v>24</v>
      </c>
      <c r="L1509" s="14">
        <f>IFERROR(VALUE(LEFT(tblMatriculas[[#This Row],[Clases]],FIND("/",tblMatriculas[[#This Row],[Clases]])-1)),"")</f>
        <v>2</v>
      </c>
      <c r="M1509" s="14">
        <f>IFERROR(VALUE(MID(tblMatriculas[[#This Row],[Clases]],FIND("/",tblMatriculas[[#This Row],[Clases]])+1,5)),"")</f>
        <v>60</v>
      </c>
      <c r="N15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509" s="14">
        <f>IF(OR(tblMatriculas[[#This Row],[Estado]]&lt;&gt;"activa",tblMatriculas[[#This Row],[Clases dictadas]]=""),"",MAX(0,tblMatriculas[[#This Row],[Clases dictadas]]-tblMatriculas[[#This Row],[Asistidas]]))</f>
        <v>2</v>
      </c>
      <c r="P1509" s="1">
        <f>IF(OR(tblMatriculas[[#This Row],[Estado]]&lt;&gt;"activa",tblMatriculas[[#This Row],[Asistidas]]=""),"",tblMatriculas[[#This Row],[Asistencia]])</f>
        <v>3.3000000000000002E-2</v>
      </c>
      <c r="Q1509" t="b">
        <f>AND(tblMatriculas[[#This Row],[Estado]]="activa",ISNUMBER(tblMatriculas[[#This Row],[% asistencia]]),NOT(ISNUMBER(SEARCH(pPrueba,tblMatriculas[[#This Row],[Nombre]]))))</f>
        <v>1</v>
      </c>
      <c r="R15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509" s="23" t="str" cm="1">
        <f t="array" ref="S15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09" s="23" t="str" cm="1">
        <f t="array" ref="T15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09" s="14" t="str" cm="1">
        <f t="array" ref="U15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09" t="str" cm="1">
        <f t="array" ref="V15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09" t="str" cm="1">
        <f t="array" ref="W15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5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509" t="str">
        <f>IF(COUNTIFS('Base Estudiantes'!$C:$C,tblMatriculas[[#This Row],[Cédula]],'Base Estudiantes'!$I:$I,tblMatriculas[[#This Row],[Código]])&gt;0,"Sí","No")</f>
        <v>Sí</v>
      </c>
      <c r="Z1509" s="23" cm="1">
        <f t="array" ref="Z1509">_xlfn.XLOOKUP(tblMatriculas[[#This Row],[Cédula]]&amp;"|"&amp;tblMatriculas[[#This Row],[Código]],tblBase[Documento]&amp;"|"&amp;tblBase[Código grupo],tblBase[Fecha matrícula],"")</f>
        <v>46272</v>
      </c>
    </row>
    <row r="1510" spans="1:26" x14ac:dyDescent="0.2">
      <c r="A1510" t="s">
        <v>1052</v>
      </c>
      <c r="B1510" t="s">
        <v>1053</v>
      </c>
      <c r="C1510" t="s">
        <v>13</v>
      </c>
      <c r="D1510" t="s">
        <v>3083</v>
      </c>
      <c r="E1510" t="s">
        <v>3084</v>
      </c>
      <c r="F1510" t="s">
        <v>516</v>
      </c>
      <c r="G1510" s="1">
        <v>6.7000000000000004E-2</v>
      </c>
      <c r="H1510" t="s">
        <v>166</v>
      </c>
      <c r="I1510" t="s">
        <v>1580</v>
      </c>
      <c r="J1510" t="s">
        <v>2649</v>
      </c>
      <c r="K1510" t="s">
        <v>24</v>
      </c>
      <c r="L1510" s="14">
        <f>IFERROR(VALUE(LEFT(tblMatriculas[[#This Row],[Clases]],FIND("/",tblMatriculas[[#This Row],[Clases]])-1)),"")</f>
        <v>2</v>
      </c>
      <c r="M1510" s="14">
        <f>IFERROR(VALUE(MID(tblMatriculas[[#This Row],[Clases]],FIND("/",tblMatriculas[[#This Row],[Clases]])+1,5)),"")</f>
        <v>30</v>
      </c>
      <c r="N15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10" s="14">
        <f>IF(OR(tblMatriculas[[#This Row],[Estado]]&lt;&gt;"activa",tblMatriculas[[#This Row],[Clases dictadas]]=""),"",MAX(0,tblMatriculas[[#This Row],[Clases dictadas]]-tblMatriculas[[#This Row],[Asistidas]]))</f>
        <v>0</v>
      </c>
      <c r="P1510" s="1">
        <f>IF(OR(tblMatriculas[[#This Row],[Estado]]&lt;&gt;"activa",tblMatriculas[[#This Row],[Asistidas]]=""),"",tblMatriculas[[#This Row],[Asistencia]])</f>
        <v>6.7000000000000004E-2</v>
      </c>
      <c r="Q1510" t="b">
        <f>AND(tblMatriculas[[#This Row],[Estado]]="activa",ISNUMBER(tblMatriculas[[#This Row],[% asistencia]]),NOT(ISNUMBER(SEARCH(pPrueba,tblMatriculas[[#This Row],[Nombre]]))))</f>
        <v>1</v>
      </c>
      <c r="R15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10" s="23" t="str" cm="1">
        <f t="array" ref="S15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0" s="23" t="str" cm="1">
        <f t="array" ref="T15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0" s="14" t="str" cm="1">
        <f t="array" ref="U15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0" t="str" cm="1">
        <f t="array" ref="V15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0" t="str" cm="1">
        <f t="array" ref="W15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10" t="str">
        <f>IF(COUNTIFS('Base Estudiantes'!$C:$C,tblMatriculas[[#This Row],[Cédula]],'Base Estudiantes'!$I:$I,tblMatriculas[[#This Row],[Código]])&gt;0,"Sí","No")</f>
        <v>Sí</v>
      </c>
      <c r="Z1510" s="23" cm="1">
        <f t="array" ref="Z1510">_xlfn.XLOOKUP(tblMatriculas[[#This Row],[Cédula]]&amp;"|"&amp;tblMatriculas[[#This Row],[Código]],tblBase[Documento]&amp;"|"&amp;tblBase[Código grupo],tblBase[Fecha matrícula],"")</f>
        <v>46274</v>
      </c>
    </row>
    <row r="1511" spans="1:26" x14ac:dyDescent="0.2">
      <c r="A1511" t="s">
        <v>3163</v>
      </c>
      <c r="B1511" t="s">
        <v>3164</v>
      </c>
      <c r="C1511" t="s">
        <v>49</v>
      </c>
      <c r="D1511" t="s">
        <v>3083</v>
      </c>
      <c r="E1511" t="s">
        <v>3084</v>
      </c>
      <c r="F1511" t="s">
        <v>516</v>
      </c>
      <c r="G1511" s="1">
        <v>6.7000000000000004E-2</v>
      </c>
      <c r="H1511" t="s">
        <v>166</v>
      </c>
      <c r="I1511" t="s">
        <v>1580</v>
      </c>
      <c r="J1511" t="s">
        <v>2649</v>
      </c>
      <c r="K1511" t="s">
        <v>24</v>
      </c>
      <c r="L1511" s="14">
        <f>IFERROR(VALUE(LEFT(tblMatriculas[[#This Row],[Clases]],FIND("/",tblMatriculas[[#This Row],[Clases]])-1)),"")</f>
        <v>2</v>
      </c>
      <c r="M1511" s="14">
        <f>IFERROR(VALUE(MID(tblMatriculas[[#This Row],[Clases]],FIND("/",tblMatriculas[[#This Row],[Clases]])+1,5)),"")</f>
        <v>30</v>
      </c>
      <c r="N15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511" s="14" t="str">
        <f>IF(OR(tblMatriculas[[#This Row],[Estado]]&lt;&gt;"activa",tblMatriculas[[#This Row],[Clases dictadas]]=""),"",MAX(0,tblMatriculas[[#This Row],[Clases dictadas]]-tblMatriculas[[#This Row],[Asistidas]]))</f>
        <v/>
      </c>
      <c r="P1511" s="1" t="str">
        <f>IF(OR(tblMatriculas[[#This Row],[Estado]]&lt;&gt;"activa",tblMatriculas[[#This Row],[Asistidas]]=""),"",tblMatriculas[[#This Row],[Asistencia]])</f>
        <v/>
      </c>
      <c r="Q1511" t="b">
        <f>AND(tblMatriculas[[#This Row],[Estado]]="activa",ISNUMBER(tblMatriculas[[#This Row],[% asistencia]]),NOT(ISNUMBER(SEARCH(pPrueba,tblMatriculas[[#This Row],[Nombre]]))))</f>
        <v>0</v>
      </c>
      <c r="R15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11" s="23" t="str" cm="1">
        <f t="array" ref="S15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1" s="23" t="str" cm="1">
        <f t="array" ref="T15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1" s="14" t="str" cm="1">
        <f t="array" ref="U15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1" t="str" cm="1">
        <f t="array" ref="V15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1" t="str" cm="1">
        <f t="array" ref="W15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1" t="str">
        <f>IF(COUNTIFS('Base Estudiantes'!$C:$C,tblMatriculas[[#This Row],[Cédula]],'Base Estudiantes'!$I:$I,tblMatriculas[[#This Row],[Código]])&gt;0,"Sí","No")</f>
        <v>No</v>
      </c>
      <c r="Z1511" s="23" t="str" cm="1">
        <f t="array" ref="Z1511">_xlfn.XLOOKUP(tblMatriculas[[#This Row],[Cédula]]&amp;"|"&amp;tblMatriculas[[#This Row],[Código]],tblBase[Documento]&amp;"|"&amp;tblBase[Código grupo],tblBase[Fecha matrícula],"")</f>
        <v/>
      </c>
    </row>
    <row r="1512" spans="1:26" x14ac:dyDescent="0.2">
      <c r="A1512" t="s">
        <v>3165</v>
      </c>
      <c r="B1512" t="s">
        <v>3166</v>
      </c>
      <c r="C1512" t="s">
        <v>13</v>
      </c>
      <c r="D1512" t="s">
        <v>3167</v>
      </c>
      <c r="E1512" t="s">
        <v>3168</v>
      </c>
      <c r="F1512" t="s">
        <v>1453</v>
      </c>
      <c r="G1512" s="1">
        <v>0.2</v>
      </c>
      <c r="H1512" t="s">
        <v>232</v>
      </c>
      <c r="I1512" t="s">
        <v>3169</v>
      </c>
      <c r="J1512" t="s">
        <v>3170</v>
      </c>
      <c r="K1512" t="s">
        <v>3171</v>
      </c>
      <c r="L1512" s="14">
        <f>IFERROR(VALUE(LEFT(tblMatriculas[[#This Row],[Clases]],FIND("/",tblMatriculas[[#This Row],[Clases]])-1)),"")</f>
        <v>6</v>
      </c>
      <c r="M1512" s="14">
        <f>IFERROR(VALUE(MID(tblMatriculas[[#This Row],[Clases]],FIND("/",tblMatriculas[[#This Row],[Clases]])+1,5)),"")</f>
        <v>30</v>
      </c>
      <c r="N15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2" s="14">
        <f>IF(OR(tblMatriculas[[#This Row],[Estado]]&lt;&gt;"activa",tblMatriculas[[#This Row],[Clases dictadas]]=""),"",MAX(0,tblMatriculas[[#This Row],[Clases dictadas]]-tblMatriculas[[#This Row],[Asistidas]]))</f>
        <v>0</v>
      </c>
      <c r="P1512" s="1">
        <f>IF(OR(tblMatriculas[[#This Row],[Estado]]&lt;&gt;"activa",tblMatriculas[[#This Row],[Asistidas]]=""),"",tblMatriculas[[#This Row],[Asistencia]])</f>
        <v>0.2</v>
      </c>
      <c r="Q1512" t="b">
        <f>AND(tblMatriculas[[#This Row],[Estado]]="activa",ISNUMBER(tblMatriculas[[#This Row],[% asistencia]]),NOT(ISNUMBER(SEARCH(pPrueba,tblMatriculas[[#This Row],[Nombre]]))))</f>
        <v>1</v>
      </c>
      <c r="R15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2" s="23" t="str" cm="1">
        <f t="array" ref="S15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2" s="23" t="str" cm="1">
        <f t="array" ref="T15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2" s="14" t="str" cm="1">
        <f t="array" ref="U15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2" t="str" cm="1">
        <f t="array" ref="V15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2" t="str" cm="1">
        <f t="array" ref="W15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2" t="str">
        <f>IF(COUNTIFS('Base Estudiantes'!$C:$C,tblMatriculas[[#This Row],[Cédula]],'Base Estudiantes'!$I:$I,tblMatriculas[[#This Row],[Código]])&gt;0,"Sí","No")</f>
        <v>Sí</v>
      </c>
      <c r="Z1512" s="23" cm="1">
        <f t="array" ref="Z1512">_xlfn.XLOOKUP(tblMatriculas[[#This Row],[Cédula]]&amp;"|"&amp;tblMatriculas[[#This Row],[Código]],tblBase[Documento]&amp;"|"&amp;tblBase[Código grupo],tblBase[Fecha matrícula],"")</f>
        <v>46262</v>
      </c>
    </row>
    <row r="1513" spans="1:26" x14ac:dyDescent="0.2">
      <c r="A1513" t="s">
        <v>3172</v>
      </c>
      <c r="B1513" t="s">
        <v>3173</v>
      </c>
      <c r="C1513" t="s">
        <v>13</v>
      </c>
      <c r="D1513" t="s">
        <v>3167</v>
      </c>
      <c r="E1513" t="s">
        <v>3168</v>
      </c>
      <c r="F1513" t="s">
        <v>1453</v>
      </c>
      <c r="G1513" s="1">
        <v>8.3000000000000004E-2</v>
      </c>
      <c r="H1513" t="s">
        <v>1867</v>
      </c>
      <c r="I1513" t="s">
        <v>3169</v>
      </c>
      <c r="J1513" t="s">
        <v>3170</v>
      </c>
      <c r="K1513" t="s">
        <v>3174</v>
      </c>
      <c r="L1513" s="14">
        <f>IFERROR(VALUE(LEFT(tblMatriculas[[#This Row],[Clases]],FIND("/",tblMatriculas[[#This Row],[Clases]])-1)),"")</f>
        <v>5</v>
      </c>
      <c r="M1513" s="14">
        <f>IFERROR(VALUE(MID(tblMatriculas[[#This Row],[Clases]],FIND("/",tblMatriculas[[#This Row],[Clases]])+1,5)),"")</f>
        <v>60</v>
      </c>
      <c r="N15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513" s="14">
        <f>IF(OR(tblMatriculas[[#This Row],[Estado]]&lt;&gt;"activa",tblMatriculas[[#This Row],[Clases dictadas]]=""),"",MAX(0,tblMatriculas[[#This Row],[Clases dictadas]]-tblMatriculas[[#This Row],[Asistidas]]))</f>
        <v>3</v>
      </c>
      <c r="P1513" s="1">
        <f>IF(OR(tblMatriculas[[#This Row],[Estado]]&lt;&gt;"activa",tblMatriculas[[#This Row],[Asistidas]]=""),"",tblMatriculas[[#This Row],[Asistencia]])</f>
        <v>8.3000000000000004E-2</v>
      </c>
      <c r="Q1513" t="b">
        <f>AND(tblMatriculas[[#This Row],[Estado]]="activa",ISNUMBER(tblMatriculas[[#This Row],[% asistencia]]),NOT(ISNUMBER(SEARCH(pPrueba,tblMatriculas[[#This Row],[Nombre]]))))</f>
        <v>1</v>
      </c>
      <c r="R15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3" s="23" t="str" cm="1">
        <f t="array" ref="S15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3" s="23" t="str" cm="1">
        <f t="array" ref="T15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3" s="14" t="str" cm="1">
        <f t="array" ref="U15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3" t="str" cm="1">
        <f t="array" ref="V15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3" t="str" cm="1">
        <f t="array" ref="W15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3" t="str">
        <f>IF(COUNTIFS('Base Estudiantes'!$C:$C,tblMatriculas[[#This Row],[Cédula]],'Base Estudiantes'!$I:$I,tblMatriculas[[#This Row],[Código]])&gt;0,"Sí","No")</f>
        <v>Sí</v>
      </c>
      <c r="Z1513" s="23" cm="1">
        <f t="array" ref="Z1513">_xlfn.XLOOKUP(tblMatriculas[[#This Row],[Cédula]]&amp;"|"&amp;tblMatriculas[[#This Row],[Código]],tblBase[Documento]&amp;"|"&amp;tblBase[Código grupo],tblBase[Fecha matrícula],"")</f>
        <v>46262</v>
      </c>
    </row>
    <row r="1514" spans="1:26" x14ac:dyDescent="0.2">
      <c r="A1514" t="s">
        <v>3175</v>
      </c>
      <c r="B1514" t="s">
        <v>3176</v>
      </c>
      <c r="C1514" t="s">
        <v>13</v>
      </c>
      <c r="D1514" t="s">
        <v>3167</v>
      </c>
      <c r="E1514" t="s">
        <v>3168</v>
      </c>
      <c r="F1514" t="s">
        <v>1453</v>
      </c>
      <c r="G1514" s="1">
        <v>0.2</v>
      </c>
      <c r="H1514" t="s">
        <v>232</v>
      </c>
      <c r="I1514" t="s">
        <v>3169</v>
      </c>
      <c r="J1514" t="s">
        <v>3170</v>
      </c>
      <c r="K1514" t="s">
        <v>3174</v>
      </c>
      <c r="L1514" s="14">
        <f>IFERROR(VALUE(LEFT(tblMatriculas[[#This Row],[Clases]],FIND("/",tblMatriculas[[#This Row],[Clases]])-1)),"")</f>
        <v>6</v>
      </c>
      <c r="M1514" s="14">
        <f>IFERROR(VALUE(MID(tblMatriculas[[#This Row],[Clases]],FIND("/",tblMatriculas[[#This Row],[Clases]])+1,5)),"")</f>
        <v>30</v>
      </c>
      <c r="N15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4" s="14">
        <f>IF(OR(tblMatriculas[[#This Row],[Estado]]&lt;&gt;"activa",tblMatriculas[[#This Row],[Clases dictadas]]=""),"",MAX(0,tblMatriculas[[#This Row],[Clases dictadas]]-tblMatriculas[[#This Row],[Asistidas]]))</f>
        <v>0</v>
      </c>
      <c r="P1514" s="1">
        <f>IF(OR(tblMatriculas[[#This Row],[Estado]]&lt;&gt;"activa",tblMatriculas[[#This Row],[Asistidas]]=""),"",tblMatriculas[[#This Row],[Asistencia]])</f>
        <v>0.2</v>
      </c>
      <c r="Q1514" t="b">
        <f>AND(tblMatriculas[[#This Row],[Estado]]="activa",ISNUMBER(tblMatriculas[[#This Row],[% asistencia]]),NOT(ISNUMBER(SEARCH(pPrueba,tblMatriculas[[#This Row],[Nombre]]))))</f>
        <v>1</v>
      </c>
      <c r="R15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4" s="23" t="str" cm="1">
        <f t="array" ref="S15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4" s="23" t="str" cm="1">
        <f t="array" ref="T15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4" s="14" t="str" cm="1">
        <f t="array" ref="U15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4" t="str" cm="1">
        <f t="array" ref="V15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4" t="str" cm="1">
        <f t="array" ref="W15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4" t="str">
        <f>IF(COUNTIFS('Base Estudiantes'!$C:$C,tblMatriculas[[#This Row],[Cédula]],'Base Estudiantes'!$I:$I,tblMatriculas[[#This Row],[Código]])&gt;0,"Sí","No")</f>
        <v>Sí</v>
      </c>
      <c r="Z1514" s="23" cm="1">
        <f t="array" ref="Z1514">_xlfn.XLOOKUP(tblMatriculas[[#This Row],[Cédula]]&amp;"|"&amp;tblMatriculas[[#This Row],[Código]],tblBase[Documento]&amp;"|"&amp;tblBase[Código grupo],tblBase[Fecha matrícula],"")</f>
        <v>46262</v>
      </c>
    </row>
    <row r="1515" spans="1:26" x14ac:dyDescent="0.2">
      <c r="A1515" t="s">
        <v>3177</v>
      </c>
      <c r="B1515" t="s">
        <v>3178</v>
      </c>
      <c r="C1515" t="s">
        <v>13</v>
      </c>
      <c r="D1515" t="s">
        <v>3167</v>
      </c>
      <c r="E1515" t="s">
        <v>3168</v>
      </c>
      <c r="F1515" t="s">
        <v>1453</v>
      </c>
      <c r="G1515" s="1">
        <v>0.2</v>
      </c>
      <c r="H1515" t="s">
        <v>232</v>
      </c>
      <c r="I1515" t="s">
        <v>3169</v>
      </c>
      <c r="J1515" t="s">
        <v>3170</v>
      </c>
      <c r="K1515" t="s">
        <v>3179</v>
      </c>
      <c r="L1515" s="14">
        <f>IFERROR(VALUE(LEFT(tblMatriculas[[#This Row],[Clases]],FIND("/",tblMatriculas[[#This Row],[Clases]])-1)),"")</f>
        <v>6</v>
      </c>
      <c r="M1515" s="14">
        <f>IFERROR(VALUE(MID(tblMatriculas[[#This Row],[Clases]],FIND("/",tblMatriculas[[#This Row],[Clases]])+1,5)),"")</f>
        <v>30</v>
      </c>
      <c r="N15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5" s="14">
        <f>IF(OR(tblMatriculas[[#This Row],[Estado]]&lt;&gt;"activa",tblMatriculas[[#This Row],[Clases dictadas]]=""),"",MAX(0,tblMatriculas[[#This Row],[Clases dictadas]]-tblMatriculas[[#This Row],[Asistidas]]))</f>
        <v>0</v>
      </c>
      <c r="P1515" s="1">
        <f>IF(OR(tblMatriculas[[#This Row],[Estado]]&lt;&gt;"activa",tblMatriculas[[#This Row],[Asistidas]]=""),"",tblMatriculas[[#This Row],[Asistencia]])</f>
        <v>0.2</v>
      </c>
      <c r="Q1515" t="b">
        <f>AND(tblMatriculas[[#This Row],[Estado]]="activa",ISNUMBER(tblMatriculas[[#This Row],[% asistencia]]),NOT(ISNUMBER(SEARCH(pPrueba,tblMatriculas[[#This Row],[Nombre]]))))</f>
        <v>1</v>
      </c>
      <c r="R15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5" s="23" t="str" cm="1">
        <f t="array" ref="S15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5" s="23" t="str" cm="1">
        <f t="array" ref="T15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5" s="14" t="str" cm="1">
        <f t="array" ref="U15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5" t="str" cm="1">
        <f t="array" ref="V15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5" t="str" cm="1">
        <f t="array" ref="W15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5" t="str">
        <f>IF(COUNTIFS('Base Estudiantes'!$C:$C,tblMatriculas[[#This Row],[Cédula]],'Base Estudiantes'!$I:$I,tblMatriculas[[#This Row],[Código]])&gt;0,"Sí","No")</f>
        <v>Sí</v>
      </c>
      <c r="Z1515" s="23" cm="1">
        <f t="array" ref="Z1515">_xlfn.XLOOKUP(tblMatriculas[[#This Row],[Cédula]]&amp;"|"&amp;tblMatriculas[[#This Row],[Código]],tblBase[Documento]&amp;"|"&amp;tblBase[Código grupo],tblBase[Fecha matrícula],"")</f>
        <v>46262</v>
      </c>
    </row>
    <row r="1516" spans="1:26" x14ac:dyDescent="0.2">
      <c r="A1516" t="s">
        <v>3180</v>
      </c>
      <c r="B1516" t="s">
        <v>3181</v>
      </c>
      <c r="C1516" t="s">
        <v>13</v>
      </c>
      <c r="D1516" t="s">
        <v>3167</v>
      </c>
      <c r="E1516" t="s">
        <v>3168</v>
      </c>
      <c r="F1516" t="s">
        <v>1453</v>
      </c>
      <c r="G1516" s="1">
        <v>0</v>
      </c>
      <c r="H1516" t="s">
        <v>254</v>
      </c>
      <c r="I1516" t="s">
        <v>3169</v>
      </c>
      <c r="J1516" t="s">
        <v>3170</v>
      </c>
      <c r="K1516" t="s">
        <v>24</v>
      </c>
      <c r="L1516" s="14">
        <f>IFERROR(VALUE(LEFT(tblMatriculas[[#This Row],[Clases]],FIND("/",tblMatriculas[[#This Row],[Clases]])-1)),"")</f>
        <v>0</v>
      </c>
      <c r="M1516" s="14">
        <f>IFERROR(VALUE(MID(tblMatriculas[[#This Row],[Clases]],FIND("/",tblMatriculas[[#This Row],[Clases]])+1,5)),"")</f>
        <v>30</v>
      </c>
      <c r="N15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6" s="14">
        <f>IF(OR(tblMatriculas[[#This Row],[Estado]]&lt;&gt;"activa",tblMatriculas[[#This Row],[Clases dictadas]]=""),"",MAX(0,tblMatriculas[[#This Row],[Clases dictadas]]-tblMatriculas[[#This Row],[Asistidas]]))</f>
        <v>6</v>
      </c>
      <c r="P1516" s="1">
        <f>IF(OR(tblMatriculas[[#This Row],[Estado]]&lt;&gt;"activa",tblMatriculas[[#This Row],[Asistidas]]=""),"",tblMatriculas[[#This Row],[Asistencia]])</f>
        <v>0</v>
      </c>
      <c r="Q1516" t="b">
        <f>AND(tblMatriculas[[#This Row],[Estado]]="activa",ISNUMBER(tblMatriculas[[#This Row],[% asistencia]]),NOT(ISNUMBER(SEARCH(pPrueba,tblMatriculas[[#This Row],[Nombre]]))))</f>
        <v>1</v>
      </c>
      <c r="R15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16" s="23" t="str" cm="1">
        <f t="array" ref="S15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6" s="23" t="str" cm="1">
        <f t="array" ref="T15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6" s="14" t="str" cm="1">
        <f t="array" ref="U15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6" t="str" cm="1">
        <f t="array" ref="V15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6" t="str" cm="1">
        <f t="array" ref="W15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16" t="str">
        <f>IF(COUNTIFS('Base Estudiantes'!$C:$C,tblMatriculas[[#This Row],[Cédula]],'Base Estudiantes'!$I:$I,tblMatriculas[[#This Row],[Código]])&gt;0,"Sí","No")</f>
        <v>Sí</v>
      </c>
      <c r="Z1516" s="23" cm="1">
        <f t="array" ref="Z1516">_xlfn.XLOOKUP(tblMatriculas[[#This Row],[Cédula]]&amp;"|"&amp;tblMatriculas[[#This Row],[Código]],tblBase[Documento]&amp;"|"&amp;tblBase[Código grupo],tblBase[Fecha matrícula],"")</f>
        <v>46262</v>
      </c>
    </row>
    <row r="1517" spans="1:26" x14ac:dyDescent="0.2">
      <c r="A1517" t="s">
        <v>3182</v>
      </c>
      <c r="B1517" t="s">
        <v>3183</v>
      </c>
      <c r="C1517" t="s">
        <v>49</v>
      </c>
      <c r="D1517" t="s">
        <v>3167</v>
      </c>
      <c r="E1517" t="s">
        <v>3168</v>
      </c>
      <c r="F1517" t="s">
        <v>1453</v>
      </c>
      <c r="G1517" s="1">
        <v>0</v>
      </c>
      <c r="H1517" t="s">
        <v>254</v>
      </c>
      <c r="I1517" t="s">
        <v>3169</v>
      </c>
      <c r="J1517" t="s">
        <v>3170</v>
      </c>
      <c r="K1517" t="s">
        <v>24</v>
      </c>
      <c r="L1517" s="14">
        <f>IFERROR(VALUE(LEFT(tblMatriculas[[#This Row],[Clases]],FIND("/",tblMatriculas[[#This Row],[Clases]])-1)),"")</f>
        <v>0</v>
      </c>
      <c r="M1517" s="14">
        <f>IFERROR(VALUE(MID(tblMatriculas[[#This Row],[Clases]],FIND("/",tblMatriculas[[#This Row],[Clases]])+1,5)),"")</f>
        <v>30</v>
      </c>
      <c r="N15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7" s="14" t="str">
        <f>IF(OR(tblMatriculas[[#This Row],[Estado]]&lt;&gt;"activa",tblMatriculas[[#This Row],[Clases dictadas]]=""),"",MAX(0,tblMatriculas[[#This Row],[Clases dictadas]]-tblMatriculas[[#This Row],[Asistidas]]))</f>
        <v/>
      </c>
      <c r="P1517" s="1" t="str">
        <f>IF(OR(tblMatriculas[[#This Row],[Estado]]&lt;&gt;"activa",tblMatriculas[[#This Row],[Asistidas]]=""),"",tblMatriculas[[#This Row],[Asistencia]])</f>
        <v/>
      </c>
      <c r="Q1517" t="b">
        <f>AND(tblMatriculas[[#This Row],[Estado]]="activa",ISNUMBER(tblMatriculas[[#This Row],[% asistencia]]),NOT(ISNUMBER(SEARCH(pPrueba,tblMatriculas[[#This Row],[Nombre]]))))</f>
        <v>0</v>
      </c>
      <c r="R15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17" s="23" t="str" cm="1">
        <f t="array" ref="S15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7" s="23" t="str" cm="1">
        <f t="array" ref="T15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7" s="14" t="str" cm="1">
        <f t="array" ref="U15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7" t="str" cm="1">
        <f t="array" ref="V15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7" t="str" cm="1">
        <f t="array" ref="W15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7" t="str">
        <f>IF(COUNTIFS('Base Estudiantes'!$C:$C,tblMatriculas[[#This Row],[Cédula]],'Base Estudiantes'!$I:$I,tblMatriculas[[#This Row],[Código]])&gt;0,"Sí","No")</f>
        <v>No</v>
      </c>
      <c r="Z1517" s="23" t="str" cm="1">
        <f t="array" ref="Z1517">_xlfn.XLOOKUP(tblMatriculas[[#This Row],[Cédula]]&amp;"|"&amp;tblMatriculas[[#This Row],[Código]],tblBase[Documento]&amp;"|"&amp;tblBase[Código grupo],tblBase[Fecha matrícula],"")</f>
        <v/>
      </c>
    </row>
    <row r="1518" spans="1:26" x14ac:dyDescent="0.2">
      <c r="A1518" t="s">
        <v>3184</v>
      </c>
      <c r="B1518" t="s">
        <v>3185</v>
      </c>
      <c r="C1518" t="s">
        <v>13</v>
      </c>
      <c r="D1518" t="s">
        <v>3167</v>
      </c>
      <c r="E1518" t="s">
        <v>3168</v>
      </c>
      <c r="F1518" t="s">
        <v>1453</v>
      </c>
      <c r="G1518" s="1">
        <v>0.13300000000000001</v>
      </c>
      <c r="H1518" t="s">
        <v>112</v>
      </c>
      <c r="I1518" t="s">
        <v>3169</v>
      </c>
      <c r="J1518" t="s">
        <v>3170</v>
      </c>
      <c r="K1518" t="s">
        <v>24</v>
      </c>
      <c r="L1518" s="14">
        <f>IFERROR(VALUE(LEFT(tblMatriculas[[#This Row],[Clases]],FIND("/",tblMatriculas[[#This Row],[Clases]])-1)),"")</f>
        <v>4</v>
      </c>
      <c r="M1518" s="14">
        <f>IFERROR(VALUE(MID(tblMatriculas[[#This Row],[Clases]],FIND("/",tblMatriculas[[#This Row],[Clases]])+1,5)),"")</f>
        <v>30</v>
      </c>
      <c r="N15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8" s="14">
        <f>IF(OR(tblMatriculas[[#This Row],[Estado]]&lt;&gt;"activa",tblMatriculas[[#This Row],[Clases dictadas]]=""),"",MAX(0,tblMatriculas[[#This Row],[Clases dictadas]]-tblMatriculas[[#This Row],[Asistidas]]))</f>
        <v>2</v>
      </c>
      <c r="P1518" s="1">
        <f>IF(OR(tblMatriculas[[#This Row],[Estado]]&lt;&gt;"activa",tblMatriculas[[#This Row],[Asistidas]]=""),"",tblMatriculas[[#This Row],[Asistencia]])</f>
        <v>0.13300000000000001</v>
      </c>
      <c r="Q1518" t="b">
        <f>AND(tblMatriculas[[#This Row],[Estado]]="activa",ISNUMBER(tblMatriculas[[#This Row],[% asistencia]]),NOT(ISNUMBER(SEARCH(pPrueba,tblMatriculas[[#This Row],[Nombre]]))))</f>
        <v>1</v>
      </c>
      <c r="R15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18" s="23" t="str" cm="1">
        <f t="array" ref="S15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8" s="23" t="str" cm="1">
        <f t="array" ref="T15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8" s="14" t="str" cm="1">
        <f t="array" ref="U15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8" t="str" cm="1">
        <f t="array" ref="V15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8" t="str" cm="1">
        <f t="array" ref="W15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18" t="str">
        <f>IF(COUNTIFS('Base Estudiantes'!$C:$C,tblMatriculas[[#This Row],[Cédula]],'Base Estudiantes'!$I:$I,tblMatriculas[[#This Row],[Código]])&gt;0,"Sí","No")</f>
        <v>Sí</v>
      </c>
      <c r="Z1518" s="23" cm="1">
        <f t="array" ref="Z1518">_xlfn.XLOOKUP(tblMatriculas[[#This Row],[Cédula]]&amp;"|"&amp;tblMatriculas[[#This Row],[Código]],tblBase[Documento]&amp;"|"&amp;tblBase[Código grupo],tblBase[Fecha matrícula],"")</f>
        <v>46262</v>
      </c>
    </row>
    <row r="1519" spans="1:26" x14ac:dyDescent="0.2">
      <c r="A1519" t="s">
        <v>3186</v>
      </c>
      <c r="B1519" t="s">
        <v>3187</v>
      </c>
      <c r="C1519" t="s">
        <v>13</v>
      </c>
      <c r="D1519" t="s">
        <v>3167</v>
      </c>
      <c r="E1519" t="s">
        <v>3168</v>
      </c>
      <c r="F1519" t="s">
        <v>1453</v>
      </c>
      <c r="G1519" s="1">
        <v>0</v>
      </c>
      <c r="H1519" t="s">
        <v>254</v>
      </c>
      <c r="I1519" t="s">
        <v>3169</v>
      </c>
      <c r="J1519" t="s">
        <v>3170</v>
      </c>
      <c r="K1519" t="s">
        <v>24</v>
      </c>
      <c r="L1519" s="14">
        <f>IFERROR(VALUE(LEFT(tblMatriculas[[#This Row],[Clases]],FIND("/",tblMatriculas[[#This Row],[Clases]])-1)),"")</f>
        <v>0</v>
      </c>
      <c r="M1519" s="14">
        <f>IFERROR(VALUE(MID(tblMatriculas[[#This Row],[Clases]],FIND("/",tblMatriculas[[#This Row],[Clases]])+1,5)),"")</f>
        <v>30</v>
      </c>
      <c r="N15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19" s="14">
        <f>IF(OR(tblMatriculas[[#This Row],[Estado]]&lt;&gt;"activa",tblMatriculas[[#This Row],[Clases dictadas]]=""),"",MAX(0,tblMatriculas[[#This Row],[Clases dictadas]]-tblMatriculas[[#This Row],[Asistidas]]))</f>
        <v>6</v>
      </c>
      <c r="P1519" s="1">
        <f>IF(OR(tblMatriculas[[#This Row],[Estado]]&lt;&gt;"activa",tblMatriculas[[#This Row],[Asistidas]]=""),"",tblMatriculas[[#This Row],[Asistencia]])</f>
        <v>0</v>
      </c>
      <c r="Q1519" t="b">
        <f>AND(tblMatriculas[[#This Row],[Estado]]="activa",ISNUMBER(tblMatriculas[[#This Row],[% asistencia]]),NOT(ISNUMBER(SEARCH(pPrueba,tblMatriculas[[#This Row],[Nombre]]))))</f>
        <v>1</v>
      </c>
      <c r="R15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19" s="23" t="str" cm="1">
        <f t="array" ref="S15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19" s="23" t="str" cm="1">
        <f t="array" ref="T15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19" s="14" t="str" cm="1">
        <f t="array" ref="U15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19" t="str" cm="1">
        <f t="array" ref="V15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19" t="str" cm="1">
        <f t="array" ref="W15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19" t="str">
        <f>IF(COUNTIFS('Base Estudiantes'!$C:$C,tblMatriculas[[#This Row],[Cédula]],'Base Estudiantes'!$I:$I,tblMatriculas[[#This Row],[Código]])&gt;0,"Sí","No")</f>
        <v>Sí</v>
      </c>
      <c r="Z1519" s="23" cm="1">
        <f t="array" ref="Z1519">_xlfn.XLOOKUP(tblMatriculas[[#This Row],[Cédula]]&amp;"|"&amp;tblMatriculas[[#This Row],[Código]],tblBase[Documento]&amp;"|"&amp;tblBase[Código grupo],tblBase[Fecha matrícula],"")</f>
        <v>46262</v>
      </c>
    </row>
    <row r="1520" spans="1:26" x14ac:dyDescent="0.2">
      <c r="A1520" t="s">
        <v>3188</v>
      </c>
      <c r="B1520" t="s">
        <v>3189</v>
      </c>
      <c r="C1520" t="s">
        <v>13</v>
      </c>
      <c r="D1520" t="s">
        <v>3167</v>
      </c>
      <c r="E1520" t="s">
        <v>3168</v>
      </c>
      <c r="F1520" t="s">
        <v>1453</v>
      </c>
      <c r="G1520" s="1">
        <v>0</v>
      </c>
      <c r="H1520" t="s">
        <v>254</v>
      </c>
      <c r="I1520" t="s">
        <v>3169</v>
      </c>
      <c r="J1520" t="s">
        <v>3170</v>
      </c>
      <c r="K1520" t="s">
        <v>24</v>
      </c>
      <c r="L1520" s="14">
        <f>IFERROR(VALUE(LEFT(tblMatriculas[[#This Row],[Clases]],FIND("/",tblMatriculas[[#This Row],[Clases]])-1)),"")</f>
        <v>0</v>
      </c>
      <c r="M1520" s="14">
        <f>IFERROR(VALUE(MID(tblMatriculas[[#This Row],[Clases]],FIND("/",tblMatriculas[[#This Row],[Clases]])+1,5)),"")</f>
        <v>30</v>
      </c>
      <c r="N15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0" s="14">
        <f>IF(OR(tblMatriculas[[#This Row],[Estado]]&lt;&gt;"activa",tblMatriculas[[#This Row],[Clases dictadas]]=""),"",MAX(0,tblMatriculas[[#This Row],[Clases dictadas]]-tblMatriculas[[#This Row],[Asistidas]]))</f>
        <v>6</v>
      </c>
      <c r="P1520" s="1">
        <f>IF(OR(tblMatriculas[[#This Row],[Estado]]&lt;&gt;"activa",tblMatriculas[[#This Row],[Asistidas]]=""),"",tblMatriculas[[#This Row],[Asistencia]])</f>
        <v>0</v>
      </c>
      <c r="Q1520" t="b">
        <f>AND(tblMatriculas[[#This Row],[Estado]]="activa",ISNUMBER(tblMatriculas[[#This Row],[% asistencia]]),NOT(ISNUMBER(SEARCH(pPrueba,tblMatriculas[[#This Row],[Nombre]]))))</f>
        <v>1</v>
      </c>
      <c r="R15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20" s="23" t="str" cm="1">
        <f t="array" ref="S15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0" s="23" t="str" cm="1">
        <f t="array" ref="T15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0" s="14" t="str" cm="1">
        <f t="array" ref="U15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0" t="str" cm="1">
        <f t="array" ref="V15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0" t="str" cm="1">
        <f t="array" ref="W15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20" t="str">
        <f>IF(COUNTIFS('Base Estudiantes'!$C:$C,tblMatriculas[[#This Row],[Cédula]],'Base Estudiantes'!$I:$I,tblMatriculas[[#This Row],[Código]])&gt;0,"Sí","No")</f>
        <v>Sí</v>
      </c>
      <c r="Z1520" s="23" cm="1">
        <f t="array" ref="Z1520">_xlfn.XLOOKUP(tblMatriculas[[#This Row],[Cédula]]&amp;"|"&amp;tblMatriculas[[#This Row],[Código]],tblBase[Documento]&amp;"|"&amp;tblBase[Código grupo],tblBase[Fecha matrícula],"")</f>
        <v>46262</v>
      </c>
    </row>
    <row r="1521" spans="1:26" x14ac:dyDescent="0.2">
      <c r="A1521" t="s">
        <v>3190</v>
      </c>
      <c r="B1521" t="s">
        <v>3191</v>
      </c>
      <c r="C1521" t="s">
        <v>13</v>
      </c>
      <c r="D1521" t="s">
        <v>3167</v>
      </c>
      <c r="E1521" t="s">
        <v>3168</v>
      </c>
      <c r="F1521" t="s">
        <v>1453</v>
      </c>
      <c r="G1521" s="1">
        <v>0.2</v>
      </c>
      <c r="H1521" t="s">
        <v>232</v>
      </c>
      <c r="I1521" t="s">
        <v>3169</v>
      </c>
      <c r="J1521" t="s">
        <v>3170</v>
      </c>
      <c r="K1521" t="s">
        <v>24</v>
      </c>
      <c r="L1521" s="14">
        <f>IFERROR(VALUE(LEFT(tblMatriculas[[#This Row],[Clases]],FIND("/",tblMatriculas[[#This Row],[Clases]])-1)),"")</f>
        <v>6</v>
      </c>
      <c r="M1521" s="14">
        <f>IFERROR(VALUE(MID(tblMatriculas[[#This Row],[Clases]],FIND("/",tblMatriculas[[#This Row],[Clases]])+1,5)),"")</f>
        <v>30</v>
      </c>
      <c r="N15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1" s="14">
        <f>IF(OR(tblMatriculas[[#This Row],[Estado]]&lt;&gt;"activa",tblMatriculas[[#This Row],[Clases dictadas]]=""),"",MAX(0,tblMatriculas[[#This Row],[Clases dictadas]]-tblMatriculas[[#This Row],[Asistidas]]))</f>
        <v>0</v>
      </c>
      <c r="P1521" s="1">
        <f>IF(OR(tblMatriculas[[#This Row],[Estado]]&lt;&gt;"activa",tblMatriculas[[#This Row],[Asistidas]]=""),"",tblMatriculas[[#This Row],[Asistencia]])</f>
        <v>0.2</v>
      </c>
      <c r="Q1521" t="b">
        <f>AND(tblMatriculas[[#This Row],[Estado]]="activa",ISNUMBER(tblMatriculas[[#This Row],[% asistencia]]),NOT(ISNUMBER(SEARCH(pPrueba,tblMatriculas[[#This Row],[Nombre]]))))</f>
        <v>1</v>
      </c>
      <c r="R15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1" s="23" t="str" cm="1">
        <f t="array" ref="S15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1" s="23" t="str" cm="1">
        <f t="array" ref="T15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1" s="14" t="str" cm="1">
        <f t="array" ref="U15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1" t="str" cm="1">
        <f t="array" ref="V15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1" t="str" cm="1">
        <f t="array" ref="W15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1" t="str">
        <f>IF(COUNTIFS('Base Estudiantes'!$C:$C,tblMatriculas[[#This Row],[Cédula]],'Base Estudiantes'!$I:$I,tblMatriculas[[#This Row],[Código]])&gt;0,"Sí","No")</f>
        <v>Sí</v>
      </c>
      <c r="Z1521" s="23" cm="1">
        <f t="array" ref="Z1521">_xlfn.XLOOKUP(tblMatriculas[[#This Row],[Cédula]]&amp;"|"&amp;tblMatriculas[[#This Row],[Código]],tblBase[Documento]&amp;"|"&amp;tblBase[Código grupo],tblBase[Fecha matrícula],"")</f>
        <v>46262</v>
      </c>
    </row>
    <row r="1522" spans="1:26" x14ac:dyDescent="0.2">
      <c r="A1522" t="s">
        <v>3192</v>
      </c>
      <c r="B1522" t="s">
        <v>3193</v>
      </c>
      <c r="C1522" t="s">
        <v>13</v>
      </c>
      <c r="D1522" t="s">
        <v>3167</v>
      </c>
      <c r="E1522" t="s">
        <v>3168</v>
      </c>
      <c r="F1522" t="s">
        <v>1453</v>
      </c>
      <c r="G1522" s="1">
        <v>0.13300000000000001</v>
      </c>
      <c r="H1522" t="s">
        <v>112</v>
      </c>
      <c r="I1522" t="s">
        <v>3169</v>
      </c>
      <c r="J1522" t="s">
        <v>3170</v>
      </c>
      <c r="K1522" t="s">
        <v>24</v>
      </c>
      <c r="L1522" s="14">
        <f>IFERROR(VALUE(LEFT(tblMatriculas[[#This Row],[Clases]],FIND("/",tblMatriculas[[#This Row],[Clases]])-1)),"")</f>
        <v>4</v>
      </c>
      <c r="M1522" s="14">
        <f>IFERROR(VALUE(MID(tblMatriculas[[#This Row],[Clases]],FIND("/",tblMatriculas[[#This Row],[Clases]])+1,5)),"")</f>
        <v>30</v>
      </c>
      <c r="N15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2" s="14">
        <f>IF(OR(tblMatriculas[[#This Row],[Estado]]&lt;&gt;"activa",tblMatriculas[[#This Row],[Clases dictadas]]=""),"",MAX(0,tblMatriculas[[#This Row],[Clases dictadas]]-tblMatriculas[[#This Row],[Asistidas]]))</f>
        <v>2</v>
      </c>
      <c r="P1522" s="1">
        <f>IF(OR(tblMatriculas[[#This Row],[Estado]]&lt;&gt;"activa",tblMatriculas[[#This Row],[Asistidas]]=""),"",tblMatriculas[[#This Row],[Asistencia]])</f>
        <v>0.13300000000000001</v>
      </c>
      <c r="Q1522" t="b">
        <f>AND(tblMatriculas[[#This Row],[Estado]]="activa",ISNUMBER(tblMatriculas[[#This Row],[% asistencia]]),NOT(ISNUMBER(SEARCH(pPrueba,tblMatriculas[[#This Row],[Nombre]]))))</f>
        <v>1</v>
      </c>
      <c r="R15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2" s="23" t="str" cm="1">
        <f t="array" ref="S15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2" s="23" t="str" cm="1">
        <f t="array" ref="T15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2" s="14" t="str" cm="1">
        <f t="array" ref="U15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2" t="str" cm="1">
        <f t="array" ref="V15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2" t="str" cm="1">
        <f t="array" ref="W15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2" t="str">
        <f>IF(COUNTIFS('Base Estudiantes'!$C:$C,tblMatriculas[[#This Row],[Cédula]],'Base Estudiantes'!$I:$I,tblMatriculas[[#This Row],[Código]])&gt;0,"Sí","No")</f>
        <v>Sí</v>
      </c>
      <c r="Z1522" s="23" cm="1">
        <f t="array" ref="Z1522">_xlfn.XLOOKUP(tblMatriculas[[#This Row],[Cédula]]&amp;"|"&amp;tblMatriculas[[#This Row],[Código]],tblBase[Documento]&amp;"|"&amp;tblBase[Código grupo],tblBase[Fecha matrícula],"")</f>
        <v>46262</v>
      </c>
    </row>
    <row r="1523" spans="1:26" x14ac:dyDescent="0.2">
      <c r="A1523" t="s">
        <v>3194</v>
      </c>
      <c r="B1523" t="s">
        <v>3195</v>
      </c>
      <c r="C1523" t="s">
        <v>13</v>
      </c>
      <c r="D1523" t="s">
        <v>3167</v>
      </c>
      <c r="E1523" t="s">
        <v>3168</v>
      </c>
      <c r="F1523" t="s">
        <v>1453</v>
      </c>
      <c r="G1523" s="1">
        <v>0.2</v>
      </c>
      <c r="H1523" t="s">
        <v>232</v>
      </c>
      <c r="I1523" t="s">
        <v>3169</v>
      </c>
      <c r="J1523" t="s">
        <v>3170</v>
      </c>
      <c r="K1523" t="s">
        <v>24</v>
      </c>
      <c r="L1523" s="14">
        <f>IFERROR(VALUE(LEFT(tblMatriculas[[#This Row],[Clases]],FIND("/",tblMatriculas[[#This Row],[Clases]])-1)),"")</f>
        <v>6</v>
      </c>
      <c r="M1523" s="14">
        <f>IFERROR(VALUE(MID(tblMatriculas[[#This Row],[Clases]],FIND("/",tblMatriculas[[#This Row],[Clases]])+1,5)),"")</f>
        <v>30</v>
      </c>
      <c r="N15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3" s="14">
        <f>IF(OR(tblMatriculas[[#This Row],[Estado]]&lt;&gt;"activa",tblMatriculas[[#This Row],[Clases dictadas]]=""),"",MAX(0,tblMatriculas[[#This Row],[Clases dictadas]]-tblMatriculas[[#This Row],[Asistidas]]))</f>
        <v>0</v>
      </c>
      <c r="P1523" s="1">
        <f>IF(OR(tblMatriculas[[#This Row],[Estado]]&lt;&gt;"activa",tblMatriculas[[#This Row],[Asistidas]]=""),"",tblMatriculas[[#This Row],[Asistencia]])</f>
        <v>0.2</v>
      </c>
      <c r="Q1523" t="b">
        <f>AND(tblMatriculas[[#This Row],[Estado]]="activa",ISNUMBER(tblMatriculas[[#This Row],[% asistencia]]),NOT(ISNUMBER(SEARCH(pPrueba,tblMatriculas[[#This Row],[Nombre]]))))</f>
        <v>1</v>
      </c>
      <c r="R15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3" s="23" t="str" cm="1">
        <f t="array" ref="S15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3" s="23" t="str" cm="1">
        <f t="array" ref="T15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3" s="14" t="str" cm="1">
        <f t="array" ref="U15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3" t="str" cm="1">
        <f t="array" ref="V15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3" t="str" cm="1">
        <f t="array" ref="W15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3" t="str">
        <f>IF(COUNTIFS('Base Estudiantes'!$C:$C,tblMatriculas[[#This Row],[Cédula]],'Base Estudiantes'!$I:$I,tblMatriculas[[#This Row],[Código]])&gt;0,"Sí","No")</f>
        <v>Sí</v>
      </c>
      <c r="Z1523" s="23" cm="1">
        <f t="array" ref="Z1523">_xlfn.XLOOKUP(tblMatriculas[[#This Row],[Cédula]]&amp;"|"&amp;tblMatriculas[[#This Row],[Código]],tblBase[Documento]&amp;"|"&amp;tblBase[Código grupo],tblBase[Fecha matrícula],"")</f>
        <v>46262</v>
      </c>
    </row>
    <row r="1524" spans="1:26" x14ac:dyDescent="0.2">
      <c r="A1524" t="s">
        <v>3196</v>
      </c>
      <c r="B1524" t="s">
        <v>3197</v>
      </c>
      <c r="C1524" t="s">
        <v>13</v>
      </c>
      <c r="D1524" t="s">
        <v>3167</v>
      </c>
      <c r="E1524" t="s">
        <v>3168</v>
      </c>
      <c r="F1524" t="s">
        <v>1453</v>
      </c>
      <c r="G1524" s="1">
        <v>0.2</v>
      </c>
      <c r="H1524" t="s">
        <v>232</v>
      </c>
      <c r="I1524" t="s">
        <v>3169</v>
      </c>
      <c r="J1524" t="s">
        <v>3170</v>
      </c>
      <c r="K1524" t="s">
        <v>24</v>
      </c>
      <c r="L1524" s="14">
        <f>IFERROR(VALUE(LEFT(tblMatriculas[[#This Row],[Clases]],FIND("/",tblMatriculas[[#This Row],[Clases]])-1)),"")</f>
        <v>6</v>
      </c>
      <c r="M1524" s="14">
        <f>IFERROR(VALUE(MID(tblMatriculas[[#This Row],[Clases]],FIND("/",tblMatriculas[[#This Row],[Clases]])+1,5)),"")</f>
        <v>30</v>
      </c>
      <c r="N15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4" s="14">
        <f>IF(OR(tblMatriculas[[#This Row],[Estado]]&lt;&gt;"activa",tblMatriculas[[#This Row],[Clases dictadas]]=""),"",MAX(0,tblMatriculas[[#This Row],[Clases dictadas]]-tblMatriculas[[#This Row],[Asistidas]]))</f>
        <v>0</v>
      </c>
      <c r="P1524" s="1">
        <f>IF(OR(tblMatriculas[[#This Row],[Estado]]&lt;&gt;"activa",tblMatriculas[[#This Row],[Asistidas]]=""),"",tblMatriculas[[#This Row],[Asistencia]])</f>
        <v>0.2</v>
      </c>
      <c r="Q1524" t="b">
        <f>AND(tblMatriculas[[#This Row],[Estado]]="activa",ISNUMBER(tblMatriculas[[#This Row],[% asistencia]]),NOT(ISNUMBER(SEARCH(pPrueba,tblMatriculas[[#This Row],[Nombre]]))))</f>
        <v>1</v>
      </c>
      <c r="R15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4" s="23" t="str" cm="1">
        <f t="array" ref="S15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4" s="23" t="str" cm="1">
        <f t="array" ref="T15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4" s="14" t="str" cm="1">
        <f t="array" ref="U15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4" t="str" cm="1">
        <f t="array" ref="V15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4" t="str" cm="1">
        <f t="array" ref="W15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4" t="str">
        <f>IF(COUNTIFS('Base Estudiantes'!$C:$C,tblMatriculas[[#This Row],[Cédula]],'Base Estudiantes'!$I:$I,tblMatriculas[[#This Row],[Código]])&gt;0,"Sí","No")</f>
        <v>Sí</v>
      </c>
      <c r="Z1524" s="23" cm="1">
        <f t="array" ref="Z1524">_xlfn.XLOOKUP(tblMatriculas[[#This Row],[Cédula]]&amp;"|"&amp;tblMatriculas[[#This Row],[Código]],tblBase[Documento]&amp;"|"&amp;tblBase[Código grupo],tblBase[Fecha matrícula],"")</f>
        <v>46262</v>
      </c>
    </row>
    <row r="1525" spans="1:26" x14ac:dyDescent="0.2">
      <c r="A1525" t="s">
        <v>3198</v>
      </c>
      <c r="B1525" t="s">
        <v>3199</v>
      </c>
      <c r="C1525" t="s">
        <v>13</v>
      </c>
      <c r="D1525" t="s">
        <v>3167</v>
      </c>
      <c r="E1525" t="s">
        <v>3168</v>
      </c>
      <c r="F1525" t="s">
        <v>1453</v>
      </c>
      <c r="G1525" s="1">
        <v>3.3000000000000002E-2</v>
      </c>
      <c r="H1525" t="s">
        <v>225</v>
      </c>
      <c r="I1525" t="s">
        <v>3169</v>
      </c>
      <c r="J1525" t="s">
        <v>3170</v>
      </c>
      <c r="K1525" t="s">
        <v>24</v>
      </c>
      <c r="L1525" s="14">
        <f>IFERROR(VALUE(LEFT(tblMatriculas[[#This Row],[Clases]],FIND("/",tblMatriculas[[#This Row],[Clases]])-1)),"")</f>
        <v>1</v>
      </c>
      <c r="M1525" s="14">
        <f>IFERROR(VALUE(MID(tblMatriculas[[#This Row],[Clases]],FIND("/",tblMatriculas[[#This Row],[Clases]])+1,5)),"")</f>
        <v>30</v>
      </c>
      <c r="N15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5" s="14">
        <f>IF(OR(tblMatriculas[[#This Row],[Estado]]&lt;&gt;"activa",tblMatriculas[[#This Row],[Clases dictadas]]=""),"",MAX(0,tblMatriculas[[#This Row],[Clases dictadas]]-tblMatriculas[[#This Row],[Asistidas]]))</f>
        <v>5</v>
      </c>
      <c r="P1525" s="1">
        <f>IF(OR(tblMatriculas[[#This Row],[Estado]]&lt;&gt;"activa",tblMatriculas[[#This Row],[Asistidas]]=""),"",tblMatriculas[[#This Row],[Asistencia]])</f>
        <v>3.3000000000000002E-2</v>
      </c>
      <c r="Q1525" t="b">
        <f>AND(tblMatriculas[[#This Row],[Estado]]="activa",ISNUMBER(tblMatriculas[[#This Row],[% asistencia]]),NOT(ISNUMBER(SEARCH(pPrueba,tblMatriculas[[#This Row],[Nombre]]))))</f>
        <v>1</v>
      </c>
      <c r="R15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525" s="23" t="str" cm="1">
        <f t="array" ref="S15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5" s="23" t="str" cm="1">
        <f t="array" ref="T15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5" s="14" t="str" cm="1">
        <f t="array" ref="U15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5" t="str" cm="1">
        <f t="array" ref="V15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5" t="str" cm="1">
        <f t="array" ref="W15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5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525" t="str">
        <f>IF(COUNTIFS('Base Estudiantes'!$C:$C,tblMatriculas[[#This Row],[Cédula]],'Base Estudiantes'!$I:$I,tblMatriculas[[#This Row],[Código]])&gt;0,"Sí","No")</f>
        <v>Sí</v>
      </c>
      <c r="Z1525" s="23" cm="1">
        <f t="array" ref="Z1525">_xlfn.XLOOKUP(tblMatriculas[[#This Row],[Cédula]]&amp;"|"&amp;tblMatriculas[[#This Row],[Código]],tblBase[Documento]&amp;"|"&amp;tblBase[Código grupo],tblBase[Fecha matrícula],"")</f>
        <v>46262</v>
      </c>
    </row>
    <row r="1526" spans="1:26" x14ac:dyDescent="0.2">
      <c r="A1526" t="s">
        <v>3200</v>
      </c>
      <c r="B1526" t="s">
        <v>3201</v>
      </c>
      <c r="C1526" t="s">
        <v>13</v>
      </c>
      <c r="D1526" t="s">
        <v>3167</v>
      </c>
      <c r="E1526" t="s">
        <v>3168</v>
      </c>
      <c r="F1526" t="s">
        <v>1453</v>
      </c>
      <c r="G1526" s="1">
        <v>0.16699999999999998</v>
      </c>
      <c r="H1526" t="s">
        <v>229</v>
      </c>
      <c r="I1526" t="s">
        <v>3169</v>
      </c>
      <c r="J1526" t="s">
        <v>3170</v>
      </c>
      <c r="K1526" t="s">
        <v>24</v>
      </c>
      <c r="L1526" s="14">
        <f>IFERROR(VALUE(LEFT(tblMatriculas[[#This Row],[Clases]],FIND("/",tblMatriculas[[#This Row],[Clases]])-1)),"")</f>
        <v>5</v>
      </c>
      <c r="M1526" s="14">
        <f>IFERROR(VALUE(MID(tblMatriculas[[#This Row],[Clases]],FIND("/",tblMatriculas[[#This Row],[Clases]])+1,5)),"")</f>
        <v>30</v>
      </c>
      <c r="N15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6" s="14">
        <f>IF(OR(tblMatriculas[[#This Row],[Estado]]&lt;&gt;"activa",tblMatriculas[[#This Row],[Clases dictadas]]=""),"",MAX(0,tblMatriculas[[#This Row],[Clases dictadas]]-tblMatriculas[[#This Row],[Asistidas]]))</f>
        <v>1</v>
      </c>
      <c r="P1526" s="1">
        <f>IF(OR(tblMatriculas[[#This Row],[Estado]]&lt;&gt;"activa",tblMatriculas[[#This Row],[Asistidas]]=""),"",tblMatriculas[[#This Row],[Asistencia]])</f>
        <v>0.16699999999999998</v>
      </c>
      <c r="Q1526" t="b">
        <f>AND(tblMatriculas[[#This Row],[Estado]]="activa",ISNUMBER(tblMatriculas[[#This Row],[% asistencia]]),NOT(ISNUMBER(SEARCH(pPrueba,tblMatriculas[[#This Row],[Nombre]]))))</f>
        <v>1</v>
      </c>
      <c r="R15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6" s="23" t="str" cm="1">
        <f t="array" ref="S15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6" s="23" t="str" cm="1">
        <f t="array" ref="T15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6" s="14" t="str" cm="1">
        <f t="array" ref="U15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6" t="str" cm="1">
        <f t="array" ref="V15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6" t="str" cm="1">
        <f t="array" ref="W15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6" t="str">
        <f>IF(COUNTIFS('Base Estudiantes'!$C:$C,tblMatriculas[[#This Row],[Cédula]],'Base Estudiantes'!$I:$I,tblMatriculas[[#This Row],[Código]])&gt;0,"Sí","No")</f>
        <v>Sí</v>
      </c>
      <c r="Z1526" s="23" cm="1">
        <f t="array" ref="Z1526">_xlfn.XLOOKUP(tblMatriculas[[#This Row],[Cédula]]&amp;"|"&amp;tblMatriculas[[#This Row],[Código]],tblBase[Documento]&amp;"|"&amp;tblBase[Código grupo],tblBase[Fecha matrícula],"")</f>
        <v>46262</v>
      </c>
    </row>
    <row r="1527" spans="1:26" x14ac:dyDescent="0.2">
      <c r="A1527" t="s">
        <v>3202</v>
      </c>
      <c r="B1527" t="s">
        <v>3203</v>
      </c>
      <c r="C1527" t="s">
        <v>49</v>
      </c>
      <c r="D1527" t="s">
        <v>3167</v>
      </c>
      <c r="E1527" t="s">
        <v>3168</v>
      </c>
      <c r="F1527" t="s">
        <v>1453</v>
      </c>
      <c r="G1527" s="1">
        <v>0</v>
      </c>
      <c r="H1527" t="s">
        <v>254</v>
      </c>
      <c r="I1527" t="s">
        <v>3169</v>
      </c>
      <c r="J1527" t="s">
        <v>3170</v>
      </c>
      <c r="K1527" t="s">
        <v>24</v>
      </c>
      <c r="L1527" s="14">
        <f>IFERROR(VALUE(LEFT(tblMatriculas[[#This Row],[Clases]],FIND("/",tblMatriculas[[#This Row],[Clases]])-1)),"")</f>
        <v>0</v>
      </c>
      <c r="M1527" s="14">
        <f>IFERROR(VALUE(MID(tblMatriculas[[#This Row],[Clases]],FIND("/",tblMatriculas[[#This Row],[Clases]])+1,5)),"")</f>
        <v>30</v>
      </c>
      <c r="N15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7" s="14" t="str">
        <f>IF(OR(tblMatriculas[[#This Row],[Estado]]&lt;&gt;"activa",tblMatriculas[[#This Row],[Clases dictadas]]=""),"",MAX(0,tblMatriculas[[#This Row],[Clases dictadas]]-tblMatriculas[[#This Row],[Asistidas]]))</f>
        <v/>
      </c>
      <c r="P1527" s="1" t="str">
        <f>IF(OR(tblMatriculas[[#This Row],[Estado]]&lt;&gt;"activa",tblMatriculas[[#This Row],[Asistidas]]=""),"",tblMatriculas[[#This Row],[Asistencia]])</f>
        <v/>
      </c>
      <c r="Q1527" t="b">
        <f>AND(tblMatriculas[[#This Row],[Estado]]="activa",ISNUMBER(tblMatriculas[[#This Row],[% asistencia]]),NOT(ISNUMBER(SEARCH(pPrueba,tblMatriculas[[#This Row],[Nombre]]))))</f>
        <v>0</v>
      </c>
      <c r="R15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27" s="23" t="str" cm="1">
        <f t="array" ref="S15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7" s="23" t="str" cm="1">
        <f t="array" ref="T15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7" s="14" t="str" cm="1">
        <f t="array" ref="U15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7" t="str" cm="1">
        <f t="array" ref="V15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7" t="str" cm="1">
        <f t="array" ref="W15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7" t="str">
        <f>IF(COUNTIFS('Base Estudiantes'!$C:$C,tblMatriculas[[#This Row],[Cédula]],'Base Estudiantes'!$I:$I,tblMatriculas[[#This Row],[Código]])&gt;0,"Sí","No")</f>
        <v>No</v>
      </c>
      <c r="Z1527" s="23" t="str" cm="1">
        <f t="array" ref="Z1527">_xlfn.XLOOKUP(tblMatriculas[[#This Row],[Cédula]]&amp;"|"&amp;tblMatriculas[[#This Row],[Código]],tblBase[Documento]&amp;"|"&amp;tblBase[Código grupo],tblBase[Fecha matrícula],"")</f>
        <v/>
      </c>
    </row>
    <row r="1528" spans="1:26" x14ac:dyDescent="0.2">
      <c r="A1528" t="s">
        <v>3204</v>
      </c>
      <c r="B1528" t="s">
        <v>3205</v>
      </c>
      <c r="C1528" t="s">
        <v>13</v>
      </c>
      <c r="D1528" t="s">
        <v>3167</v>
      </c>
      <c r="E1528" t="s">
        <v>3168</v>
      </c>
      <c r="F1528" t="s">
        <v>1453</v>
      </c>
      <c r="G1528" s="1">
        <v>0.2</v>
      </c>
      <c r="H1528" t="s">
        <v>232</v>
      </c>
      <c r="I1528" t="s">
        <v>3169</v>
      </c>
      <c r="J1528" t="s">
        <v>3170</v>
      </c>
      <c r="K1528" t="s">
        <v>24</v>
      </c>
      <c r="L1528" s="14">
        <f>IFERROR(VALUE(LEFT(tblMatriculas[[#This Row],[Clases]],FIND("/",tblMatriculas[[#This Row],[Clases]])-1)),"")</f>
        <v>6</v>
      </c>
      <c r="M1528" s="14">
        <f>IFERROR(VALUE(MID(tblMatriculas[[#This Row],[Clases]],FIND("/",tblMatriculas[[#This Row],[Clases]])+1,5)),"")</f>
        <v>30</v>
      </c>
      <c r="N15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8" s="14">
        <f>IF(OR(tblMatriculas[[#This Row],[Estado]]&lt;&gt;"activa",tblMatriculas[[#This Row],[Clases dictadas]]=""),"",MAX(0,tblMatriculas[[#This Row],[Clases dictadas]]-tblMatriculas[[#This Row],[Asistidas]]))</f>
        <v>0</v>
      </c>
      <c r="P1528" s="1">
        <f>IF(OR(tblMatriculas[[#This Row],[Estado]]&lt;&gt;"activa",tblMatriculas[[#This Row],[Asistidas]]=""),"",tblMatriculas[[#This Row],[Asistencia]])</f>
        <v>0.2</v>
      </c>
      <c r="Q1528" t="b">
        <f>AND(tblMatriculas[[#This Row],[Estado]]="activa",ISNUMBER(tblMatriculas[[#This Row],[% asistencia]]),NOT(ISNUMBER(SEARCH(pPrueba,tblMatriculas[[#This Row],[Nombre]]))))</f>
        <v>1</v>
      </c>
      <c r="R15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8" s="23" t="str" cm="1">
        <f t="array" ref="S15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8" s="23" t="str" cm="1">
        <f t="array" ref="T15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8" s="14" t="str" cm="1">
        <f t="array" ref="U15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8" t="str" cm="1">
        <f t="array" ref="V15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8" t="str" cm="1">
        <f t="array" ref="W15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8" t="str">
        <f>IF(COUNTIFS('Base Estudiantes'!$C:$C,tblMatriculas[[#This Row],[Cédula]],'Base Estudiantes'!$I:$I,tblMatriculas[[#This Row],[Código]])&gt;0,"Sí","No")</f>
        <v>Sí</v>
      </c>
      <c r="Z1528" s="23" cm="1">
        <f t="array" ref="Z1528">_xlfn.XLOOKUP(tblMatriculas[[#This Row],[Cédula]]&amp;"|"&amp;tblMatriculas[[#This Row],[Código]],tblBase[Documento]&amp;"|"&amp;tblBase[Código grupo],tblBase[Fecha matrícula],"")</f>
        <v>46262</v>
      </c>
    </row>
    <row r="1529" spans="1:26" x14ac:dyDescent="0.2">
      <c r="A1529" t="s">
        <v>3206</v>
      </c>
      <c r="B1529" t="s">
        <v>3207</v>
      </c>
      <c r="C1529" t="s">
        <v>13</v>
      </c>
      <c r="D1529" t="s">
        <v>3167</v>
      </c>
      <c r="E1529" t="s">
        <v>3168</v>
      </c>
      <c r="F1529" t="s">
        <v>1453</v>
      </c>
      <c r="G1529" s="1">
        <v>0.16699999999999998</v>
      </c>
      <c r="H1529" t="s">
        <v>229</v>
      </c>
      <c r="I1529" t="s">
        <v>3169</v>
      </c>
      <c r="J1529" t="s">
        <v>3170</v>
      </c>
      <c r="K1529" t="s">
        <v>24</v>
      </c>
      <c r="L1529" s="14">
        <f>IFERROR(VALUE(LEFT(tblMatriculas[[#This Row],[Clases]],FIND("/",tblMatriculas[[#This Row],[Clases]])-1)),"")</f>
        <v>5</v>
      </c>
      <c r="M1529" s="14">
        <f>IFERROR(VALUE(MID(tblMatriculas[[#This Row],[Clases]],FIND("/",tblMatriculas[[#This Row],[Clases]])+1,5)),"")</f>
        <v>30</v>
      </c>
      <c r="N15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29" s="14">
        <f>IF(OR(tblMatriculas[[#This Row],[Estado]]&lt;&gt;"activa",tblMatriculas[[#This Row],[Clases dictadas]]=""),"",MAX(0,tblMatriculas[[#This Row],[Clases dictadas]]-tblMatriculas[[#This Row],[Asistidas]]))</f>
        <v>1</v>
      </c>
      <c r="P1529" s="1">
        <f>IF(OR(tblMatriculas[[#This Row],[Estado]]&lt;&gt;"activa",tblMatriculas[[#This Row],[Asistidas]]=""),"",tblMatriculas[[#This Row],[Asistencia]])</f>
        <v>0.16699999999999998</v>
      </c>
      <c r="Q1529" t="b">
        <f>AND(tblMatriculas[[#This Row],[Estado]]="activa",ISNUMBER(tblMatriculas[[#This Row],[% asistencia]]),NOT(ISNUMBER(SEARCH(pPrueba,tblMatriculas[[#This Row],[Nombre]]))))</f>
        <v>1</v>
      </c>
      <c r="R15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29" s="23" t="str" cm="1">
        <f t="array" ref="S15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29" s="23" t="str" cm="1">
        <f t="array" ref="T15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29" s="14" t="str" cm="1">
        <f t="array" ref="U15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29" t="str" cm="1">
        <f t="array" ref="V15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29" t="str" cm="1">
        <f t="array" ref="W15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29" t="str">
        <f>IF(COUNTIFS('Base Estudiantes'!$C:$C,tblMatriculas[[#This Row],[Cédula]],'Base Estudiantes'!$I:$I,tblMatriculas[[#This Row],[Código]])&gt;0,"Sí","No")</f>
        <v>Sí</v>
      </c>
      <c r="Z1529" s="23" cm="1">
        <f t="array" ref="Z1529">_xlfn.XLOOKUP(tblMatriculas[[#This Row],[Cédula]]&amp;"|"&amp;tblMatriculas[[#This Row],[Código]],tblBase[Documento]&amp;"|"&amp;tblBase[Código grupo],tblBase[Fecha matrícula],"")</f>
        <v>46262</v>
      </c>
    </row>
    <row r="1530" spans="1:26" x14ac:dyDescent="0.2">
      <c r="A1530" t="s">
        <v>3208</v>
      </c>
      <c r="B1530" t="s">
        <v>3209</v>
      </c>
      <c r="C1530" t="s">
        <v>13</v>
      </c>
      <c r="D1530" t="s">
        <v>3167</v>
      </c>
      <c r="E1530" t="s">
        <v>3168</v>
      </c>
      <c r="F1530" t="s">
        <v>1453</v>
      </c>
      <c r="G1530" s="1">
        <v>0.2</v>
      </c>
      <c r="H1530" t="s">
        <v>232</v>
      </c>
      <c r="I1530" t="s">
        <v>3169</v>
      </c>
      <c r="J1530" t="s">
        <v>3170</v>
      </c>
      <c r="K1530" t="s">
        <v>24</v>
      </c>
      <c r="L1530" s="14">
        <f>IFERROR(VALUE(LEFT(tblMatriculas[[#This Row],[Clases]],FIND("/",tblMatriculas[[#This Row],[Clases]])-1)),"")</f>
        <v>6</v>
      </c>
      <c r="M1530" s="14">
        <f>IFERROR(VALUE(MID(tblMatriculas[[#This Row],[Clases]],FIND("/",tblMatriculas[[#This Row],[Clases]])+1,5)),"")</f>
        <v>30</v>
      </c>
      <c r="N15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0" s="14">
        <f>IF(OR(tblMatriculas[[#This Row],[Estado]]&lt;&gt;"activa",tblMatriculas[[#This Row],[Clases dictadas]]=""),"",MAX(0,tblMatriculas[[#This Row],[Clases dictadas]]-tblMatriculas[[#This Row],[Asistidas]]))</f>
        <v>0</v>
      </c>
      <c r="P1530" s="1">
        <f>IF(OR(tblMatriculas[[#This Row],[Estado]]&lt;&gt;"activa",tblMatriculas[[#This Row],[Asistidas]]=""),"",tblMatriculas[[#This Row],[Asistencia]])</f>
        <v>0.2</v>
      </c>
      <c r="Q1530" t="b">
        <f>AND(tblMatriculas[[#This Row],[Estado]]="activa",ISNUMBER(tblMatriculas[[#This Row],[% asistencia]]),NOT(ISNUMBER(SEARCH(pPrueba,tblMatriculas[[#This Row],[Nombre]]))))</f>
        <v>1</v>
      </c>
      <c r="R15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0" s="23" t="str" cm="1">
        <f t="array" ref="S15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0" s="23" t="str" cm="1">
        <f t="array" ref="T15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0" s="14" t="str" cm="1">
        <f t="array" ref="U15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0" t="str" cm="1">
        <f t="array" ref="V15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0" t="str" cm="1">
        <f t="array" ref="W15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0" t="str">
        <f>IF(COUNTIFS('Base Estudiantes'!$C:$C,tblMatriculas[[#This Row],[Cédula]],'Base Estudiantes'!$I:$I,tblMatriculas[[#This Row],[Código]])&gt;0,"Sí","No")</f>
        <v>Sí</v>
      </c>
      <c r="Z1530" s="23" cm="1">
        <f t="array" ref="Z1530">_xlfn.XLOOKUP(tblMatriculas[[#This Row],[Cédula]]&amp;"|"&amp;tblMatriculas[[#This Row],[Código]],tblBase[Documento]&amp;"|"&amp;tblBase[Código grupo],tblBase[Fecha matrícula],"")</f>
        <v>46262</v>
      </c>
    </row>
    <row r="1531" spans="1:26" x14ac:dyDescent="0.2">
      <c r="A1531" t="s">
        <v>3210</v>
      </c>
      <c r="B1531" t="s">
        <v>3211</v>
      </c>
      <c r="C1531" t="s">
        <v>13</v>
      </c>
      <c r="D1531" t="s">
        <v>3167</v>
      </c>
      <c r="E1531" t="s">
        <v>3168</v>
      </c>
      <c r="F1531" t="s">
        <v>1453</v>
      </c>
      <c r="G1531" s="1">
        <v>0.2</v>
      </c>
      <c r="H1531" t="s">
        <v>232</v>
      </c>
      <c r="I1531" t="s">
        <v>3169</v>
      </c>
      <c r="J1531" t="s">
        <v>3170</v>
      </c>
      <c r="K1531" t="s">
        <v>24</v>
      </c>
      <c r="L1531" s="14">
        <f>IFERROR(VALUE(LEFT(tblMatriculas[[#This Row],[Clases]],FIND("/",tblMatriculas[[#This Row],[Clases]])-1)),"")</f>
        <v>6</v>
      </c>
      <c r="M1531" s="14">
        <f>IFERROR(VALUE(MID(tblMatriculas[[#This Row],[Clases]],FIND("/",tblMatriculas[[#This Row],[Clases]])+1,5)),"")</f>
        <v>30</v>
      </c>
      <c r="N15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1" s="14">
        <f>IF(OR(tblMatriculas[[#This Row],[Estado]]&lt;&gt;"activa",tblMatriculas[[#This Row],[Clases dictadas]]=""),"",MAX(0,tblMatriculas[[#This Row],[Clases dictadas]]-tblMatriculas[[#This Row],[Asistidas]]))</f>
        <v>0</v>
      </c>
      <c r="P1531" s="1">
        <f>IF(OR(tblMatriculas[[#This Row],[Estado]]&lt;&gt;"activa",tblMatriculas[[#This Row],[Asistidas]]=""),"",tblMatriculas[[#This Row],[Asistencia]])</f>
        <v>0.2</v>
      </c>
      <c r="Q1531" t="b">
        <f>AND(tblMatriculas[[#This Row],[Estado]]="activa",ISNUMBER(tblMatriculas[[#This Row],[% asistencia]]),NOT(ISNUMBER(SEARCH(pPrueba,tblMatriculas[[#This Row],[Nombre]]))))</f>
        <v>1</v>
      </c>
      <c r="R15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1" s="23" t="str" cm="1">
        <f t="array" ref="S15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1" s="23" t="str" cm="1">
        <f t="array" ref="T15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1" s="14" t="str" cm="1">
        <f t="array" ref="U15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1" t="str" cm="1">
        <f t="array" ref="V15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1" t="str" cm="1">
        <f t="array" ref="W15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1" t="str">
        <f>IF(COUNTIFS('Base Estudiantes'!$C:$C,tblMatriculas[[#This Row],[Cédula]],'Base Estudiantes'!$I:$I,tblMatriculas[[#This Row],[Código]])&gt;0,"Sí","No")</f>
        <v>Sí</v>
      </c>
      <c r="Z1531" s="23" cm="1">
        <f t="array" ref="Z1531">_xlfn.XLOOKUP(tblMatriculas[[#This Row],[Cédula]]&amp;"|"&amp;tblMatriculas[[#This Row],[Código]],tblBase[Documento]&amp;"|"&amp;tblBase[Código grupo],tblBase[Fecha matrícula],"")</f>
        <v>46262</v>
      </c>
    </row>
    <row r="1532" spans="1:26" x14ac:dyDescent="0.2">
      <c r="A1532" t="s">
        <v>3212</v>
      </c>
      <c r="B1532" t="s">
        <v>3213</v>
      </c>
      <c r="C1532" t="s">
        <v>13</v>
      </c>
      <c r="D1532" t="s">
        <v>3167</v>
      </c>
      <c r="E1532" t="s">
        <v>3168</v>
      </c>
      <c r="F1532" t="s">
        <v>1453</v>
      </c>
      <c r="G1532" s="1">
        <v>0.2</v>
      </c>
      <c r="H1532" t="s">
        <v>232</v>
      </c>
      <c r="I1532" t="s">
        <v>3169</v>
      </c>
      <c r="J1532" t="s">
        <v>3170</v>
      </c>
      <c r="K1532" t="s">
        <v>24</v>
      </c>
      <c r="L1532" s="14">
        <f>IFERROR(VALUE(LEFT(tblMatriculas[[#This Row],[Clases]],FIND("/",tblMatriculas[[#This Row],[Clases]])-1)),"")</f>
        <v>6</v>
      </c>
      <c r="M1532" s="14">
        <f>IFERROR(VALUE(MID(tblMatriculas[[#This Row],[Clases]],FIND("/",tblMatriculas[[#This Row],[Clases]])+1,5)),"")</f>
        <v>30</v>
      </c>
      <c r="N15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2" s="14">
        <f>IF(OR(tblMatriculas[[#This Row],[Estado]]&lt;&gt;"activa",tblMatriculas[[#This Row],[Clases dictadas]]=""),"",MAX(0,tblMatriculas[[#This Row],[Clases dictadas]]-tblMatriculas[[#This Row],[Asistidas]]))</f>
        <v>0</v>
      </c>
      <c r="P1532" s="1">
        <f>IF(OR(tblMatriculas[[#This Row],[Estado]]&lt;&gt;"activa",tblMatriculas[[#This Row],[Asistidas]]=""),"",tblMatriculas[[#This Row],[Asistencia]])</f>
        <v>0.2</v>
      </c>
      <c r="Q1532" t="b">
        <f>AND(tblMatriculas[[#This Row],[Estado]]="activa",ISNUMBER(tblMatriculas[[#This Row],[% asistencia]]),NOT(ISNUMBER(SEARCH(pPrueba,tblMatriculas[[#This Row],[Nombre]]))))</f>
        <v>1</v>
      </c>
      <c r="R15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2" s="23" t="str" cm="1">
        <f t="array" ref="S15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2" s="23" t="str" cm="1">
        <f t="array" ref="T15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2" s="14" t="str" cm="1">
        <f t="array" ref="U15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2" t="str" cm="1">
        <f t="array" ref="V15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2" t="str" cm="1">
        <f t="array" ref="W15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2" t="str">
        <f>IF(COUNTIFS('Base Estudiantes'!$C:$C,tblMatriculas[[#This Row],[Cédula]],'Base Estudiantes'!$I:$I,tblMatriculas[[#This Row],[Código]])&gt;0,"Sí","No")</f>
        <v>Sí</v>
      </c>
      <c r="Z1532" s="23" cm="1">
        <f t="array" ref="Z1532">_xlfn.XLOOKUP(tblMatriculas[[#This Row],[Cédula]]&amp;"|"&amp;tblMatriculas[[#This Row],[Código]],tblBase[Documento]&amp;"|"&amp;tblBase[Código grupo],tblBase[Fecha matrícula],"")</f>
        <v>46262</v>
      </c>
    </row>
    <row r="1533" spans="1:26" x14ac:dyDescent="0.2">
      <c r="A1533" t="s">
        <v>3214</v>
      </c>
      <c r="B1533" t="s">
        <v>3215</v>
      </c>
      <c r="C1533" t="s">
        <v>13</v>
      </c>
      <c r="D1533" t="s">
        <v>3167</v>
      </c>
      <c r="E1533" t="s">
        <v>3168</v>
      </c>
      <c r="F1533" t="s">
        <v>1453</v>
      </c>
      <c r="G1533" s="1">
        <v>0.2</v>
      </c>
      <c r="H1533" t="s">
        <v>232</v>
      </c>
      <c r="I1533" t="s">
        <v>3169</v>
      </c>
      <c r="J1533" t="s">
        <v>3170</v>
      </c>
      <c r="K1533" t="s">
        <v>24</v>
      </c>
      <c r="L1533" s="14">
        <f>IFERROR(VALUE(LEFT(tblMatriculas[[#This Row],[Clases]],FIND("/",tblMatriculas[[#This Row],[Clases]])-1)),"")</f>
        <v>6</v>
      </c>
      <c r="M1533" s="14">
        <f>IFERROR(VALUE(MID(tblMatriculas[[#This Row],[Clases]],FIND("/",tblMatriculas[[#This Row],[Clases]])+1,5)),"")</f>
        <v>30</v>
      </c>
      <c r="N15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3" s="14">
        <f>IF(OR(tblMatriculas[[#This Row],[Estado]]&lt;&gt;"activa",tblMatriculas[[#This Row],[Clases dictadas]]=""),"",MAX(0,tblMatriculas[[#This Row],[Clases dictadas]]-tblMatriculas[[#This Row],[Asistidas]]))</f>
        <v>0</v>
      </c>
      <c r="P1533" s="1">
        <f>IF(OR(tblMatriculas[[#This Row],[Estado]]&lt;&gt;"activa",tblMatriculas[[#This Row],[Asistidas]]=""),"",tblMatriculas[[#This Row],[Asistencia]])</f>
        <v>0.2</v>
      </c>
      <c r="Q1533" t="b">
        <f>AND(tblMatriculas[[#This Row],[Estado]]="activa",ISNUMBER(tblMatriculas[[#This Row],[% asistencia]]),NOT(ISNUMBER(SEARCH(pPrueba,tblMatriculas[[#This Row],[Nombre]]))))</f>
        <v>1</v>
      </c>
      <c r="R15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3" s="23" t="str" cm="1">
        <f t="array" ref="S15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3" s="23" t="str" cm="1">
        <f t="array" ref="T15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3" s="14" t="str" cm="1">
        <f t="array" ref="U15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3" t="str" cm="1">
        <f t="array" ref="V15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3" t="str" cm="1">
        <f t="array" ref="W15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3" t="str">
        <f>IF(COUNTIFS('Base Estudiantes'!$C:$C,tblMatriculas[[#This Row],[Cédula]],'Base Estudiantes'!$I:$I,tblMatriculas[[#This Row],[Código]])&gt;0,"Sí","No")</f>
        <v>Sí</v>
      </c>
      <c r="Z1533" s="23" cm="1">
        <f t="array" ref="Z1533">_xlfn.XLOOKUP(tblMatriculas[[#This Row],[Cédula]]&amp;"|"&amp;tblMatriculas[[#This Row],[Código]],tblBase[Documento]&amp;"|"&amp;tblBase[Código grupo],tblBase[Fecha matrícula],"")</f>
        <v>46262</v>
      </c>
    </row>
    <row r="1534" spans="1:26" x14ac:dyDescent="0.2">
      <c r="A1534" t="s">
        <v>3216</v>
      </c>
      <c r="B1534" t="s">
        <v>3217</v>
      </c>
      <c r="C1534" t="s">
        <v>13</v>
      </c>
      <c r="D1534" t="s">
        <v>3167</v>
      </c>
      <c r="E1534" t="s">
        <v>3168</v>
      </c>
      <c r="F1534" t="s">
        <v>1453</v>
      </c>
      <c r="G1534" s="1">
        <v>0.2</v>
      </c>
      <c r="H1534" t="s">
        <v>232</v>
      </c>
      <c r="I1534" t="s">
        <v>3169</v>
      </c>
      <c r="J1534" t="s">
        <v>3170</v>
      </c>
      <c r="K1534" t="s">
        <v>24</v>
      </c>
      <c r="L1534" s="14">
        <f>IFERROR(VALUE(LEFT(tblMatriculas[[#This Row],[Clases]],FIND("/",tblMatriculas[[#This Row],[Clases]])-1)),"")</f>
        <v>6</v>
      </c>
      <c r="M1534" s="14">
        <f>IFERROR(VALUE(MID(tblMatriculas[[#This Row],[Clases]],FIND("/",tblMatriculas[[#This Row],[Clases]])+1,5)),"")</f>
        <v>30</v>
      </c>
      <c r="N15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4" s="14">
        <f>IF(OR(tblMatriculas[[#This Row],[Estado]]&lt;&gt;"activa",tblMatriculas[[#This Row],[Clases dictadas]]=""),"",MAX(0,tblMatriculas[[#This Row],[Clases dictadas]]-tblMatriculas[[#This Row],[Asistidas]]))</f>
        <v>0</v>
      </c>
      <c r="P1534" s="1">
        <f>IF(OR(tblMatriculas[[#This Row],[Estado]]&lt;&gt;"activa",tblMatriculas[[#This Row],[Asistidas]]=""),"",tblMatriculas[[#This Row],[Asistencia]])</f>
        <v>0.2</v>
      </c>
      <c r="Q1534" t="b">
        <f>AND(tblMatriculas[[#This Row],[Estado]]="activa",ISNUMBER(tblMatriculas[[#This Row],[% asistencia]]),NOT(ISNUMBER(SEARCH(pPrueba,tblMatriculas[[#This Row],[Nombre]]))))</f>
        <v>1</v>
      </c>
      <c r="R15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4" s="23" t="str" cm="1">
        <f t="array" ref="S15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4" s="23" t="str" cm="1">
        <f t="array" ref="T15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4" s="14" t="str" cm="1">
        <f t="array" ref="U15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4" t="str" cm="1">
        <f t="array" ref="V15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4" t="str" cm="1">
        <f t="array" ref="W15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4" t="str">
        <f>IF(COUNTIFS('Base Estudiantes'!$C:$C,tblMatriculas[[#This Row],[Cédula]],'Base Estudiantes'!$I:$I,tblMatriculas[[#This Row],[Código]])&gt;0,"Sí","No")</f>
        <v>Sí</v>
      </c>
      <c r="Z1534" s="23" cm="1">
        <f t="array" ref="Z1534">_xlfn.XLOOKUP(tblMatriculas[[#This Row],[Cédula]]&amp;"|"&amp;tblMatriculas[[#This Row],[Código]],tblBase[Documento]&amp;"|"&amp;tblBase[Código grupo],tblBase[Fecha matrícula],"")</f>
        <v>46262</v>
      </c>
    </row>
    <row r="1535" spans="1:26" x14ac:dyDescent="0.2">
      <c r="A1535" t="s">
        <v>3218</v>
      </c>
      <c r="B1535" t="s">
        <v>3219</v>
      </c>
      <c r="C1535" t="s">
        <v>13</v>
      </c>
      <c r="D1535" t="s">
        <v>3167</v>
      </c>
      <c r="E1535" t="s">
        <v>3168</v>
      </c>
      <c r="F1535" t="s">
        <v>1453</v>
      </c>
      <c r="G1535" s="1">
        <v>0.13300000000000001</v>
      </c>
      <c r="H1535" t="s">
        <v>112</v>
      </c>
      <c r="I1535" t="s">
        <v>3169</v>
      </c>
      <c r="J1535" t="s">
        <v>3170</v>
      </c>
      <c r="K1535" t="s">
        <v>24</v>
      </c>
      <c r="L1535" s="14">
        <f>IFERROR(VALUE(LEFT(tblMatriculas[[#This Row],[Clases]],FIND("/",tblMatriculas[[#This Row],[Clases]])-1)),"")</f>
        <v>4</v>
      </c>
      <c r="M1535" s="14">
        <f>IFERROR(VALUE(MID(tblMatriculas[[#This Row],[Clases]],FIND("/",tblMatriculas[[#This Row],[Clases]])+1,5)),"")</f>
        <v>30</v>
      </c>
      <c r="N15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5" s="14">
        <f>IF(OR(tblMatriculas[[#This Row],[Estado]]&lt;&gt;"activa",tblMatriculas[[#This Row],[Clases dictadas]]=""),"",MAX(0,tblMatriculas[[#This Row],[Clases dictadas]]-tblMatriculas[[#This Row],[Asistidas]]))</f>
        <v>2</v>
      </c>
      <c r="P1535" s="1">
        <f>IF(OR(tblMatriculas[[#This Row],[Estado]]&lt;&gt;"activa",tblMatriculas[[#This Row],[Asistidas]]=""),"",tblMatriculas[[#This Row],[Asistencia]])</f>
        <v>0.13300000000000001</v>
      </c>
      <c r="Q1535" t="b">
        <f>AND(tblMatriculas[[#This Row],[Estado]]="activa",ISNUMBER(tblMatriculas[[#This Row],[% asistencia]]),NOT(ISNUMBER(SEARCH(pPrueba,tblMatriculas[[#This Row],[Nombre]]))))</f>
        <v>1</v>
      </c>
      <c r="R15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5" s="23" t="str" cm="1">
        <f t="array" ref="S15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5" s="23" t="str" cm="1">
        <f t="array" ref="T15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5" s="14" t="str" cm="1">
        <f t="array" ref="U15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5" t="str" cm="1">
        <f t="array" ref="V15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5" t="str" cm="1">
        <f t="array" ref="W15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5" t="str">
        <f>IF(COUNTIFS('Base Estudiantes'!$C:$C,tblMatriculas[[#This Row],[Cédula]],'Base Estudiantes'!$I:$I,tblMatriculas[[#This Row],[Código]])&gt;0,"Sí","No")</f>
        <v>Sí</v>
      </c>
      <c r="Z1535" s="23" cm="1">
        <f t="array" ref="Z1535">_xlfn.XLOOKUP(tblMatriculas[[#This Row],[Cédula]]&amp;"|"&amp;tblMatriculas[[#This Row],[Código]],tblBase[Documento]&amp;"|"&amp;tblBase[Código grupo],tblBase[Fecha matrícula],"")</f>
        <v>46262</v>
      </c>
    </row>
    <row r="1536" spans="1:26" x14ac:dyDescent="0.2">
      <c r="A1536" t="s">
        <v>3220</v>
      </c>
      <c r="B1536" t="s">
        <v>3221</v>
      </c>
      <c r="C1536" t="s">
        <v>49</v>
      </c>
      <c r="D1536" t="s">
        <v>3167</v>
      </c>
      <c r="E1536" t="s">
        <v>3168</v>
      </c>
      <c r="F1536" t="s">
        <v>1453</v>
      </c>
      <c r="G1536" s="1">
        <v>0</v>
      </c>
      <c r="H1536" t="s">
        <v>254</v>
      </c>
      <c r="I1536" t="s">
        <v>3169</v>
      </c>
      <c r="J1536" t="s">
        <v>3170</v>
      </c>
      <c r="K1536" t="s">
        <v>24</v>
      </c>
      <c r="L1536" s="14">
        <f>IFERROR(VALUE(LEFT(tblMatriculas[[#This Row],[Clases]],FIND("/",tblMatriculas[[#This Row],[Clases]])-1)),"")</f>
        <v>0</v>
      </c>
      <c r="M1536" s="14">
        <f>IFERROR(VALUE(MID(tblMatriculas[[#This Row],[Clases]],FIND("/",tblMatriculas[[#This Row],[Clases]])+1,5)),"")</f>
        <v>30</v>
      </c>
      <c r="N15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6" s="14" t="str">
        <f>IF(OR(tblMatriculas[[#This Row],[Estado]]&lt;&gt;"activa",tblMatriculas[[#This Row],[Clases dictadas]]=""),"",MAX(0,tblMatriculas[[#This Row],[Clases dictadas]]-tblMatriculas[[#This Row],[Asistidas]]))</f>
        <v/>
      </c>
      <c r="P1536" s="1" t="str">
        <f>IF(OR(tblMatriculas[[#This Row],[Estado]]&lt;&gt;"activa",tblMatriculas[[#This Row],[Asistidas]]=""),"",tblMatriculas[[#This Row],[Asistencia]])</f>
        <v/>
      </c>
      <c r="Q1536" t="b">
        <f>AND(tblMatriculas[[#This Row],[Estado]]="activa",ISNUMBER(tblMatriculas[[#This Row],[% asistencia]]),NOT(ISNUMBER(SEARCH(pPrueba,tblMatriculas[[#This Row],[Nombre]]))))</f>
        <v>0</v>
      </c>
      <c r="R15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36" s="23" t="str" cm="1">
        <f t="array" ref="S15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6" s="23" t="str" cm="1">
        <f t="array" ref="T15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6" s="14" t="str" cm="1">
        <f t="array" ref="U15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6" t="str" cm="1">
        <f t="array" ref="V15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6" t="str" cm="1">
        <f t="array" ref="W15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6" t="str">
        <f>IF(COUNTIFS('Base Estudiantes'!$C:$C,tblMatriculas[[#This Row],[Cédula]],'Base Estudiantes'!$I:$I,tblMatriculas[[#This Row],[Código]])&gt;0,"Sí","No")</f>
        <v>No</v>
      </c>
      <c r="Z1536" s="23" t="str" cm="1">
        <f t="array" ref="Z1536">_xlfn.XLOOKUP(tblMatriculas[[#This Row],[Cédula]]&amp;"|"&amp;tblMatriculas[[#This Row],[Código]],tblBase[Documento]&amp;"|"&amp;tblBase[Código grupo],tblBase[Fecha matrícula],"")</f>
        <v/>
      </c>
    </row>
    <row r="1537" spans="1:26" x14ac:dyDescent="0.2">
      <c r="A1537" t="s">
        <v>3222</v>
      </c>
      <c r="B1537" t="s">
        <v>3223</v>
      </c>
      <c r="C1537" t="s">
        <v>13</v>
      </c>
      <c r="D1537" t="s">
        <v>3167</v>
      </c>
      <c r="E1537" t="s">
        <v>3168</v>
      </c>
      <c r="F1537" t="s">
        <v>1453</v>
      </c>
      <c r="G1537" s="1">
        <v>0.2</v>
      </c>
      <c r="H1537" t="s">
        <v>232</v>
      </c>
      <c r="I1537" t="s">
        <v>3169</v>
      </c>
      <c r="J1537" t="s">
        <v>3170</v>
      </c>
      <c r="K1537" t="s">
        <v>24</v>
      </c>
      <c r="L1537" s="14">
        <f>IFERROR(VALUE(LEFT(tblMatriculas[[#This Row],[Clases]],FIND("/",tblMatriculas[[#This Row],[Clases]])-1)),"")</f>
        <v>6</v>
      </c>
      <c r="M1537" s="14">
        <f>IFERROR(VALUE(MID(tblMatriculas[[#This Row],[Clases]],FIND("/",tblMatriculas[[#This Row],[Clases]])+1,5)),"")</f>
        <v>30</v>
      </c>
      <c r="N15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7" s="14">
        <f>IF(OR(tblMatriculas[[#This Row],[Estado]]&lt;&gt;"activa",tblMatriculas[[#This Row],[Clases dictadas]]=""),"",MAX(0,tblMatriculas[[#This Row],[Clases dictadas]]-tblMatriculas[[#This Row],[Asistidas]]))</f>
        <v>0</v>
      </c>
      <c r="P1537" s="1">
        <f>IF(OR(tblMatriculas[[#This Row],[Estado]]&lt;&gt;"activa",tblMatriculas[[#This Row],[Asistidas]]=""),"",tblMatriculas[[#This Row],[Asistencia]])</f>
        <v>0.2</v>
      </c>
      <c r="Q1537" t="b">
        <f>AND(tblMatriculas[[#This Row],[Estado]]="activa",ISNUMBER(tblMatriculas[[#This Row],[% asistencia]]),NOT(ISNUMBER(SEARCH(pPrueba,tblMatriculas[[#This Row],[Nombre]]))))</f>
        <v>1</v>
      </c>
      <c r="R15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7" s="23" t="str" cm="1">
        <f t="array" ref="S15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7" s="23" t="str" cm="1">
        <f t="array" ref="T15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7" s="14" t="str" cm="1">
        <f t="array" ref="U15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7" t="str" cm="1">
        <f t="array" ref="V15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7" t="str" cm="1">
        <f t="array" ref="W15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7" t="str">
        <f>IF(COUNTIFS('Base Estudiantes'!$C:$C,tblMatriculas[[#This Row],[Cédula]],'Base Estudiantes'!$I:$I,tblMatriculas[[#This Row],[Código]])&gt;0,"Sí","No")</f>
        <v>Sí</v>
      </c>
      <c r="Z1537" s="23" cm="1">
        <f t="array" ref="Z1537">_xlfn.XLOOKUP(tblMatriculas[[#This Row],[Cédula]]&amp;"|"&amp;tblMatriculas[[#This Row],[Código]],tblBase[Documento]&amp;"|"&amp;tblBase[Código grupo],tblBase[Fecha matrícula],"")</f>
        <v>46262</v>
      </c>
    </row>
    <row r="1538" spans="1:26" x14ac:dyDescent="0.2">
      <c r="A1538" t="s">
        <v>3224</v>
      </c>
      <c r="B1538" t="s">
        <v>3225</v>
      </c>
      <c r="C1538" t="s">
        <v>13</v>
      </c>
      <c r="D1538" t="s">
        <v>3167</v>
      </c>
      <c r="E1538" t="s">
        <v>3168</v>
      </c>
      <c r="F1538" t="s">
        <v>1453</v>
      </c>
      <c r="G1538" s="1">
        <v>0.2</v>
      </c>
      <c r="H1538" t="s">
        <v>232</v>
      </c>
      <c r="I1538" t="s">
        <v>3169</v>
      </c>
      <c r="J1538" t="s">
        <v>3170</v>
      </c>
      <c r="K1538" t="s">
        <v>24</v>
      </c>
      <c r="L1538" s="14">
        <f>IFERROR(VALUE(LEFT(tblMatriculas[[#This Row],[Clases]],FIND("/",tblMatriculas[[#This Row],[Clases]])-1)),"")</f>
        <v>6</v>
      </c>
      <c r="M1538" s="14">
        <f>IFERROR(VALUE(MID(tblMatriculas[[#This Row],[Clases]],FIND("/",tblMatriculas[[#This Row],[Clases]])+1,5)),"")</f>
        <v>30</v>
      </c>
      <c r="N15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8" s="14">
        <f>IF(OR(tblMatriculas[[#This Row],[Estado]]&lt;&gt;"activa",tblMatriculas[[#This Row],[Clases dictadas]]=""),"",MAX(0,tblMatriculas[[#This Row],[Clases dictadas]]-tblMatriculas[[#This Row],[Asistidas]]))</f>
        <v>0</v>
      </c>
      <c r="P1538" s="1">
        <f>IF(OR(tblMatriculas[[#This Row],[Estado]]&lt;&gt;"activa",tblMatriculas[[#This Row],[Asistidas]]=""),"",tblMatriculas[[#This Row],[Asistencia]])</f>
        <v>0.2</v>
      </c>
      <c r="Q1538" t="b">
        <f>AND(tblMatriculas[[#This Row],[Estado]]="activa",ISNUMBER(tblMatriculas[[#This Row],[% asistencia]]),NOT(ISNUMBER(SEARCH(pPrueba,tblMatriculas[[#This Row],[Nombre]]))))</f>
        <v>1</v>
      </c>
      <c r="R15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8" s="23" t="str" cm="1">
        <f t="array" ref="S15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8" s="23" t="str" cm="1">
        <f t="array" ref="T15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8" s="14" t="str" cm="1">
        <f t="array" ref="U15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8" t="str" cm="1">
        <f t="array" ref="V15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8" t="str" cm="1">
        <f t="array" ref="W15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8" t="str">
        <f>IF(COUNTIFS('Base Estudiantes'!$C:$C,tblMatriculas[[#This Row],[Cédula]],'Base Estudiantes'!$I:$I,tblMatriculas[[#This Row],[Código]])&gt;0,"Sí","No")</f>
        <v>Sí</v>
      </c>
      <c r="Z1538" s="23" cm="1">
        <f t="array" ref="Z1538">_xlfn.XLOOKUP(tblMatriculas[[#This Row],[Cédula]]&amp;"|"&amp;tblMatriculas[[#This Row],[Código]],tblBase[Documento]&amp;"|"&amp;tblBase[Código grupo],tblBase[Fecha matrícula],"")</f>
        <v>46262</v>
      </c>
    </row>
    <row r="1539" spans="1:26" x14ac:dyDescent="0.2">
      <c r="A1539" t="s">
        <v>3226</v>
      </c>
      <c r="B1539" t="s">
        <v>3227</v>
      </c>
      <c r="C1539" t="s">
        <v>13</v>
      </c>
      <c r="D1539" t="s">
        <v>3167</v>
      </c>
      <c r="E1539" t="s">
        <v>3168</v>
      </c>
      <c r="F1539" t="s">
        <v>1453</v>
      </c>
      <c r="G1539" s="1">
        <v>0.2</v>
      </c>
      <c r="H1539" t="s">
        <v>232</v>
      </c>
      <c r="I1539" t="s">
        <v>3169</v>
      </c>
      <c r="J1539" t="s">
        <v>3170</v>
      </c>
      <c r="K1539" t="s">
        <v>24</v>
      </c>
      <c r="L1539" s="14">
        <f>IFERROR(VALUE(LEFT(tblMatriculas[[#This Row],[Clases]],FIND("/",tblMatriculas[[#This Row],[Clases]])-1)),"")</f>
        <v>6</v>
      </c>
      <c r="M1539" s="14">
        <f>IFERROR(VALUE(MID(tblMatriculas[[#This Row],[Clases]],FIND("/",tblMatriculas[[#This Row],[Clases]])+1,5)),"")</f>
        <v>30</v>
      </c>
      <c r="N15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39" s="14">
        <f>IF(OR(tblMatriculas[[#This Row],[Estado]]&lt;&gt;"activa",tblMatriculas[[#This Row],[Clases dictadas]]=""),"",MAX(0,tblMatriculas[[#This Row],[Clases dictadas]]-tblMatriculas[[#This Row],[Asistidas]]))</f>
        <v>0</v>
      </c>
      <c r="P1539" s="1">
        <f>IF(OR(tblMatriculas[[#This Row],[Estado]]&lt;&gt;"activa",tblMatriculas[[#This Row],[Asistidas]]=""),"",tblMatriculas[[#This Row],[Asistencia]])</f>
        <v>0.2</v>
      </c>
      <c r="Q1539" t="b">
        <f>AND(tblMatriculas[[#This Row],[Estado]]="activa",ISNUMBER(tblMatriculas[[#This Row],[% asistencia]]),NOT(ISNUMBER(SEARCH(pPrueba,tblMatriculas[[#This Row],[Nombre]]))))</f>
        <v>1</v>
      </c>
      <c r="R15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39" s="23" t="str" cm="1">
        <f t="array" ref="S15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39" s="23" t="str" cm="1">
        <f t="array" ref="T15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39" s="14" t="str" cm="1">
        <f t="array" ref="U15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39" t="str" cm="1">
        <f t="array" ref="V15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39" t="str" cm="1">
        <f t="array" ref="W15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39" t="str">
        <f>IF(COUNTIFS('Base Estudiantes'!$C:$C,tblMatriculas[[#This Row],[Cédula]],'Base Estudiantes'!$I:$I,tblMatriculas[[#This Row],[Código]])&gt;0,"Sí","No")</f>
        <v>Sí</v>
      </c>
      <c r="Z1539" s="23" cm="1">
        <f t="array" ref="Z1539">_xlfn.XLOOKUP(tblMatriculas[[#This Row],[Cédula]]&amp;"|"&amp;tblMatriculas[[#This Row],[Código]],tblBase[Documento]&amp;"|"&amp;tblBase[Código grupo],tblBase[Fecha matrícula],"")</f>
        <v>46262</v>
      </c>
    </row>
    <row r="1540" spans="1:26" x14ac:dyDescent="0.2">
      <c r="A1540" t="s">
        <v>3228</v>
      </c>
      <c r="B1540" t="s">
        <v>3229</v>
      </c>
      <c r="C1540" t="s">
        <v>13</v>
      </c>
      <c r="D1540" t="s">
        <v>3167</v>
      </c>
      <c r="E1540" t="s">
        <v>3168</v>
      </c>
      <c r="F1540" t="s">
        <v>1453</v>
      </c>
      <c r="G1540" s="1">
        <v>0.2</v>
      </c>
      <c r="H1540" t="s">
        <v>232</v>
      </c>
      <c r="I1540" t="s">
        <v>3169</v>
      </c>
      <c r="J1540" t="s">
        <v>3170</v>
      </c>
      <c r="K1540" t="s">
        <v>24</v>
      </c>
      <c r="L1540" s="14">
        <f>IFERROR(VALUE(LEFT(tblMatriculas[[#This Row],[Clases]],FIND("/",tblMatriculas[[#This Row],[Clases]])-1)),"")</f>
        <v>6</v>
      </c>
      <c r="M1540" s="14">
        <f>IFERROR(VALUE(MID(tblMatriculas[[#This Row],[Clases]],FIND("/",tblMatriculas[[#This Row],[Clases]])+1,5)),"")</f>
        <v>30</v>
      </c>
      <c r="N15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0" s="14">
        <f>IF(OR(tblMatriculas[[#This Row],[Estado]]&lt;&gt;"activa",tblMatriculas[[#This Row],[Clases dictadas]]=""),"",MAX(0,tblMatriculas[[#This Row],[Clases dictadas]]-tblMatriculas[[#This Row],[Asistidas]]))</f>
        <v>0</v>
      </c>
      <c r="P1540" s="1">
        <f>IF(OR(tblMatriculas[[#This Row],[Estado]]&lt;&gt;"activa",tblMatriculas[[#This Row],[Asistidas]]=""),"",tblMatriculas[[#This Row],[Asistencia]])</f>
        <v>0.2</v>
      </c>
      <c r="Q1540" t="b">
        <f>AND(tblMatriculas[[#This Row],[Estado]]="activa",ISNUMBER(tblMatriculas[[#This Row],[% asistencia]]),NOT(ISNUMBER(SEARCH(pPrueba,tblMatriculas[[#This Row],[Nombre]]))))</f>
        <v>1</v>
      </c>
      <c r="R15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40" s="23" t="str" cm="1">
        <f t="array" ref="S15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0" s="23" t="str" cm="1">
        <f t="array" ref="T15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0" s="14" t="str" cm="1">
        <f t="array" ref="U15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0" t="str" cm="1">
        <f t="array" ref="V15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0" t="str" cm="1">
        <f t="array" ref="W15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0" t="str">
        <f>IF(COUNTIFS('Base Estudiantes'!$C:$C,tblMatriculas[[#This Row],[Cédula]],'Base Estudiantes'!$I:$I,tblMatriculas[[#This Row],[Código]])&gt;0,"Sí","No")</f>
        <v>Sí</v>
      </c>
      <c r="Z1540" s="23" cm="1">
        <f t="array" ref="Z1540">_xlfn.XLOOKUP(tblMatriculas[[#This Row],[Cédula]]&amp;"|"&amp;tblMatriculas[[#This Row],[Código]],tblBase[Documento]&amp;"|"&amp;tblBase[Código grupo],tblBase[Fecha matrícula],"")</f>
        <v>46262</v>
      </c>
    </row>
    <row r="1541" spans="1:26" x14ac:dyDescent="0.2">
      <c r="A1541" t="s">
        <v>3230</v>
      </c>
      <c r="B1541" t="s">
        <v>3231</v>
      </c>
      <c r="C1541" t="s">
        <v>49</v>
      </c>
      <c r="D1541" t="s">
        <v>3167</v>
      </c>
      <c r="E1541" t="s">
        <v>3168</v>
      </c>
      <c r="F1541" t="s">
        <v>1453</v>
      </c>
      <c r="G1541" s="1">
        <v>0</v>
      </c>
      <c r="H1541" t="s">
        <v>254</v>
      </c>
      <c r="I1541" t="s">
        <v>3169</v>
      </c>
      <c r="J1541" t="s">
        <v>3170</v>
      </c>
      <c r="K1541" t="s">
        <v>24</v>
      </c>
      <c r="L1541" s="14">
        <f>IFERROR(VALUE(LEFT(tblMatriculas[[#This Row],[Clases]],FIND("/",tblMatriculas[[#This Row],[Clases]])-1)),"")</f>
        <v>0</v>
      </c>
      <c r="M1541" s="14">
        <f>IFERROR(VALUE(MID(tblMatriculas[[#This Row],[Clases]],FIND("/",tblMatriculas[[#This Row],[Clases]])+1,5)),"")</f>
        <v>30</v>
      </c>
      <c r="N15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1" s="14" t="str">
        <f>IF(OR(tblMatriculas[[#This Row],[Estado]]&lt;&gt;"activa",tblMatriculas[[#This Row],[Clases dictadas]]=""),"",MAX(0,tblMatriculas[[#This Row],[Clases dictadas]]-tblMatriculas[[#This Row],[Asistidas]]))</f>
        <v/>
      </c>
      <c r="P1541" s="1" t="str">
        <f>IF(OR(tblMatriculas[[#This Row],[Estado]]&lt;&gt;"activa",tblMatriculas[[#This Row],[Asistidas]]=""),"",tblMatriculas[[#This Row],[Asistencia]])</f>
        <v/>
      </c>
      <c r="Q1541" t="b">
        <f>AND(tblMatriculas[[#This Row],[Estado]]="activa",ISNUMBER(tblMatriculas[[#This Row],[% asistencia]]),NOT(ISNUMBER(SEARCH(pPrueba,tblMatriculas[[#This Row],[Nombre]]))))</f>
        <v>0</v>
      </c>
      <c r="R15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41" s="23" t="str" cm="1">
        <f t="array" ref="S15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1" s="23" t="str" cm="1">
        <f t="array" ref="T15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1" s="14" t="str" cm="1">
        <f t="array" ref="U15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1" t="str" cm="1">
        <f t="array" ref="V15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1" t="str" cm="1">
        <f t="array" ref="W15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1" t="str">
        <f>IF(COUNTIFS('Base Estudiantes'!$C:$C,tblMatriculas[[#This Row],[Cédula]],'Base Estudiantes'!$I:$I,tblMatriculas[[#This Row],[Código]])&gt;0,"Sí","No")</f>
        <v>No</v>
      </c>
      <c r="Z1541" s="23" t="str" cm="1">
        <f t="array" ref="Z1541">_xlfn.XLOOKUP(tblMatriculas[[#This Row],[Cédula]]&amp;"|"&amp;tblMatriculas[[#This Row],[Código]],tblBase[Documento]&amp;"|"&amp;tblBase[Código grupo],tblBase[Fecha matrícula],"")</f>
        <v/>
      </c>
    </row>
    <row r="1542" spans="1:26" x14ac:dyDescent="0.2">
      <c r="A1542" t="s">
        <v>3232</v>
      </c>
      <c r="B1542" t="s">
        <v>3233</v>
      </c>
      <c r="C1542" t="s">
        <v>13</v>
      </c>
      <c r="D1542" t="s">
        <v>3167</v>
      </c>
      <c r="E1542" t="s">
        <v>3168</v>
      </c>
      <c r="F1542" t="s">
        <v>1453</v>
      </c>
      <c r="G1542" s="1">
        <v>0</v>
      </c>
      <c r="H1542" t="s">
        <v>254</v>
      </c>
      <c r="I1542" t="s">
        <v>3169</v>
      </c>
      <c r="J1542" t="s">
        <v>3170</v>
      </c>
      <c r="K1542" t="s">
        <v>24</v>
      </c>
      <c r="L1542" s="14">
        <f>IFERROR(VALUE(LEFT(tblMatriculas[[#This Row],[Clases]],FIND("/",tblMatriculas[[#This Row],[Clases]])-1)),"")</f>
        <v>0</v>
      </c>
      <c r="M1542" s="14">
        <f>IFERROR(VALUE(MID(tblMatriculas[[#This Row],[Clases]],FIND("/",tblMatriculas[[#This Row],[Clases]])+1,5)),"")</f>
        <v>30</v>
      </c>
      <c r="N15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2" s="14">
        <f>IF(OR(tblMatriculas[[#This Row],[Estado]]&lt;&gt;"activa",tblMatriculas[[#This Row],[Clases dictadas]]=""),"",MAX(0,tblMatriculas[[#This Row],[Clases dictadas]]-tblMatriculas[[#This Row],[Asistidas]]))</f>
        <v>6</v>
      </c>
      <c r="P1542" s="1">
        <f>IF(OR(tblMatriculas[[#This Row],[Estado]]&lt;&gt;"activa",tblMatriculas[[#This Row],[Asistidas]]=""),"",tblMatriculas[[#This Row],[Asistencia]])</f>
        <v>0</v>
      </c>
      <c r="Q1542" t="b">
        <f>AND(tblMatriculas[[#This Row],[Estado]]="activa",ISNUMBER(tblMatriculas[[#This Row],[% asistencia]]),NOT(ISNUMBER(SEARCH(pPrueba,tblMatriculas[[#This Row],[Nombre]]))))</f>
        <v>1</v>
      </c>
      <c r="R15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42" s="23" t="str" cm="1">
        <f t="array" ref="S15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2" s="23" t="str" cm="1">
        <f t="array" ref="T15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2" s="14" t="str" cm="1">
        <f t="array" ref="U15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2" t="str" cm="1">
        <f t="array" ref="V15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2" t="str" cm="1">
        <f t="array" ref="W15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42" t="str">
        <f>IF(COUNTIFS('Base Estudiantes'!$C:$C,tblMatriculas[[#This Row],[Cédula]],'Base Estudiantes'!$I:$I,tblMatriculas[[#This Row],[Código]])&gt;0,"Sí","No")</f>
        <v>Sí</v>
      </c>
      <c r="Z1542" s="23" cm="1">
        <f t="array" ref="Z1542">_xlfn.XLOOKUP(tblMatriculas[[#This Row],[Cédula]]&amp;"|"&amp;tblMatriculas[[#This Row],[Código]],tblBase[Documento]&amp;"|"&amp;tblBase[Código grupo],tblBase[Fecha matrícula],"")</f>
        <v>46262</v>
      </c>
    </row>
    <row r="1543" spans="1:26" x14ac:dyDescent="0.2">
      <c r="A1543" t="s">
        <v>3234</v>
      </c>
      <c r="B1543" t="s">
        <v>3235</v>
      </c>
      <c r="C1543" t="s">
        <v>13</v>
      </c>
      <c r="D1543" t="s">
        <v>3167</v>
      </c>
      <c r="E1543" t="s">
        <v>3168</v>
      </c>
      <c r="F1543" t="s">
        <v>1453</v>
      </c>
      <c r="G1543" s="1">
        <v>0</v>
      </c>
      <c r="H1543" t="s">
        <v>254</v>
      </c>
      <c r="I1543" t="s">
        <v>3169</v>
      </c>
      <c r="J1543" t="s">
        <v>3170</v>
      </c>
      <c r="K1543" t="s">
        <v>24</v>
      </c>
      <c r="L1543" s="14">
        <f>IFERROR(VALUE(LEFT(tblMatriculas[[#This Row],[Clases]],FIND("/",tblMatriculas[[#This Row],[Clases]])-1)),"")</f>
        <v>0</v>
      </c>
      <c r="M1543" s="14">
        <f>IFERROR(VALUE(MID(tblMatriculas[[#This Row],[Clases]],FIND("/",tblMatriculas[[#This Row],[Clases]])+1,5)),"")</f>
        <v>30</v>
      </c>
      <c r="N15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3" s="14">
        <f>IF(OR(tblMatriculas[[#This Row],[Estado]]&lt;&gt;"activa",tblMatriculas[[#This Row],[Clases dictadas]]=""),"",MAX(0,tblMatriculas[[#This Row],[Clases dictadas]]-tblMatriculas[[#This Row],[Asistidas]]))</f>
        <v>6</v>
      </c>
      <c r="P1543" s="1">
        <f>IF(OR(tblMatriculas[[#This Row],[Estado]]&lt;&gt;"activa",tblMatriculas[[#This Row],[Asistidas]]=""),"",tblMatriculas[[#This Row],[Asistencia]])</f>
        <v>0</v>
      </c>
      <c r="Q1543" t="b">
        <f>AND(tblMatriculas[[#This Row],[Estado]]="activa",ISNUMBER(tblMatriculas[[#This Row],[% asistencia]]),NOT(ISNUMBER(SEARCH(pPrueba,tblMatriculas[[#This Row],[Nombre]]))))</f>
        <v>1</v>
      </c>
      <c r="R15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43" s="23" t="str" cm="1">
        <f t="array" ref="S15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3" s="23" t="str" cm="1">
        <f t="array" ref="T15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3" s="14" t="str" cm="1">
        <f t="array" ref="U15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3" t="str" cm="1">
        <f t="array" ref="V15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3" t="str" cm="1">
        <f t="array" ref="W15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4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43" t="str">
        <f>IF(COUNTIFS('Base Estudiantes'!$C:$C,tblMatriculas[[#This Row],[Cédula]],'Base Estudiantes'!$I:$I,tblMatriculas[[#This Row],[Código]])&gt;0,"Sí","No")</f>
        <v>Sí</v>
      </c>
      <c r="Z1543" s="23" cm="1">
        <f t="array" ref="Z1543">_xlfn.XLOOKUP(tblMatriculas[[#This Row],[Cédula]]&amp;"|"&amp;tblMatriculas[[#This Row],[Código]],tblBase[Documento]&amp;"|"&amp;tblBase[Código grupo],tblBase[Fecha matrícula],"")</f>
        <v>46265</v>
      </c>
    </row>
    <row r="1544" spans="1:26" x14ac:dyDescent="0.2">
      <c r="A1544" t="s">
        <v>3236</v>
      </c>
      <c r="B1544" t="s">
        <v>3237</v>
      </c>
      <c r="C1544" t="s">
        <v>49</v>
      </c>
      <c r="D1544" t="s">
        <v>3167</v>
      </c>
      <c r="E1544" t="s">
        <v>3168</v>
      </c>
      <c r="F1544" t="s">
        <v>1453</v>
      </c>
      <c r="G1544" s="1">
        <v>0</v>
      </c>
      <c r="H1544" t="s">
        <v>254</v>
      </c>
      <c r="I1544" t="s">
        <v>3169</v>
      </c>
      <c r="J1544" t="s">
        <v>3170</v>
      </c>
      <c r="K1544" t="s">
        <v>24</v>
      </c>
      <c r="L1544" s="14">
        <f>IFERROR(VALUE(LEFT(tblMatriculas[[#This Row],[Clases]],FIND("/",tblMatriculas[[#This Row],[Clases]])-1)),"")</f>
        <v>0</v>
      </c>
      <c r="M1544" s="14">
        <f>IFERROR(VALUE(MID(tblMatriculas[[#This Row],[Clases]],FIND("/",tblMatriculas[[#This Row],[Clases]])+1,5)),"")</f>
        <v>30</v>
      </c>
      <c r="N15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4" s="14" t="str">
        <f>IF(OR(tblMatriculas[[#This Row],[Estado]]&lt;&gt;"activa",tblMatriculas[[#This Row],[Clases dictadas]]=""),"",MAX(0,tblMatriculas[[#This Row],[Clases dictadas]]-tblMatriculas[[#This Row],[Asistidas]]))</f>
        <v/>
      </c>
      <c r="P1544" s="1" t="str">
        <f>IF(OR(tblMatriculas[[#This Row],[Estado]]&lt;&gt;"activa",tblMatriculas[[#This Row],[Asistidas]]=""),"",tblMatriculas[[#This Row],[Asistencia]])</f>
        <v/>
      </c>
      <c r="Q1544" t="b">
        <f>AND(tblMatriculas[[#This Row],[Estado]]="activa",ISNUMBER(tblMatriculas[[#This Row],[% asistencia]]),NOT(ISNUMBER(SEARCH(pPrueba,tblMatriculas[[#This Row],[Nombre]]))))</f>
        <v>0</v>
      </c>
      <c r="R15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44" s="23" t="str" cm="1">
        <f t="array" ref="S15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4" s="23" t="str" cm="1">
        <f t="array" ref="T15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4" s="14" t="str" cm="1">
        <f t="array" ref="U15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4" t="str" cm="1">
        <f t="array" ref="V15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4" t="str" cm="1">
        <f t="array" ref="W15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4" t="str">
        <f>IF(COUNTIFS('Base Estudiantes'!$C:$C,tblMatriculas[[#This Row],[Cédula]],'Base Estudiantes'!$I:$I,tblMatriculas[[#This Row],[Código]])&gt;0,"Sí","No")</f>
        <v>No</v>
      </c>
      <c r="Z1544" s="23" t="str" cm="1">
        <f t="array" ref="Z1544">_xlfn.XLOOKUP(tblMatriculas[[#This Row],[Cédula]]&amp;"|"&amp;tblMatriculas[[#This Row],[Código]],tblBase[Documento]&amp;"|"&amp;tblBase[Código grupo],tblBase[Fecha matrícula],"")</f>
        <v/>
      </c>
    </row>
    <row r="1545" spans="1:26" x14ac:dyDescent="0.2">
      <c r="A1545" t="s">
        <v>3238</v>
      </c>
      <c r="B1545" t="s">
        <v>3239</v>
      </c>
      <c r="C1545" t="s">
        <v>13</v>
      </c>
      <c r="D1545" t="s">
        <v>3167</v>
      </c>
      <c r="E1545" t="s">
        <v>3168</v>
      </c>
      <c r="F1545" t="s">
        <v>1453</v>
      </c>
      <c r="G1545" s="1">
        <v>0</v>
      </c>
      <c r="H1545" t="s">
        <v>254</v>
      </c>
      <c r="I1545" t="s">
        <v>3169</v>
      </c>
      <c r="J1545" t="s">
        <v>3170</v>
      </c>
      <c r="K1545" t="s">
        <v>24</v>
      </c>
      <c r="L1545" s="14">
        <f>IFERROR(VALUE(LEFT(tblMatriculas[[#This Row],[Clases]],FIND("/",tblMatriculas[[#This Row],[Clases]])-1)),"")</f>
        <v>0</v>
      </c>
      <c r="M1545" s="14">
        <f>IFERROR(VALUE(MID(tblMatriculas[[#This Row],[Clases]],FIND("/",tblMatriculas[[#This Row],[Clases]])+1,5)),"")</f>
        <v>30</v>
      </c>
      <c r="N15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545" s="14">
        <f>IF(OR(tblMatriculas[[#This Row],[Estado]]&lt;&gt;"activa",tblMatriculas[[#This Row],[Clases dictadas]]=""),"",MAX(0,tblMatriculas[[#This Row],[Clases dictadas]]-tblMatriculas[[#This Row],[Asistidas]]))</f>
        <v>6</v>
      </c>
      <c r="P1545" s="1">
        <f>IF(OR(tblMatriculas[[#This Row],[Estado]]&lt;&gt;"activa",tblMatriculas[[#This Row],[Asistidas]]=""),"",tblMatriculas[[#This Row],[Asistencia]])</f>
        <v>0</v>
      </c>
      <c r="Q1545" t="b">
        <f>AND(tblMatriculas[[#This Row],[Estado]]="activa",ISNUMBER(tblMatriculas[[#This Row],[% asistencia]]),NOT(ISNUMBER(SEARCH(pPrueba,tblMatriculas[[#This Row],[Nombre]]))))</f>
        <v>1</v>
      </c>
      <c r="R15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545" s="23" t="str" cm="1">
        <f t="array" ref="S15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5" s="23" t="str" cm="1">
        <f t="array" ref="T15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5" s="14" t="str" cm="1">
        <f t="array" ref="U15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5" t="str" cm="1">
        <f t="array" ref="V15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5" t="str" cm="1">
        <f t="array" ref="W15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5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545" t="str">
        <f>IF(COUNTIFS('Base Estudiantes'!$C:$C,tblMatriculas[[#This Row],[Cédula]],'Base Estudiantes'!$I:$I,tblMatriculas[[#This Row],[Código]])&gt;0,"Sí","No")</f>
        <v>Sí</v>
      </c>
      <c r="Z1545" s="23" cm="1">
        <f t="array" ref="Z1545">_xlfn.XLOOKUP(tblMatriculas[[#This Row],[Cédula]]&amp;"|"&amp;tblMatriculas[[#This Row],[Código]],tblBase[Documento]&amp;"|"&amp;tblBase[Código grupo],tblBase[Fecha matrícula],"")</f>
        <v>46265</v>
      </c>
    </row>
    <row r="1546" spans="1:26" x14ac:dyDescent="0.2">
      <c r="A1546" t="s">
        <v>3081</v>
      </c>
      <c r="B1546" t="s">
        <v>3082</v>
      </c>
      <c r="C1546" t="s">
        <v>13</v>
      </c>
      <c r="D1546" t="s">
        <v>3240</v>
      </c>
      <c r="E1546" t="s">
        <v>3241</v>
      </c>
      <c r="F1546" t="s">
        <v>335</v>
      </c>
      <c r="G1546" s="1">
        <v>0.16699999999999998</v>
      </c>
      <c r="H1546" t="s">
        <v>229</v>
      </c>
      <c r="I1546" t="s">
        <v>3169</v>
      </c>
      <c r="J1546" t="s">
        <v>3242</v>
      </c>
      <c r="K1546" t="s">
        <v>3174</v>
      </c>
      <c r="L1546" s="14">
        <f>IFERROR(VALUE(LEFT(tblMatriculas[[#This Row],[Clases]],FIND("/",tblMatriculas[[#This Row],[Clases]])-1)),"")</f>
        <v>5</v>
      </c>
      <c r="M1546" s="14">
        <f>IFERROR(VALUE(MID(tblMatriculas[[#This Row],[Clases]],FIND("/",tblMatriculas[[#This Row],[Clases]])+1,5)),"")</f>
        <v>30</v>
      </c>
      <c r="N15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46" s="14">
        <f>IF(OR(tblMatriculas[[#This Row],[Estado]]&lt;&gt;"activa",tblMatriculas[[#This Row],[Clases dictadas]]=""),"",MAX(0,tblMatriculas[[#This Row],[Clases dictadas]]-tblMatriculas[[#This Row],[Asistidas]]))</f>
        <v>0</v>
      </c>
      <c r="P1546" s="1">
        <f>IF(OR(tblMatriculas[[#This Row],[Estado]]&lt;&gt;"activa",tblMatriculas[[#This Row],[Asistidas]]=""),"",tblMatriculas[[#This Row],[Asistencia]])</f>
        <v>0.16699999999999998</v>
      </c>
      <c r="Q1546" t="b">
        <f>AND(tblMatriculas[[#This Row],[Estado]]="activa",ISNUMBER(tblMatriculas[[#This Row],[% asistencia]]),NOT(ISNUMBER(SEARCH(pPrueba,tblMatriculas[[#This Row],[Nombre]]))))</f>
        <v>0</v>
      </c>
      <c r="R15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Prueba</v>
      </c>
      <c r="S1546" s="23" t="str" cm="1">
        <f t="array" ref="S15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6" s="23" t="str" cm="1">
        <f t="array" ref="T15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6" s="14" t="str" cm="1">
        <f t="array" ref="U15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6" t="str" cm="1">
        <f t="array" ref="V15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6" t="str" cm="1">
        <f t="array" ref="W15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6" t="str">
        <f>IF(COUNTIFS('Base Estudiantes'!$C:$C,tblMatriculas[[#This Row],[Cédula]],'Base Estudiantes'!$I:$I,tblMatriculas[[#This Row],[Código]])&gt;0,"Sí","No")</f>
        <v>Sí</v>
      </c>
      <c r="Z1546" s="23" cm="1">
        <f t="array" ref="Z1546">_xlfn.XLOOKUP(tblMatriculas[[#This Row],[Cédula]]&amp;"|"&amp;tblMatriculas[[#This Row],[Código]],tblBase[Documento]&amp;"|"&amp;tblBase[Código grupo],tblBase[Fecha matrícula],"")</f>
        <v>46261</v>
      </c>
    </row>
    <row r="1547" spans="1:26" x14ac:dyDescent="0.2">
      <c r="A1547" t="s">
        <v>3243</v>
      </c>
      <c r="B1547" t="s">
        <v>3244</v>
      </c>
      <c r="C1547" t="s">
        <v>13</v>
      </c>
      <c r="D1547" t="s">
        <v>3240</v>
      </c>
      <c r="E1547" t="s">
        <v>3241</v>
      </c>
      <c r="F1547" t="s">
        <v>335</v>
      </c>
      <c r="G1547" s="1">
        <v>0.107</v>
      </c>
      <c r="H1547" t="s">
        <v>3245</v>
      </c>
      <c r="I1547" t="s">
        <v>3169</v>
      </c>
      <c r="J1547" t="s">
        <v>3242</v>
      </c>
      <c r="K1547" t="s">
        <v>3171</v>
      </c>
      <c r="L1547" s="14">
        <f>IFERROR(VALUE(LEFT(tblMatriculas[[#This Row],[Clases]],FIND("/",tblMatriculas[[#This Row],[Clases]])-1)),"")</f>
        <v>8</v>
      </c>
      <c r="M1547" s="14">
        <f>IFERROR(VALUE(MID(tblMatriculas[[#This Row],[Clases]],FIND("/",tblMatriculas[[#This Row],[Clases]])+1,5)),"")</f>
        <v>75</v>
      </c>
      <c r="N15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14</v>
      </c>
      <c r="O1547" s="14">
        <f>IF(OR(tblMatriculas[[#This Row],[Estado]]&lt;&gt;"activa",tblMatriculas[[#This Row],[Clases dictadas]]=""),"",MAX(0,tblMatriculas[[#This Row],[Clases dictadas]]-tblMatriculas[[#This Row],[Asistidas]]))</f>
        <v>6</v>
      </c>
      <c r="P1547" s="1">
        <f>IF(OR(tblMatriculas[[#This Row],[Estado]]&lt;&gt;"activa",tblMatriculas[[#This Row],[Asistidas]]=""),"",tblMatriculas[[#This Row],[Asistencia]])</f>
        <v>0.107</v>
      </c>
      <c r="Q1547" t="b">
        <f>AND(tblMatriculas[[#This Row],[Estado]]="activa",ISNUMBER(tblMatriculas[[#This Row],[% asistencia]]),NOT(ISNUMBER(SEARCH(pPrueba,tblMatriculas[[#This Row],[Nombre]]))))</f>
        <v>1</v>
      </c>
      <c r="R15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47" s="23" t="str" cm="1">
        <f t="array" ref="S15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7" s="23" t="str" cm="1">
        <f t="array" ref="T15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7" s="14" t="str" cm="1">
        <f t="array" ref="U15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7" t="str" cm="1">
        <f t="array" ref="V15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7" t="str" cm="1">
        <f t="array" ref="W15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7" t="str">
        <f>IF(COUNTIFS('Base Estudiantes'!$C:$C,tblMatriculas[[#This Row],[Cédula]],'Base Estudiantes'!$I:$I,tblMatriculas[[#This Row],[Código]])&gt;0,"Sí","No")</f>
        <v>Sí</v>
      </c>
      <c r="Z1547" s="23" cm="1">
        <f t="array" ref="Z1547">_xlfn.XLOOKUP(tblMatriculas[[#This Row],[Cédula]]&amp;"|"&amp;tblMatriculas[[#This Row],[Código]],tblBase[Documento]&amp;"|"&amp;tblBase[Código grupo],tblBase[Fecha matrícula],"")</f>
        <v>46262</v>
      </c>
    </row>
    <row r="1548" spans="1:26" x14ac:dyDescent="0.2">
      <c r="A1548" t="s">
        <v>3246</v>
      </c>
      <c r="B1548" t="s">
        <v>3247</v>
      </c>
      <c r="C1548" t="s">
        <v>13</v>
      </c>
      <c r="D1548" t="s">
        <v>3240</v>
      </c>
      <c r="E1548" t="s">
        <v>3241</v>
      </c>
      <c r="F1548" t="s">
        <v>335</v>
      </c>
      <c r="G1548" s="1">
        <v>0.13300000000000001</v>
      </c>
      <c r="H1548" t="s">
        <v>112</v>
      </c>
      <c r="I1548" t="s">
        <v>3169</v>
      </c>
      <c r="J1548" t="s">
        <v>3242</v>
      </c>
      <c r="K1548" t="s">
        <v>3174</v>
      </c>
      <c r="L1548" s="14">
        <f>IFERROR(VALUE(LEFT(tblMatriculas[[#This Row],[Clases]],FIND("/",tblMatriculas[[#This Row],[Clases]])-1)),"")</f>
        <v>4</v>
      </c>
      <c r="M1548" s="14">
        <f>IFERROR(VALUE(MID(tblMatriculas[[#This Row],[Clases]],FIND("/",tblMatriculas[[#This Row],[Clases]])+1,5)),"")</f>
        <v>30</v>
      </c>
      <c r="N15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48" s="14">
        <f>IF(OR(tblMatriculas[[#This Row],[Estado]]&lt;&gt;"activa",tblMatriculas[[#This Row],[Clases dictadas]]=""),"",MAX(0,tblMatriculas[[#This Row],[Clases dictadas]]-tblMatriculas[[#This Row],[Asistidas]]))</f>
        <v>1</v>
      </c>
      <c r="P1548" s="1">
        <f>IF(OR(tblMatriculas[[#This Row],[Estado]]&lt;&gt;"activa",tblMatriculas[[#This Row],[Asistidas]]=""),"",tblMatriculas[[#This Row],[Asistencia]])</f>
        <v>0.13300000000000001</v>
      </c>
      <c r="Q1548" t="b">
        <f>AND(tblMatriculas[[#This Row],[Estado]]="activa",ISNUMBER(tblMatriculas[[#This Row],[% asistencia]]),NOT(ISNUMBER(SEARCH(pPrueba,tblMatriculas[[#This Row],[Nombre]]))))</f>
        <v>1</v>
      </c>
      <c r="R15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48" s="23" t="str" cm="1">
        <f t="array" ref="S15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8" s="23" t="str" cm="1">
        <f t="array" ref="T15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8" s="14" t="str" cm="1">
        <f t="array" ref="U15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8" t="str" cm="1">
        <f t="array" ref="V15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8" t="str" cm="1">
        <f t="array" ref="W15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8" t="str">
        <f>IF(COUNTIFS('Base Estudiantes'!$C:$C,tblMatriculas[[#This Row],[Cédula]],'Base Estudiantes'!$I:$I,tblMatriculas[[#This Row],[Código]])&gt;0,"Sí","No")</f>
        <v>Sí</v>
      </c>
      <c r="Z1548" s="23" cm="1">
        <f t="array" ref="Z1548">_xlfn.XLOOKUP(tblMatriculas[[#This Row],[Cédula]]&amp;"|"&amp;tblMatriculas[[#This Row],[Código]],tblBase[Documento]&amp;"|"&amp;tblBase[Código grupo],tblBase[Fecha matrícula],"")</f>
        <v>46262</v>
      </c>
    </row>
    <row r="1549" spans="1:26" x14ac:dyDescent="0.2">
      <c r="A1549" t="s">
        <v>3248</v>
      </c>
      <c r="B1549" t="s">
        <v>3249</v>
      </c>
      <c r="C1549" t="s">
        <v>13</v>
      </c>
      <c r="D1549" t="s">
        <v>3240</v>
      </c>
      <c r="E1549" t="s">
        <v>3241</v>
      </c>
      <c r="F1549" t="s">
        <v>335</v>
      </c>
      <c r="G1549" s="1">
        <v>0.16699999999999998</v>
      </c>
      <c r="H1549" t="s">
        <v>229</v>
      </c>
      <c r="I1549" t="s">
        <v>3169</v>
      </c>
      <c r="J1549" t="s">
        <v>3242</v>
      </c>
      <c r="K1549" t="s">
        <v>24</v>
      </c>
      <c r="L1549" s="14">
        <f>IFERROR(VALUE(LEFT(tblMatriculas[[#This Row],[Clases]],FIND("/",tblMatriculas[[#This Row],[Clases]])-1)),"")</f>
        <v>5</v>
      </c>
      <c r="M1549" s="14">
        <f>IFERROR(VALUE(MID(tblMatriculas[[#This Row],[Clases]],FIND("/",tblMatriculas[[#This Row],[Clases]])+1,5)),"")</f>
        <v>30</v>
      </c>
      <c r="N15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49" s="14">
        <f>IF(OR(tblMatriculas[[#This Row],[Estado]]&lt;&gt;"activa",tblMatriculas[[#This Row],[Clases dictadas]]=""),"",MAX(0,tblMatriculas[[#This Row],[Clases dictadas]]-tblMatriculas[[#This Row],[Asistidas]]))</f>
        <v>0</v>
      </c>
      <c r="P1549" s="1">
        <f>IF(OR(tblMatriculas[[#This Row],[Estado]]&lt;&gt;"activa",tblMatriculas[[#This Row],[Asistidas]]=""),"",tblMatriculas[[#This Row],[Asistencia]])</f>
        <v>0.16699999999999998</v>
      </c>
      <c r="Q1549" t="b">
        <f>AND(tblMatriculas[[#This Row],[Estado]]="activa",ISNUMBER(tblMatriculas[[#This Row],[% asistencia]]),NOT(ISNUMBER(SEARCH(pPrueba,tblMatriculas[[#This Row],[Nombre]]))))</f>
        <v>1</v>
      </c>
      <c r="R15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49" s="23" t="str" cm="1">
        <f t="array" ref="S15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49" s="23" t="str" cm="1">
        <f t="array" ref="T15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49" s="14" t="str" cm="1">
        <f t="array" ref="U15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49" t="str" cm="1">
        <f t="array" ref="V15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49" t="str" cm="1">
        <f t="array" ref="W15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49" t="str">
        <f>IF(COUNTIFS('Base Estudiantes'!$C:$C,tblMatriculas[[#This Row],[Cédula]],'Base Estudiantes'!$I:$I,tblMatriculas[[#This Row],[Código]])&gt;0,"Sí","No")</f>
        <v>Sí</v>
      </c>
      <c r="Z1549" s="23" cm="1">
        <f t="array" ref="Z1549">_xlfn.XLOOKUP(tblMatriculas[[#This Row],[Cédula]]&amp;"|"&amp;tblMatriculas[[#This Row],[Código]],tblBase[Documento]&amp;"|"&amp;tblBase[Código grupo],tblBase[Fecha matrícula],"")</f>
        <v>46262</v>
      </c>
    </row>
    <row r="1550" spans="1:26" x14ac:dyDescent="0.2">
      <c r="A1550" t="s">
        <v>3250</v>
      </c>
      <c r="B1550" t="s">
        <v>3251</v>
      </c>
      <c r="C1550" t="s">
        <v>13</v>
      </c>
      <c r="D1550" t="s">
        <v>3240</v>
      </c>
      <c r="E1550" t="s">
        <v>3241</v>
      </c>
      <c r="F1550" t="s">
        <v>335</v>
      </c>
      <c r="G1550" s="1">
        <v>0.16699999999999998</v>
      </c>
      <c r="H1550" t="s">
        <v>229</v>
      </c>
      <c r="I1550" t="s">
        <v>3169</v>
      </c>
      <c r="J1550" t="s">
        <v>3242</v>
      </c>
      <c r="K1550" t="s">
        <v>24</v>
      </c>
      <c r="L1550" s="14">
        <f>IFERROR(VALUE(LEFT(tblMatriculas[[#This Row],[Clases]],FIND("/",tblMatriculas[[#This Row],[Clases]])-1)),"")</f>
        <v>5</v>
      </c>
      <c r="M1550" s="14">
        <f>IFERROR(VALUE(MID(tblMatriculas[[#This Row],[Clases]],FIND("/",tblMatriculas[[#This Row],[Clases]])+1,5)),"")</f>
        <v>30</v>
      </c>
      <c r="N15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0" s="14">
        <f>IF(OR(tblMatriculas[[#This Row],[Estado]]&lt;&gt;"activa",tblMatriculas[[#This Row],[Clases dictadas]]=""),"",MAX(0,tblMatriculas[[#This Row],[Clases dictadas]]-tblMatriculas[[#This Row],[Asistidas]]))</f>
        <v>0</v>
      </c>
      <c r="P1550" s="1">
        <f>IF(OR(tblMatriculas[[#This Row],[Estado]]&lt;&gt;"activa",tblMatriculas[[#This Row],[Asistidas]]=""),"",tblMatriculas[[#This Row],[Asistencia]])</f>
        <v>0.16699999999999998</v>
      </c>
      <c r="Q1550" t="b">
        <f>AND(tblMatriculas[[#This Row],[Estado]]="activa",ISNUMBER(tblMatriculas[[#This Row],[% asistencia]]),NOT(ISNUMBER(SEARCH(pPrueba,tblMatriculas[[#This Row],[Nombre]]))))</f>
        <v>1</v>
      </c>
      <c r="R15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0" s="23" t="str" cm="1">
        <f t="array" ref="S15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0" s="23" t="str" cm="1">
        <f t="array" ref="T15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0" s="14" t="str" cm="1">
        <f t="array" ref="U15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0" t="str" cm="1">
        <f t="array" ref="V15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0" t="str" cm="1">
        <f t="array" ref="W15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0" t="str">
        <f>IF(COUNTIFS('Base Estudiantes'!$C:$C,tblMatriculas[[#This Row],[Cédula]],'Base Estudiantes'!$I:$I,tblMatriculas[[#This Row],[Código]])&gt;0,"Sí","No")</f>
        <v>Sí</v>
      </c>
      <c r="Z1550" s="23" cm="1">
        <f t="array" ref="Z1550">_xlfn.XLOOKUP(tblMatriculas[[#This Row],[Cédula]]&amp;"|"&amp;tblMatriculas[[#This Row],[Código]],tblBase[Documento]&amp;"|"&amp;tblBase[Código grupo],tblBase[Fecha matrícula],"")</f>
        <v>46262</v>
      </c>
    </row>
    <row r="1551" spans="1:26" x14ac:dyDescent="0.2">
      <c r="A1551" t="s">
        <v>3252</v>
      </c>
      <c r="B1551" t="s">
        <v>3253</v>
      </c>
      <c r="C1551" t="s">
        <v>13</v>
      </c>
      <c r="D1551" t="s">
        <v>3240</v>
      </c>
      <c r="E1551" t="s">
        <v>3241</v>
      </c>
      <c r="F1551" t="s">
        <v>335</v>
      </c>
      <c r="G1551" s="1">
        <v>0.16699999999999998</v>
      </c>
      <c r="H1551" t="s">
        <v>229</v>
      </c>
      <c r="I1551" t="s">
        <v>3169</v>
      </c>
      <c r="J1551" t="s">
        <v>3242</v>
      </c>
      <c r="K1551" t="s">
        <v>24</v>
      </c>
      <c r="L1551" s="14">
        <f>IFERROR(VALUE(LEFT(tblMatriculas[[#This Row],[Clases]],FIND("/",tblMatriculas[[#This Row],[Clases]])-1)),"")</f>
        <v>5</v>
      </c>
      <c r="M1551" s="14">
        <f>IFERROR(VALUE(MID(tblMatriculas[[#This Row],[Clases]],FIND("/",tblMatriculas[[#This Row],[Clases]])+1,5)),"")</f>
        <v>30</v>
      </c>
      <c r="N15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1" s="14">
        <f>IF(OR(tblMatriculas[[#This Row],[Estado]]&lt;&gt;"activa",tblMatriculas[[#This Row],[Clases dictadas]]=""),"",MAX(0,tblMatriculas[[#This Row],[Clases dictadas]]-tblMatriculas[[#This Row],[Asistidas]]))</f>
        <v>0</v>
      </c>
      <c r="P1551" s="1">
        <f>IF(OR(tblMatriculas[[#This Row],[Estado]]&lt;&gt;"activa",tblMatriculas[[#This Row],[Asistidas]]=""),"",tblMatriculas[[#This Row],[Asistencia]])</f>
        <v>0.16699999999999998</v>
      </c>
      <c r="Q1551" t="b">
        <f>AND(tblMatriculas[[#This Row],[Estado]]="activa",ISNUMBER(tblMatriculas[[#This Row],[% asistencia]]),NOT(ISNUMBER(SEARCH(pPrueba,tblMatriculas[[#This Row],[Nombre]]))))</f>
        <v>1</v>
      </c>
      <c r="R15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1" s="23" t="str" cm="1">
        <f t="array" ref="S15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1" s="23" t="str" cm="1">
        <f t="array" ref="T15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1" s="14" t="str" cm="1">
        <f t="array" ref="U15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1" t="str" cm="1">
        <f t="array" ref="V15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1" t="str" cm="1">
        <f t="array" ref="W15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1" t="str">
        <f>IF(COUNTIFS('Base Estudiantes'!$C:$C,tblMatriculas[[#This Row],[Cédula]],'Base Estudiantes'!$I:$I,tblMatriculas[[#This Row],[Código]])&gt;0,"Sí","No")</f>
        <v>Sí</v>
      </c>
      <c r="Z1551" s="23" cm="1">
        <f t="array" ref="Z1551">_xlfn.XLOOKUP(tblMatriculas[[#This Row],[Cédula]]&amp;"|"&amp;tblMatriculas[[#This Row],[Código]],tblBase[Documento]&amp;"|"&amp;tblBase[Código grupo],tblBase[Fecha matrícula],"")</f>
        <v>46262</v>
      </c>
    </row>
    <row r="1552" spans="1:26" x14ac:dyDescent="0.2">
      <c r="A1552" t="s">
        <v>3254</v>
      </c>
      <c r="B1552" t="s">
        <v>3255</v>
      </c>
      <c r="C1552" t="s">
        <v>13</v>
      </c>
      <c r="D1552" t="s">
        <v>3240</v>
      </c>
      <c r="E1552" t="s">
        <v>3241</v>
      </c>
      <c r="F1552" t="s">
        <v>335</v>
      </c>
      <c r="G1552" s="1">
        <v>0.13300000000000001</v>
      </c>
      <c r="H1552" t="s">
        <v>112</v>
      </c>
      <c r="I1552" t="s">
        <v>3169</v>
      </c>
      <c r="J1552" t="s">
        <v>3242</v>
      </c>
      <c r="K1552" t="s">
        <v>24</v>
      </c>
      <c r="L1552" s="14">
        <f>IFERROR(VALUE(LEFT(tblMatriculas[[#This Row],[Clases]],FIND("/",tblMatriculas[[#This Row],[Clases]])-1)),"")</f>
        <v>4</v>
      </c>
      <c r="M1552" s="14">
        <f>IFERROR(VALUE(MID(tblMatriculas[[#This Row],[Clases]],FIND("/",tblMatriculas[[#This Row],[Clases]])+1,5)),"")</f>
        <v>30</v>
      </c>
      <c r="N15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2" s="14">
        <f>IF(OR(tblMatriculas[[#This Row],[Estado]]&lt;&gt;"activa",tblMatriculas[[#This Row],[Clases dictadas]]=""),"",MAX(0,tblMatriculas[[#This Row],[Clases dictadas]]-tblMatriculas[[#This Row],[Asistidas]]))</f>
        <v>1</v>
      </c>
      <c r="P1552" s="1">
        <f>IF(OR(tblMatriculas[[#This Row],[Estado]]&lt;&gt;"activa",tblMatriculas[[#This Row],[Asistidas]]=""),"",tblMatriculas[[#This Row],[Asistencia]])</f>
        <v>0.13300000000000001</v>
      </c>
      <c r="Q1552" t="b">
        <f>AND(tblMatriculas[[#This Row],[Estado]]="activa",ISNUMBER(tblMatriculas[[#This Row],[% asistencia]]),NOT(ISNUMBER(SEARCH(pPrueba,tblMatriculas[[#This Row],[Nombre]]))))</f>
        <v>1</v>
      </c>
      <c r="R15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2" s="23" t="str" cm="1">
        <f t="array" ref="S15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2" s="23" t="str" cm="1">
        <f t="array" ref="T15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2" s="14" t="str" cm="1">
        <f t="array" ref="U15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2" t="str" cm="1">
        <f t="array" ref="V15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2" t="str" cm="1">
        <f t="array" ref="W15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2" t="str">
        <f>IF(COUNTIFS('Base Estudiantes'!$C:$C,tblMatriculas[[#This Row],[Cédula]],'Base Estudiantes'!$I:$I,tblMatriculas[[#This Row],[Código]])&gt;0,"Sí","No")</f>
        <v>Sí</v>
      </c>
      <c r="Z1552" s="23" cm="1">
        <f t="array" ref="Z1552">_xlfn.XLOOKUP(tblMatriculas[[#This Row],[Cédula]]&amp;"|"&amp;tblMatriculas[[#This Row],[Código]],tblBase[Documento]&amp;"|"&amp;tblBase[Código grupo],tblBase[Fecha matrícula],"")</f>
        <v>46262</v>
      </c>
    </row>
    <row r="1553" spans="1:26" x14ac:dyDescent="0.2">
      <c r="A1553" t="s">
        <v>3256</v>
      </c>
      <c r="B1553" t="s">
        <v>3257</v>
      </c>
      <c r="C1553" t="s">
        <v>13</v>
      </c>
      <c r="D1553" t="s">
        <v>3240</v>
      </c>
      <c r="E1553" t="s">
        <v>3241</v>
      </c>
      <c r="F1553" t="s">
        <v>335</v>
      </c>
      <c r="G1553" s="1">
        <v>3.3000000000000002E-2</v>
      </c>
      <c r="H1553" t="s">
        <v>225</v>
      </c>
      <c r="I1553" t="s">
        <v>3169</v>
      </c>
      <c r="J1553" t="s">
        <v>3242</v>
      </c>
      <c r="K1553" t="s">
        <v>24</v>
      </c>
      <c r="L1553" s="14">
        <f>IFERROR(VALUE(LEFT(tblMatriculas[[#This Row],[Clases]],FIND("/",tblMatriculas[[#This Row],[Clases]])-1)),"")</f>
        <v>1</v>
      </c>
      <c r="M1553" s="14">
        <f>IFERROR(VALUE(MID(tblMatriculas[[#This Row],[Clases]],FIND("/",tblMatriculas[[#This Row],[Clases]])+1,5)),"")</f>
        <v>30</v>
      </c>
      <c r="N15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3" s="14">
        <f>IF(OR(tblMatriculas[[#This Row],[Estado]]&lt;&gt;"activa",tblMatriculas[[#This Row],[Clases dictadas]]=""),"",MAX(0,tblMatriculas[[#This Row],[Clases dictadas]]-tblMatriculas[[#This Row],[Asistidas]]))</f>
        <v>4</v>
      </c>
      <c r="P1553" s="1">
        <f>IF(OR(tblMatriculas[[#This Row],[Estado]]&lt;&gt;"activa",tblMatriculas[[#This Row],[Asistidas]]=""),"",tblMatriculas[[#This Row],[Asistencia]])</f>
        <v>3.3000000000000002E-2</v>
      </c>
      <c r="Q1553" t="b">
        <f>AND(tblMatriculas[[#This Row],[Estado]]="activa",ISNUMBER(tblMatriculas[[#This Row],[% asistencia]]),NOT(ISNUMBER(SEARCH(pPrueba,tblMatriculas[[#This Row],[Nombre]]))))</f>
        <v>1</v>
      </c>
      <c r="R15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553" s="23" t="str" cm="1">
        <f t="array" ref="S15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3" s="23" t="str" cm="1">
        <f t="array" ref="T15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3" s="14" t="str" cm="1">
        <f t="array" ref="U15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3" t="str" cm="1">
        <f t="array" ref="V15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3" t="str" cm="1">
        <f t="array" ref="W15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5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553" t="str">
        <f>IF(COUNTIFS('Base Estudiantes'!$C:$C,tblMatriculas[[#This Row],[Cédula]],'Base Estudiantes'!$I:$I,tblMatriculas[[#This Row],[Código]])&gt;0,"Sí","No")</f>
        <v>Sí</v>
      </c>
      <c r="Z1553" s="23" cm="1">
        <f t="array" ref="Z1553">_xlfn.XLOOKUP(tblMatriculas[[#This Row],[Cédula]]&amp;"|"&amp;tblMatriculas[[#This Row],[Código]],tblBase[Documento]&amp;"|"&amp;tblBase[Código grupo],tblBase[Fecha matrícula],"")</f>
        <v>46262</v>
      </c>
    </row>
    <row r="1554" spans="1:26" x14ac:dyDescent="0.2">
      <c r="A1554" t="s">
        <v>3258</v>
      </c>
      <c r="B1554" t="s">
        <v>3259</v>
      </c>
      <c r="C1554" t="s">
        <v>13</v>
      </c>
      <c r="D1554" t="s">
        <v>3240</v>
      </c>
      <c r="E1554" t="s">
        <v>3241</v>
      </c>
      <c r="F1554" t="s">
        <v>335</v>
      </c>
      <c r="G1554" s="1">
        <v>0.1</v>
      </c>
      <c r="H1554" t="s">
        <v>117</v>
      </c>
      <c r="I1554" t="s">
        <v>3169</v>
      </c>
      <c r="J1554" t="s">
        <v>3242</v>
      </c>
      <c r="K1554" t="s">
        <v>24</v>
      </c>
      <c r="L1554" s="14">
        <f>IFERROR(VALUE(LEFT(tblMatriculas[[#This Row],[Clases]],FIND("/",tblMatriculas[[#This Row],[Clases]])-1)),"")</f>
        <v>3</v>
      </c>
      <c r="M1554" s="14">
        <f>IFERROR(VALUE(MID(tblMatriculas[[#This Row],[Clases]],FIND("/",tblMatriculas[[#This Row],[Clases]])+1,5)),"")</f>
        <v>30</v>
      </c>
      <c r="N15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4" s="14">
        <f>IF(OR(tblMatriculas[[#This Row],[Estado]]&lt;&gt;"activa",tblMatriculas[[#This Row],[Clases dictadas]]=""),"",MAX(0,tblMatriculas[[#This Row],[Clases dictadas]]-tblMatriculas[[#This Row],[Asistidas]]))</f>
        <v>2</v>
      </c>
      <c r="P1554" s="1">
        <f>IF(OR(tblMatriculas[[#This Row],[Estado]]&lt;&gt;"activa",tblMatriculas[[#This Row],[Asistidas]]=""),"",tblMatriculas[[#This Row],[Asistencia]])</f>
        <v>0.1</v>
      </c>
      <c r="Q1554" t="b">
        <f>AND(tblMatriculas[[#This Row],[Estado]]="activa",ISNUMBER(tblMatriculas[[#This Row],[% asistencia]]),NOT(ISNUMBER(SEARCH(pPrueba,tblMatriculas[[#This Row],[Nombre]]))))</f>
        <v>1</v>
      </c>
      <c r="R15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4" s="23" t="str" cm="1">
        <f t="array" ref="S15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4" s="23" t="str" cm="1">
        <f t="array" ref="T15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4" s="14" t="str" cm="1">
        <f t="array" ref="U15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4" t="str" cm="1">
        <f t="array" ref="V15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4" t="str" cm="1">
        <f t="array" ref="W15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4" t="str">
        <f>IF(COUNTIFS('Base Estudiantes'!$C:$C,tblMatriculas[[#This Row],[Cédula]],'Base Estudiantes'!$I:$I,tblMatriculas[[#This Row],[Código]])&gt;0,"Sí","No")</f>
        <v>Sí</v>
      </c>
      <c r="Z1554" s="23" cm="1">
        <f t="array" ref="Z1554">_xlfn.XLOOKUP(tblMatriculas[[#This Row],[Cédula]]&amp;"|"&amp;tblMatriculas[[#This Row],[Código]],tblBase[Documento]&amp;"|"&amp;tblBase[Código grupo],tblBase[Fecha matrícula],"")</f>
        <v>46262</v>
      </c>
    </row>
    <row r="1555" spans="1:26" x14ac:dyDescent="0.2">
      <c r="A1555" t="s">
        <v>3260</v>
      </c>
      <c r="B1555" t="s">
        <v>3261</v>
      </c>
      <c r="C1555" t="s">
        <v>13</v>
      </c>
      <c r="D1555" t="s">
        <v>3240</v>
      </c>
      <c r="E1555" t="s">
        <v>3241</v>
      </c>
      <c r="F1555" t="s">
        <v>335</v>
      </c>
      <c r="G1555" s="1">
        <v>0.16699999999999998</v>
      </c>
      <c r="H1555" t="s">
        <v>229</v>
      </c>
      <c r="I1555" t="s">
        <v>3169</v>
      </c>
      <c r="J1555" t="s">
        <v>3242</v>
      </c>
      <c r="K1555" t="s">
        <v>24</v>
      </c>
      <c r="L1555" s="14">
        <f>IFERROR(VALUE(LEFT(tblMatriculas[[#This Row],[Clases]],FIND("/",tblMatriculas[[#This Row],[Clases]])-1)),"")</f>
        <v>5</v>
      </c>
      <c r="M1555" s="14">
        <f>IFERROR(VALUE(MID(tblMatriculas[[#This Row],[Clases]],FIND("/",tblMatriculas[[#This Row],[Clases]])+1,5)),"")</f>
        <v>30</v>
      </c>
      <c r="N15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5" s="14">
        <f>IF(OR(tblMatriculas[[#This Row],[Estado]]&lt;&gt;"activa",tblMatriculas[[#This Row],[Clases dictadas]]=""),"",MAX(0,tblMatriculas[[#This Row],[Clases dictadas]]-tblMatriculas[[#This Row],[Asistidas]]))</f>
        <v>0</v>
      </c>
      <c r="P1555" s="1">
        <f>IF(OR(tblMatriculas[[#This Row],[Estado]]&lt;&gt;"activa",tblMatriculas[[#This Row],[Asistidas]]=""),"",tblMatriculas[[#This Row],[Asistencia]])</f>
        <v>0.16699999999999998</v>
      </c>
      <c r="Q1555" t="b">
        <f>AND(tblMatriculas[[#This Row],[Estado]]="activa",ISNUMBER(tblMatriculas[[#This Row],[% asistencia]]),NOT(ISNUMBER(SEARCH(pPrueba,tblMatriculas[[#This Row],[Nombre]]))))</f>
        <v>1</v>
      </c>
      <c r="R15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5" s="23" t="str" cm="1">
        <f t="array" ref="S15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5" s="23" t="str" cm="1">
        <f t="array" ref="T15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5" s="14" t="str" cm="1">
        <f t="array" ref="U15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5" t="str" cm="1">
        <f t="array" ref="V15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5" t="str" cm="1">
        <f t="array" ref="W15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5" t="str">
        <f>IF(COUNTIFS('Base Estudiantes'!$C:$C,tblMatriculas[[#This Row],[Cédula]],'Base Estudiantes'!$I:$I,tblMatriculas[[#This Row],[Código]])&gt;0,"Sí","No")</f>
        <v>Sí</v>
      </c>
      <c r="Z1555" s="23" cm="1">
        <f t="array" ref="Z1555">_xlfn.XLOOKUP(tblMatriculas[[#This Row],[Cédula]]&amp;"|"&amp;tblMatriculas[[#This Row],[Código]],tblBase[Documento]&amp;"|"&amp;tblBase[Código grupo],tblBase[Fecha matrícula],"")</f>
        <v>46262</v>
      </c>
    </row>
    <row r="1556" spans="1:26" x14ac:dyDescent="0.2">
      <c r="A1556" t="s">
        <v>3262</v>
      </c>
      <c r="B1556" t="s">
        <v>3263</v>
      </c>
      <c r="C1556" t="s">
        <v>13</v>
      </c>
      <c r="D1556" t="s">
        <v>3240</v>
      </c>
      <c r="E1556" t="s">
        <v>3241</v>
      </c>
      <c r="F1556" t="s">
        <v>335</v>
      </c>
      <c r="G1556" s="1">
        <v>0.13300000000000001</v>
      </c>
      <c r="H1556" t="s">
        <v>112</v>
      </c>
      <c r="I1556" t="s">
        <v>3169</v>
      </c>
      <c r="J1556" t="s">
        <v>3242</v>
      </c>
      <c r="K1556" t="s">
        <v>24</v>
      </c>
      <c r="L1556" s="14">
        <f>IFERROR(VALUE(LEFT(tblMatriculas[[#This Row],[Clases]],FIND("/",tblMatriculas[[#This Row],[Clases]])-1)),"")</f>
        <v>4</v>
      </c>
      <c r="M1556" s="14">
        <f>IFERROR(VALUE(MID(tblMatriculas[[#This Row],[Clases]],FIND("/",tblMatriculas[[#This Row],[Clases]])+1,5)),"")</f>
        <v>30</v>
      </c>
      <c r="N15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6" s="14">
        <f>IF(OR(tblMatriculas[[#This Row],[Estado]]&lt;&gt;"activa",tblMatriculas[[#This Row],[Clases dictadas]]=""),"",MAX(0,tblMatriculas[[#This Row],[Clases dictadas]]-tblMatriculas[[#This Row],[Asistidas]]))</f>
        <v>1</v>
      </c>
      <c r="P1556" s="1">
        <f>IF(OR(tblMatriculas[[#This Row],[Estado]]&lt;&gt;"activa",tblMatriculas[[#This Row],[Asistidas]]=""),"",tblMatriculas[[#This Row],[Asistencia]])</f>
        <v>0.13300000000000001</v>
      </c>
      <c r="Q1556" t="b">
        <f>AND(tblMatriculas[[#This Row],[Estado]]="activa",ISNUMBER(tblMatriculas[[#This Row],[% asistencia]]),NOT(ISNUMBER(SEARCH(pPrueba,tblMatriculas[[#This Row],[Nombre]]))))</f>
        <v>1</v>
      </c>
      <c r="R15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6" s="23" t="str" cm="1">
        <f t="array" ref="S15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6" s="23" t="str" cm="1">
        <f t="array" ref="T15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6" s="14" t="str" cm="1">
        <f t="array" ref="U15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6" t="str" cm="1">
        <f t="array" ref="V15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6" t="str" cm="1">
        <f t="array" ref="W15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6" t="str">
        <f>IF(COUNTIFS('Base Estudiantes'!$C:$C,tblMatriculas[[#This Row],[Cédula]],'Base Estudiantes'!$I:$I,tblMatriculas[[#This Row],[Código]])&gt;0,"Sí","No")</f>
        <v>Sí</v>
      </c>
      <c r="Z1556" s="23" cm="1">
        <f t="array" ref="Z1556">_xlfn.XLOOKUP(tblMatriculas[[#This Row],[Cédula]]&amp;"|"&amp;tblMatriculas[[#This Row],[Código]],tblBase[Documento]&amp;"|"&amp;tblBase[Código grupo],tblBase[Fecha matrícula],"")</f>
        <v>46262</v>
      </c>
    </row>
    <row r="1557" spans="1:26" x14ac:dyDescent="0.2">
      <c r="A1557" t="s">
        <v>3264</v>
      </c>
      <c r="B1557" t="s">
        <v>3265</v>
      </c>
      <c r="C1557" t="s">
        <v>13</v>
      </c>
      <c r="D1557" t="s">
        <v>3240</v>
      </c>
      <c r="E1557" t="s">
        <v>3241</v>
      </c>
      <c r="F1557" t="s">
        <v>335</v>
      </c>
      <c r="G1557" s="1">
        <v>0.13300000000000001</v>
      </c>
      <c r="H1557" t="s">
        <v>112</v>
      </c>
      <c r="I1557" t="s">
        <v>3169</v>
      </c>
      <c r="J1557" t="s">
        <v>3242</v>
      </c>
      <c r="K1557" t="s">
        <v>24</v>
      </c>
      <c r="L1557" s="14">
        <f>IFERROR(VALUE(LEFT(tblMatriculas[[#This Row],[Clases]],FIND("/",tblMatriculas[[#This Row],[Clases]])-1)),"")</f>
        <v>4</v>
      </c>
      <c r="M1557" s="14">
        <f>IFERROR(VALUE(MID(tblMatriculas[[#This Row],[Clases]],FIND("/",tblMatriculas[[#This Row],[Clases]])+1,5)),"")</f>
        <v>30</v>
      </c>
      <c r="N15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7" s="14">
        <f>IF(OR(tblMatriculas[[#This Row],[Estado]]&lt;&gt;"activa",tblMatriculas[[#This Row],[Clases dictadas]]=""),"",MAX(0,tblMatriculas[[#This Row],[Clases dictadas]]-tblMatriculas[[#This Row],[Asistidas]]))</f>
        <v>1</v>
      </c>
      <c r="P1557" s="1">
        <f>IF(OR(tblMatriculas[[#This Row],[Estado]]&lt;&gt;"activa",tblMatriculas[[#This Row],[Asistidas]]=""),"",tblMatriculas[[#This Row],[Asistencia]])</f>
        <v>0.13300000000000001</v>
      </c>
      <c r="Q1557" t="b">
        <f>AND(tblMatriculas[[#This Row],[Estado]]="activa",ISNUMBER(tblMatriculas[[#This Row],[% asistencia]]),NOT(ISNUMBER(SEARCH(pPrueba,tblMatriculas[[#This Row],[Nombre]]))))</f>
        <v>1</v>
      </c>
      <c r="R15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7" s="23" t="str" cm="1">
        <f t="array" ref="S15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7" s="23" t="str" cm="1">
        <f t="array" ref="T15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7" s="14" t="str" cm="1">
        <f t="array" ref="U15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7" t="str" cm="1">
        <f t="array" ref="V15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7" t="str" cm="1">
        <f t="array" ref="W15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7" t="str">
        <f>IF(COUNTIFS('Base Estudiantes'!$C:$C,tblMatriculas[[#This Row],[Cédula]],'Base Estudiantes'!$I:$I,tblMatriculas[[#This Row],[Código]])&gt;0,"Sí","No")</f>
        <v>Sí</v>
      </c>
      <c r="Z1557" s="23" cm="1">
        <f t="array" ref="Z1557">_xlfn.XLOOKUP(tblMatriculas[[#This Row],[Cédula]]&amp;"|"&amp;tblMatriculas[[#This Row],[Código]],tblBase[Documento]&amp;"|"&amp;tblBase[Código grupo],tblBase[Fecha matrícula],"")</f>
        <v>46262</v>
      </c>
    </row>
    <row r="1558" spans="1:26" x14ac:dyDescent="0.2">
      <c r="A1558" t="s">
        <v>3266</v>
      </c>
      <c r="B1558" t="s">
        <v>3267</v>
      </c>
      <c r="C1558" t="s">
        <v>13</v>
      </c>
      <c r="D1558" t="s">
        <v>3240</v>
      </c>
      <c r="E1558" t="s">
        <v>3241</v>
      </c>
      <c r="F1558" t="s">
        <v>335</v>
      </c>
      <c r="G1558" s="1">
        <v>0.16699999999999998</v>
      </c>
      <c r="H1558" t="s">
        <v>229</v>
      </c>
      <c r="I1558" t="s">
        <v>3169</v>
      </c>
      <c r="J1558" t="s">
        <v>3242</v>
      </c>
      <c r="K1558" t="s">
        <v>24</v>
      </c>
      <c r="L1558" s="14">
        <f>IFERROR(VALUE(LEFT(tblMatriculas[[#This Row],[Clases]],FIND("/",tblMatriculas[[#This Row],[Clases]])-1)),"")</f>
        <v>5</v>
      </c>
      <c r="M1558" s="14">
        <f>IFERROR(VALUE(MID(tblMatriculas[[#This Row],[Clases]],FIND("/",tblMatriculas[[#This Row],[Clases]])+1,5)),"")</f>
        <v>30</v>
      </c>
      <c r="N15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8" s="14">
        <f>IF(OR(tblMatriculas[[#This Row],[Estado]]&lt;&gt;"activa",tblMatriculas[[#This Row],[Clases dictadas]]=""),"",MAX(0,tblMatriculas[[#This Row],[Clases dictadas]]-tblMatriculas[[#This Row],[Asistidas]]))</f>
        <v>0</v>
      </c>
      <c r="P1558" s="1">
        <f>IF(OR(tblMatriculas[[#This Row],[Estado]]&lt;&gt;"activa",tblMatriculas[[#This Row],[Asistidas]]=""),"",tblMatriculas[[#This Row],[Asistencia]])</f>
        <v>0.16699999999999998</v>
      </c>
      <c r="Q1558" t="b">
        <f>AND(tblMatriculas[[#This Row],[Estado]]="activa",ISNUMBER(tblMatriculas[[#This Row],[% asistencia]]),NOT(ISNUMBER(SEARCH(pPrueba,tblMatriculas[[#This Row],[Nombre]]))))</f>
        <v>1</v>
      </c>
      <c r="R15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8" s="23" t="str" cm="1">
        <f t="array" ref="S15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8" s="23" t="str" cm="1">
        <f t="array" ref="T15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8" s="14" t="str" cm="1">
        <f t="array" ref="U15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8" t="str" cm="1">
        <f t="array" ref="V15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8" t="str" cm="1">
        <f t="array" ref="W15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8" t="str">
        <f>IF(COUNTIFS('Base Estudiantes'!$C:$C,tblMatriculas[[#This Row],[Cédula]],'Base Estudiantes'!$I:$I,tblMatriculas[[#This Row],[Código]])&gt;0,"Sí","No")</f>
        <v>Sí</v>
      </c>
      <c r="Z1558" s="23" cm="1">
        <f t="array" ref="Z1558">_xlfn.XLOOKUP(tblMatriculas[[#This Row],[Cédula]]&amp;"|"&amp;tblMatriculas[[#This Row],[Código]],tblBase[Documento]&amp;"|"&amp;tblBase[Código grupo],tblBase[Fecha matrícula],"")</f>
        <v>46262</v>
      </c>
    </row>
    <row r="1559" spans="1:26" x14ac:dyDescent="0.2">
      <c r="A1559" t="s">
        <v>3268</v>
      </c>
      <c r="B1559" t="s">
        <v>3269</v>
      </c>
      <c r="C1559" t="s">
        <v>13</v>
      </c>
      <c r="D1559" t="s">
        <v>3240</v>
      </c>
      <c r="E1559" t="s">
        <v>3241</v>
      </c>
      <c r="F1559" t="s">
        <v>335</v>
      </c>
      <c r="G1559" s="1">
        <v>0.16699999999999998</v>
      </c>
      <c r="H1559" t="s">
        <v>229</v>
      </c>
      <c r="I1559" t="s">
        <v>3169</v>
      </c>
      <c r="J1559" t="s">
        <v>3242</v>
      </c>
      <c r="K1559" t="s">
        <v>24</v>
      </c>
      <c r="L1559" s="14">
        <f>IFERROR(VALUE(LEFT(tblMatriculas[[#This Row],[Clases]],FIND("/",tblMatriculas[[#This Row],[Clases]])-1)),"")</f>
        <v>5</v>
      </c>
      <c r="M1559" s="14">
        <f>IFERROR(VALUE(MID(tblMatriculas[[#This Row],[Clases]],FIND("/",tblMatriculas[[#This Row],[Clases]])+1,5)),"")</f>
        <v>30</v>
      </c>
      <c r="N15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59" s="14">
        <f>IF(OR(tblMatriculas[[#This Row],[Estado]]&lt;&gt;"activa",tblMatriculas[[#This Row],[Clases dictadas]]=""),"",MAX(0,tblMatriculas[[#This Row],[Clases dictadas]]-tblMatriculas[[#This Row],[Asistidas]]))</f>
        <v>0</v>
      </c>
      <c r="P1559" s="1">
        <f>IF(OR(tblMatriculas[[#This Row],[Estado]]&lt;&gt;"activa",tblMatriculas[[#This Row],[Asistidas]]=""),"",tblMatriculas[[#This Row],[Asistencia]])</f>
        <v>0.16699999999999998</v>
      </c>
      <c r="Q1559" t="b">
        <f>AND(tblMatriculas[[#This Row],[Estado]]="activa",ISNUMBER(tblMatriculas[[#This Row],[% asistencia]]),NOT(ISNUMBER(SEARCH(pPrueba,tblMatriculas[[#This Row],[Nombre]]))))</f>
        <v>1</v>
      </c>
      <c r="R15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59" s="23" t="str" cm="1">
        <f t="array" ref="S15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59" s="23" t="str" cm="1">
        <f t="array" ref="T15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59" s="14" t="str" cm="1">
        <f t="array" ref="U15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59" t="str" cm="1">
        <f t="array" ref="V15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59" t="str" cm="1">
        <f t="array" ref="W15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59" t="str">
        <f>IF(COUNTIFS('Base Estudiantes'!$C:$C,tblMatriculas[[#This Row],[Cédula]],'Base Estudiantes'!$I:$I,tblMatriculas[[#This Row],[Código]])&gt;0,"Sí","No")</f>
        <v>Sí</v>
      </c>
      <c r="Z1559" s="23" cm="1">
        <f t="array" ref="Z1559">_xlfn.XLOOKUP(tblMatriculas[[#This Row],[Cédula]]&amp;"|"&amp;tblMatriculas[[#This Row],[Código]],tblBase[Documento]&amp;"|"&amp;tblBase[Código grupo],tblBase[Fecha matrícula],"")</f>
        <v>46262</v>
      </c>
    </row>
    <row r="1560" spans="1:26" x14ac:dyDescent="0.2">
      <c r="A1560" t="s">
        <v>3270</v>
      </c>
      <c r="B1560" t="s">
        <v>3271</v>
      </c>
      <c r="C1560" t="s">
        <v>13</v>
      </c>
      <c r="D1560" t="s">
        <v>3240</v>
      </c>
      <c r="E1560" t="s">
        <v>3241</v>
      </c>
      <c r="F1560" t="s">
        <v>335</v>
      </c>
      <c r="G1560" s="1">
        <v>0.13300000000000001</v>
      </c>
      <c r="H1560" t="s">
        <v>112</v>
      </c>
      <c r="I1560" t="s">
        <v>3169</v>
      </c>
      <c r="J1560" t="s">
        <v>3242</v>
      </c>
      <c r="K1560" t="s">
        <v>24</v>
      </c>
      <c r="L1560" s="14">
        <f>IFERROR(VALUE(LEFT(tblMatriculas[[#This Row],[Clases]],FIND("/",tblMatriculas[[#This Row],[Clases]])-1)),"")</f>
        <v>4</v>
      </c>
      <c r="M1560" s="14">
        <f>IFERROR(VALUE(MID(tblMatriculas[[#This Row],[Clases]],FIND("/",tblMatriculas[[#This Row],[Clases]])+1,5)),"")</f>
        <v>30</v>
      </c>
      <c r="N15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0" s="14">
        <f>IF(OR(tblMatriculas[[#This Row],[Estado]]&lt;&gt;"activa",tblMatriculas[[#This Row],[Clases dictadas]]=""),"",MAX(0,tblMatriculas[[#This Row],[Clases dictadas]]-tblMatriculas[[#This Row],[Asistidas]]))</f>
        <v>1</v>
      </c>
      <c r="P1560" s="1">
        <f>IF(OR(tblMatriculas[[#This Row],[Estado]]&lt;&gt;"activa",tblMatriculas[[#This Row],[Asistidas]]=""),"",tblMatriculas[[#This Row],[Asistencia]])</f>
        <v>0.13300000000000001</v>
      </c>
      <c r="Q1560" t="b">
        <f>AND(tblMatriculas[[#This Row],[Estado]]="activa",ISNUMBER(tblMatriculas[[#This Row],[% asistencia]]),NOT(ISNUMBER(SEARCH(pPrueba,tblMatriculas[[#This Row],[Nombre]]))))</f>
        <v>1</v>
      </c>
      <c r="R15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0" s="23" t="str" cm="1">
        <f t="array" ref="S15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0" s="23" t="str" cm="1">
        <f t="array" ref="T15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0" s="14" t="str" cm="1">
        <f t="array" ref="U15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0" t="str" cm="1">
        <f t="array" ref="V15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0" t="str" cm="1">
        <f t="array" ref="W15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0" t="str">
        <f>IF(COUNTIFS('Base Estudiantes'!$C:$C,tblMatriculas[[#This Row],[Cédula]],'Base Estudiantes'!$I:$I,tblMatriculas[[#This Row],[Código]])&gt;0,"Sí","No")</f>
        <v>Sí</v>
      </c>
      <c r="Z1560" s="23" cm="1">
        <f t="array" ref="Z1560">_xlfn.XLOOKUP(tblMatriculas[[#This Row],[Cédula]]&amp;"|"&amp;tblMatriculas[[#This Row],[Código]],tblBase[Documento]&amp;"|"&amp;tblBase[Código grupo],tblBase[Fecha matrícula],"")</f>
        <v>46262</v>
      </c>
    </row>
    <row r="1561" spans="1:26" x14ac:dyDescent="0.2">
      <c r="A1561" t="s">
        <v>3272</v>
      </c>
      <c r="B1561" t="s">
        <v>3273</v>
      </c>
      <c r="C1561" t="s">
        <v>13</v>
      </c>
      <c r="D1561" t="s">
        <v>3240</v>
      </c>
      <c r="E1561" t="s">
        <v>3241</v>
      </c>
      <c r="F1561" t="s">
        <v>335</v>
      </c>
      <c r="G1561" s="1">
        <v>0.1</v>
      </c>
      <c r="H1561" t="s">
        <v>117</v>
      </c>
      <c r="I1561" t="s">
        <v>3169</v>
      </c>
      <c r="J1561" t="s">
        <v>3242</v>
      </c>
      <c r="K1561" t="s">
        <v>24</v>
      </c>
      <c r="L1561" s="14">
        <f>IFERROR(VALUE(LEFT(tblMatriculas[[#This Row],[Clases]],FIND("/",tblMatriculas[[#This Row],[Clases]])-1)),"")</f>
        <v>3</v>
      </c>
      <c r="M1561" s="14">
        <f>IFERROR(VALUE(MID(tblMatriculas[[#This Row],[Clases]],FIND("/",tblMatriculas[[#This Row],[Clases]])+1,5)),"")</f>
        <v>30</v>
      </c>
      <c r="N15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1" s="14">
        <f>IF(OR(tblMatriculas[[#This Row],[Estado]]&lt;&gt;"activa",tblMatriculas[[#This Row],[Clases dictadas]]=""),"",MAX(0,tblMatriculas[[#This Row],[Clases dictadas]]-tblMatriculas[[#This Row],[Asistidas]]))</f>
        <v>2</v>
      </c>
      <c r="P1561" s="1">
        <f>IF(OR(tblMatriculas[[#This Row],[Estado]]&lt;&gt;"activa",tblMatriculas[[#This Row],[Asistidas]]=""),"",tblMatriculas[[#This Row],[Asistencia]])</f>
        <v>0.1</v>
      </c>
      <c r="Q1561" t="b">
        <f>AND(tblMatriculas[[#This Row],[Estado]]="activa",ISNUMBER(tblMatriculas[[#This Row],[% asistencia]]),NOT(ISNUMBER(SEARCH(pPrueba,tblMatriculas[[#This Row],[Nombre]]))))</f>
        <v>1</v>
      </c>
      <c r="R15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1" s="23" t="str" cm="1">
        <f t="array" ref="S15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1" s="23" t="str" cm="1">
        <f t="array" ref="T15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1" s="14" t="str" cm="1">
        <f t="array" ref="U15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1" t="str" cm="1">
        <f t="array" ref="V15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1" t="str" cm="1">
        <f t="array" ref="W15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1" t="str">
        <f>IF(COUNTIFS('Base Estudiantes'!$C:$C,tblMatriculas[[#This Row],[Cédula]],'Base Estudiantes'!$I:$I,tblMatriculas[[#This Row],[Código]])&gt;0,"Sí","No")</f>
        <v>Sí</v>
      </c>
      <c r="Z1561" s="23" cm="1">
        <f t="array" ref="Z1561">_xlfn.XLOOKUP(tblMatriculas[[#This Row],[Cédula]]&amp;"|"&amp;tblMatriculas[[#This Row],[Código]],tblBase[Documento]&amp;"|"&amp;tblBase[Código grupo],tblBase[Fecha matrícula],"")</f>
        <v>46262</v>
      </c>
    </row>
    <row r="1562" spans="1:26" x14ac:dyDescent="0.2">
      <c r="A1562" t="s">
        <v>3274</v>
      </c>
      <c r="B1562" t="s">
        <v>3275</v>
      </c>
      <c r="C1562" t="s">
        <v>13</v>
      </c>
      <c r="D1562" t="s">
        <v>3240</v>
      </c>
      <c r="E1562" t="s">
        <v>3241</v>
      </c>
      <c r="F1562" t="s">
        <v>335</v>
      </c>
      <c r="G1562" s="1">
        <v>0.16699999999999998</v>
      </c>
      <c r="H1562" t="s">
        <v>229</v>
      </c>
      <c r="I1562" t="s">
        <v>3169</v>
      </c>
      <c r="J1562" t="s">
        <v>3242</v>
      </c>
      <c r="K1562" t="s">
        <v>24</v>
      </c>
      <c r="L1562" s="14">
        <f>IFERROR(VALUE(LEFT(tblMatriculas[[#This Row],[Clases]],FIND("/",tblMatriculas[[#This Row],[Clases]])-1)),"")</f>
        <v>5</v>
      </c>
      <c r="M1562" s="14">
        <f>IFERROR(VALUE(MID(tblMatriculas[[#This Row],[Clases]],FIND("/",tblMatriculas[[#This Row],[Clases]])+1,5)),"")</f>
        <v>30</v>
      </c>
      <c r="N15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2" s="14">
        <f>IF(OR(tblMatriculas[[#This Row],[Estado]]&lt;&gt;"activa",tblMatriculas[[#This Row],[Clases dictadas]]=""),"",MAX(0,tblMatriculas[[#This Row],[Clases dictadas]]-tblMatriculas[[#This Row],[Asistidas]]))</f>
        <v>0</v>
      </c>
      <c r="P1562" s="1">
        <f>IF(OR(tblMatriculas[[#This Row],[Estado]]&lt;&gt;"activa",tblMatriculas[[#This Row],[Asistidas]]=""),"",tblMatriculas[[#This Row],[Asistencia]])</f>
        <v>0.16699999999999998</v>
      </c>
      <c r="Q1562" t="b">
        <f>AND(tblMatriculas[[#This Row],[Estado]]="activa",ISNUMBER(tblMatriculas[[#This Row],[% asistencia]]),NOT(ISNUMBER(SEARCH(pPrueba,tblMatriculas[[#This Row],[Nombre]]))))</f>
        <v>1</v>
      </c>
      <c r="R15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2" s="23" t="str" cm="1">
        <f t="array" ref="S15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2" s="23" t="str" cm="1">
        <f t="array" ref="T15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2" s="14" t="str" cm="1">
        <f t="array" ref="U15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2" t="str" cm="1">
        <f t="array" ref="V15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2" t="str" cm="1">
        <f t="array" ref="W15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2" t="str">
        <f>IF(COUNTIFS('Base Estudiantes'!$C:$C,tblMatriculas[[#This Row],[Cédula]],'Base Estudiantes'!$I:$I,tblMatriculas[[#This Row],[Código]])&gt;0,"Sí","No")</f>
        <v>Sí</v>
      </c>
      <c r="Z1562" s="23" cm="1">
        <f t="array" ref="Z1562">_xlfn.XLOOKUP(tblMatriculas[[#This Row],[Cédula]]&amp;"|"&amp;tblMatriculas[[#This Row],[Código]],tblBase[Documento]&amp;"|"&amp;tblBase[Código grupo],tblBase[Fecha matrícula],"")</f>
        <v>46262</v>
      </c>
    </row>
    <row r="1563" spans="1:26" x14ac:dyDescent="0.2">
      <c r="A1563" t="s">
        <v>3276</v>
      </c>
      <c r="B1563" t="s">
        <v>3277</v>
      </c>
      <c r="C1563" t="s">
        <v>13</v>
      </c>
      <c r="D1563" t="s">
        <v>3240</v>
      </c>
      <c r="E1563" t="s">
        <v>3241</v>
      </c>
      <c r="F1563" t="s">
        <v>335</v>
      </c>
      <c r="G1563" s="1">
        <v>3.3000000000000002E-2</v>
      </c>
      <c r="H1563" t="s">
        <v>225</v>
      </c>
      <c r="I1563" t="s">
        <v>3169</v>
      </c>
      <c r="J1563" t="s">
        <v>3242</v>
      </c>
      <c r="K1563" t="s">
        <v>24</v>
      </c>
      <c r="L1563" s="14">
        <f>IFERROR(VALUE(LEFT(tblMatriculas[[#This Row],[Clases]],FIND("/",tblMatriculas[[#This Row],[Clases]])-1)),"")</f>
        <v>1</v>
      </c>
      <c r="M1563" s="14">
        <f>IFERROR(VALUE(MID(tblMatriculas[[#This Row],[Clases]],FIND("/",tblMatriculas[[#This Row],[Clases]])+1,5)),"")</f>
        <v>30</v>
      </c>
      <c r="N15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3" s="14">
        <f>IF(OR(tblMatriculas[[#This Row],[Estado]]&lt;&gt;"activa",tblMatriculas[[#This Row],[Clases dictadas]]=""),"",MAX(0,tblMatriculas[[#This Row],[Clases dictadas]]-tblMatriculas[[#This Row],[Asistidas]]))</f>
        <v>4</v>
      </c>
      <c r="P1563" s="1">
        <f>IF(OR(tblMatriculas[[#This Row],[Estado]]&lt;&gt;"activa",tblMatriculas[[#This Row],[Asistidas]]=""),"",tblMatriculas[[#This Row],[Asistencia]])</f>
        <v>3.3000000000000002E-2</v>
      </c>
      <c r="Q1563" t="b">
        <f>AND(tblMatriculas[[#This Row],[Estado]]="activa",ISNUMBER(tblMatriculas[[#This Row],[% asistencia]]),NOT(ISNUMBER(SEARCH(pPrueba,tblMatriculas[[#This Row],[Nombre]]))))</f>
        <v>1</v>
      </c>
      <c r="R15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563" s="23" t="str" cm="1">
        <f t="array" ref="S15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3" s="23" t="str" cm="1">
        <f t="array" ref="T15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3" s="14" t="str" cm="1">
        <f t="array" ref="U15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3" t="str" cm="1">
        <f t="array" ref="V15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3" t="str" cm="1">
        <f t="array" ref="W15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5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563" t="str">
        <f>IF(COUNTIFS('Base Estudiantes'!$C:$C,tblMatriculas[[#This Row],[Cédula]],'Base Estudiantes'!$I:$I,tblMatriculas[[#This Row],[Código]])&gt;0,"Sí","No")</f>
        <v>Sí</v>
      </c>
      <c r="Z1563" s="23" cm="1">
        <f t="array" ref="Z1563">_xlfn.XLOOKUP(tblMatriculas[[#This Row],[Cédula]]&amp;"|"&amp;tblMatriculas[[#This Row],[Código]],tblBase[Documento]&amp;"|"&amp;tblBase[Código grupo],tblBase[Fecha matrícula],"")</f>
        <v>46262</v>
      </c>
    </row>
    <row r="1564" spans="1:26" x14ac:dyDescent="0.2">
      <c r="A1564" t="s">
        <v>3278</v>
      </c>
      <c r="B1564" t="s">
        <v>3279</v>
      </c>
      <c r="C1564" t="s">
        <v>13</v>
      </c>
      <c r="D1564" t="s">
        <v>3240</v>
      </c>
      <c r="E1564" t="s">
        <v>3241</v>
      </c>
      <c r="F1564" t="s">
        <v>335</v>
      </c>
      <c r="G1564" s="1">
        <v>6.7000000000000004E-2</v>
      </c>
      <c r="H1564" t="s">
        <v>166</v>
      </c>
      <c r="I1564" t="s">
        <v>3169</v>
      </c>
      <c r="J1564" t="s">
        <v>3242</v>
      </c>
      <c r="K1564" t="s">
        <v>24</v>
      </c>
      <c r="L1564" s="14">
        <f>IFERROR(VALUE(LEFT(tblMatriculas[[#This Row],[Clases]],FIND("/",tblMatriculas[[#This Row],[Clases]])-1)),"")</f>
        <v>2</v>
      </c>
      <c r="M1564" s="14">
        <f>IFERROR(VALUE(MID(tblMatriculas[[#This Row],[Clases]],FIND("/",tblMatriculas[[#This Row],[Clases]])+1,5)),"")</f>
        <v>30</v>
      </c>
      <c r="N15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4" s="14">
        <f>IF(OR(tblMatriculas[[#This Row],[Estado]]&lt;&gt;"activa",tblMatriculas[[#This Row],[Clases dictadas]]=""),"",MAX(0,tblMatriculas[[#This Row],[Clases dictadas]]-tblMatriculas[[#This Row],[Asistidas]]))</f>
        <v>3</v>
      </c>
      <c r="P1564" s="1">
        <f>IF(OR(tblMatriculas[[#This Row],[Estado]]&lt;&gt;"activa",tblMatriculas[[#This Row],[Asistidas]]=""),"",tblMatriculas[[#This Row],[Asistencia]])</f>
        <v>6.7000000000000004E-2</v>
      </c>
      <c r="Q1564" t="b">
        <f>AND(tblMatriculas[[#This Row],[Estado]]="activa",ISNUMBER(tblMatriculas[[#This Row],[% asistencia]]),NOT(ISNUMBER(SEARCH(pPrueba,tblMatriculas[[#This Row],[Nombre]]))))</f>
        <v>1</v>
      </c>
      <c r="R15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64" s="23" t="str" cm="1">
        <f t="array" ref="S15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4" s="23" t="str" cm="1">
        <f t="array" ref="T15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4" s="14" t="str" cm="1">
        <f t="array" ref="U15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4" t="str" cm="1">
        <f t="array" ref="V15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4" t="str" cm="1">
        <f t="array" ref="W15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64" t="str">
        <f>IF(COUNTIFS('Base Estudiantes'!$C:$C,tblMatriculas[[#This Row],[Cédula]],'Base Estudiantes'!$I:$I,tblMatriculas[[#This Row],[Código]])&gt;0,"Sí","No")</f>
        <v>Sí</v>
      </c>
      <c r="Z1564" s="23" cm="1">
        <f t="array" ref="Z1564">_xlfn.XLOOKUP(tblMatriculas[[#This Row],[Cédula]]&amp;"|"&amp;tblMatriculas[[#This Row],[Código]],tblBase[Documento]&amp;"|"&amp;tblBase[Código grupo],tblBase[Fecha matrícula],"")</f>
        <v>46262</v>
      </c>
    </row>
    <row r="1565" spans="1:26" x14ac:dyDescent="0.2">
      <c r="A1565" t="s">
        <v>3280</v>
      </c>
      <c r="B1565" t="s">
        <v>3281</v>
      </c>
      <c r="C1565" t="s">
        <v>13</v>
      </c>
      <c r="D1565" t="s">
        <v>3240</v>
      </c>
      <c r="E1565" t="s">
        <v>3241</v>
      </c>
      <c r="F1565" t="s">
        <v>335</v>
      </c>
      <c r="G1565" s="1">
        <v>0.16699999999999998</v>
      </c>
      <c r="H1565" t="s">
        <v>229</v>
      </c>
      <c r="I1565" t="s">
        <v>3169</v>
      </c>
      <c r="J1565" t="s">
        <v>3242</v>
      </c>
      <c r="K1565" t="s">
        <v>24</v>
      </c>
      <c r="L1565" s="14">
        <f>IFERROR(VALUE(LEFT(tblMatriculas[[#This Row],[Clases]],FIND("/",tblMatriculas[[#This Row],[Clases]])-1)),"")</f>
        <v>5</v>
      </c>
      <c r="M1565" s="14">
        <f>IFERROR(VALUE(MID(tblMatriculas[[#This Row],[Clases]],FIND("/",tblMatriculas[[#This Row],[Clases]])+1,5)),"")</f>
        <v>30</v>
      </c>
      <c r="N15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5" s="14">
        <f>IF(OR(tblMatriculas[[#This Row],[Estado]]&lt;&gt;"activa",tblMatriculas[[#This Row],[Clases dictadas]]=""),"",MAX(0,tblMatriculas[[#This Row],[Clases dictadas]]-tblMatriculas[[#This Row],[Asistidas]]))</f>
        <v>0</v>
      </c>
      <c r="P1565" s="1">
        <f>IF(OR(tblMatriculas[[#This Row],[Estado]]&lt;&gt;"activa",tblMatriculas[[#This Row],[Asistidas]]=""),"",tblMatriculas[[#This Row],[Asistencia]])</f>
        <v>0.16699999999999998</v>
      </c>
      <c r="Q1565" t="b">
        <f>AND(tblMatriculas[[#This Row],[Estado]]="activa",ISNUMBER(tblMatriculas[[#This Row],[% asistencia]]),NOT(ISNUMBER(SEARCH(pPrueba,tblMatriculas[[#This Row],[Nombre]]))))</f>
        <v>1</v>
      </c>
      <c r="R15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5" s="23" t="str" cm="1">
        <f t="array" ref="S15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5" s="23" t="str" cm="1">
        <f t="array" ref="T15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5" s="14" t="str" cm="1">
        <f t="array" ref="U15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5" t="str" cm="1">
        <f t="array" ref="V15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5" t="str" cm="1">
        <f t="array" ref="W15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5" t="str">
        <f>IF(COUNTIFS('Base Estudiantes'!$C:$C,tblMatriculas[[#This Row],[Cédula]],'Base Estudiantes'!$I:$I,tblMatriculas[[#This Row],[Código]])&gt;0,"Sí","No")</f>
        <v>Sí</v>
      </c>
      <c r="Z1565" s="23" cm="1">
        <f t="array" ref="Z1565">_xlfn.XLOOKUP(tblMatriculas[[#This Row],[Cédula]]&amp;"|"&amp;tblMatriculas[[#This Row],[Código]],tblBase[Documento]&amp;"|"&amp;tblBase[Código grupo],tblBase[Fecha matrícula],"")</f>
        <v>46262</v>
      </c>
    </row>
    <row r="1566" spans="1:26" x14ac:dyDescent="0.2">
      <c r="A1566" t="s">
        <v>3282</v>
      </c>
      <c r="B1566" t="s">
        <v>3283</v>
      </c>
      <c r="C1566" t="s">
        <v>13</v>
      </c>
      <c r="D1566" t="s">
        <v>3240</v>
      </c>
      <c r="E1566" t="s">
        <v>3241</v>
      </c>
      <c r="F1566" t="s">
        <v>335</v>
      </c>
      <c r="G1566" s="1">
        <v>0.16699999999999998</v>
      </c>
      <c r="H1566" t="s">
        <v>229</v>
      </c>
      <c r="I1566" t="s">
        <v>3169</v>
      </c>
      <c r="J1566" t="s">
        <v>3242</v>
      </c>
      <c r="K1566" t="s">
        <v>24</v>
      </c>
      <c r="L1566" s="14">
        <f>IFERROR(VALUE(LEFT(tblMatriculas[[#This Row],[Clases]],FIND("/",tblMatriculas[[#This Row],[Clases]])-1)),"")</f>
        <v>5</v>
      </c>
      <c r="M1566" s="14">
        <f>IFERROR(VALUE(MID(tblMatriculas[[#This Row],[Clases]],FIND("/",tblMatriculas[[#This Row],[Clases]])+1,5)),"")</f>
        <v>30</v>
      </c>
      <c r="N15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6" s="14">
        <f>IF(OR(tblMatriculas[[#This Row],[Estado]]&lt;&gt;"activa",tblMatriculas[[#This Row],[Clases dictadas]]=""),"",MAX(0,tblMatriculas[[#This Row],[Clases dictadas]]-tblMatriculas[[#This Row],[Asistidas]]))</f>
        <v>0</v>
      </c>
      <c r="P1566" s="1">
        <f>IF(OR(tblMatriculas[[#This Row],[Estado]]&lt;&gt;"activa",tblMatriculas[[#This Row],[Asistidas]]=""),"",tblMatriculas[[#This Row],[Asistencia]])</f>
        <v>0.16699999999999998</v>
      </c>
      <c r="Q1566" t="b">
        <f>AND(tblMatriculas[[#This Row],[Estado]]="activa",ISNUMBER(tblMatriculas[[#This Row],[% asistencia]]),NOT(ISNUMBER(SEARCH(pPrueba,tblMatriculas[[#This Row],[Nombre]]))))</f>
        <v>1</v>
      </c>
      <c r="R15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6" s="23" t="str" cm="1">
        <f t="array" ref="S15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6" s="23" t="str" cm="1">
        <f t="array" ref="T15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6" s="14" t="str" cm="1">
        <f t="array" ref="U15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6" t="str" cm="1">
        <f t="array" ref="V15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6" t="str" cm="1">
        <f t="array" ref="W15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6" t="str">
        <f>IF(COUNTIFS('Base Estudiantes'!$C:$C,tblMatriculas[[#This Row],[Cédula]],'Base Estudiantes'!$I:$I,tblMatriculas[[#This Row],[Código]])&gt;0,"Sí","No")</f>
        <v>Sí</v>
      </c>
      <c r="Z1566" s="23" cm="1">
        <f t="array" ref="Z1566">_xlfn.XLOOKUP(tblMatriculas[[#This Row],[Cédula]]&amp;"|"&amp;tblMatriculas[[#This Row],[Código]],tblBase[Documento]&amp;"|"&amp;tblBase[Código grupo],tblBase[Fecha matrícula],"")</f>
        <v>46262</v>
      </c>
    </row>
    <row r="1567" spans="1:26" x14ac:dyDescent="0.2">
      <c r="A1567" t="s">
        <v>3284</v>
      </c>
      <c r="B1567" t="s">
        <v>3285</v>
      </c>
      <c r="C1567" t="s">
        <v>13</v>
      </c>
      <c r="D1567" t="s">
        <v>3240</v>
      </c>
      <c r="E1567" t="s">
        <v>3241</v>
      </c>
      <c r="F1567" t="s">
        <v>335</v>
      </c>
      <c r="G1567" s="1">
        <v>0.16699999999999998</v>
      </c>
      <c r="H1567" t="s">
        <v>229</v>
      </c>
      <c r="I1567" t="s">
        <v>3169</v>
      </c>
      <c r="J1567" t="s">
        <v>3242</v>
      </c>
      <c r="K1567" t="s">
        <v>24</v>
      </c>
      <c r="L1567" s="14">
        <f>IFERROR(VALUE(LEFT(tblMatriculas[[#This Row],[Clases]],FIND("/",tblMatriculas[[#This Row],[Clases]])-1)),"")</f>
        <v>5</v>
      </c>
      <c r="M1567" s="14">
        <f>IFERROR(VALUE(MID(tblMatriculas[[#This Row],[Clases]],FIND("/",tblMatriculas[[#This Row],[Clases]])+1,5)),"")</f>
        <v>30</v>
      </c>
      <c r="N15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7" s="14">
        <f>IF(OR(tblMatriculas[[#This Row],[Estado]]&lt;&gt;"activa",tblMatriculas[[#This Row],[Clases dictadas]]=""),"",MAX(0,tblMatriculas[[#This Row],[Clases dictadas]]-tblMatriculas[[#This Row],[Asistidas]]))</f>
        <v>0</v>
      </c>
      <c r="P1567" s="1">
        <f>IF(OR(tblMatriculas[[#This Row],[Estado]]&lt;&gt;"activa",tblMatriculas[[#This Row],[Asistidas]]=""),"",tblMatriculas[[#This Row],[Asistencia]])</f>
        <v>0.16699999999999998</v>
      </c>
      <c r="Q1567" t="b">
        <f>AND(tblMatriculas[[#This Row],[Estado]]="activa",ISNUMBER(tblMatriculas[[#This Row],[% asistencia]]),NOT(ISNUMBER(SEARCH(pPrueba,tblMatriculas[[#This Row],[Nombre]]))))</f>
        <v>1</v>
      </c>
      <c r="R15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7" s="23" t="str" cm="1">
        <f t="array" ref="S15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7" s="23" t="str" cm="1">
        <f t="array" ref="T15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7" s="14" t="str" cm="1">
        <f t="array" ref="U15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7" t="str" cm="1">
        <f t="array" ref="V15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7" t="str" cm="1">
        <f t="array" ref="W15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7" t="str">
        <f>IF(COUNTIFS('Base Estudiantes'!$C:$C,tblMatriculas[[#This Row],[Cédula]],'Base Estudiantes'!$I:$I,tblMatriculas[[#This Row],[Código]])&gt;0,"Sí","No")</f>
        <v>Sí</v>
      </c>
      <c r="Z1567" s="23" cm="1">
        <f t="array" ref="Z1567">_xlfn.XLOOKUP(tblMatriculas[[#This Row],[Cédula]]&amp;"|"&amp;tblMatriculas[[#This Row],[Código]],tblBase[Documento]&amp;"|"&amp;tblBase[Código grupo],tblBase[Fecha matrícula],"")</f>
        <v>46262</v>
      </c>
    </row>
    <row r="1568" spans="1:26" x14ac:dyDescent="0.2">
      <c r="A1568" t="s">
        <v>3286</v>
      </c>
      <c r="B1568" t="s">
        <v>3287</v>
      </c>
      <c r="C1568" t="s">
        <v>13</v>
      </c>
      <c r="D1568" t="s">
        <v>3240</v>
      </c>
      <c r="E1568" t="s">
        <v>3241</v>
      </c>
      <c r="F1568" t="s">
        <v>335</v>
      </c>
      <c r="G1568" s="1">
        <v>0.13300000000000001</v>
      </c>
      <c r="H1568" t="s">
        <v>112</v>
      </c>
      <c r="I1568" t="s">
        <v>3169</v>
      </c>
      <c r="J1568" t="s">
        <v>3242</v>
      </c>
      <c r="K1568" t="s">
        <v>24</v>
      </c>
      <c r="L1568" s="14">
        <f>IFERROR(VALUE(LEFT(tblMatriculas[[#This Row],[Clases]],FIND("/",tblMatriculas[[#This Row],[Clases]])-1)),"")</f>
        <v>4</v>
      </c>
      <c r="M1568" s="14">
        <f>IFERROR(VALUE(MID(tblMatriculas[[#This Row],[Clases]],FIND("/",tblMatriculas[[#This Row],[Clases]])+1,5)),"")</f>
        <v>30</v>
      </c>
      <c r="N15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8" s="14">
        <f>IF(OR(tblMatriculas[[#This Row],[Estado]]&lt;&gt;"activa",tblMatriculas[[#This Row],[Clases dictadas]]=""),"",MAX(0,tblMatriculas[[#This Row],[Clases dictadas]]-tblMatriculas[[#This Row],[Asistidas]]))</f>
        <v>1</v>
      </c>
      <c r="P1568" s="1">
        <f>IF(OR(tblMatriculas[[#This Row],[Estado]]&lt;&gt;"activa",tblMatriculas[[#This Row],[Asistidas]]=""),"",tblMatriculas[[#This Row],[Asistencia]])</f>
        <v>0.13300000000000001</v>
      </c>
      <c r="Q1568" t="b">
        <f>AND(tblMatriculas[[#This Row],[Estado]]="activa",ISNUMBER(tblMatriculas[[#This Row],[% asistencia]]),NOT(ISNUMBER(SEARCH(pPrueba,tblMatriculas[[#This Row],[Nombre]]))))</f>
        <v>1</v>
      </c>
      <c r="R15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8" s="23" t="str" cm="1">
        <f t="array" ref="S15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8" s="23" t="str" cm="1">
        <f t="array" ref="T15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8" s="14" t="str" cm="1">
        <f t="array" ref="U15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8" t="str" cm="1">
        <f t="array" ref="V15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8" t="str" cm="1">
        <f t="array" ref="W15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8" t="str">
        <f>IF(COUNTIFS('Base Estudiantes'!$C:$C,tblMatriculas[[#This Row],[Cédula]],'Base Estudiantes'!$I:$I,tblMatriculas[[#This Row],[Código]])&gt;0,"Sí","No")</f>
        <v>Sí</v>
      </c>
      <c r="Z1568" s="23" cm="1">
        <f t="array" ref="Z1568">_xlfn.XLOOKUP(tblMatriculas[[#This Row],[Cédula]]&amp;"|"&amp;tblMatriculas[[#This Row],[Código]],tblBase[Documento]&amp;"|"&amp;tblBase[Código grupo],tblBase[Fecha matrícula],"")</f>
        <v>46262</v>
      </c>
    </row>
    <row r="1569" spans="1:26" x14ac:dyDescent="0.2">
      <c r="A1569" t="s">
        <v>3288</v>
      </c>
      <c r="B1569" t="s">
        <v>3289</v>
      </c>
      <c r="C1569" t="s">
        <v>13</v>
      </c>
      <c r="D1569" t="s">
        <v>3240</v>
      </c>
      <c r="E1569" t="s">
        <v>3241</v>
      </c>
      <c r="F1569" t="s">
        <v>335</v>
      </c>
      <c r="G1569" s="1">
        <v>0.1</v>
      </c>
      <c r="H1569" t="s">
        <v>117</v>
      </c>
      <c r="I1569" t="s">
        <v>3169</v>
      </c>
      <c r="J1569" t="s">
        <v>3242</v>
      </c>
      <c r="K1569" t="s">
        <v>24</v>
      </c>
      <c r="L1569" s="14">
        <f>IFERROR(VALUE(LEFT(tblMatriculas[[#This Row],[Clases]],FIND("/",tblMatriculas[[#This Row],[Clases]])-1)),"")</f>
        <v>3</v>
      </c>
      <c r="M1569" s="14">
        <f>IFERROR(VALUE(MID(tblMatriculas[[#This Row],[Clases]],FIND("/",tblMatriculas[[#This Row],[Clases]])+1,5)),"")</f>
        <v>30</v>
      </c>
      <c r="N15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69" s="14">
        <f>IF(OR(tblMatriculas[[#This Row],[Estado]]&lt;&gt;"activa",tblMatriculas[[#This Row],[Clases dictadas]]=""),"",MAX(0,tblMatriculas[[#This Row],[Clases dictadas]]-tblMatriculas[[#This Row],[Asistidas]]))</f>
        <v>2</v>
      </c>
      <c r="P1569" s="1">
        <f>IF(OR(tblMatriculas[[#This Row],[Estado]]&lt;&gt;"activa",tblMatriculas[[#This Row],[Asistidas]]=""),"",tblMatriculas[[#This Row],[Asistencia]])</f>
        <v>0.1</v>
      </c>
      <c r="Q1569" t="b">
        <f>AND(tblMatriculas[[#This Row],[Estado]]="activa",ISNUMBER(tblMatriculas[[#This Row],[% asistencia]]),NOT(ISNUMBER(SEARCH(pPrueba,tblMatriculas[[#This Row],[Nombre]]))))</f>
        <v>1</v>
      </c>
      <c r="R15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69" s="23" t="str" cm="1">
        <f t="array" ref="S15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69" s="23" t="str" cm="1">
        <f t="array" ref="T15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69" s="14" t="str" cm="1">
        <f t="array" ref="U15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69" t="str" cm="1">
        <f t="array" ref="V15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69" t="str" cm="1">
        <f t="array" ref="W15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69" t="str">
        <f>IF(COUNTIFS('Base Estudiantes'!$C:$C,tblMatriculas[[#This Row],[Cédula]],'Base Estudiantes'!$I:$I,tblMatriculas[[#This Row],[Código]])&gt;0,"Sí","No")</f>
        <v>Sí</v>
      </c>
      <c r="Z1569" s="23" cm="1">
        <f t="array" ref="Z1569">_xlfn.XLOOKUP(tblMatriculas[[#This Row],[Cédula]]&amp;"|"&amp;tblMatriculas[[#This Row],[Código]],tblBase[Documento]&amp;"|"&amp;tblBase[Código grupo],tblBase[Fecha matrícula],"")</f>
        <v>46262</v>
      </c>
    </row>
    <row r="1570" spans="1:26" x14ac:dyDescent="0.2">
      <c r="A1570" t="s">
        <v>3290</v>
      </c>
      <c r="B1570" t="s">
        <v>3291</v>
      </c>
      <c r="C1570" t="s">
        <v>13</v>
      </c>
      <c r="D1570" t="s">
        <v>3240</v>
      </c>
      <c r="E1570" t="s">
        <v>3241</v>
      </c>
      <c r="F1570" t="s">
        <v>335</v>
      </c>
      <c r="G1570" s="1">
        <v>0.16699999999999998</v>
      </c>
      <c r="H1570" t="s">
        <v>229</v>
      </c>
      <c r="I1570" t="s">
        <v>3169</v>
      </c>
      <c r="J1570" t="s">
        <v>3242</v>
      </c>
      <c r="K1570" t="s">
        <v>24</v>
      </c>
      <c r="L1570" s="14">
        <f>IFERROR(VALUE(LEFT(tblMatriculas[[#This Row],[Clases]],FIND("/",tblMatriculas[[#This Row],[Clases]])-1)),"")</f>
        <v>5</v>
      </c>
      <c r="M1570" s="14">
        <f>IFERROR(VALUE(MID(tblMatriculas[[#This Row],[Clases]],FIND("/",tblMatriculas[[#This Row],[Clases]])+1,5)),"")</f>
        <v>30</v>
      </c>
      <c r="N15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0" s="14">
        <f>IF(OR(tblMatriculas[[#This Row],[Estado]]&lt;&gt;"activa",tblMatriculas[[#This Row],[Clases dictadas]]=""),"",MAX(0,tblMatriculas[[#This Row],[Clases dictadas]]-tblMatriculas[[#This Row],[Asistidas]]))</f>
        <v>0</v>
      </c>
      <c r="P1570" s="1">
        <f>IF(OR(tblMatriculas[[#This Row],[Estado]]&lt;&gt;"activa",tblMatriculas[[#This Row],[Asistidas]]=""),"",tblMatriculas[[#This Row],[Asistencia]])</f>
        <v>0.16699999999999998</v>
      </c>
      <c r="Q1570" t="b">
        <f>AND(tblMatriculas[[#This Row],[Estado]]="activa",ISNUMBER(tblMatriculas[[#This Row],[% asistencia]]),NOT(ISNUMBER(SEARCH(pPrueba,tblMatriculas[[#This Row],[Nombre]]))))</f>
        <v>1</v>
      </c>
      <c r="R15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0" s="23" t="str" cm="1">
        <f t="array" ref="S15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0" s="23" t="str" cm="1">
        <f t="array" ref="T15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0" s="14" t="str" cm="1">
        <f t="array" ref="U15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0" t="str" cm="1">
        <f t="array" ref="V15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0" t="str" cm="1">
        <f t="array" ref="W15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0" t="str">
        <f>IF(COUNTIFS('Base Estudiantes'!$C:$C,tblMatriculas[[#This Row],[Cédula]],'Base Estudiantes'!$I:$I,tblMatriculas[[#This Row],[Código]])&gt;0,"Sí","No")</f>
        <v>Sí</v>
      </c>
      <c r="Z1570" s="23" cm="1">
        <f t="array" ref="Z1570">_xlfn.XLOOKUP(tblMatriculas[[#This Row],[Cédula]]&amp;"|"&amp;tblMatriculas[[#This Row],[Código]],tblBase[Documento]&amp;"|"&amp;tblBase[Código grupo],tblBase[Fecha matrícula],"")</f>
        <v>46262</v>
      </c>
    </row>
    <row r="1571" spans="1:26" x14ac:dyDescent="0.2">
      <c r="A1571" t="s">
        <v>3292</v>
      </c>
      <c r="B1571" t="s">
        <v>3293</v>
      </c>
      <c r="C1571" t="s">
        <v>13</v>
      </c>
      <c r="D1571" t="s">
        <v>3240</v>
      </c>
      <c r="E1571" t="s">
        <v>3241</v>
      </c>
      <c r="F1571" t="s">
        <v>335</v>
      </c>
      <c r="G1571" s="1">
        <v>0.13300000000000001</v>
      </c>
      <c r="H1571" t="s">
        <v>112</v>
      </c>
      <c r="I1571" t="s">
        <v>3169</v>
      </c>
      <c r="J1571" t="s">
        <v>3242</v>
      </c>
      <c r="K1571" t="s">
        <v>24</v>
      </c>
      <c r="L1571" s="14">
        <f>IFERROR(VALUE(LEFT(tblMatriculas[[#This Row],[Clases]],FIND("/",tblMatriculas[[#This Row],[Clases]])-1)),"")</f>
        <v>4</v>
      </c>
      <c r="M1571" s="14">
        <f>IFERROR(VALUE(MID(tblMatriculas[[#This Row],[Clases]],FIND("/",tblMatriculas[[#This Row],[Clases]])+1,5)),"")</f>
        <v>30</v>
      </c>
      <c r="N15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1" s="14">
        <f>IF(OR(tblMatriculas[[#This Row],[Estado]]&lt;&gt;"activa",tblMatriculas[[#This Row],[Clases dictadas]]=""),"",MAX(0,tblMatriculas[[#This Row],[Clases dictadas]]-tblMatriculas[[#This Row],[Asistidas]]))</f>
        <v>1</v>
      </c>
      <c r="P1571" s="1">
        <f>IF(OR(tblMatriculas[[#This Row],[Estado]]&lt;&gt;"activa",tblMatriculas[[#This Row],[Asistidas]]=""),"",tblMatriculas[[#This Row],[Asistencia]])</f>
        <v>0.13300000000000001</v>
      </c>
      <c r="Q1571" t="b">
        <f>AND(tblMatriculas[[#This Row],[Estado]]="activa",ISNUMBER(tblMatriculas[[#This Row],[% asistencia]]),NOT(ISNUMBER(SEARCH(pPrueba,tblMatriculas[[#This Row],[Nombre]]))))</f>
        <v>1</v>
      </c>
      <c r="R15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1" s="23" t="str" cm="1">
        <f t="array" ref="S15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1" s="23" t="str" cm="1">
        <f t="array" ref="T15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1" s="14" t="str" cm="1">
        <f t="array" ref="U15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1" t="str" cm="1">
        <f t="array" ref="V15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1" t="str" cm="1">
        <f t="array" ref="W15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1" t="str">
        <f>IF(COUNTIFS('Base Estudiantes'!$C:$C,tblMatriculas[[#This Row],[Cédula]],'Base Estudiantes'!$I:$I,tblMatriculas[[#This Row],[Código]])&gt;0,"Sí","No")</f>
        <v>Sí</v>
      </c>
      <c r="Z1571" s="23" cm="1">
        <f t="array" ref="Z1571">_xlfn.XLOOKUP(tblMatriculas[[#This Row],[Cédula]]&amp;"|"&amp;tblMatriculas[[#This Row],[Código]],tblBase[Documento]&amp;"|"&amp;tblBase[Código grupo],tblBase[Fecha matrícula],"")</f>
        <v>46262</v>
      </c>
    </row>
    <row r="1572" spans="1:26" x14ac:dyDescent="0.2">
      <c r="A1572" t="s">
        <v>3294</v>
      </c>
      <c r="B1572" t="s">
        <v>3295</v>
      </c>
      <c r="C1572" t="s">
        <v>13</v>
      </c>
      <c r="D1572" t="s">
        <v>3240</v>
      </c>
      <c r="E1572" t="s">
        <v>3241</v>
      </c>
      <c r="F1572" t="s">
        <v>335</v>
      </c>
      <c r="G1572" s="1">
        <v>0.16699999999999998</v>
      </c>
      <c r="H1572" t="s">
        <v>229</v>
      </c>
      <c r="I1572" t="s">
        <v>3169</v>
      </c>
      <c r="J1572" t="s">
        <v>3242</v>
      </c>
      <c r="K1572" t="s">
        <v>24</v>
      </c>
      <c r="L1572" s="14">
        <f>IFERROR(VALUE(LEFT(tblMatriculas[[#This Row],[Clases]],FIND("/",tblMatriculas[[#This Row],[Clases]])-1)),"")</f>
        <v>5</v>
      </c>
      <c r="M1572" s="14">
        <f>IFERROR(VALUE(MID(tblMatriculas[[#This Row],[Clases]],FIND("/",tblMatriculas[[#This Row],[Clases]])+1,5)),"")</f>
        <v>30</v>
      </c>
      <c r="N15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2" s="14">
        <f>IF(OR(tblMatriculas[[#This Row],[Estado]]&lt;&gt;"activa",tblMatriculas[[#This Row],[Clases dictadas]]=""),"",MAX(0,tblMatriculas[[#This Row],[Clases dictadas]]-tblMatriculas[[#This Row],[Asistidas]]))</f>
        <v>0</v>
      </c>
      <c r="P1572" s="1">
        <f>IF(OR(tblMatriculas[[#This Row],[Estado]]&lt;&gt;"activa",tblMatriculas[[#This Row],[Asistidas]]=""),"",tblMatriculas[[#This Row],[Asistencia]])</f>
        <v>0.16699999999999998</v>
      </c>
      <c r="Q1572" t="b">
        <f>AND(tblMatriculas[[#This Row],[Estado]]="activa",ISNUMBER(tblMatriculas[[#This Row],[% asistencia]]),NOT(ISNUMBER(SEARCH(pPrueba,tblMatriculas[[#This Row],[Nombre]]))))</f>
        <v>1</v>
      </c>
      <c r="R15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2" s="23" t="str" cm="1">
        <f t="array" ref="S15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2" s="23" t="str" cm="1">
        <f t="array" ref="T15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2" s="14" t="str" cm="1">
        <f t="array" ref="U15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2" t="str" cm="1">
        <f t="array" ref="V15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2" t="str" cm="1">
        <f t="array" ref="W15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2" t="str">
        <f>IF(COUNTIFS('Base Estudiantes'!$C:$C,tblMatriculas[[#This Row],[Cédula]],'Base Estudiantes'!$I:$I,tblMatriculas[[#This Row],[Código]])&gt;0,"Sí","No")</f>
        <v>Sí</v>
      </c>
      <c r="Z1572" s="23" cm="1">
        <f t="array" ref="Z1572">_xlfn.XLOOKUP(tblMatriculas[[#This Row],[Cédula]]&amp;"|"&amp;tblMatriculas[[#This Row],[Código]],tblBase[Documento]&amp;"|"&amp;tblBase[Código grupo],tblBase[Fecha matrícula],"")</f>
        <v>46262</v>
      </c>
    </row>
    <row r="1573" spans="1:26" x14ac:dyDescent="0.2">
      <c r="A1573" t="s">
        <v>3296</v>
      </c>
      <c r="B1573" t="s">
        <v>3297</v>
      </c>
      <c r="C1573" t="s">
        <v>13</v>
      </c>
      <c r="D1573" t="s">
        <v>3240</v>
      </c>
      <c r="E1573" t="s">
        <v>3241</v>
      </c>
      <c r="F1573" t="s">
        <v>335</v>
      </c>
      <c r="G1573" s="1">
        <v>0.13300000000000001</v>
      </c>
      <c r="H1573" t="s">
        <v>112</v>
      </c>
      <c r="I1573" t="s">
        <v>3169</v>
      </c>
      <c r="J1573" t="s">
        <v>3242</v>
      </c>
      <c r="K1573" t="s">
        <v>24</v>
      </c>
      <c r="L1573" s="14">
        <f>IFERROR(VALUE(LEFT(tblMatriculas[[#This Row],[Clases]],FIND("/",tblMatriculas[[#This Row],[Clases]])-1)),"")</f>
        <v>4</v>
      </c>
      <c r="M1573" s="14">
        <f>IFERROR(VALUE(MID(tblMatriculas[[#This Row],[Clases]],FIND("/",tblMatriculas[[#This Row],[Clases]])+1,5)),"")</f>
        <v>30</v>
      </c>
      <c r="N15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3" s="14">
        <f>IF(OR(tblMatriculas[[#This Row],[Estado]]&lt;&gt;"activa",tblMatriculas[[#This Row],[Clases dictadas]]=""),"",MAX(0,tblMatriculas[[#This Row],[Clases dictadas]]-tblMatriculas[[#This Row],[Asistidas]]))</f>
        <v>1</v>
      </c>
      <c r="P1573" s="1">
        <f>IF(OR(tblMatriculas[[#This Row],[Estado]]&lt;&gt;"activa",tblMatriculas[[#This Row],[Asistidas]]=""),"",tblMatriculas[[#This Row],[Asistencia]])</f>
        <v>0.13300000000000001</v>
      </c>
      <c r="Q1573" t="b">
        <f>AND(tblMatriculas[[#This Row],[Estado]]="activa",ISNUMBER(tblMatriculas[[#This Row],[% asistencia]]),NOT(ISNUMBER(SEARCH(pPrueba,tblMatriculas[[#This Row],[Nombre]]))))</f>
        <v>1</v>
      </c>
      <c r="R15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3" s="23" t="str" cm="1">
        <f t="array" ref="S15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3" s="23" t="str" cm="1">
        <f t="array" ref="T15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3" s="14" t="str" cm="1">
        <f t="array" ref="U15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3" t="str" cm="1">
        <f t="array" ref="V15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3" t="str" cm="1">
        <f t="array" ref="W15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3" t="str">
        <f>IF(COUNTIFS('Base Estudiantes'!$C:$C,tblMatriculas[[#This Row],[Cédula]],'Base Estudiantes'!$I:$I,tblMatriculas[[#This Row],[Código]])&gt;0,"Sí","No")</f>
        <v>Sí</v>
      </c>
      <c r="Z1573" s="23" cm="1">
        <f t="array" ref="Z1573">_xlfn.XLOOKUP(tblMatriculas[[#This Row],[Cédula]]&amp;"|"&amp;tblMatriculas[[#This Row],[Código]],tblBase[Documento]&amp;"|"&amp;tblBase[Código grupo],tblBase[Fecha matrícula],"")</f>
        <v>46262</v>
      </c>
    </row>
    <row r="1574" spans="1:26" x14ac:dyDescent="0.2">
      <c r="A1574" t="s">
        <v>3298</v>
      </c>
      <c r="B1574" t="s">
        <v>3299</v>
      </c>
      <c r="C1574" t="s">
        <v>13</v>
      </c>
      <c r="D1574" t="s">
        <v>3240</v>
      </c>
      <c r="E1574" t="s">
        <v>3241</v>
      </c>
      <c r="F1574" t="s">
        <v>335</v>
      </c>
      <c r="G1574" s="1">
        <v>6.7000000000000004E-2</v>
      </c>
      <c r="H1574" t="s">
        <v>166</v>
      </c>
      <c r="I1574" t="s">
        <v>3169</v>
      </c>
      <c r="J1574" t="s">
        <v>3242</v>
      </c>
      <c r="K1574" t="s">
        <v>24</v>
      </c>
      <c r="L1574" s="14">
        <f>IFERROR(VALUE(LEFT(tblMatriculas[[#This Row],[Clases]],FIND("/",tblMatriculas[[#This Row],[Clases]])-1)),"")</f>
        <v>2</v>
      </c>
      <c r="M1574" s="14">
        <f>IFERROR(VALUE(MID(tblMatriculas[[#This Row],[Clases]],FIND("/",tblMatriculas[[#This Row],[Clases]])+1,5)),"")</f>
        <v>30</v>
      </c>
      <c r="N15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4" s="14">
        <f>IF(OR(tblMatriculas[[#This Row],[Estado]]&lt;&gt;"activa",tblMatriculas[[#This Row],[Clases dictadas]]=""),"",MAX(0,tblMatriculas[[#This Row],[Clases dictadas]]-tblMatriculas[[#This Row],[Asistidas]]))</f>
        <v>3</v>
      </c>
      <c r="P1574" s="1">
        <f>IF(OR(tblMatriculas[[#This Row],[Estado]]&lt;&gt;"activa",tblMatriculas[[#This Row],[Asistidas]]=""),"",tblMatriculas[[#This Row],[Asistencia]])</f>
        <v>6.7000000000000004E-2</v>
      </c>
      <c r="Q1574" t="b">
        <f>AND(tblMatriculas[[#This Row],[Estado]]="activa",ISNUMBER(tblMatriculas[[#This Row],[% asistencia]]),NOT(ISNUMBER(SEARCH(pPrueba,tblMatriculas[[#This Row],[Nombre]]))))</f>
        <v>1</v>
      </c>
      <c r="R15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74" s="23" t="str" cm="1">
        <f t="array" ref="S15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4" s="23" t="str" cm="1">
        <f t="array" ref="T15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4" s="14" t="str" cm="1">
        <f t="array" ref="U15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4" t="str" cm="1">
        <f t="array" ref="V15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4" t="str" cm="1">
        <f t="array" ref="W15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74" t="str">
        <f>IF(COUNTIFS('Base Estudiantes'!$C:$C,tblMatriculas[[#This Row],[Cédula]],'Base Estudiantes'!$I:$I,tblMatriculas[[#This Row],[Código]])&gt;0,"Sí","No")</f>
        <v>Sí</v>
      </c>
      <c r="Z1574" s="23" cm="1">
        <f t="array" ref="Z1574">_xlfn.XLOOKUP(tblMatriculas[[#This Row],[Cédula]]&amp;"|"&amp;tblMatriculas[[#This Row],[Código]],tblBase[Documento]&amp;"|"&amp;tblBase[Código grupo],tblBase[Fecha matrícula],"")</f>
        <v>46262</v>
      </c>
    </row>
    <row r="1575" spans="1:26" x14ac:dyDescent="0.2">
      <c r="A1575" t="s">
        <v>3300</v>
      </c>
      <c r="B1575" t="s">
        <v>3301</v>
      </c>
      <c r="C1575" t="s">
        <v>13</v>
      </c>
      <c r="D1575" t="s">
        <v>3240</v>
      </c>
      <c r="E1575" t="s">
        <v>3241</v>
      </c>
      <c r="F1575" t="s">
        <v>335</v>
      </c>
      <c r="G1575" s="1">
        <v>0.16699999999999998</v>
      </c>
      <c r="H1575" t="s">
        <v>229</v>
      </c>
      <c r="I1575" t="s">
        <v>3169</v>
      </c>
      <c r="J1575" t="s">
        <v>3242</v>
      </c>
      <c r="K1575" t="s">
        <v>24</v>
      </c>
      <c r="L1575" s="14">
        <f>IFERROR(VALUE(LEFT(tblMatriculas[[#This Row],[Clases]],FIND("/",tblMatriculas[[#This Row],[Clases]])-1)),"")</f>
        <v>5</v>
      </c>
      <c r="M1575" s="14">
        <f>IFERROR(VALUE(MID(tblMatriculas[[#This Row],[Clases]],FIND("/",tblMatriculas[[#This Row],[Clases]])+1,5)),"")</f>
        <v>30</v>
      </c>
      <c r="N15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5" s="14">
        <f>IF(OR(tblMatriculas[[#This Row],[Estado]]&lt;&gt;"activa",tblMatriculas[[#This Row],[Clases dictadas]]=""),"",MAX(0,tblMatriculas[[#This Row],[Clases dictadas]]-tblMatriculas[[#This Row],[Asistidas]]))</f>
        <v>0</v>
      </c>
      <c r="P1575" s="1">
        <f>IF(OR(tblMatriculas[[#This Row],[Estado]]&lt;&gt;"activa",tblMatriculas[[#This Row],[Asistidas]]=""),"",tblMatriculas[[#This Row],[Asistencia]])</f>
        <v>0.16699999999999998</v>
      </c>
      <c r="Q1575" t="b">
        <f>AND(tblMatriculas[[#This Row],[Estado]]="activa",ISNUMBER(tblMatriculas[[#This Row],[% asistencia]]),NOT(ISNUMBER(SEARCH(pPrueba,tblMatriculas[[#This Row],[Nombre]]))))</f>
        <v>1</v>
      </c>
      <c r="R15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5" s="23" t="str" cm="1">
        <f t="array" ref="S15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5" s="23" t="str" cm="1">
        <f t="array" ref="T15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5" s="14" t="str" cm="1">
        <f t="array" ref="U15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5" t="str" cm="1">
        <f t="array" ref="V15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5" t="str" cm="1">
        <f t="array" ref="W15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5" t="str">
        <f>IF(COUNTIFS('Base Estudiantes'!$C:$C,tblMatriculas[[#This Row],[Cédula]],'Base Estudiantes'!$I:$I,tblMatriculas[[#This Row],[Código]])&gt;0,"Sí","No")</f>
        <v>Sí</v>
      </c>
      <c r="Z1575" s="23" cm="1">
        <f t="array" ref="Z1575">_xlfn.XLOOKUP(tblMatriculas[[#This Row],[Cédula]]&amp;"|"&amp;tblMatriculas[[#This Row],[Código]],tblBase[Documento]&amp;"|"&amp;tblBase[Código grupo],tblBase[Fecha matrícula],"")</f>
        <v>46262</v>
      </c>
    </row>
    <row r="1576" spans="1:26" x14ac:dyDescent="0.2">
      <c r="A1576" t="s">
        <v>3302</v>
      </c>
      <c r="B1576" t="s">
        <v>3303</v>
      </c>
      <c r="C1576" t="s">
        <v>13</v>
      </c>
      <c r="D1576" t="s">
        <v>3240</v>
      </c>
      <c r="E1576" t="s">
        <v>3241</v>
      </c>
      <c r="F1576" t="s">
        <v>335</v>
      </c>
      <c r="G1576" s="1">
        <v>0.16699999999999998</v>
      </c>
      <c r="H1576" t="s">
        <v>229</v>
      </c>
      <c r="I1576" t="s">
        <v>3169</v>
      </c>
      <c r="J1576" t="s">
        <v>3242</v>
      </c>
      <c r="K1576" t="s">
        <v>24</v>
      </c>
      <c r="L1576" s="14">
        <f>IFERROR(VALUE(LEFT(tblMatriculas[[#This Row],[Clases]],FIND("/",tblMatriculas[[#This Row],[Clases]])-1)),"")</f>
        <v>5</v>
      </c>
      <c r="M1576" s="14">
        <f>IFERROR(VALUE(MID(tblMatriculas[[#This Row],[Clases]],FIND("/",tblMatriculas[[#This Row],[Clases]])+1,5)),"")</f>
        <v>30</v>
      </c>
      <c r="N15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6" s="14">
        <f>IF(OR(tblMatriculas[[#This Row],[Estado]]&lt;&gt;"activa",tblMatriculas[[#This Row],[Clases dictadas]]=""),"",MAX(0,tblMatriculas[[#This Row],[Clases dictadas]]-tblMatriculas[[#This Row],[Asistidas]]))</f>
        <v>0</v>
      </c>
      <c r="P1576" s="1">
        <f>IF(OR(tblMatriculas[[#This Row],[Estado]]&lt;&gt;"activa",tblMatriculas[[#This Row],[Asistidas]]=""),"",tblMatriculas[[#This Row],[Asistencia]])</f>
        <v>0.16699999999999998</v>
      </c>
      <c r="Q1576" t="b">
        <f>AND(tblMatriculas[[#This Row],[Estado]]="activa",ISNUMBER(tblMatriculas[[#This Row],[% asistencia]]),NOT(ISNUMBER(SEARCH(pPrueba,tblMatriculas[[#This Row],[Nombre]]))))</f>
        <v>1</v>
      </c>
      <c r="R15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6" s="23" t="str" cm="1">
        <f t="array" ref="S15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6" s="23" t="str" cm="1">
        <f t="array" ref="T15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6" s="14" t="str" cm="1">
        <f t="array" ref="U15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6" t="str" cm="1">
        <f t="array" ref="V15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6" t="str" cm="1">
        <f t="array" ref="W15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6" t="str">
        <f>IF(COUNTIFS('Base Estudiantes'!$C:$C,tblMatriculas[[#This Row],[Cédula]],'Base Estudiantes'!$I:$I,tblMatriculas[[#This Row],[Código]])&gt;0,"Sí","No")</f>
        <v>Sí</v>
      </c>
      <c r="Z1576" s="23" cm="1">
        <f t="array" ref="Z1576">_xlfn.XLOOKUP(tblMatriculas[[#This Row],[Cédula]]&amp;"|"&amp;tblMatriculas[[#This Row],[Código]],tblBase[Documento]&amp;"|"&amp;tblBase[Código grupo],tblBase[Fecha matrícula],"")</f>
        <v>46262</v>
      </c>
    </row>
    <row r="1577" spans="1:26" x14ac:dyDescent="0.2">
      <c r="A1577" t="s">
        <v>3304</v>
      </c>
      <c r="B1577" t="s">
        <v>3305</v>
      </c>
      <c r="C1577" t="s">
        <v>13</v>
      </c>
      <c r="D1577" t="s">
        <v>3240</v>
      </c>
      <c r="E1577" t="s">
        <v>3241</v>
      </c>
      <c r="F1577" t="s">
        <v>335</v>
      </c>
      <c r="G1577" s="1">
        <v>6.7000000000000004E-2</v>
      </c>
      <c r="H1577" t="s">
        <v>166</v>
      </c>
      <c r="I1577" t="s">
        <v>3169</v>
      </c>
      <c r="J1577" t="s">
        <v>3242</v>
      </c>
      <c r="K1577" t="s">
        <v>24</v>
      </c>
      <c r="L1577" s="14">
        <f>IFERROR(VALUE(LEFT(tblMatriculas[[#This Row],[Clases]],FIND("/",tblMatriculas[[#This Row],[Clases]])-1)),"")</f>
        <v>2</v>
      </c>
      <c r="M1577" s="14">
        <f>IFERROR(VALUE(MID(tblMatriculas[[#This Row],[Clases]],FIND("/",tblMatriculas[[#This Row],[Clases]])+1,5)),"")</f>
        <v>30</v>
      </c>
      <c r="N15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7" s="14">
        <f>IF(OR(tblMatriculas[[#This Row],[Estado]]&lt;&gt;"activa",tblMatriculas[[#This Row],[Clases dictadas]]=""),"",MAX(0,tblMatriculas[[#This Row],[Clases dictadas]]-tblMatriculas[[#This Row],[Asistidas]]))</f>
        <v>3</v>
      </c>
      <c r="P1577" s="1">
        <f>IF(OR(tblMatriculas[[#This Row],[Estado]]&lt;&gt;"activa",tblMatriculas[[#This Row],[Asistidas]]=""),"",tblMatriculas[[#This Row],[Asistencia]])</f>
        <v>6.7000000000000004E-2</v>
      </c>
      <c r="Q1577" t="b">
        <f>AND(tblMatriculas[[#This Row],[Estado]]="activa",ISNUMBER(tblMatriculas[[#This Row],[% asistencia]]),NOT(ISNUMBER(SEARCH(pPrueba,tblMatriculas[[#This Row],[Nombre]]))))</f>
        <v>1</v>
      </c>
      <c r="R15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77" s="23" t="str" cm="1">
        <f t="array" ref="S15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7" s="23" t="str" cm="1">
        <f t="array" ref="T15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7" s="14" t="str" cm="1">
        <f t="array" ref="U15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7" t="str" cm="1">
        <f t="array" ref="V15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7" t="str" cm="1">
        <f t="array" ref="W15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77" t="str">
        <f>IF(COUNTIFS('Base Estudiantes'!$C:$C,tblMatriculas[[#This Row],[Cédula]],'Base Estudiantes'!$I:$I,tblMatriculas[[#This Row],[Código]])&gt;0,"Sí","No")</f>
        <v>Sí</v>
      </c>
      <c r="Z1577" s="23" cm="1">
        <f t="array" ref="Z1577">_xlfn.XLOOKUP(tblMatriculas[[#This Row],[Cédula]]&amp;"|"&amp;tblMatriculas[[#This Row],[Código]],tblBase[Documento]&amp;"|"&amp;tblBase[Código grupo],tblBase[Fecha matrícula],"")</f>
        <v>46262</v>
      </c>
    </row>
    <row r="1578" spans="1:26" x14ac:dyDescent="0.2">
      <c r="A1578" t="s">
        <v>3306</v>
      </c>
      <c r="B1578" t="s">
        <v>3307</v>
      </c>
      <c r="C1578" t="s">
        <v>13</v>
      </c>
      <c r="D1578" t="s">
        <v>3240</v>
      </c>
      <c r="E1578" t="s">
        <v>3241</v>
      </c>
      <c r="F1578" t="s">
        <v>335</v>
      </c>
      <c r="G1578" s="1">
        <v>0.13300000000000001</v>
      </c>
      <c r="H1578" t="s">
        <v>112</v>
      </c>
      <c r="I1578" t="s">
        <v>3169</v>
      </c>
      <c r="J1578" t="s">
        <v>3242</v>
      </c>
      <c r="K1578" t="s">
        <v>24</v>
      </c>
      <c r="L1578" s="14">
        <f>IFERROR(VALUE(LEFT(tblMatriculas[[#This Row],[Clases]],FIND("/",tblMatriculas[[#This Row],[Clases]])-1)),"")</f>
        <v>4</v>
      </c>
      <c r="M1578" s="14">
        <f>IFERROR(VALUE(MID(tblMatriculas[[#This Row],[Clases]],FIND("/",tblMatriculas[[#This Row],[Clases]])+1,5)),"")</f>
        <v>30</v>
      </c>
      <c r="N15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8" s="14">
        <f>IF(OR(tblMatriculas[[#This Row],[Estado]]&lt;&gt;"activa",tblMatriculas[[#This Row],[Clases dictadas]]=""),"",MAX(0,tblMatriculas[[#This Row],[Clases dictadas]]-tblMatriculas[[#This Row],[Asistidas]]))</f>
        <v>1</v>
      </c>
      <c r="P1578" s="1">
        <f>IF(OR(tblMatriculas[[#This Row],[Estado]]&lt;&gt;"activa",tblMatriculas[[#This Row],[Asistidas]]=""),"",tblMatriculas[[#This Row],[Asistencia]])</f>
        <v>0.13300000000000001</v>
      </c>
      <c r="Q1578" t="b">
        <f>AND(tblMatriculas[[#This Row],[Estado]]="activa",ISNUMBER(tblMatriculas[[#This Row],[% asistencia]]),NOT(ISNUMBER(SEARCH(pPrueba,tblMatriculas[[#This Row],[Nombre]]))))</f>
        <v>1</v>
      </c>
      <c r="R15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8" s="23" t="str" cm="1">
        <f t="array" ref="S15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8" s="23" t="str" cm="1">
        <f t="array" ref="T15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8" s="14" t="str" cm="1">
        <f t="array" ref="U15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8" t="str" cm="1">
        <f t="array" ref="V15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8" t="str" cm="1">
        <f t="array" ref="W15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8" t="str">
        <f>IF(COUNTIFS('Base Estudiantes'!$C:$C,tblMatriculas[[#This Row],[Cédula]],'Base Estudiantes'!$I:$I,tblMatriculas[[#This Row],[Código]])&gt;0,"Sí","No")</f>
        <v>Sí</v>
      </c>
      <c r="Z1578" s="23" cm="1">
        <f t="array" ref="Z1578">_xlfn.XLOOKUP(tblMatriculas[[#This Row],[Cédula]]&amp;"|"&amp;tblMatriculas[[#This Row],[Código]],tblBase[Documento]&amp;"|"&amp;tblBase[Código grupo],tblBase[Fecha matrícula],"")</f>
        <v>46262</v>
      </c>
    </row>
    <row r="1579" spans="1:26" x14ac:dyDescent="0.2">
      <c r="A1579" t="s">
        <v>3308</v>
      </c>
      <c r="B1579" t="s">
        <v>3309</v>
      </c>
      <c r="C1579" t="s">
        <v>13</v>
      </c>
      <c r="D1579" t="s">
        <v>3240</v>
      </c>
      <c r="E1579" t="s">
        <v>3241</v>
      </c>
      <c r="F1579" t="s">
        <v>335</v>
      </c>
      <c r="G1579" s="1">
        <v>0.13300000000000001</v>
      </c>
      <c r="H1579" t="s">
        <v>112</v>
      </c>
      <c r="I1579" t="s">
        <v>3169</v>
      </c>
      <c r="J1579" t="s">
        <v>3242</v>
      </c>
      <c r="K1579" t="s">
        <v>24</v>
      </c>
      <c r="L1579" s="14">
        <f>IFERROR(VALUE(LEFT(tblMatriculas[[#This Row],[Clases]],FIND("/",tblMatriculas[[#This Row],[Clases]])-1)),"")</f>
        <v>4</v>
      </c>
      <c r="M1579" s="14">
        <f>IFERROR(VALUE(MID(tblMatriculas[[#This Row],[Clases]],FIND("/",tblMatriculas[[#This Row],[Clases]])+1,5)),"")</f>
        <v>30</v>
      </c>
      <c r="N15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79" s="14">
        <f>IF(OR(tblMatriculas[[#This Row],[Estado]]&lt;&gt;"activa",tblMatriculas[[#This Row],[Clases dictadas]]=""),"",MAX(0,tblMatriculas[[#This Row],[Clases dictadas]]-tblMatriculas[[#This Row],[Asistidas]]))</f>
        <v>1</v>
      </c>
      <c r="P1579" s="1">
        <f>IF(OR(tblMatriculas[[#This Row],[Estado]]&lt;&gt;"activa",tblMatriculas[[#This Row],[Asistidas]]=""),"",tblMatriculas[[#This Row],[Asistencia]])</f>
        <v>0.13300000000000001</v>
      </c>
      <c r="Q1579" t="b">
        <f>AND(tblMatriculas[[#This Row],[Estado]]="activa",ISNUMBER(tblMatriculas[[#This Row],[% asistencia]]),NOT(ISNUMBER(SEARCH(pPrueba,tblMatriculas[[#This Row],[Nombre]]))))</f>
        <v>1</v>
      </c>
      <c r="R15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79" s="23" t="str" cm="1">
        <f t="array" ref="S15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79" s="23" t="str" cm="1">
        <f t="array" ref="T15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79" s="14" t="str" cm="1">
        <f t="array" ref="U15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79" t="str" cm="1">
        <f t="array" ref="V15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79" t="str" cm="1">
        <f t="array" ref="W15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79" t="str">
        <f>IF(COUNTIFS('Base Estudiantes'!$C:$C,tblMatriculas[[#This Row],[Cédula]],'Base Estudiantes'!$I:$I,tblMatriculas[[#This Row],[Código]])&gt;0,"Sí","No")</f>
        <v>Sí</v>
      </c>
      <c r="Z1579" s="23" cm="1">
        <f t="array" ref="Z1579">_xlfn.XLOOKUP(tblMatriculas[[#This Row],[Cédula]]&amp;"|"&amp;tblMatriculas[[#This Row],[Código]],tblBase[Documento]&amp;"|"&amp;tblBase[Código grupo],tblBase[Fecha matrícula],"")</f>
        <v>46262</v>
      </c>
    </row>
    <row r="1580" spans="1:26" x14ac:dyDescent="0.2">
      <c r="A1580" t="s">
        <v>3310</v>
      </c>
      <c r="B1580" t="s">
        <v>3311</v>
      </c>
      <c r="C1580" t="s">
        <v>13</v>
      </c>
      <c r="D1580" t="s">
        <v>3240</v>
      </c>
      <c r="E1580" t="s">
        <v>3241</v>
      </c>
      <c r="F1580" t="s">
        <v>335</v>
      </c>
      <c r="G1580" s="1">
        <v>0.13300000000000001</v>
      </c>
      <c r="H1580" t="s">
        <v>112</v>
      </c>
      <c r="I1580" t="s">
        <v>3169</v>
      </c>
      <c r="J1580" t="s">
        <v>3242</v>
      </c>
      <c r="K1580" t="s">
        <v>24</v>
      </c>
      <c r="L1580" s="14">
        <f>IFERROR(VALUE(LEFT(tblMatriculas[[#This Row],[Clases]],FIND("/",tblMatriculas[[#This Row],[Clases]])-1)),"")</f>
        <v>4</v>
      </c>
      <c r="M1580" s="14">
        <f>IFERROR(VALUE(MID(tblMatriculas[[#This Row],[Clases]],FIND("/",tblMatriculas[[#This Row],[Clases]])+1,5)),"")</f>
        <v>30</v>
      </c>
      <c r="N15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0" s="14">
        <f>IF(OR(tblMatriculas[[#This Row],[Estado]]&lt;&gt;"activa",tblMatriculas[[#This Row],[Clases dictadas]]=""),"",MAX(0,tblMatriculas[[#This Row],[Clases dictadas]]-tblMatriculas[[#This Row],[Asistidas]]))</f>
        <v>1</v>
      </c>
      <c r="P1580" s="1">
        <f>IF(OR(tblMatriculas[[#This Row],[Estado]]&lt;&gt;"activa",tblMatriculas[[#This Row],[Asistidas]]=""),"",tblMatriculas[[#This Row],[Asistencia]])</f>
        <v>0.13300000000000001</v>
      </c>
      <c r="Q1580" t="b">
        <f>AND(tblMatriculas[[#This Row],[Estado]]="activa",ISNUMBER(tblMatriculas[[#This Row],[% asistencia]]),NOT(ISNUMBER(SEARCH(pPrueba,tblMatriculas[[#This Row],[Nombre]]))))</f>
        <v>1</v>
      </c>
      <c r="R15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0" s="23" t="str" cm="1">
        <f t="array" ref="S15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0" s="23" t="str" cm="1">
        <f t="array" ref="T15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0" s="14" t="str" cm="1">
        <f t="array" ref="U15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0" t="str" cm="1">
        <f t="array" ref="V15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0" t="str" cm="1">
        <f t="array" ref="W15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0" t="str">
        <f>IF(COUNTIFS('Base Estudiantes'!$C:$C,tblMatriculas[[#This Row],[Cédula]],'Base Estudiantes'!$I:$I,tblMatriculas[[#This Row],[Código]])&gt;0,"Sí","No")</f>
        <v>Sí</v>
      </c>
      <c r="Z1580" s="23" cm="1">
        <f t="array" ref="Z1580">_xlfn.XLOOKUP(tblMatriculas[[#This Row],[Cédula]]&amp;"|"&amp;tblMatriculas[[#This Row],[Código]],tblBase[Documento]&amp;"|"&amp;tblBase[Código grupo],tblBase[Fecha matrícula],"")</f>
        <v>46262</v>
      </c>
    </row>
    <row r="1581" spans="1:26" x14ac:dyDescent="0.2">
      <c r="A1581" t="s">
        <v>3312</v>
      </c>
      <c r="B1581" t="s">
        <v>3313</v>
      </c>
      <c r="C1581" t="s">
        <v>13</v>
      </c>
      <c r="D1581" t="s">
        <v>3240</v>
      </c>
      <c r="E1581" t="s">
        <v>3241</v>
      </c>
      <c r="F1581" t="s">
        <v>335</v>
      </c>
      <c r="G1581" s="1">
        <v>0.1</v>
      </c>
      <c r="H1581" t="s">
        <v>117</v>
      </c>
      <c r="I1581" t="s">
        <v>3169</v>
      </c>
      <c r="J1581" t="s">
        <v>3242</v>
      </c>
      <c r="K1581" t="s">
        <v>24</v>
      </c>
      <c r="L1581" s="14">
        <f>IFERROR(VALUE(LEFT(tblMatriculas[[#This Row],[Clases]],FIND("/",tblMatriculas[[#This Row],[Clases]])-1)),"")</f>
        <v>3</v>
      </c>
      <c r="M1581" s="14">
        <f>IFERROR(VALUE(MID(tblMatriculas[[#This Row],[Clases]],FIND("/",tblMatriculas[[#This Row],[Clases]])+1,5)),"")</f>
        <v>30</v>
      </c>
      <c r="N15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1" s="14">
        <f>IF(OR(tblMatriculas[[#This Row],[Estado]]&lt;&gt;"activa",tblMatriculas[[#This Row],[Clases dictadas]]=""),"",MAX(0,tblMatriculas[[#This Row],[Clases dictadas]]-tblMatriculas[[#This Row],[Asistidas]]))</f>
        <v>2</v>
      </c>
      <c r="P1581" s="1">
        <f>IF(OR(tblMatriculas[[#This Row],[Estado]]&lt;&gt;"activa",tblMatriculas[[#This Row],[Asistidas]]=""),"",tblMatriculas[[#This Row],[Asistencia]])</f>
        <v>0.1</v>
      </c>
      <c r="Q1581" t="b">
        <f>AND(tblMatriculas[[#This Row],[Estado]]="activa",ISNUMBER(tblMatriculas[[#This Row],[% asistencia]]),NOT(ISNUMBER(SEARCH(pPrueba,tblMatriculas[[#This Row],[Nombre]]))))</f>
        <v>1</v>
      </c>
      <c r="R15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1" s="23" t="str" cm="1">
        <f t="array" ref="S15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1" s="23" t="str" cm="1">
        <f t="array" ref="T15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1" s="14" t="str" cm="1">
        <f t="array" ref="U15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1" t="str" cm="1">
        <f t="array" ref="V15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1" t="str" cm="1">
        <f t="array" ref="W15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1" t="str">
        <f>IF(COUNTIFS('Base Estudiantes'!$C:$C,tblMatriculas[[#This Row],[Cédula]],'Base Estudiantes'!$I:$I,tblMatriculas[[#This Row],[Código]])&gt;0,"Sí","No")</f>
        <v>Sí</v>
      </c>
      <c r="Z1581" s="23" cm="1">
        <f t="array" ref="Z1581">_xlfn.XLOOKUP(tblMatriculas[[#This Row],[Cédula]]&amp;"|"&amp;tblMatriculas[[#This Row],[Código]],tblBase[Documento]&amp;"|"&amp;tblBase[Código grupo],tblBase[Fecha matrícula],"")</f>
        <v>46262</v>
      </c>
    </row>
    <row r="1582" spans="1:26" x14ac:dyDescent="0.2">
      <c r="A1582" t="s">
        <v>3314</v>
      </c>
      <c r="B1582" t="s">
        <v>3315</v>
      </c>
      <c r="C1582" t="s">
        <v>13</v>
      </c>
      <c r="D1582" t="s">
        <v>3240</v>
      </c>
      <c r="E1582" t="s">
        <v>3241</v>
      </c>
      <c r="F1582" t="s">
        <v>335</v>
      </c>
      <c r="G1582" s="1">
        <v>0.16699999999999998</v>
      </c>
      <c r="H1582" t="s">
        <v>229</v>
      </c>
      <c r="I1582" t="s">
        <v>3169</v>
      </c>
      <c r="J1582" t="s">
        <v>3242</v>
      </c>
      <c r="K1582" t="s">
        <v>24</v>
      </c>
      <c r="L1582" s="14">
        <f>IFERROR(VALUE(LEFT(tblMatriculas[[#This Row],[Clases]],FIND("/",tblMatriculas[[#This Row],[Clases]])-1)),"")</f>
        <v>5</v>
      </c>
      <c r="M1582" s="14">
        <f>IFERROR(VALUE(MID(tblMatriculas[[#This Row],[Clases]],FIND("/",tblMatriculas[[#This Row],[Clases]])+1,5)),"")</f>
        <v>30</v>
      </c>
      <c r="N15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2" s="14">
        <f>IF(OR(tblMatriculas[[#This Row],[Estado]]&lt;&gt;"activa",tblMatriculas[[#This Row],[Clases dictadas]]=""),"",MAX(0,tblMatriculas[[#This Row],[Clases dictadas]]-tblMatriculas[[#This Row],[Asistidas]]))</f>
        <v>0</v>
      </c>
      <c r="P1582" s="1">
        <f>IF(OR(tblMatriculas[[#This Row],[Estado]]&lt;&gt;"activa",tblMatriculas[[#This Row],[Asistidas]]=""),"",tblMatriculas[[#This Row],[Asistencia]])</f>
        <v>0.16699999999999998</v>
      </c>
      <c r="Q1582" t="b">
        <f>AND(tblMatriculas[[#This Row],[Estado]]="activa",ISNUMBER(tblMatriculas[[#This Row],[% asistencia]]),NOT(ISNUMBER(SEARCH(pPrueba,tblMatriculas[[#This Row],[Nombre]]))))</f>
        <v>1</v>
      </c>
      <c r="R15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2" s="23" t="str" cm="1">
        <f t="array" ref="S15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2" s="23" t="str" cm="1">
        <f t="array" ref="T15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2" s="14" t="str" cm="1">
        <f t="array" ref="U15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2" t="str" cm="1">
        <f t="array" ref="V15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2" t="str" cm="1">
        <f t="array" ref="W15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2" t="str">
        <f>IF(COUNTIFS('Base Estudiantes'!$C:$C,tblMatriculas[[#This Row],[Cédula]],'Base Estudiantes'!$I:$I,tblMatriculas[[#This Row],[Código]])&gt;0,"Sí","No")</f>
        <v>Sí</v>
      </c>
      <c r="Z1582" s="23" cm="1">
        <f t="array" ref="Z1582">_xlfn.XLOOKUP(tblMatriculas[[#This Row],[Cédula]]&amp;"|"&amp;tblMatriculas[[#This Row],[Código]],tblBase[Documento]&amp;"|"&amp;tblBase[Código grupo],tblBase[Fecha matrícula],"")</f>
        <v>46262</v>
      </c>
    </row>
    <row r="1583" spans="1:26" x14ac:dyDescent="0.2">
      <c r="A1583" t="s">
        <v>3316</v>
      </c>
      <c r="B1583" t="s">
        <v>3317</v>
      </c>
      <c r="C1583" t="s">
        <v>13</v>
      </c>
      <c r="D1583" t="s">
        <v>3240</v>
      </c>
      <c r="E1583" t="s">
        <v>3241</v>
      </c>
      <c r="F1583" t="s">
        <v>335</v>
      </c>
      <c r="G1583" s="1">
        <v>0.16699999999999998</v>
      </c>
      <c r="H1583" t="s">
        <v>229</v>
      </c>
      <c r="I1583" t="s">
        <v>3169</v>
      </c>
      <c r="J1583" t="s">
        <v>3242</v>
      </c>
      <c r="K1583" t="s">
        <v>24</v>
      </c>
      <c r="L1583" s="14">
        <f>IFERROR(VALUE(LEFT(tblMatriculas[[#This Row],[Clases]],FIND("/",tblMatriculas[[#This Row],[Clases]])-1)),"")</f>
        <v>5</v>
      </c>
      <c r="M1583" s="14">
        <f>IFERROR(VALUE(MID(tblMatriculas[[#This Row],[Clases]],FIND("/",tblMatriculas[[#This Row],[Clases]])+1,5)),"")</f>
        <v>30</v>
      </c>
      <c r="N15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3" s="14">
        <f>IF(OR(tblMatriculas[[#This Row],[Estado]]&lt;&gt;"activa",tblMatriculas[[#This Row],[Clases dictadas]]=""),"",MAX(0,tblMatriculas[[#This Row],[Clases dictadas]]-tblMatriculas[[#This Row],[Asistidas]]))</f>
        <v>0</v>
      </c>
      <c r="P1583" s="1">
        <f>IF(OR(tblMatriculas[[#This Row],[Estado]]&lt;&gt;"activa",tblMatriculas[[#This Row],[Asistidas]]=""),"",tblMatriculas[[#This Row],[Asistencia]])</f>
        <v>0.16699999999999998</v>
      </c>
      <c r="Q1583" t="b">
        <f>AND(tblMatriculas[[#This Row],[Estado]]="activa",ISNUMBER(tblMatriculas[[#This Row],[% asistencia]]),NOT(ISNUMBER(SEARCH(pPrueba,tblMatriculas[[#This Row],[Nombre]]))))</f>
        <v>1</v>
      </c>
      <c r="R15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3" s="23" t="str" cm="1">
        <f t="array" ref="S15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3" s="23" t="str" cm="1">
        <f t="array" ref="T15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3" s="14" t="str" cm="1">
        <f t="array" ref="U15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3" t="str" cm="1">
        <f t="array" ref="V15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3" t="str" cm="1">
        <f t="array" ref="W15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3" t="str">
        <f>IF(COUNTIFS('Base Estudiantes'!$C:$C,tblMatriculas[[#This Row],[Cédula]],'Base Estudiantes'!$I:$I,tblMatriculas[[#This Row],[Código]])&gt;0,"Sí","No")</f>
        <v>Sí</v>
      </c>
      <c r="Z1583" s="23" cm="1">
        <f t="array" ref="Z1583">_xlfn.XLOOKUP(tblMatriculas[[#This Row],[Cédula]]&amp;"|"&amp;tblMatriculas[[#This Row],[Código]],tblBase[Documento]&amp;"|"&amp;tblBase[Código grupo],tblBase[Fecha matrícula],"")</f>
        <v>46262</v>
      </c>
    </row>
    <row r="1584" spans="1:26" x14ac:dyDescent="0.2">
      <c r="A1584" t="s">
        <v>3318</v>
      </c>
      <c r="B1584" t="s">
        <v>3319</v>
      </c>
      <c r="C1584" t="s">
        <v>13</v>
      </c>
      <c r="D1584" t="s">
        <v>3240</v>
      </c>
      <c r="E1584" t="s">
        <v>3241</v>
      </c>
      <c r="F1584" t="s">
        <v>335</v>
      </c>
      <c r="G1584" s="1">
        <v>6.7000000000000004E-2</v>
      </c>
      <c r="H1584" t="s">
        <v>166</v>
      </c>
      <c r="I1584" t="s">
        <v>3169</v>
      </c>
      <c r="J1584" t="s">
        <v>3242</v>
      </c>
      <c r="K1584" t="s">
        <v>24</v>
      </c>
      <c r="L1584" s="14">
        <f>IFERROR(VALUE(LEFT(tblMatriculas[[#This Row],[Clases]],FIND("/",tblMatriculas[[#This Row],[Clases]])-1)),"")</f>
        <v>2</v>
      </c>
      <c r="M1584" s="14">
        <f>IFERROR(VALUE(MID(tblMatriculas[[#This Row],[Clases]],FIND("/",tblMatriculas[[#This Row],[Clases]])+1,5)),"")</f>
        <v>30</v>
      </c>
      <c r="N15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4" s="14">
        <f>IF(OR(tblMatriculas[[#This Row],[Estado]]&lt;&gt;"activa",tblMatriculas[[#This Row],[Clases dictadas]]=""),"",MAX(0,tblMatriculas[[#This Row],[Clases dictadas]]-tblMatriculas[[#This Row],[Asistidas]]))</f>
        <v>3</v>
      </c>
      <c r="P1584" s="1">
        <f>IF(OR(tblMatriculas[[#This Row],[Estado]]&lt;&gt;"activa",tblMatriculas[[#This Row],[Asistidas]]=""),"",tblMatriculas[[#This Row],[Asistencia]])</f>
        <v>6.7000000000000004E-2</v>
      </c>
      <c r="Q1584" t="b">
        <f>AND(tblMatriculas[[#This Row],[Estado]]="activa",ISNUMBER(tblMatriculas[[#This Row],[% asistencia]]),NOT(ISNUMBER(SEARCH(pPrueba,tblMatriculas[[#This Row],[Nombre]]))))</f>
        <v>1</v>
      </c>
      <c r="R15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84" s="23" t="str" cm="1">
        <f t="array" ref="S15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4" s="23" t="str" cm="1">
        <f t="array" ref="T15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4" s="14" t="str" cm="1">
        <f t="array" ref="U15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4" t="str" cm="1">
        <f t="array" ref="V15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4" t="str" cm="1">
        <f t="array" ref="W15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84" t="str">
        <f>IF(COUNTIFS('Base Estudiantes'!$C:$C,tblMatriculas[[#This Row],[Cédula]],'Base Estudiantes'!$I:$I,tblMatriculas[[#This Row],[Código]])&gt;0,"Sí","No")</f>
        <v>Sí</v>
      </c>
      <c r="Z1584" s="23" cm="1">
        <f t="array" ref="Z1584">_xlfn.XLOOKUP(tblMatriculas[[#This Row],[Cédula]]&amp;"|"&amp;tblMatriculas[[#This Row],[Código]],tblBase[Documento]&amp;"|"&amp;tblBase[Código grupo],tblBase[Fecha matrícula],"")</f>
        <v>46262</v>
      </c>
    </row>
    <row r="1585" spans="1:26" x14ac:dyDescent="0.2">
      <c r="A1585" t="s">
        <v>3320</v>
      </c>
      <c r="B1585" t="s">
        <v>3321</v>
      </c>
      <c r="C1585" t="s">
        <v>13</v>
      </c>
      <c r="D1585" t="s">
        <v>3240</v>
      </c>
      <c r="E1585" t="s">
        <v>3241</v>
      </c>
      <c r="F1585" t="s">
        <v>335</v>
      </c>
      <c r="G1585" s="1">
        <v>0.16699999999999998</v>
      </c>
      <c r="H1585" t="s">
        <v>229</v>
      </c>
      <c r="I1585" t="s">
        <v>3169</v>
      </c>
      <c r="J1585" t="s">
        <v>3242</v>
      </c>
      <c r="K1585" t="s">
        <v>24</v>
      </c>
      <c r="L1585" s="14">
        <f>IFERROR(VALUE(LEFT(tblMatriculas[[#This Row],[Clases]],FIND("/",tblMatriculas[[#This Row],[Clases]])-1)),"")</f>
        <v>5</v>
      </c>
      <c r="M1585" s="14">
        <f>IFERROR(VALUE(MID(tblMatriculas[[#This Row],[Clases]],FIND("/",tblMatriculas[[#This Row],[Clases]])+1,5)),"")</f>
        <v>30</v>
      </c>
      <c r="N15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5" s="14">
        <f>IF(OR(tblMatriculas[[#This Row],[Estado]]&lt;&gt;"activa",tblMatriculas[[#This Row],[Clases dictadas]]=""),"",MAX(0,tblMatriculas[[#This Row],[Clases dictadas]]-tblMatriculas[[#This Row],[Asistidas]]))</f>
        <v>0</v>
      </c>
      <c r="P1585" s="1">
        <f>IF(OR(tblMatriculas[[#This Row],[Estado]]&lt;&gt;"activa",tblMatriculas[[#This Row],[Asistidas]]=""),"",tblMatriculas[[#This Row],[Asistencia]])</f>
        <v>0.16699999999999998</v>
      </c>
      <c r="Q1585" t="b">
        <f>AND(tblMatriculas[[#This Row],[Estado]]="activa",ISNUMBER(tblMatriculas[[#This Row],[% asistencia]]),NOT(ISNUMBER(SEARCH(pPrueba,tblMatriculas[[#This Row],[Nombre]]))))</f>
        <v>1</v>
      </c>
      <c r="R15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5" s="23" t="str" cm="1">
        <f t="array" ref="S15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5" s="23" t="str" cm="1">
        <f t="array" ref="T15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5" s="14" t="str" cm="1">
        <f t="array" ref="U15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5" t="str" cm="1">
        <f t="array" ref="V15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5" t="str" cm="1">
        <f t="array" ref="W15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5" t="str">
        <f>IF(COUNTIFS('Base Estudiantes'!$C:$C,tblMatriculas[[#This Row],[Cédula]],'Base Estudiantes'!$I:$I,tblMatriculas[[#This Row],[Código]])&gt;0,"Sí","No")</f>
        <v>Sí</v>
      </c>
      <c r="Z1585" s="23" cm="1">
        <f t="array" ref="Z1585">_xlfn.XLOOKUP(tblMatriculas[[#This Row],[Cédula]]&amp;"|"&amp;tblMatriculas[[#This Row],[Código]],tblBase[Documento]&amp;"|"&amp;tblBase[Código grupo],tblBase[Fecha matrícula],"")</f>
        <v>46262</v>
      </c>
    </row>
    <row r="1586" spans="1:26" x14ac:dyDescent="0.2">
      <c r="A1586" t="s">
        <v>3322</v>
      </c>
      <c r="B1586" t="s">
        <v>3323</v>
      </c>
      <c r="C1586" t="s">
        <v>13</v>
      </c>
      <c r="D1586" t="s">
        <v>3240</v>
      </c>
      <c r="E1586" t="s">
        <v>3241</v>
      </c>
      <c r="F1586" t="s">
        <v>335</v>
      </c>
      <c r="G1586" s="1">
        <v>0.16699999999999998</v>
      </c>
      <c r="H1586" t="s">
        <v>229</v>
      </c>
      <c r="I1586" t="s">
        <v>3169</v>
      </c>
      <c r="J1586" t="s">
        <v>3242</v>
      </c>
      <c r="K1586" t="s">
        <v>24</v>
      </c>
      <c r="L1586" s="14">
        <f>IFERROR(VALUE(LEFT(tblMatriculas[[#This Row],[Clases]],FIND("/",tblMatriculas[[#This Row],[Clases]])-1)),"")</f>
        <v>5</v>
      </c>
      <c r="M1586" s="14">
        <f>IFERROR(VALUE(MID(tblMatriculas[[#This Row],[Clases]],FIND("/",tblMatriculas[[#This Row],[Clases]])+1,5)),"")</f>
        <v>30</v>
      </c>
      <c r="N15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6" s="14">
        <f>IF(OR(tblMatriculas[[#This Row],[Estado]]&lt;&gt;"activa",tblMatriculas[[#This Row],[Clases dictadas]]=""),"",MAX(0,tblMatriculas[[#This Row],[Clases dictadas]]-tblMatriculas[[#This Row],[Asistidas]]))</f>
        <v>0</v>
      </c>
      <c r="P1586" s="1">
        <f>IF(OR(tblMatriculas[[#This Row],[Estado]]&lt;&gt;"activa",tblMatriculas[[#This Row],[Asistidas]]=""),"",tblMatriculas[[#This Row],[Asistencia]])</f>
        <v>0.16699999999999998</v>
      </c>
      <c r="Q1586" t="b">
        <f>AND(tblMatriculas[[#This Row],[Estado]]="activa",ISNUMBER(tblMatriculas[[#This Row],[% asistencia]]),NOT(ISNUMBER(SEARCH(pPrueba,tblMatriculas[[#This Row],[Nombre]]))))</f>
        <v>1</v>
      </c>
      <c r="R15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6" s="23" t="str" cm="1">
        <f t="array" ref="S15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6" s="23" t="str" cm="1">
        <f t="array" ref="T15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6" s="14" t="str" cm="1">
        <f t="array" ref="U15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6" t="str" cm="1">
        <f t="array" ref="V15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6" t="str" cm="1">
        <f t="array" ref="W15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6" t="str">
        <f>IF(COUNTIFS('Base Estudiantes'!$C:$C,tblMatriculas[[#This Row],[Cédula]],'Base Estudiantes'!$I:$I,tblMatriculas[[#This Row],[Código]])&gt;0,"Sí","No")</f>
        <v>Sí</v>
      </c>
      <c r="Z1586" s="23" cm="1">
        <f t="array" ref="Z1586">_xlfn.XLOOKUP(tblMatriculas[[#This Row],[Cédula]]&amp;"|"&amp;tblMatriculas[[#This Row],[Código]],tblBase[Documento]&amp;"|"&amp;tblBase[Código grupo],tblBase[Fecha matrícula],"")</f>
        <v>46262</v>
      </c>
    </row>
    <row r="1587" spans="1:26" x14ac:dyDescent="0.2">
      <c r="A1587" t="s">
        <v>3324</v>
      </c>
      <c r="B1587" t="s">
        <v>3325</v>
      </c>
      <c r="C1587" t="s">
        <v>49</v>
      </c>
      <c r="D1587" t="s">
        <v>3240</v>
      </c>
      <c r="E1587" t="s">
        <v>3241</v>
      </c>
      <c r="F1587" t="s">
        <v>335</v>
      </c>
      <c r="G1587" s="1">
        <v>3.3000000000000002E-2</v>
      </c>
      <c r="H1587" t="s">
        <v>225</v>
      </c>
      <c r="I1587" t="s">
        <v>3169</v>
      </c>
      <c r="J1587" t="s">
        <v>3242</v>
      </c>
      <c r="K1587" t="s">
        <v>24</v>
      </c>
      <c r="L1587" s="14">
        <f>IFERROR(VALUE(LEFT(tblMatriculas[[#This Row],[Clases]],FIND("/",tblMatriculas[[#This Row],[Clases]])-1)),"")</f>
        <v>1</v>
      </c>
      <c r="M1587" s="14">
        <f>IFERROR(VALUE(MID(tblMatriculas[[#This Row],[Clases]],FIND("/",tblMatriculas[[#This Row],[Clases]])+1,5)),"")</f>
        <v>30</v>
      </c>
      <c r="N15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7" s="14" t="str">
        <f>IF(OR(tblMatriculas[[#This Row],[Estado]]&lt;&gt;"activa",tblMatriculas[[#This Row],[Clases dictadas]]=""),"",MAX(0,tblMatriculas[[#This Row],[Clases dictadas]]-tblMatriculas[[#This Row],[Asistidas]]))</f>
        <v/>
      </c>
      <c r="P1587" s="1" t="str">
        <f>IF(OR(tblMatriculas[[#This Row],[Estado]]&lt;&gt;"activa",tblMatriculas[[#This Row],[Asistidas]]=""),"",tblMatriculas[[#This Row],[Asistencia]])</f>
        <v/>
      </c>
      <c r="Q1587" t="b">
        <f>AND(tblMatriculas[[#This Row],[Estado]]="activa",ISNUMBER(tblMatriculas[[#This Row],[% asistencia]]),NOT(ISNUMBER(SEARCH(pPrueba,tblMatriculas[[#This Row],[Nombre]]))))</f>
        <v>0</v>
      </c>
      <c r="R15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587" s="23" t="str" cm="1">
        <f t="array" ref="S15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7" s="23" t="str" cm="1">
        <f t="array" ref="T15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7" s="14" t="str" cm="1">
        <f t="array" ref="U15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7" t="str" cm="1">
        <f t="array" ref="V15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7" t="str" cm="1">
        <f t="array" ref="W15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7" t="str">
        <f>IF(COUNTIFS('Base Estudiantes'!$C:$C,tblMatriculas[[#This Row],[Cédula]],'Base Estudiantes'!$I:$I,tblMatriculas[[#This Row],[Código]])&gt;0,"Sí","No")</f>
        <v>No</v>
      </c>
      <c r="Z1587" s="23" t="str" cm="1">
        <f t="array" ref="Z1587">_xlfn.XLOOKUP(tblMatriculas[[#This Row],[Cédula]]&amp;"|"&amp;tblMatriculas[[#This Row],[Código]],tblBase[Documento]&amp;"|"&amp;tblBase[Código grupo],tblBase[Fecha matrícula],"")</f>
        <v/>
      </c>
    </row>
    <row r="1588" spans="1:26" x14ac:dyDescent="0.2">
      <c r="A1588" t="s">
        <v>3326</v>
      </c>
      <c r="B1588" t="s">
        <v>3327</v>
      </c>
      <c r="C1588" t="s">
        <v>13</v>
      </c>
      <c r="D1588" t="s">
        <v>3240</v>
      </c>
      <c r="E1588" t="s">
        <v>3241</v>
      </c>
      <c r="F1588" t="s">
        <v>335</v>
      </c>
      <c r="G1588" s="1">
        <v>6.7000000000000004E-2</v>
      </c>
      <c r="H1588" t="s">
        <v>166</v>
      </c>
      <c r="I1588" t="s">
        <v>3169</v>
      </c>
      <c r="J1588" t="s">
        <v>3242</v>
      </c>
      <c r="K1588" t="s">
        <v>24</v>
      </c>
      <c r="L1588" s="14">
        <f>IFERROR(VALUE(LEFT(tblMatriculas[[#This Row],[Clases]],FIND("/",tblMatriculas[[#This Row],[Clases]])-1)),"")</f>
        <v>2</v>
      </c>
      <c r="M1588" s="14">
        <f>IFERROR(VALUE(MID(tblMatriculas[[#This Row],[Clases]],FIND("/",tblMatriculas[[#This Row],[Clases]])+1,5)),"")</f>
        <v>30</v>
      </c>
      <c r="N15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8" s="14">
        <f>IF(OR(tblMatriculas[[#This Row],[Estado]]&lt;&gt;"activa",tblMatriculas[[#This Row],[Clases dictadas]]=""),"",MAX(0,tblMatriculas[[#This Row],[Clases dictadas]]-tblMatriculas[[#This Row],[Asistidas]]))</f>
        <v>3</v>
      </c>
      <c r="P1588" s="1">
        <f>IF(OR(tblMatriculas[[#This Row],[Estado]]&lt;&gt;"activa",tblMatriculas[[#This Row],[Asistidas]]=""),"",tblMatriculas[[#This Row],[Asistencia]])</f>
        <v>6.7000000000000004E-2</v>
      </c>
      <c r="Q1588" t="b">
        <f>AND(tblMatriculas[[#This Row],[Estado]]="activa",ISNUMBER(tblMatriculas[[#This Row],[% asistencia]]),NOT(ISNUMBER(SEARCH(pPrueba,tblMatriculas[[#This Row],[Nombre]]))))</f>
        <v>1</v>
      </c>
      <c r="R15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588" s="23" t="str" cm="1">
        <f t="array" ref="S15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8" s="23" t="str" cm="1">
        <f t="array" ref="T15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8" s="14" t="str" cm="1">
        <f t="array" ref="U15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8" t="str" cm="1">
        <f t="array" ref="V15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8" t="str" cm="1">
        <f t="array" ref="W15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5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588" t="str">
        <f>IF(COUNTIFS('Base Estudiantes'!$C:$C,tblMatriculas[[#This Row],[Cédula]],'Base Estudiantes'!$I:$I,tblMatriculas[[#This Row],[Código]])&gt;0,"Sí","No")</f>
        <v>Sí</v>
      </c>
      <c r="Z1588" s="23" cm="1">
        <f t="array" ref="Z1588">_xlfn.XLOOKUP(tblMatriculas[[#This Row],[Cédula]]&amp;"|"&amp;tblMatriculas[[#This Row],[Código]],tblBase[Documento]&amp;"|"&amp;tblBase[Código grupo],tblBase[Fecha matrícula],"")</f>
        <v>46262</v>
      </c>
    </row>
    <row r="1589" spans="1:26" x14ac:dyDescent="0.2">
      <c r="A1589" t="s">
        <v>3328</v>
      </c>
      <c r="B1589" t="s">
        <v>3329</v>
      </c>
      <c r="C1589" t="s">
        <v>13</v>
      </c>
      <c r="D1589" t="s">
        <v>3240</v>
      </c>
      <c r="E1589" t="s">
        <v>3241</v>
      </c>
      <c r="F1589" t="s">
        <v>335</v>
      </c>
      <c r="G1589" s="1">
        <v>0.16699999999999998</v>
      </c>
      <c r="H1589" t="s">
        <v>229</v>
      </c>
      <c r="I1589" t="s">
        <v>3169</v>
      </c>
      <c r="J1589" t="s">
        <v>3242</v>
      </c>
      <c r="K1589" t="s">
        <v>24</v>
      </c>
      <c r="L1589" s="14">
        <f>IFERROR(VALUE(LEFT(tblMatriculas[[#This Row],[Clases]],FIND("/",tblMatriculas[[#This Row],[Clases]])-1)),"")</f>
        <v>5</v>
      </c>
      <c r="M1589" s="14">
        <f>IFERROR(VALUE(MID(tblMatriculas[[#This Row],[Clases]],FIND("/",tblMatriculas[[#This Row],[Clases]])+1,5)),"")</f>
        <v>30</v>
      </c>
      <c r="N15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89" s="14">
        <f>IF(OR(tblMatriculas[[#This Row],[Estado]]&lt;&gt;"activa",tblMatriculas[[#This Row],[Clases dictadas]]=""),"",MAX(0,tblMatriculas[[#This Row],[Clases dictadas]]-tblMatriculas[[#This Row],[Asistidas]]))</f>
        <v>0</v>
      </c>
      <c r="P1589" s="1">
        <f>IF(OR(tblMatriculas[[#This Row],[Estado]]&lt;&gt;"activa",tblMatriculas[[#This Row],[Asistidas]]=""),"",tblMatriculas[[#This Row],[Asistencia]])</f>
        <v>0.16699999999999998</v>
      </c>
      <c r="Q1589" t="b">
        <f>AND(tblMatriculas[[#This Row],[Estado]]="activa",ISNUMBER(tblMatriculas[[#This Row],[% asistencia]]),NOT(ISNUMBER(SEARCH(pPrueba,tblMatriculas[[#This Row],[Nombre]]))))</f>
        <v>1</v>
      </c>
      <c r="R15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89" s="23" t="str" cm="1">
        <f t="array" ref="S15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89" s="23" t="str" cm="1">
        <f t="array" ref="T15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89" s="14" t="str" cm="1">
        <f t="array" ref="U15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89" t="str" cm="1">
        <f t="array" ref="V15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89" t="str" cm="1">
        <f t="array" ref="W15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89" t="str">
        <f>IF(COUNTIFS('Base Estudiantes'!$C:$C,tblMatriculas[[#This Row],[Cédula]],'Base Estudiantes'!$I:$I,tblMatriculas[[#This Row],[Código]])&gt;0,"Sí","No")</f>
        <v>Sí</v>
      </c>
      <c r="Z1589" s="23" cm="1">
        <f t="array" ref="Z1589">_xlfn.XLOOKUP(tblMatriculas[[#This Row],[Cédula]]&amp;"|"&amp;tblMatriculas[[#This Row],[Código]],tblBase[Documento]&amp;"|"&amp;tblBase[Código grupo],tblBase[Fecha matrícula],"")</f>
        <v>46262</v>
      </c>
    </row>
    <row r="1590" spans="1:26" x14ac:dyDescent="0.2">
      <c r="A1590" t="s">
        <v>3330</v>
      </c>
      <c r="B1590" t="s">
        <v>3331</v>
      </c>
      <c r="C1590" t="s">
        <v>13</v>
      </c>
      <c r="D1590" t="s">
        <v>3240</v>
      </c>
      <c r="E1590" t="s">
        <v>3241</v>
      </c>
      <c r="F1590" t="s">
        <v>335</v>
      </c>
      <c r="G1590" s="1">
        <v>0.13300000000000001</v>
      </c>
      <c r="H1590" t="s">
        <v>112</v>
      </c>
      <c r="I1590" t="s">
        <v>3169</v>
      </c>
      <c r="J1590" t="s">
        <v>3242</v>
      </c>
      <c r="K1590" t="s">
        <v>24</v>
      </c>
      <c r="L1590" s="14">
        <f>IFERROR(VALUE(LEFT(tblMatriculas[[#This Row],[Clases]],FIND("/",tblMatriculas[[#This Row],[Clases]])-1)),"")</f>
        <v>4</v>
      </c>
      <c r="M1590" s="14">
        <f>IFERROR(VALUE(MID(tblMatriculas[[#This Row],[Clases]],FIND("/",tblMatriculas[[#This Row],[Clases]])+1,5)),"")</f>
        <v>30</v>
      </c>
      <c r="N15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0" s="14">
        <f>IF(OR(tblMatriculas[[#This Row],[Estado]]&lt;&gt;"activa",tblMatriculas[[#This Row],[Clases dictadas]]=""),"",MAX(0,tblMatriculas[[#This Row],[Clases dictadas]]-tblMatriculas[[#This Row],[Asistidas]]))</f>
        <v>1</v>
      </c>
      <c r="P1590" s="1">
        <f>IF(OR(tblMatriculas[[#This Row],[Estado]]&lt;&gt;"activa",tblMatriculas[[#This Row],[Asistidas]]=""),"",tblMatriculas[[#This Row],[Asistencia]])</f>
        <v>0.13300000000000001</v>
      </c>
      <c r="Q1590" t="b">
        <f>AND(tblMatriculas[[#This Row],[Estado]]="activa",ISNUMBER(tblMatriculas[[#This Row],[% asistencia]]),NOT(ISNUMBER(SEARCH(pPrueba,tblMatriculas[[#This Row],[Nombre]]))))</f>
        <v>1</v>
      </c>
      <c r="R15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0" s="23" t="str" cm="1">
        <f t="array" ref="S15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0" s="23" t="str" cm="1">
        <f t="array" ref="T15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0" s="14" t="str" cm="1">
        <f t="array" ref="U15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0" t="str" cm="1">
        <f t="array" ref="V15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0" t="str" cm="1">
        <f t="array" ref="W15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0" t="str">
        <f>IF(COUNTIFS('Base Estudiantes'!$C:$C,tblMatriculas[[#This Row],[Cédula]],'Base Estudiantes'!$I:$I,tblMatriculas[[#This Row],[Código]])&gt;0,"Sí","No")</f>
        <v>Sí</v>
      </c>
      <c r="Z1590" s="23" cm="1">
        <f t="array" ref="Z1590">_xlfn.XLOOKUP(tblMatriculas[[#This Row],[Cédula]]&amp;"|"&amp;tblMatriculas[[#This Row],[Código]],tblBase[Documento]&amp;"|"&amp;tblBase[Código grupo],tblBase[Fecha matrícula],"")</f>
        <v>46262</v>
      </c>
    </row>
    <row r="1591" spans="1:26" x14ac:dyDescent="0.2">
      <c r="A1591" t="s">
        <v>3332</v>
      </c>
      <c r="B1591" t="s">
        <v>3333</v>
      </c>
      <c r="C1591" t="s">
        <v>13</v>
      </c>
      <c r="D1591" t="s">
        <v>3240</v>
      </c>
      <c r="E1591" t="s">
        <v>3241</v>
      </c>
      <c r="F1591" t="s">
        <v>335</v>
      </c>
      <c r="G1591" s="1">
        <v>0.16699999999999998</v>
      </c>
      <c r="H1591" t="s">
        <v>229</v>
      </c>
      <c r="I1591" t="s">
        <v>3169</v>
      </c>
      <c r="J1591" t="s">
        <v>3242</v>
      </c>
      <c r="K1591" t="s">
        <v>24</v>
      </c>
      <c r="L1591" s="14">
        <f>IFERROR(VALUE(LEFT(tblMatriculas[[#This Row],[Clases]],FIND("/",tblMatriculas[[#This Row],[Clases]])-1)),"")</f>
        <v>5</v>
      </c>
      <c r="M1591" s="14">
        <f>IFERROR(VALUE(MID(tblMatriculas[[#This Row],[Clases]],FIND("/",tblMatriculas[[#This Row],[Clases]])+1,5)),"")</f>
        <v>30</v>
      </c>
      <c r="N15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1" s="14">
        <f>IF(OR(tblMatriculas[[#This Row],[Estado]]&lt;&gt;"activa",tblMatriculas[[#This Row],[Clases dictadas]]=""),"",MAX(0,tblMatriculas[[#This Row],[Clases dictadas]]-tblMatriculas[[#This Row],[Asistidas]]))</f>
        <v>0</v>
      </c>
      <c r="P1591" s="1">
        <f>IF(OR(tblMatriculas[[#This Row],[Estado]]&lt;&gt;"activa",tblMatriculas[[#This Row],[Asistidas]]=""),"",tblMatriculas[[#This Row],[Asistencia]])</f>
        <v>0.16699999999999998</v>
      </c>
      <c r="Q1591" t="b">
        <f>AND(tblMatriculas[[#This Row],[Estado]]="activa",ISNUMBER(tblMatriculas[[#This Row],[% asistencia]]),NOT(ISNUMBER(SEARCH(pPrueba,tblMatriculas[[#This Row],[Nombre]]))))</f>
        <v>1</v>
      </c>
      <c r="R15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1" s="23" t="str" cm="1">
        <f t="array" ref="S15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1" s="23" t="str" cm="1">
        <f t="array" ref="T15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1" s="14" t="str" cm="1">
        <f t="array" ref="U15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1" t="str" cm="1">
        <f t="array" ref="V15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1" t="str" cm="1">
        <f t="array" ref="W15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1" t="str">
        <f>IF(COUNTIFS('Base Estudiantes'!$C:$C,tblMatriculas[[#This Row],[Cédula]],'Base Estudiantes'!$I:$I,tblMatriculas[[#This Row],[Código]])&gt;0,"Sí","No")</f>
        <v>Sí</v>
      </c>
      <c r="Z1591" s="23" cm="1">
        <f t="array" ref="Z1591">_xlfn.XLOOKUP(tblMatriculas[[#This Row],[Cédula]]&amp;"|"&amp;tblMatriculas[[#This Row],[Código]],tblBase[Documento]&amp;"|"&amp;tblBase[Código grupo],tblBase[Fecha matrícula],"")</f>
        <v>46262</v>
      </c>
    </row>
    <row r="1592" spans="1:26" x14ac:dyDescent="0.2">
      <c r="A1592" t="s">
        <v>3334</v>
      </c>
      <c r="B1592" t="s">
        <v>3335</v>
      </c>
      <c r="C1592" t="s">
        <v>13</v>
      </c>
      <c r="D1592" t="s">
        <v>3240</v>
      </c>
      <c r="E1592" t="s">
        <v>3241</v>
      </c>
      <c r="F1592" t="s">
        <v>335</v>
      </c>
      <c r="G1592" s="1">
        <v>0.13300000000000001</v>
      </c>
      <c r="H1592" t="s">
        <v>112</v>
      </c>
      <c r="I1592" t="s">
        <v>3169</v>
      </c>
      <c r="J1592" t="s">
        <v>3242</v>
      </c>
      <c r="K1592" t="s">
        <v>24</v>
      </c>
      <c r="L1592" s="14">
        <f>IFERROR(VALUE(LEFT(tblMatriculas[[#This Row],[Clases]],FIND("/",tblMatriculas[[#This Row],[Clases]])-1)),"")</f>
        <v>4</v>
      </c>
      <c r="M1592" s="14">
        <f>IFERROR(VALUE(MID(tblMatriculas[[#This Row],[Clases]],FIND("/",tblMatriculas[[#This Row],[Clases]])+1,5)),"")</f>
        <v>30</v>
      </c>
      <c r="N15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2" s="14">
        <f>IF(OR(tblMatriculas[[#This Row],[Estado]]&lt;&gt;"activa",tblMatriculas[[#This Row],[Clases dictadas]]=""),"",MAX(0,tblMatriculas[[#This Row],[Clases dictadas]]-tblMatriculas[[#This Row],[Asistidas]]))</f>
        <v>1</v>
      </c>
      <c r="P1592" s="1">
        <f>IF(OR(tblMatriculas[[#This Row],[Estado]]&lt;&gt;"activa",tblMatriculas[[#This Row],[Asistidas]]=""),"",tblMatriculas[[#This Row],[Asistencia]])</f>
        <v>0.13300000000000001</v>
      </c>
      <c r="Q1592" t="b">
        <f>AND(tblMatriculas[[#This Row],[Estado]]="activa",ISNUMBER(tblMatriculas[[#This Row],[% asistencia]]),NOT(ISNUMBER(SEARCH(pPrueba,tblMatriculas[[#This Row],[Nombre]]))))</f>
        <v>1</v>
      </c>
      <c r="R15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2" s="23" t="str" cm="1">
        <f t="array" ref="S15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2" s="23" t="str" cm="1">
        <f t="array" ref="T15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2" s="14" t="str" cm="1">
        <f t="array" ref="U15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2" t="str" cm="1">
        <f t="array" ref="V15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2" t="str" cm="1">
        <f t="array" ref="W15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2" t="str">
        <f>IF(COUNTIFS('Base Estudiantes'!$C:$C,tblMatriculas[[#This Row],[Cédula]],'Base Estudiantes'!$I:$I,tblMatriculas[[#This Row],[Código]])&gt;0,"Sí","No")</f>
        <v>Sí</v>
      </c>
      <c r="Z1592" s="23" cm="1">
        <f t="array" ref="Z1592">_xlfn.XLOOKUP(tblMatriculas[[#This Row],[Cédula]]&amp;"|"&amp;tblMatriculas[[#This Row],[Código]],tblBase[Documento]&amp;"|"&amp;tblBase[Código grupo],tblBase[Fecha matrícula],"")</f>
        <v>46262</v>
      </c>
    </row>
    <row r="1593" spans="1:26" x14ac:dyDescent="0.2">
      <c r="A1593" t="s">
        <v>3336</v>
      </c>
      <c r="B1593" t="s">
        <v>3337</v>
      </c>
      <c r="C1593" t="s">
        <v>13</v>
      </c>
      <c r="D1593" t="s">
        <v>3240</v>
      </c>
      <c r="E1593" t="s">
        <v>3241</v>
      </c>
      <c r="F1593" t="s">
        <v>335</v>
      </c>
      <c r="G1593" s="1">
        <v>0.16699999999999998</v>
      </c>
      <c r="H1593" t="s">
        <v>229</v>
      </c>
      <c r="I1593" t="s">
        <v>3169</v>
      </c>
      <c r="J1593" t="s">
        <v>3242</v>
      </c>
      <c r="K1593" t="s">
        <v>24</v>
      </c>
      <c r="L1593" s="14">
        <f>IFERROR(VALUE(LEFT(tblMatriculas[[#This Row],[Clases]],FIND("/",tblMatriculas[[#This Row],[Clases]])-1)),"")</f>
        <v>5</v>
      </c>
      <c r="M1593" s="14">
        <f>IFERROR(VALUE(MID(tblMatriculas[[#This Row],[Clases]],FIND("/",tblMatriculas[[#This Row],[Clases]])+1,5)),"")</f>
        <v>30</v>
      </c>
      <c r="N15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3" s="14">
        <f>IF(OR(tblMatriculas[[#This Row],[Estado]]&lt;&gt;"activa",tblMatriculas[[#This Row],[Clases dictadas]]=""),"",MAX(0,tblMatriculas[[#This Row],[Clases dictadas]]-tblMatriculas[[#This Row],[Asistidas]]))</f>
        <v>0</v>
      </c>
      <c r="P1593" s="1">
        <f>IF(OR(tblMatriculas[[#This Row],[Estado]]&lt;&gt;"activa",tblMatriculas[[#This Row],[Asistidas]]=""),"",tblMatriculas[[#This Row],[Asistencia]])</f>
        <v>0.16699999999999998</v>
      </c>
      <c r="Q1593" t="b">
        <f>AND(tblMatriculas[[#This Row],[Estado]]="activa",ISNUMBER(tblMatriculas[[#This Row],[% asistencia]]),NOT(ISNUMBER(SEARCH(pPrueba,tblMatriculas[[#This Row],[Nombre]]))))</f>
        <v>1</v>
      </c>
      <c r="R15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3" s="23" t="str" cm="1">
        <f t="array" ref="S15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3" s="23" t="str" cm="1">
        <f t="array" ref="T15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3" s="14" t="str" cm="1">
        <f t="array" ref="U15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3" t="str" cm="1">
        <f t="array" ref="V15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3" t="str" cm="1">
        <f t="array" ref="W15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3" t="str">
        <f>IF(COUNTIFS('Base Estudiantes'!$C:$C,tblMatriculas[[#This Row],[Cédula]],'Base Estudiantes'!$I:$I,tblMatriculas[[#This Row],[Código]])&gt;0,"Sí","No")</f>
        <v>Sí</v>
      </c>
      <c r="Z1593" s="23" cm="1">
        <f t="array" ref="Z1593">_xlfn.XLOOKUP(tblMatriculas[[#This Row],[Cédula]]&amp;"|"&amp;tblMatriculas[[#This Row],[Código]],tblBase[Documento]&amp;"|"&amp;tblBase[Código grupo],tblBase[Fecha matrícula],"")</f>
        <v>46263</v>
      </c>
    </row>
    <row r="1594" spans="1:26" x14ac:dyDescent="0.2">
      <c r="A1594" t="s">
        <v>3338</v>
      </c>
      <c r="B1594" t="s">
        <v>3339</v>
      </c>
      <c r="C1594" t="s">
        <v>13</v>
      </c>
      <c r="D1594" t="s">
        <v>3240</v>
      </c>
      <c r="E1594" t="s">
        <v>3241</v>
      </c>
      <c r="F1594" t="s">
        <v>335</v>
      </c>
      <c r="G1594" s="1">
        <v>0.16699999999999998</v>
      </c>
      <c r="H1594" t="s">
        <v>229</v>
      </c>
      <c r="I1594" t="s">
        <v>3169</v>
      </c>
      <c r="J1594" t="s">
        <v>3242</v>
      </c>
      <c r="K1594" t="s">
        <v>24</v>
      </c>
      <c r="L1594" s="14">
        <f>IFERROR(VALUE(LEFT(tblMatriculas[[#This Row],[Clases]],FIND("/",tblMatriculas[[#This Row],[Clases]])-1)),"")</f>
        <v>5</v>
      </c>
      <c r="M1594" s="14">
        <f>IFERROR(VALUE(MID(tblMatriculas[[#This Row],[Clases]],FIND("/",tblMatriculas[[#This Row],[Clases]])+1,5)),"")</f>
        <v>30</v>
      </c>
      <c r="N15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4" s="14">
        <f>IF(OR(tblMatriculas[[#This Row],[Estado]]&lt;&gt;"activa",tblMatriculas[[#This Row],[Clases dictadas]]=""),"",MAX(0,tblMatriculas[[#This Row],[Clases dictadas]]-tblMatriculas[[#This Row],[Asistidas]]))</f>
        <v>0</v>
      </c>
      <c r="P1594" s="1">
        <f>IF(OR(tblMatriculas[[#This Row],[Estado]]&lt;&gt;"activa",tblMatriculas[[#This Row],[Asistidas]]=""),"",tblMatriculas[[#This Row],[Asistencia]])</f>
        <v>0.16699999999999998</v>
      </c>
      <c r="Q1594" t="b">
        <f>AND(tblMatriculas[[#This Row],[Estado]]="activa",ISNUMBER(tblMatriculas[[#This Row],[% asistencia]]),NOT(ISNUMBER(SEARCH(pPrueba,tblMatriculas[[#This Row],[Nombre]]))))</f>
        <v>1</v>
      </c>
      <c r="R15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4" s="23" t="str" cm="1">
        <f t="array" ref="S15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4" s="23" t="str" cm="1">
        <f t="array" ref="T15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4" s="14" t="str" cm="1">
        <f t="array" ref="U15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4" t="str" cm="1">
        <f t="array" ref="V15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4" t="str" cm="1">
        <f t="array" ref="W15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4" t="str">
        <f>IF(COUNTIFS('Base Estudiantes'!$C:$C,tblMatriculas[[#This Row],[Cédula]],'Base Estudiantes'!$I:$I,tblMatriculas[[#This Row],[Código]])&gt;0,"Sí","No")</f>
        <v>Sí</v>
      </c>
      <c r="Z1594" s="23" cm="1">
        <f t="array" ref="Z1594">_xlfn.XLOOKUP(tblMatriculas[[#This Row],[Cédula]]&amp;"|"&amp;tblMatriculas[[#This Row],[Código]],tblBase[Documento]&amp;"|"&amp;tblBase[Código grupo],tblBase[Fecha matrícula],"")</f>
        <v>46265</v>
      </c>
    </row>
    <row r="1595" spans="1:26" x14ac:dyDescent="0.2">
      <c r="A1595" t="s">
        <v>3340</v>
      </c>
      <c r="B1595" t="s">
        <v>3341</v>
      </c>
      <c r="C1595" t="s">
        <v>13</v>
      </c>
      <c r="D1595" t="s">
        <v>3240</v>
      </c>
      <c r="E1595" t="s">
        <v>3241</v>
      </c>
      <c r="F1595" t="s">
        <v>335</v>
      </c>
      <c r="G1595" s="1">
        <v>0.13300000000000001</v>
      </c>
      <c r="H1595" t="s">
        <v>112</v>
      </c>
      <c r="I1595" t="s">
        <v>3169</v>
      </c>
      <c r="J1595" t="s">
        <v>3242</v>
      </c>
      <c r="K1595" t="s">
        <v>24</v>
      </c>
      <c r="L1595" s="14">
        <f>IFERROR(VALUE(LEFT(tblMatriculas[[#This Row],[Clases]],FIND("/",tblMatriculas[[#This Row],[Clases]])-1)),"")</f>
        <v>4</v>
      </c>
      <c r="M1595" s="14">
        <f>IFERROR(VALUE(MID(tblMatriculas[[#This Row],[Clases]],FIND("/",tblMatriculas[[#This Row],[Clases]])+1,5)),"")</f>
        <v>30</v>
      </c>
      <c r="N15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5" s="14">
        <f>IF(OR(tblMatriculas[[#This Row],[Estado]]&lt;&gt;"activa",tblMatriculas[[#This Row],[Clases dictadas]]=""),"",MAX(0,tblMatriculas[[#This Row],[Clases dictadas]]-tblMatriculas[[#This Row],[Asistidas]]))</f>
        <v>1</v>
      </c>
      <c r="P1595" s="1">
        <f>IF(OR(tblMatriculas[[#This Row],[Estado]]&lt;&gt;"activa",tblMatriculas[[#This Row],[Asistidas]]=""),"",tblMatriculas[[#This Row],[Asistencia]])</f>
        <v>0.13300000000000001</v>
      </c>
      <c r="Q1595" t="b">
        <f>AND(tblMatriculas[[#This Row],[Estado]]="activa",ISNUMBER(tblMatriculas[[#This Row],[% asistencia]]),NOT(ISNUMBER(SEARCH(pPrueba,tblMatriculas[[#This Row],[Nombre]]))))</f>
        <v>1</v>
      </c>
      <c r="R15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5" s="23" t="str" cm="1">
        <f t="array" ref="S15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5" s="23" t="str" cm="1">
        <f t="array" ref="T15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5" s="14" t="str" cm="1">
        <f t="array" ref="U15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5" t="str" cm="1">
        <f t="array" ref="V15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5" t="str" cm="1">
        <f t="array" ref="W15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5" t="str">
        <f>IF(COUNTIFS('Base Estudiantes'!$C:$C,tblMatriculas[[#This Row],[Cédula]],'Base Estudiantes'!$I:$I,tblMatriculas[[#This Row],[Código]])&gt;0,"Sí","No")</f>
        <v>Sí</v>
      </c>
      <c r="Z1595" s="23" cm="1">
        <f t="array" ref="Z1595">_xlfn.XLOOKUP(tblMatriculas[[#This Row],[Cédula]]&amp;"|"&amp;tblMatriculas[[#This Row],[Código]],tblBase[Documento]&amp;"|"&amp;tblBase[Código grupo],tblBase[Fecha matrícula],"")</f>
        <v>46265</v>
      </c>
    </row>
    <row r="1596" spans="1:26" x14ac:dyDescent="0.2">
      <c r="A1596" t="s">
        <v>3342</v>
      </c>
      <c r="B1596" t="s">
        <v>3343</v>
      </c>
      <c r="C1596" t="s">
        <v>13</v>
      </c>
      <c r="D1596" t="s">
        <v>3240</v>
      </c>
      <c r="E1596" t="s">
        <v>3241</v>
      </c>
      <c r="F1596" t="s">
        <v>335</v>
      </c>
      <c r="G1596" s="1">
        <v>0.16699999999999998</v>
      </c>
      <c r="H1596" t="s">
        <v>229</v>
      </c>
      <c r="I1596" t="s">
        <v>3169</v>
      </c>
      <c r="J1596" t="s">
        <v>3242</v>
      </c>
      <c r="K1596" t="s">
        <v>24</v>
      </c>
      <c r="L1596" s="14">
        <f>IFERROR(VALUE(LEFT(tblMatriculas[[#This Row],[Clases]],FIND("/",tblMatriculas[[#This Row],[Clases]])-1)),"")</f>
        <v>5</v>
      </c>
      <c r="M1596" s="14">
        <f>IFERROR(VALUE(MID(tblMatriculas[[#This Row],[Clases]],FIND("/",tblMatriculas[[#This Row],[Clases]])+1,5)),"")</f>
        <v>30</v>
      </c>
      <c r="N15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6" s="14">
        <f>IF(OR(tblMatriculas[[#This Row],[Estado]]&lt;&gt;"activa",tblMatriculas[[#This Row],[Clases dictadas]]=""),"",MAX(0,tblMatriculas[[#This Row],[Clases dictadas]]-tblMatriculas[[#This Row],[Asistidas]]))</f>
        <v>0</v>
      </c>
      <c r="P1596" s="1">
        <f>IF(OR(tblMatriculas[[#This Row],[Estado]]&lt;&gt;"activa",tblMatriculas[[#This Row],[Asistidas]]=""),"",tblMatriculas[[#This Row],[Asistencia]])</f>
        <v>0.16699999999999998</v>
      </c>
      <c r="Q1596" t="b">
        <f>AND(tblMatriculas[[#This Row],[Estado]]="activa",ISNUMBER(tblMatriculas[[#This Row],[% asistencia]]),NOT(ISNUMBER(SEARCH(pPrueba,tblMatriculas[[#This Row],[Nombre]]))))</f>
        <v>1</v>
      </c>
      <c r="R15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6" s="23" t="str" cm="1">
        <f t="array" ref="S15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6" s="23" t="str" cm="1">
        <f t="array" ref="T15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6" s="14" t="str" cm="1">
        <f t="array" ref="U15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6" t="str" cm="1">
        <f t="array" ref="V15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6" t="str" cm="1">
        <f t="array" ref="W15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6" t="str">
        <f>IF(COUNTIFS('Base Estudiantes'!$C:$C,tblMatriculas[[#This Row],[Cédula]],'Base Estudiantes'!$I:$I,tblMatriculas[[#This Row],[Código]])&gt;0,"Sí","No")</f>
        <v>Sí</v>
      </c>
      <c r="Z1596" s="23" cm="1">
        <f t="array" ref="Z1596">_xlfn.XLOOKUP(tblMatriculas[[#This Row],[Cédula]]&amp;"|"&amp;tblMatriculas[[#This Row],[Código]],tblBase[Documento]&amp;"|"&amp;tblBase[Código grupo],tblBase[Fecha matrícula],"")</f>
        <v>46265</v>
      </c>
    </row>
    <row r="1597" spans="1:26" x14ac:dyDescent="0.2">
      <c r="A1597" t="s">
        <v>3344</v>
      </c>
      <c r="B1597" t="s">
        <v>3345</v>
      </c>
      <c r="C1597" t="s">
        <v>13</v>
      </c>
      <c r="D1597" t="s">
        <v>3240</v>
      </c>
      <c r="E1597" t="s">
        <v>3241</v>
      </c>
      <c r="F1597" t="s">
        <v>335</v>
      </c>
      <c r="G1597" s="1">
        <v>0.13300000000000001</v>
      </c>
      <c r="H1597" t="s">
        <v>112</v>
      </c>
      <c r="I1597" t="s">
        <v>3169</v>
      </c>
      <c r="J1597" t="s">
        <v>3242</v>
      </c>
      <c r="K1597" t="s">
        <v>24</v>
      </c>
      <c r="L1597" s="14">
        <f>IFERROR(VALUE(LEFT(tblMatriculas[[#This Row],[Clases]],FIND("/",tblMatriculas[[#This Row],[Clases]])-1)),"")</f>
        <v>4</v>
      </c>
      <c r="M1597" s="14">
        <f>IFERROR(VALUE(MID(tblMatriculas[[#This Row],[Clases]],FIND("/",tblMatriculas[[#This Row],[Clases]])+1,5)),"")</f>
        <v>30</v>
      </c>
      <c r="N15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7" s="14">
        <f>IF(OR(tblMatriculas[[#This Row],[Estado]]&lt;&gt;"activa",tblMatriculas[[#This Row],[Clases dictadas]]=""),"",MAX(0,tblMatriculas[[#This Row],[Clases dictadas]]-tblMatriculas[[#This Row],[Asistidas]]))</f>
        <v>1</v>
      </c>
      <c r="P1597" s="1">
        <f>IF(OR(tblMatriculas[[#This Row],[Estado]]&lt;&gt;"activa",tblMatriculas[[#This Row],[Asistidas]]=""),"",tblMatriculas[[#This Row],[Asistencia]])</f>
        <v>0.13300000000000001</v>
      </c>
      <c r="Q1597" t="b">
        <f>AND(tblMatriculas[[#This Row],[Estado]]="activa",ISNUMBER(tblMatriculas[[#This Row],[% asistencia]]),NOT(ISNUMBER(SEARCH(pPrueba,tblMatriculas[[#This Row],[Nombre]]))))</f>
        <v>1</v>
      </c>
      <c r="R15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7" s="23" t="str" cm="1">
        <f t="array" ref="S15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7" s="23" t="str" cm="1">
        <f t="array" ref="T15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7" s="14" t="str" cm="1">
        <f t="array" ref="U15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7" t="str" cm="1">
        <f t="array" ref="V15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7" t="str" cm="1">
        <f t="array" ref="W15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7" t="str">
        <f>IF(COUNTIFS('Base Estudiantes'!$C:$C,tblMatriculas[[#This Row],[Cédula]],'Base Estudiantes'!$I:$I,tblMatriculas[[#This Row],[Código]])&gt;0,"Sí","No")</f>
        <v>Sí</v>
      </c>
      <c r="Z1597" s="23" cm="1">
        <f t="array" ref="Z1597">_xlfn.XLOOKUP(tblMatriculas[[#This Row],[Cédula]]&amp;"|"&amp;tblMatriculas[[#This Row],[Código]],tblBase[Documento]&amp;"|"&amp;tblBase[Código grupo],tblBase[Fecha matrícula],"")</f>
        <v>46265</v>
      </c>
    </row>
    <row r="1598" spans="1:26" x14ac:dyDescent="0.2">
      <c r="A1598" t="s">
        <v>3346</v>
      </c>
      <c r="B1598" t="s">
        <v>3347</v>
      </c>
      <c r="C1598" t="s">
        <v>13</v>
      </c>
      <c r="D1598" t="s">
        <v>3240</v>
      </c>
      <c r="E1598" t="s">
        <v>3241</v>
      </c>
      <c r="F1598" t="s">
        <v>335</v>
      </c>
      <c r="G1598" s="1">
        <v>0.16699999999999998</v>
      </c>
      <c r="H1598" t="s">
        <v>229</v>
      </c>
      <c r="I1598" t="s">
        <v>3169</v>
      </c>
      <c r="J1598" t="s">
        <v>3242</v>
      </c>
      <c r="K1598" t="s">
        <v>24</v>
      </c>
      <c r="L1598" s="14">
        <f>IFERROR(VALUE(LEFT(tblMatriculas[[#This Row],[Clases]],FIND("/",tblMatriculas[[#This Row],[Clases]])-1)),"")</f>
        <v>5</v>
      </c>
      <c r="M1598" s="14">
        <f>IFERROR(VALUE(MID(tblMatriculas[[#This Row],[Clases]],FIND("/",tblMatriculas[[#This Row],[Clases]])+1,5)),"")</f>
        <v>30</v>
      </c>
      <c r="N15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8" s="14">
        <f>IF(OR(tblMatriculas[[#This Row],[Estado]]&lt;&gt;"activa",tblMatriculas[[#This Row],[Clases dictadas]]=""),"",MAX(0,tblMatriculas[[#This Row],[Clases dictadas]]-tblMatriculas[[#This Row],[Asistidas]]))</f>
        <v>0</v>
      </c>
      <c r="P1598" s="1">
        <f>IF(OR(tblMatriculas[[#This Row],[Estado]]&lt;&gt;"activa",tblMatriculas[[#This Row],[Asistidas]]=""),"",tblMatriculas[[#This Row],[Asistencia]])</f>
        <v>0.16699999999999998</v>
      </c>
      <c r="Q1598" t="b">
        <f>AND(tblMatriculas[[#This Row],[Estado]]="activa",ISNUMBER(tblMatriculas[[#This Row],[% asistencia]]),NOT(ISNUMBER(SEARCH(pPrueba,tblMatriculas[[#This Row],[Nombre]]))))</f>
        <v>1</v>
      </c>
      <c r="R15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8" s="23" t="str" cm="1">
        <f t="array" ref="S15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8" s="23" t="str" cm="1">
        <f t="array" ref="T15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8" s="14" t="str" cm="1">
        <f t="array" ref="U15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8" t="str" cm="1">
        <f t="array" ref="V15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8" t="str" cm="1">
        <f t="array" ref="W15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8" t="str">
        <f>IF(COUNTIFS('Base Estudiantes'!$C:$C,tblMatriculas[[#This Row],[Cédula]],'Base Estudiantes'!$I:$I,tblMatriculas[[#This Row],[Código]])&gt;0,"Sí","No")</f>
        <v>Sí</v>
      </c>
      <c r="Z1598" s="23" cm="1">
        <f t="array" ref="Z1598">_xlfn.XLOOKUP(tblMatriculas[[#This Row],[Cédula]]&amp;"|"&amp;tblMatriculas[[#This Row],[Código]],tblBase[Documento]&amp;"|"&amp;tblBase[Código grupo],tblBase[Fecha matrícula],"")</f>
        <v>46265</v>
      </c>
    </row>
    <row r="1599" spans="1:26" x14ac:dyDescent="0.2">
      <c r="A1599" t="s">
        <v>3348</v>
      </c>
      <c r="B1599" t="s">
        <v>3349</v>
      </c>
      <c r="C1599" t="s">
        <v>13</v>
      </c>
      <c r="D1599" t="s">
        <v>3240</v>
      </c>
      <c r="E1599" t="s">
        <v>3241</v>
      </c>
      <c r="F1599" t="s">
        <v>335</v>
      </c>
      <c r="G1599" s="1">
        <v>0.16699999999999998</v>
      </c>
      <c r="H1599" t="s">
        <v>229</v>
      </c>
      <c r="I1599" t="s">
        <v>3169</v>
      </c>
      <c r="J1599" t="s">
        <v>3242</v>
      </c>
      <c r="K1599" t="s">
        <v>24</v>
      </c>
      <c r="L1599" s="14">
        <f>IFERROR(VALUE(LEFT(tblMatriculas[[#This Row],[Clases]],FIND("/",tblMatriculas[[#This Row],[Clases]])-1)),"")</f>
        <v>5</v>
      </c>
      <c r="M1599" s="14">
        <f>IFERROR(VALUE(MID(tblMatriculas[[#This Row],[Clases]],FIND("/",tblMatriculas[[#This Row],[Clases]])+1,5)),"")</f>
        <v>30</v>
      </c>
      <c r="N15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599" s="14">
        <f>IF(OR(tblMatriculas[[#This Row],[Estado]]&lt;&gt;"activa",tblMatriculas[[#This Row],[Clases dictadas]]=""),"",MAX(0,tblMatriculas[[#This Row],[Clases dictadas]]-tblMatriculas[[#This Row],[Asistidas]]))</f>
        <v>0</v>
      </c>
      <c r="P1599" s="1">
        <f>IF(OR(tblMatriculas[[#This Row],[Estado]]&lt;&gt;"activa",tblMatriculas[[#This Row],[Asistidas]]=""),"",tblMatriculas[[#This Row],[Asistencia]])</f>
        <v>0.16699999999999998</v>
      </c>
      <c r="Q1599" t="b">
        <f>AND(tblMatriculas[[#This Row],[Estado]]="activa",ISNUMBER(tblMatriculas[[#This Row],[% asistencia]]),NOT(ISNUMBER(SEARCH(pPrueba,tblMatriculas[[#This Row],[Nombre]]))))</f>
        <v>1</v>
      </c>
      <c r="R15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599" s="23" t="str" cm="1">
        <f t="array" ref="S15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599" s="23" t="str" cm="1">
        <f t="array" ref="T15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599" s="14" t="str" cm="1">
        <f t="array" ref="U15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599" t="str" cm="1">
        <f t="array" ref="V15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599" t="str" cm="1">
        <f t="array" ref="W15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5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599" t="str">
        <f>IF(COUNTIFS('Base Estudiantes'!$C:$C,tblMatriculas[[#This Row],[Cédula]],'Base Estudiantes'!$I:$I,tblMatriculas[[#This Row],[Código]])&gt;0,"Sí","No")</f>
        <v>Sí</v>
      </c>
      <c r="Z1599" s="23" cm="1">
        <f t="array" ref="Z1599">_xlfn.XLOOKUP(tblMatriculas[[#This Row],[Cédula]]&amp;"|"&amp;tblMatriculas[[#This Row],[Código]],tblBase[Documento]&amp;"|"&amp;tblBase[Código grupo],tblBase[Fecha matrícula],"")</f>
        <v>46265</v>
      </c>
    </row>
    <row r="1600" spans="1:26" x14ac:dyDescent="0.2">
      <c r="A1600" t="s">
        <v>3350</v>
      </c>
      <c r="B1600" t="s">
        <v>3351</v>
      </c>
      <c r="C1600" t="s">
        <v>13</v>
      </c>
      <c r="D1600" t="s">
        <v>3240</v>
      </c>
      <c r="E1600" t="s">
        <v>3241</v>
      </c>
      <c r="F1600" t="s">
        <v>335</v>
      </c>
      <c r="G1600" s="1">
        <v>0.1</v>
      </c>
      <c r="H1600" t="s">
        <v>117</v>
      </c>
      <c r="I1600" t="s">
        <v>3169</v>
      </c>
      <c r="J1600" t="s">
        <v>3242</v>
      </c>
      <c r="K1600" t="s">
        <v>24</v>
      </c>
      <c r="L1600" s="14">
        <f>IFERROR(VALUE(LEFT(tblMatriculas[[#This Row],[Clases]],FIND("/",tblMatriculas[[#This Row],[Clases]])-1)),"")</f>
        <v>3</v>
      </c>
      <c r="M1600" s="14">
        <f>IFERROR(VALUE(MID(tblMatriculas[[#This Row],[Clases]],FIND("/",tblMatriculas[[#This Row],[Clases]])+1,5)),"")</f>
        <v>30</v>
      </c>
      <c r="N16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00" s="14">
        <f>IF(OR(tblMatriculas[[#This Row],[Estado]]&lt;&gt;"activa",tblMatriculas[[#This Row],[Clases dictadas]]=""),"",MAX(0,tblMatriculas[[#This Row],[Clases dictadas]]-tblMatriculas[[#This Row],[Asistidas]]))</f>
        <v>2</v>
      </c>
      <c r="P1600" s="1">
        <f>IF(OR(tblMatriculas[[#This Row],[Estado]]&lt;&gt;"activa",tblMatriculas[[#This Row],[Asistidas]]=""),"",tblMatriculas[[#This Row],[Asistencia]])</f>
        <v>0.1</v>
      </c>
      <c r="Q1600" t="b">
        <f>AND(tblMatriculas[[#This Row],[Estado]]="activa",ISNUMBER(tblMatriculas[[#This Row],[% asistencia]]),NOT(ISNUMBER(SEARCH(pPrueba,tblMatriculas[[#This Row],[Nombre]]))))</f>
        <v>1</v>
      </c>
      <c r="R16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00" s="23" t="str" cm="1">
        <f t="array" ref="S16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0" s="23" t="str" cm="1">
        <f t="array" ref="T16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0" s="14" t="str" cm="1">
        <f t="array" ref="U16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0" t="str" cm="1">
        <f t="array" ref="V16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0" t="str" cm="1">
        <f t="array" ref="W16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00" t="str">
        <f>IF(COUNTIFS('Base Estudiantes'!$C:$C,tblMatriculas[[#This Row],[Cédula]],'Base Estudiantes'!$I:$I,tblMatriculas[[#This Row],[Código]])&gt;0,"Sí","No")</f>
        <v>Sí</v>
      </c>
      <c r="Z1600" s="23" cm="1">
        <f t="array" ref="Z1600">_xlfn.XLOOKUP(tblMatriculas[[#This Row],[Cédula]]&amp;"|"&amp;tblMatriculas[[#This Row],[Código]],tblBase[Documento]&amp;"|"&amp;tblBase[Código grupo],tblBase[Fecha matrícula],"")</f>
        <v>46265</v>
      </c>
    </row>
    <row r="1601" spans="1:26" x14ac:dyDescent="0.2">
      <c r="A1601" t="s">
        <v>3352</v>
      </c>
      <c r="B1601" t="s">
        <v>3353</v>
      </c>
      <c r="C1601" t="s">
        <v>13</v>
      </c>
      <c r="D1601" t="s">
        <v>3240</v>
      </c>
      <c r="E1601" t="s">
        <v>3241</v>
      </c>
      <c r="F1601" t="s">
        <v>335</v>
      </c>
      <c r="G1601" s="1">
        <v>6.7000000000000004E-2</v>
      </c>
      <c r="H1601" t="s">
        <v>166</v>
      </c>
      <c r="I1601" t="s">
        <v>3169</v>
      </c>
      <c r="J1601" t="s">
        <v>3242</v>
      </c>
      <c r="K1601" t="s">
        <v>24</v>
      </c>
      <c r="L1601" s="14">
        <f>IFERROR(VALUE(LEFT(tblMatriculas[[#This Row],[Clases]],FIND("/",tblMatriculas[[#This Row],[Clases]])-1)),"")</f>
        <v>2</v>
      </c>
      <c r="M1601" s="14">
        <f>IFERROR(VALUE(MID(tblMatriculas[[#This Row],[Clases]],FIND("/",tblMatriculas[[#This Row],[Clases]])+1,5)),"")</f>
        <v>30</v>
      </c>
      <c r="N16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01" s="14">
        <f>IF(OR(tblMatriculas[[#This Row],[Estado]]&lt;&gt;"activa",tblMatriculas[[#This Row],[Clases dictadas]]=""),"",MAX(0,tblMatriculas[[#This Row],[Clases dictadas]]-tblMatriculas[[#This Row],[Asistidas]]))</f>
        <v>3</v>
      </c>
      <c r="P1601" s="1">
        <f>IF(OR(tblMatriculas[[#This Row],[Estado]]&lt;&gt;"activa",tblMatriculas[[#This Row],[Asistidas]]=""),"",tblMatriculas[[#This Row],[Asistencia]])</f>
        <v>6.7000000000000004E-2</v>
      </c>
      <c r="Q1601" t="b">
        <f>AND(tblMatriculas[[#This Row],[Estado]]="activa",ISNUMBER(tblMatriculas[[#This Row],[% asistencia]]),NOT(ISNUMBER(SEARCH(pPrueba,tblMatriculas[[#This Row],[Nombre]]))))</f>
        <v>1</v>
      </c>
      <c r="R16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01" s="23" t="str" cm="1">
        <f t="array" ref="S16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1" s="23" t="str" cm="1">
        <f t="array" ref="T16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1" s="14" t="str" cm="1">
        <f t="array" ref="U16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1" t="str" cm="1">
        <f t="array" ref="V16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1" t="str" cm="1">
        <f t="array" ref="W16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0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01" t="str">
        <f>IF(COUNTIFS('Base Estudiantes'!$C:$C,tblMatriculas[[#This Row],[Cédula]],'Base Estudiantes'!$I:$I,tblMatriculas[[#This Row],[Código]])&gt;0,"Sí","No")</f>
        <v>Sí</v>
      </c>
      <c r="Z1601" s="23" cm="1">
        <f t="array" ref="Z1601">_xlfn.XLOOKUP(tblMatriculas[[#This Row],[Cédula]]&amp;"|"&amp;tblMatriculas[[#This Row],[Código]],tblBase[Documento]&amp;"|"&amp;tblBase[Código grupo],tblBase[Fecha matrícula],"")</f>
        <v>46265</v>
      </c>
    </row>
    <row r="1602" spans="1:26" x14ac:dyDescent="0.2">
      <c r="A1602" t="s">
        <v>3354</v>
      </c>
      <c r="B1602" t="s">
        <v>3355</v>
      </c>
      <c r="C1602" t="s">
        <v>13</v>
      </c>
      <c r="D1602" t="s">
        <v>3240</v>
      </c>
      <c r="E1602" t="s">
        <v>3241</v>
      </c>
      <c r="F1602" t="s">
        <v>335</v>
      </c>
      <c r="G1602" s="1">
        <v>0.16699999999999998</v>
      </c>
      <c r="H1602" t="s">
        <v>229</v>
      </c>
      <c r="I1602" t="s">
        <v>3169</v>
      </c>
      <c r="J1602" t="s">
        <v>3242</v>
      </c>
      <c r="K1602" t="s">
        <v>24</v>
      </c>
      <c r="L1602" s="14">
        <f>IFERROR(VALUE(LEFT(tblMatriculas[[#This Row],[Clases]],FIND("/",tblMatriculas[[#This Row],[Clases]])-1)),"")</f>
        <v>5</v>
      </c>
      <c r="M1602" s="14">
        <f>IFERROR(VALUE(MID(tblMatriculas[[#This Row],[Clases]],FIND("/",tblMatriculas[[#This Row],[Clases]])+1,5)),"")</f>
        <v>30</v>
      </c>
      <c r="N16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02" s="14">
        <f>IF(OR(tblMatriculas[[#This Row],[Estado]]&lt;&gt;"activa",tblMatriculas[[#This Row],[Clases dictadas]]=""),"",MAX(0,tblMatriculas[[#This Row],[Clases dictadas]]-tblMatriculas[[#This Row],[Asistidas]]))</f>
        <v>0</v>
      </c>
      <c r="P1602" s="1">
        <f>IF(OR(tblMatriculas[[#This Row],[Estado]]&lt;&gt;"activa",tblMatriculas[[#This Row],[Asistidas]]=""),"",tblMatriculas[[#This Row],[Asistencia]])</f>
        <v>0.16699999999999998</v>
      </c>
      <c r="Q1602" t="b">
        <f>AND(tblMatriculas[[#This Row],[Estado]]="activa",ISNUMBER(tblMatriculas[[#This Row],[% asistencia]]),NOT(ISNUMBER(SEARCH(pPrueba,tblMatriculas[[#This Row],[Nombre]]))))</f>
        <v>1</v>
      </c>
      <c r="R16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02" s="23" t="str" cm="1">
        <f t="array" ref="S16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2" s="23" t="str" cm="1">
        <f t="array" ref="T16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2" s="14" t="str" cm="1">
        <f t="array" ref="U16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2" t="str" cm="1">
        <f t="array" ref="V16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2" t="str" cm="1">
        <f t="array" ref="W16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02" t="str">
        <f>IF(COUNTIFS('Base Estudiantes'!$C:$C,tblMatriculas[[#This Row],[Cédula]],'Base Estudiantes'!$I:$I,tblMatriculas[[#This Row],[Código]])&gt;0,"Sí","No")</f>
        <v>Sí</v>
      </c>
      <c r="Z1602" s="23" cm="1">
        <f t="array" ref="Z1602">_xlfn.XLOOKUP(tblMatriculas[[#This Row],[Cédula]]&amp;"|"&amp;tblMatriculas[[#This Row],[Código]],tblBase[Documento]&amp;"|"&amp;tblBase[Código grupo],tblBase[Fecha matrícula],"")</f>
        <v>46265</v>
      </c>
    </row>
    <row r="1603" spans="1:26" x14ac:dyDescent="0.2">
      <c r="A1603" t="s">
        <v>3356</v>
      </c>
      <c r="B1603" t="s">
        <v>3357</v>
      </c>
      <c r="C1603" t="s">
        <v>13</v>
      </c>
      <c r="D1603" t="s">
        <v>3240</v>
      </c>
      <c r="E1603" t="s">
        <v>3241</v>
      </c>
      <c r="F1603" t="s">
        <v>335</v>
      </c>
      <c r="G1603" s="1">
        <v>0.1</v>
      </c>
      <c r="H1603" t="s">
        <v>117</v>
      </c>
      <c r="I1603" t="s">
        <v>3169</v>
      </c>
      <c r="J1603" t="s">
        <v>3242</v>
      </c>
      <c r="K1603" t="s">
        <v>24</v>
      </c>
      <c r="L1603" s="14">
        <f>IFERROR(VALUE(LEFT(tblMatriculas[[#This Row],[Clases]],FIND("/",tblMatriculas[[#This Row],[Clases]])-1)),"")</f>
        <v>3</v>
      </c>
      <c r="M1603" s="14">
        <f>IFERROR(VALUE(MID(tblMatriculas[[#This Row],[Clases]],FIND("/",tblMatriculas[[#This Row],[Clases]])+1,5)),"")</f>
        <v>30</v>
      </c>
      <c r="N16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03" s="14">
        <f>IF(OR(tblMatriculas[[#This Row],[Estado]]&lt;&gt;"activa",tblMatriculas[[#This Row],[Clases dictadas]]=""),"",MAX(0,tblMatriculas[[#This Row],[Clases dictadas]]-tblMatriculas[[#This Row],[Asistidas]]))</f>
        <v>2</v>
      </c>
      <c r="P1603" s="1">
        <f>IF(OR(tblMatriculas[[#This Row],[Estado]]&lt;&gt;"activa",tblMatriculas[[#This Row],[Asistidas]]=""),"",tblMatriculas[[#This Row],[Asistencia]])</f>
        <v>0.1</v>
      </c>
      <c r="Q1603" t="b">
        <f>AND(tblMatriculas[[#This Row],[Estado]]="activa",ISNUMBER(tblMatriculas[[#This Row],[% asistencia]]),NOT(ISNUMBER(SEARCH(pPrueba,tblMatriculas[[#This Row],[Nombre]]))))</f>
        <v>1</v>
      </c>
      <c r="R16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03" s="23" t="str" cm="1">
        <f t="array" ref="S16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3" s="23" t="str" cm="1">
        <f t="array" ref="T16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3" s="14" t="str" cm="1">
        <f t="array" ref="U16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3" t="str" cm="1">
        <f t="array" ref="V16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3" t="str" cm="1">
        <f t="array" ref="W16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03" t="str">
        <f>IF(COUNTIFS('Base Estudiantes'!$C:$C,tblMatriculas[[#This Row],[Cédula]],'Base Estudiantes'!$I:$I,tblMatriculas[[#This Row],[Código]])&gt;0,"Sí","No")</f>
        <v>Sí</v>
      </c>
      <c r="Z1603" s="23" cm="1">
        <f t="array" ref="Z1603">_xlfn.XLOOKUP(tblMatriculas[[#This Row],[Cédula]]&amp;"|"&amp;tblMatriculas[[#This Row],[Código]],tblBase[Documento]&amp;"|"&amp;tblBase[Código grupo],tblBase[Fecha matrícula],"")</f>
        <v>46282</v>
      </c>
    </row>
    <row r="1604" spans="1:26" x14ac:dyDescent="0.2">
      <c r="A1604" t="s">
        <v>3358</v>
      </c>
      <c r="B1604" t="s">
        <v>3359</v>
      </c>
      <c r="C1604" t="s">
        <v>13</v>
      </c>
      <c r="D1604" t="s">
        <v>3360</v>
      </c>
      <c r="E1604" t="s">
        <v>3361</v>
      </c>
      <c r="F1604" t="s">
        <v>516</v>
      </c>
      <c r="G1604" s="1">
        <v>6.7000000000000004E-2</v>
      </c>
      <c r="H1604" t="s">
        <v>166</v>
      </c>
      <c r="I1604" t="s">
        <v>3169</v>
      </c>
      <c r="J1604" t="s">
        <v>3362</v>
      </c>
      <c r="K1604" t="s">
        <v>24</v>
      </c>
      <c r="L1604" s="14">
        <f>IFERROR(VALUE(LEFT(tblMatriculas[[#This Row],[Clases]],FIND("/",tblMatriculas[[#This Row],[Clases]])-1)),"")</f>
        <v>2</v>
      </c>
      <c r="M1604" s="14">
        <f>IFERROR(VALUE(MID(tblMatriculas[[#This Row],[Clases]],FIND("/",tblMatriculas[[#This Row],[Clases]])+1,5)),"")</f>
        <v>30</v>
      </c>
      <c r="N16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4" s="14">
        <f>IF(OR(tblMatriculas[[#This Row],[Estado]]&lt;&gt;"activa",tblMatriculas[[#This Row],[Clases dictadas]]=""),"",MAX(0,tblMatriculas[[#This Row],[Clases dictadas]]-tblMatriculas[[#This Row],[Asistidas]]))</f>
        <v>0</v>
      </c>
      <c r="P1604" s="1">
        <f>IF(OR(tblMatriculas[[#This Row],[Estado]]&lt;&gt;"activa",tblMatriculas[[#This Row],[Asistidas]]=""),"",tblMatriculas[[#This Row],[Asistencia]])</f>
        <v>6.7000000000000004E-2</v>
      </c>
      <c r="Q1604" t="b">
        <f>AND(tblMatriculas[[#This Row],[Estado]]="activa",ISNUMBER(tblMatriculas[[#This Row],[% asistencia]]),NOT(ISNUMBER(SEARCH(pPrueba,tblMatriculas[[#This Row],[Nombre]]))))</f>
        <v>1</v>
      </c>
      <c r="R16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04" s="23" t="str" cm="1">
        <f t="array" ref="S16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4" s="23" t="str" cm="1">
        <f t="array" ref="T16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4" s="14" t="str" cm="1">
        <f t="array" ref="U16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4" t="str" cm="1">
        <f t="array" ref="V16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4" t="str" cm="1">
        <f t="array" ref="W16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0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04" t="str">
        <f>IF(COUNTIFS('Base Estudiantes'!$C:$C,tblMatriculas[[#This Row],[Cédula]],'Base Estudiantes'!$I:$I,tblMatriculas[[#This Row],[Código]])&gt;0,"Sí","No")</f>
        <v>Sí</v>
      </c>
      <c r="Z1604" s="23" cm="1">
        <f t="array" ref="Z1604">_xlfn.XLOOKUP(tblMatriculas[[#This Row],[Cédula]]&amp;"|"&amp;tblMatriculas[[#This Row],[Código]],tblBase[Documento]&amp;"|"&amp;tblBase[Código grupo],tblBase[Fecha matrícula],"")</f>
        <v>46262</v>
      </c>
    </row>
    <row r="1605" spans="1:26" x14ac:dyDescent="0.2">
      <c r="A1605" t="s">
        <v>3363</v>
      </c>
      <c r="B1605" t="s">
        <v>3364</v>
      </c>
      <c r="C1605" t="s">
        <v>13</v>
      </c>
      <c r="D1605" t="s">
        <v>3360</v>
      </c>
      <c r="E1605" t="s">
        <v>3361</v>
      </c>
      <c r="F1605" t="s">
        <v>516</v>
      </c>
      <c r="G1605" s="1">
        <v>0</v>
      </c>
      <c r="H1605" t="s">
        <v>254</v>
      </c>
      <c r="I1605" t="s">
        <v>3169</v>
      </c>
      <c r="J1605" t="s">
        <v>3362</v>
      </c>
      <c r="K1605" t="s">
        <v>24</v>
      </c>
      <c r="L1605" s="14">
        <f>IFERROR(VALUE(LEFT(tblMatriculas[[#This Row],[Clases]],FIND("/",tblMatriculas[[#This Row],[Clases]])-1)),"")</f>
        <v>0</v>
      </c>
      <c r="M1605" s="14">
        <f>IFERROR(VALUE(MID(tblMatriculas[[#This Row],[Clases]],FIND("/",tblMatriculas[[#This Row],[Clases]])+1,5)),"")</f>
        <v>30</v>
      </c>
      <c r="N16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5" s="14">
        <f>IF(OR(tblMatriculas[[#This Row],[Estado]]&lt;&gt;"activa",tblMatriculas[[#This Row],[Clases dictadas]]=""),"",MAX(0,tblMatriculas[[#This Row],[Clases dictadas]]-tblMatriculas[[#This Row],[Asistidas]]))</f>
        <v>2</v>
      </c>
      <c r="P1605" s="1">
        <f>IF(OR(tblMatriculas[[#This Row],[Estado]]&lt;&gt;"activa",tblMatriculas[[#This Row],[Asistidas]]=""),"",tblMatriculas[[#This Row],[Asistencia]])</f>
        <v>0</v>
      </c>
      <c r="Q1605" t="b">
        <f>AND(tblMatriculas[[#This Row],[Estado]]="activa",ISNUMBER(tblMatriculas[[#This Row],[% asistencia]]),NOT(ISNUMBER(SEARCH(pPrueba,tblMatriculas[[#This Row],[Nombre]]))))</f>
        <v>1</v>
      </c>
      <c r="R16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05" s="23" t="str" cm="1">
        <f t="array" ref="S16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5" s="23" t="str" cm="1">
        <f t="array" ref="T16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5" s="14" t="str" cm="1">
        <f t="array" ref="U16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5" t="str" cm="1">
        <f t="array" ref="V16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5" t="str" cm="1">
        <f t="array" ref="W16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0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05" t="str">
        <f>IF(COUNTIFS('Base Estudiantes'!$C:$C,tblMatriculas[[#This Row],[Cédula]],'Base Estudiantes'!$I:$I,tblMatriculas[[#This Row],[Código]])&gt;0,"Sí","No")</f>
        <v>Sí</v>
      </c>
      <c r="Z1605" s="23" cm="1">
        <f t="array" ref="Z1605">_xlfn.XLOOKUP(tblMatriculas[[#This Row],[Cédula]]&amp;"|"&amp;tblMatriculas[[#This Row],[Código]],tblBase[Documento]&amp;"|"&amp;tblBase[Código grupo],tblBase[Fecha matrícula],"")</f>
        <v>46262</v>
      </c>
    </row>
    <row r="1606" spans="1:26" x14ac:dyDescent="0.2">
      <c r="A1606" t="s">
        <v>3365</v>
      </c>
      <c r="B1606" t="s">
        <v>3366</v>
      </c>
      <c r="C1606" t="s">
        <v>13</v>
      </c>
      <c r="D1606" t="s">
        <v>3360</v>
      </c>
      <c r="E1606" t="s">
        <v>3361</v>
      </c>
      <c r="F1606" t="s">
        <v>516</v>
      </c>
      <c r="G1606" s="1">
        <v>6.7000000000000004E-2</v>
      </c>
      <c r="H1606" t="s">
        <v>166</v>
      </c>
      <c r="I1606" t="s">
        <v>3169</v>
      </c>
      <c r="J1606" t="s">
        <v>3362</v>
      </c>
      <c r="K1606" t="s">
        <v>24</v>
      </c>
      <c r="L1606" s="14">
        <f>IFERROR(VALUE(LEFT(tblMatriculas[[#This Row],[Clases]],FIND("/",tblMatriculas[[#This Row],[Clases]])-1)),"")</f>
        <v>2</v>
      </c>
      <c r="M1606" s="14">
        <f>IFERROR(VALUE(MID(tblMatriculas[[#This Row],[Clases]],FIND("/",tblMatriculas[[#This Row],[Clases]])+1,5)),"")</f>
        <v>30</v>
      </c>
      <c r="N16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6" s="14">
        <f>IF(OR(tblMatriculas[[#This Row],[Estado]]&lt;&gt;"activa",tblMatriculas[[#This Row],[Clases dictadas]]=""),"",MAX(0,tblMatriculas[[#This Row],[Clases dictadas]]-tblMatriculas[[#This Row],[Asistidas]]))</f>
        <v>0</v>
      </c>
      <c r="P1606" s="1">
        <f>IF(OR(tblMatriculas[[#This Row],[Estado]]&lt;&gt;"activa",tblMatriculas[[#This Row],[Asistidas]]=""),"",tblMatriculas[[#This Row],[Asistencia]])</f>
        <v>6.7000000000000004E-2</v>
      </c>
      <c r="Q1606" t="b">
        <f>AND(tblMatriculas[[#This Row],[Estado]]="activa",ISNUMBER(tblMatriculas[[#This Row],[% asistencia]]),NOT(ISNUMBER(SEARCH(pPrueba,tblMatriculas[[#This Row],[Nombre]]))))</f>
        <v>1</v>
      </c>
      <c r="R16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06" s="23" t="str" cm="1">
        <f t="array" ref="S16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6" s="23" t="str" cm="1">
        <f t="array" ref="T16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6" s="14" t="str" cm="1">
        <f t="array" ref="U16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6" t="str" cm="1">
        <f t="array" ref="V16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6" t="str" cm="1">
        <f t="array" ref="W16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06" t="str">
        <f>IF(COUNTIFS('Base Estudiantes'!$C:$C,tblMatriculas[[#This Row],[Cédula]],'Base Estudiantes'!$I:$I,tblMatriculas[[#This Row],[Código]])&gt;0,"Sí","No")</f>
        <v>Sí</v>
      </c>
      <c r="Z1606" s="23" cm="1">
        <f t="array" ref="Z1606">_xlfn.XLOOKUP(tblMatriculas[[#This Row],[Cédula]]&amp;"|"&amp;tblMatriculas[[#This Row],[Código]],tblBase[Documento]&amp;"|"&amp;tblBase[Código grupo],tblBase[Fecha matrícula],"")</f>
        <v>46262</v>
      </c>
    </row>
    <row r="1607" spans="1:26" x14ac:dyDescent="0.2">
      <c r="A1607" t="s">
        <v>3367</v>
      </c>
      <c r="B1607" t="s">
        <v>3368</v>
      </c>
      <c r="C1607" t="s">
        <v>13</v>
      </c>
      <c r="D1607" t="s">
        <v>3360</v>
      </c>
      <c r="E1607" t="s">
        <v>3361</v>
      </c>
      <c r="F1607" t="s">
        <v>516</v>
      </c>
      <c r="G1607" s="1">
        <v>6.7000000000000004E-2</v>
      </c>
      <c r="H1607" t="s">
        <v>166</v>
      </c>
      <c r="I1607" t="s">
        <v>3169</v>
      </c>
      <c r="J1607" t="s">
        <v>3362</v>
      </c>
      <c r="K1607" t="s">
        <v>24</v>
      </c>
      <c r="L1607" s="14">
        <f>IFERROR(VALUE(LEFT(tblMatriculas[[#This Row],[Clases]],FIND("/",tblMatriculas[[#This Row],[Clases]])-1)),"")</f>
        <v>2</v>
      </c>
      <c r="M1607" s="14">
        <f>IFERROR(VALUE(MID(tblMatriculas[[#This Row],[Clases]],FIND("/",tblMatriculas[[#This Row],[Clases]])+1,5)),"")</f>
        <v>30</v>
      </c>
      <c r="N16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7" s="14">
        <f>IF(OR(tblMatriculas[[#This Row],[Estado]]&lt;&gt;"activa",tblMatriculas[[#This Row],[Clases dictadas]]=""),"",MAX(0,tblMatriculas[[#This Row],[Clases dictadas]]-tblMatriculas[[#This Row],[Asistidas]]))</f>
        <v>0</v>
      </c>
      <c r="P1607" s="1">
        <f>IF(OR(tblMatriculas[[#This Row],[Estado]]&lt;&gt;"activa",tblMatriculas[[#This Row],[Asistidas]]=""),"",tblMatriculas[[#This Row],[Asistencia]])</f>
        <v>6.7000000000000004E-2</v>
      </c>
      <c r="Q1607" t="b">
        <f>AND(tblMatriculas[[#This Row],[Estado]]="activa",ISNUMBER(tblMatriculas[[#This Row],[% asistencia]]),NOT(ISNUMBER(SEARCH(pPrueba,tblMatriculas[[#This Row],[Nombre]]))))</f>
        <v>1</v>
      </c>
      <c r="R16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07" s="23" t="str" cm="1">
        <f t="array" ref="S16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7" s="23" t="str" cm="1">
        <f t="array" ref="T16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7" s="14" t="str" cm="1">
        <f t="array" ref="U16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7" t="str" cm="1">
        <f t="array" ref="V16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7" t="str" cm="1">
        <f t="array" ref="W16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07" t="str">
        <f>IF(COUNTIFS('Base Estudiantes'!$C:$C,tblMatriculas[[#This Row],[Cédula]],'Base Estudiantes'!$I:$I,tblMatriculas[[#This Row],[Código]])&gt;0,"Sí","No")</f>
        <v>Sí</v>
      </c>
      <c r="Z1607" s="23" cm="1">
        <f t="array" ref="Z1607">_xlfn.XLOOKUP(tblMatriculas[[#This Row],[Cédula]]&amp;"|"&amp;tblMatriculas[[#This Row],[Código]],tblBase[Documento]&amp;"|"&amp;tblBase[Código grupo],tblBase[Fecha matrícula],"")</f>
        <v>46262</v>
      </c>
    </row>
    <row r="1608" spans="1:26" x14ac:dyDescent="0.2">
      <c r="A1608" t="s">
        <v>3369</v>
      </c>
      <c r="B1608" t="s">
        <v>3370</v>
      </c>
      <c r="C1608" t="s">
        <v>13</v>
      </c>
      <c r="D1608" t="s">
        <v>3360</v>
      </c>
      <c r="E1608" t="s">
        <v>3361</v>
      </c>
      <c r="F1608" t="s">
        <v>516</v>
      </c>
      <c r="G1608" s="1">
        <v>0</v>
      </c>
      <c r="H1608" t="s">
        <v>254</v>
      </c>
      <c r="I1608" t="s">
        <v>3169</v>
      </c>
      <c r="J1608" t="s">
        <v>3362</v>
      </c>
      <c r="K1608" t="s">
        <v>24</v>
      </c>
      <c r="L1608" s="14">
        <f>IFERROR(VALUE(LEFT(tblMatriculas[[#This Row],[Clases]],FIND("/",tblMatriculas[[#This Row],[Clases]])-1)),"")</f>
        <v>0</v>
      </c>
      <c r="M1608" s="14">
        <f>IFERROR(VALUE(MID(tblMatriculas[[#This Row],[Clases]],FIND("/",tblMatriculas[[#This Row],[Clases]])+1,5)),"")</f>
        <v>30</v>
      </c>
      <c r="N16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8" s="14">
        <f>IF(OR(tblMatriculas[[#This Row],[Estado]]&lt;&gt;"activa",tblMatriculas[[#This Row],[Clases dictadas]]=""),"",MAX(0,tblMatriculas[[#This Row],[Clases dictadas]]-tblMatriculas[[#This Row],[Asistidas]]))</f>
        <v>2</v>
      </c>
      <c r="P1608" s="1">
        <f>IF(OR(tblMatriculas[[#This Row],[Estado]]&lt;&gt;"activa",tblMatriculas[[#This Row],[Asistidas]]=""),"",tblMatriculas[[#This Row],[Asistencia]])</f>
        <v>0</v>
      </c>
      <c r="Q1608" t="b">
        <f>AND(tblMatriculas[[#This Row],[Estado]]="activa",ISNUMBER(tblMatriculas[[#This Row],[% asistencia]]),NOT(ISNUMBER(SEARCH(pPrueba,tblMatriculas[[#This Row],[Nombre]]))))</f>
        <v>1</v>
      </c>
      <c r="R16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08" s="23" t="str" cm="1">
        <f t="array" ref="S16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8" s="23" t="str" cm="1">
        <f t="array" ref="T16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8" s="14" t="str" cm="1">
        <f t="array" ref="U16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8" t="str" cm="1">
        <f t="array" ref="V16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8" t="str" cm="1">
        <f t="array" ref="W16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08" t="str">
        <f>IF(COUNTIFS('Base Estudiantes'!$C:$C,tblMatriculas[[#This Row],[Cédula]],'Base Estudiantes'!$I:$I,tblMatriculas[[#This Row],[Código]])&gt;0,"Sí","No")</f>
        <v>Sí</v>
      </c>
      <c r="Z1608" s="23" cm="1">
        <f t="array" ref="Z1608">_xlfn.XLOOKUP(tblMatriculas[[#This Row],[Cédula]]&amp;"|"&amp;tblMatriculas[[#This Row],[Código]],tblBase[Documento]&amp;"|"&amp;tblBase[Código grupo],tblBase[Fecha matrícula],"")</f>
        <v>46262</v>
      </c>
    </row>
    <row r="1609" spans="1:26" x14ac:dyDescent="0.2">
      <c r="A1609" t="s">
        <v>3371</v>
      </c>
      <c r="B1609" t="s">
        <v>3372</v>
      </c>
      <c r="C1609" t="s">
        <v>13</v>
      </c>
      <c r="D1609" t="s">
        <v>3360</v>
      </c>
      <c r="E1609" t="s">
        <v>3361</v>
      </c>
      <c r="F1609" t="s">
        <v>516</v>
      </c>
      <c r="G1609" s="1">
        <v>6.7000000000000004E-2</v>
      </c>
      <c r="H1609" t="s">
        <v>166</v>
      </c>
      <c r="I1609" t="s">
        <v>3169</v>
      </c>
      <c r="J1609" t="s">
        <v>3362</v>
      </c>
      <c r="K1609" t="s">
        <v>24</v>
      </c>
      <c r="L1609" s="14">
        <f>IFERROR(VALUE(LEFT(tblMatriculas[[#This Row],[Clases]],FIND("/",tblMatriculas[[#This Row],[Clases]])-1)),"")</f>
        <v>2</v>
      </c>
      <c r="M1609" s="14">
        <f>IFERROR(VALUE(MID(tblMatriculas[[#This Row],[Clases]],FIND("/",tblMatriculas[[#This Row],[Clases]])+1,5)),"")</f>
        <v>30</v>
      </c>
      <c r="N16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09" s="14">
        <f>IF(OR(tblMatriculas[[#This Row],[Estado]]&lt;&gt;"activa",tblMatriculas[[#This Row],[Clases dictadas]]=""),"",MAX(0,tblMatriculas[[#This Row],[Clases dictadas]]-tblMatriculas[[#This Row],[Asistidas]]))</f>
        <v>0</v>
      </c>
      <c r="P1609" s="1">
        <f>IF(OR(tblMatriculas[[#This Row],[Estado]]&lt;&gt;"activa",tblMatriculas[[#This Row],[Asistidas]]=""),"",tblMatriculas[[#This Row],[Asistencia]])</f>
        <v>6.7000000000000004E-2</v>
      </c>
      <c r="Q1609" t="b">
        <f>AND(tblMatriculas[[#This Row],[Estado]]="activa",ISNUMBER(tblMatriculas[[#This Row],[% asistencia]]),NOT(ISNUMBER(SEARCH(pPrueba,tblMatriculas[[#This Row],[Nombre]]))))</f>
        <v>1</v>
      </c>
      <c r="R16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09" s="23" t="str" cm="1">
        <f t="array" ref="S16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09" s="23" t="str" cm="1">
        <f t="array" ref="T16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09" s="14" t="str" cm="1">
        <f t="array" ref="U16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09" t="str" cm="1">
        <f t="array" ref="V16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09" t="str" cm="1">
        <f t="array" ref="W16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09" t="str">
        <f>IF(COUNTIFS('Base Estudiantes'!$C:$C,tblMatriculas[[#This Row],[Cédula]],'Base Estudiantes'!$I:$I,tblMatriculas[[#This Row],[Código]])&gt;0,"Sí","No")</f>
        <v>Sí</v>
      </c>
      <c r="Z1609" s="23" cm="1">
        <f t="array" ref="Z1609">_xlfn.XLOOKUP(tblMatriculas[[#This Row],[Cédula]]&amp;"|"&amp;tblMatriculas[[#This Row],[Código]],tblBase[Documento]&amp;"|"&amp;tblBase[Código grupo],tblBase[Fecha matrícula],"")</f>
        <v>46262</v>
      </c>
    </row>
    <row r="1610" spans="1:26" x14ac:dyDescent="0.2">
      <c r="A1610" t="s">
        <v>3373</v>
      </c>
      <c r="B1610" t="s">
        <v>3374</v>
      </c>
      <c r="C1610" t="s">
        <v>13</v>
      </c>
      <c r="D1610" t="s">
        <v>3360</v>
      </c>
      <c r="E1610" t="s">
        <v>3361</v>
      </c>
      <c r="F1610" t="s">
        <v>516</v>
      </c>
      <c r="G1610" s="1">
        <v>0</v>
      </c>
      <c r="H1610" t="s">
        <v>254</v>
      </c>
      <c r="I1610" t="s">
        <v>3169</v>
      </c>
      <c r="J1610" t="s">
        <v>3362</v>
      </c>
      <c r="K1610" t="s">
        <v>24</v>
      </c>
      <c r="L1610" s="14">
        <f>IFERROR(VALUE(LEFT(tblMatriculas[[#This Row],[Clases]],FIND("/",tblMatriculas[[#This Row],[Clases]])-1)),"")</f>
        <v>0</v>
      </c>
      <c r="M1610" s="14">
        <f>IFERROR(VALUE(MID(tblMatriculas[[#This Row],[Clases]],FIND("/",tblMatriculas[[#This Row],[Clases]])+1,5)),"")</f>
        <v>30</v>
      </c>
      <c r="N16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0" s="14">
        <f>IF(OR(tblMatriculas[[#This Row],[Estado]]&lt;&gt;"activa",tblMatriculas[[#This Row],[Clases dictadas]]=""),"",MAX(0,tblMatriculas[[#This Row],[Clases dictadas]]-tblMatriculas[[#This Row],[Asistidas]]))</f>
        <v>2</v>
      </c>
      <c r="P1610" s="1">
        <f>IF(OR(tblMatriculas[[#This Row],[Estado]]&lt;&gt;"activa",tblMatriculas[[#This Row],[Asistidas]]=""),"",tblMatriculas[[#This Row],[Asistencia]])</f>
        <v>0</v>
      </c>
      <c r="Q1610" t="b">
        <f>AND(tblMatriculas[[#This Row],[Estado]]="activa",ISNUMBER(tblMatriculas[[#This Row],[% asistencia]]),NOT(ISNUMBER(SEARCH(pPrueba,tblMatriculas[[#This Row],[Nombre]]))))</f>
        <v>1</v>
      </c>
      <c r="R16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0" s="23" t="str" cm="1">
        <f t="array" ref="S16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0" s="23" t="str" cm="1">
        <f t="array" ref="T16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0" s="14" t="str" cm="1">
        <f t="array" ref="U16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0" t="str" cm="1">
        <f t="array" ref="V16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0" t="str" cm="1">
        <f t="array" ref="W16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0" t="str">
        <f>IF(COUNTIFS('Base Estudiantes'!$C:$C,tblMatriculas[[#This Row],[Cédula]],'Base Estudiantes'!$I:$I,tblMatriculas[[#This Row],[Código]])&gt;0,"Sí","No")</f>
        <v>Sí</v>
      </c>
      <c r="Z1610" s="23" cm="1">
        <f t="array" ref="Z1610">_xlfn.XLOOKUP(tblMatriculas[[#This Row],[Cédula]]&amp;"|"&amp;tblMatriculas[[#This Row],[Código]],tblBase[Documento]&amp;"|"&amp;tblBase[Código grupo],tblBase[Fecha matrícula],"")</f>
        <v>46262</v>
      </c>
    </row>
    <row r="1611" spans="1:26" x14ac:dyDescent="0.2">
      <c r="A1611" t="s">
        <v>3375</v>
      </c>
      <c r="B1611" t="s">
        <v>3376</v>
      </c>
      <c r="C1611" t="s">
        <v>13</v>
      </c>
      <c r="D1611" t="s">
        <v>3360</v>
      </c>
      <c r="E1611" t="s">
        <v>3361</v>
      </c>
      <c r="F1611" t="s">
        <v>516</v>
      </c>
      <c r="G1611" s="1">
        <v>6.7000000000000004E-2</v>
      </c>
      <c r="H1611" t="s">
        <v>166</v>
      </c>
      <c r="I1611" t="s">
        <v>3169</v>
      </c>
      <c r="J1611" t="s">
        <v>3362</v>
      </c>
      <c r="K1611" t="s">
        <v>24</v>
      </c>
      <c r="L1611" s="14">
        <f>IFERROR(VALUE(LEFT(tblMatriculas[[#This Row],[Clases]],FIND("/",tblMatriculas[[#This Row],[Clases]])-1)),"")</f>
        <v>2</v>
      </c>
      <c r="M1611" s="14">
        <f>IFERROR(VALUE(MID(tblMatriculas[[#This Row],[Clases]],FIND("/",tblMatriculas[[#This Row],[Clases]])+1,5)),"")</f>
        <v>30</v>
      </c>
      <c r="N16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1" s="14">
        <f>IF(OR(tblMatriculas[[#This Row],[Estado]]&lt;&gt;"activa",tblMatriculas[[#This Row],[Clases dictadas]]=""),"",MAX(0,tblMatriculas[[#This Row],[Clases dictadas]]-tblMatriculas[[#This Row],[Asistidas]]))</f>
        <v>0</v>
      </c>
      <c r="P1611" s="1">
        <f>IF(OR(tblMatriculas[[#This Row],[Estado]]&lt;&gt;"activa",tblMatriculas[[#This Row],[Asistidas]]=""),"",tblMatriculas[[#This Row],[Asistencia]])</f>
        <v>6.7000000000000004E-2</v>
      </c>
      <c r="Q1611" t="b">
        <f>AND(tblMatriculas[[#This Row],[Estado]]="activa",ISNUMBER(tblMatriculas[[#This Row],[% asistencia]]),NOT(ISNUMBER(SEARCH(pPrueba,tblMatriculas[[#This Row],[Nombre]]))))</f>
        <v>1</v>
      </c>
      <c r="R16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11" s="23" t="str" cm="1">
        <f t="array" ref="S16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1" s="23" t="str" cm="1">
        <f t="array" ref="T16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1" s="14" t="str" cm="1">
        <f t="array" ref="U16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1" t="str" cm="1">
        <f t="array" ref="V16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1" t="str" cm="1">
        <f t="array" ref="W16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11" t="str">
        <f>IF(COUNTIFS('Base Estudiantes'!$C:$C,tblMatriculas[[#This Row],[Cédula]],'Base Estudiantes'!$I:$I,tblMatriculas[[#This Row],[Código]])&gt;0,"Sí","No")</f>
        <v>Sí</v>
      </c>
      <c r="Z1611" s="23" cm="1">
        <f t="array" ref="Z1611">_xlfn.XLOOKUP(tblMatriculas[[#This Row],[Cédula]]&amp;"|"&amp;tblMatriculas[[#This Row],[Código]],tblBase[Documento]&amp;"|"&amp;tblBase[Código grupo],tblBase[Fecha matrícula],"")</f>
        <v>46262</v>
      </c>
    </row>
    <row r="1612" spans="1:26" x14ac:dyDescent="0.2">
      <c r="A1612" t="s">
        <v>3377</v>
      </c>
      <c r="B1612" t="s">
        <v>3378</v>
      </c>
      <c r="C1612" t="s">
        <v>13</v>
      </c>
      <c r="D1612" t="s">
        <v>3360</v>
      </c>
      <c r="E1612" t="s">
        <v>3361</v>
      </c>
      <c r="F1612" t="s">
        <v>516</v>
      </c>
      <c r="G1612" s="1">
        <v>6.7000000000000004E-2</v>
      </c>
      <c r="H1612" t="s">
        <v>166</v>
      </c>
      <c r="I1612" t="s">
        <v>3169</v>
      </c>
      <c r="J1612" t="s">
        <v>3362</v>
      </c>
      <c r="K1612" t="s">
        <v>24</v>
      </c>
      <c r="L1612" s="14">
        <f>IFERROR(VALUE(LEFT(tblMatriculas[[#This Row],[Clases]],FIND("/",tblMatriculas[[#This Row],[Clases]])-1)),"")</f>
        <v>2</v>
      </c>
      <c r="M1612" s="14">
        <f>IFERROR(VALUE(MID(tblMatriculas[[#This Row],[Clases]],FIND("/",tblMatriculas[[#This Row],[Clases]])+1,5)),"")</f>
        <v>30</v>
      </c>
      <c r="N16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2" s="14">
        <f>IF(OR(tblMatriculas[[#This Row],[Estado]]&lt;&gt;"activa",tblMatriculas[[#This Row],[Clases dictadas]]=""),"",MAX(0,tblMatriculas[[#This Row],[Clases dictadas]]-tblMatriculas[[#This Row],[Asistidas]]))</f>
        <v>0</v>
      </c>
      <c r="P1612" s="1">
        <f>IF(OR(tblMatriculas[[#This Row],[Estado]]&lt;&gt;"activa",tblMatriculas[[#This Row],[Asistidas]]=""),"",tblMatriculas[[#This Row],[Asistencia]])</f>
        <v>6.7000000000000004E-2</v>
      </c>
      <c r="Q1612" t="b">
        <f>AND(tblMatriculas[[#This Row],[Estado]]="activa",ISNUMBER(tblMatriculas[[#This Row],[% asistencia]]),NOT(ISNUMBER(SEARCH(pPrueba,tblMatriculas[[#This Row],[Nombre]]))))</f>
        <v>1</v>
      </c>
      <c r="R16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12" s="23" t="str" cm="1">
        <f t="array" ref="S16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2" s="23" t="str" cm="1">
        <f t="array" ref="T16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2" s="14" t="str" cm="1">
        <f t="array" ref="U16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2" t="str" cm="1">
        <f t="array" ref="V16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2" t="str" cm="1">
        <f t="array" ref="W16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1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12" t="str">
        <f>IF(COUNTIFS('Base Estudiantes'!$C:$C,tblMatriculas[[#This Row],[Cédula]],'Base Estudiantes'!$I:$I,tblMatriculas[[#This Row],[Código]])&gt;0,"Sí","No")</f>
        <v>Sí</v>
      </c>
      <c r="Z1612" s="23" cm="1">
        <f t="array" ref="Z1612">_xlfn.XLOOKUP(tblMatriculas[[#This Row],[Cédula]]&amp;"|"&amp;tblMatriculas[[#This Row],[Código]],tblBase[Documento]&amp;"|"&amp;tblBase[Código grupo],tblBase[Fecha matrícula],"")</f>
        <v>46262</v>
      </c>
    </row>
    <row r="1613" spans="1:26" x14ac:dyDescent="0.2">
      <c r="A1613" t="s">
        <v>3379</v>
      </c>
      <c r="B1613" t="s">
        <v>3380</v>
      </c>
      <c r="C1613" t="s">
        <v>13</v>
      </c>
      <c r="D1613" t="s">
        <v>3360</v>
      </c>
      <c r="E1613" t="s">
        <v>3361</v>
      </c>
      <c r="F1613" t="s">
        <v>516</v>
      </c>
      <c r="G1613" s="1">
        <v>6.7000000000000004E-2</v>
      </c>
      <c r="H1613" t="s">
        <v>166</v>
      </c>
      <c r="I1613" t="s">
        <v>3169</v>
      </c>
      <c r="J1613" t="s">
        <v>3362</v>
      </c>
      <c r="K1613" t="s">
        <v>24</v>
      </c>
      <c r="L1613" s="14">
        <f>IFERROR(VALUE(LEFT(tblMatriculas[[#This Row],[Clases]],FIND("/",tblMatriculas[[#This Row],[Clases]])-1)),"")</f>
        <v>2</v>
      </c>
      <c r="M1613" s="14">
        <f>IFERROR(VALUE(MID(tblMatriculas[[#This Row],[Clases]],FIND("/",tblMatriculas[[#This Row],[Clases]])+1,5)),"")</f>
        <v>30</v>
      </c>
      <c r="N16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3" s="14">
        <f>IF(OR(tblMatriculas[[#This Row],[Estado]]&lt;&gt;"activa",tblMatriculas[[#This Row],[Clases dictadas]]=""),"",MAX(0,tblMatriculas[[#This Row],[Clases dictadas]]-tblMatriculas[[#This Row],[Asistidas]]))</f>
        <v>0</v>
      </c>
      <c r="P1613" s="1">
        <f>IF(OR(tblMatriculas[[#This Row],[Estado]]&lt;&gt;"activa",tblMatriculas[[#This Row],[Asistidas]]=""),"",tblMatriculas[[#This Row],[Asistencia]])</f>
        <v>6.7000000000000004E-2</v>
      </c>
      <c r="Q1613" t="b">
        <f>AND(tblMatriculas[[#This Row],[Estado]]="activa",ISNUMBER(tblMatriculas[[#This Row],[% asistencia]]),NOT(ISNUMBER(SEARCH(pPrueba,tblMatriculas[[#This Row],[Nombre]]))))</f>
        <v>1</v>
      </c>
      <c r="R16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13" s="23" t="str" cm="1">
        <f t="array" ref="S16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3" s="23" t="str" cm="1">
        <f t="array" ref="T16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3" s="14" t="str" cm="1">
        <f t="array" ref="U16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3" t="str" cm="1">
        <f t="array" ref="V16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3" t="str" cm="1">
        <f t="array" ref="W16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13" t="str">
        <f>IF(COUNTIFS('Base Estudiantes'!$C:$C,tblMatriculas[[#This Row],[Cédula]],'Base Estudiantes'!$I:$I,tblMatriculas[[#This Row],[Código]])&gt;0,"Sí","No")</f>
        <v>Sí</v>
      </c>
      <c r="Z1613" s="23" cm="1">
        <f t="array" ref="Z1613">_xlfn.XLOOKUP(tblMatriculas[[#This Row],[Cédula]]&amp;"|"&amp;tblMatriculas[[#This Row],[Código]],tblBase[Documento]&amp;"|"&amp;tblBase[Código grupo],tblBase[Fecha matrícula],"")</f>
        <v>46262</v>
      </c>
    </row>
    <row r="1614" spans="1:26" x14ac:dyDescent="0.2">
      <c r="A1614" t="s">
        <v>3381</v>
      </c>
      <c r="B1614" t="s">
        <v>3382</v>
      </c>
      <c r="C1614" t="s">
        <v>13</v>
      </c>
      <c r="D1614" t="s">
        <v>3360</v>
      </c>
      <c r="E1614" t="s">
        <v>3361</v>
      </c>
      <c r="F1614" t="s">
        <v>516</v>
      </c>
      <c r="G1614" s="1">
        <v>0</v>
      </c>
      <c r="H1614" t="s">
        <v>254</v>
      </c>
      <c r="I1614" t="s">
        <v>3169</v>
      </c>
      <c r="J1614" t="s">
        <v>3362</v>
      </c>
      <c r="K1614" t="s">
        <v>24</v>
      </c>
      <c r="L1614" s="14">
        <f>IFERROR(VALUE(LEFT(tblMatriculas[[#This Row],[Clases]],FIND("/",tblMatriculas[[#This Row],[Clases]])-1)),"")</f>
        <v>0</v>
      </c>
      <c r="M1614" s="14">
        <f>IFERROR(VALUE(MID(tblMatriculas[[#This Row],[Clases]],FIND("/",tblMatriculas[[#This Row],[Clases]])+1,5)),"")</f>
        <v>30</v>
      </c>
      <c r="N16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4" s="14">
        <f>IF(OR(tblMatriculas[[#This Row],[Estado]]&lt;&gt;"activa",tblMatriculas[[#This Row],[Clases dictadas]]=""),"",MAX(0,tblMatriculas[[#This Row],[Clases dictadas]]-tblMatriculas[[#This Row],[Asistidas]]))</f>
        <v>2</v>
      </c>
      <c r="P1614" s="1">
        <f>IF(OR(tblMatriculas[[#This Row],[Estado]]&lt;&gt;"activa",tblMatriculas[[#This Row],[Asistidas]]=""),"",tblMatriculas[[#This Row],[Asistencia]])</f>
        <v>0</v>
      </c>
      <c r="Q1614" t="b">
        <f>AND(tblMatriculas[[#This Row],[Estado]]="activa",ISNUMBER(tblMatriculas[[#This Row],[% asistencia]]),NOT(ISNUMBER(SEARCH(pPrueba,tblMatriculas[[#This Row],[Nombre]]))))</f>
        <v>1</v>
      </c>
      <c r="R16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4" s="23" t="str" cm="1">
        <f t="array" ref="S16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4" s="23" t="str" cm="1">
        <f t="array" ref="T16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4" s="14" t="str" cm="1">
        <f t="array" ref="U16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4" t="str" cm="1">
        <f t="array" ref="V16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4" t="str" cm="1">
        <f t="array" ref="W16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4" t="str">
        <f>IF(COUNTIFS('Base Estudiantes'!$C:$C,tblMatriculas[[#This Row],[Cédula]],'Base Estudiantes'!$I:$I,tblMatriculas[[#This Row],[Código]])&gt;0,"Sí","No")</f>
        <v>Sí</v>
      </c>
      <c r="Z1614" s="23" cm="1">
        <f t="array" ref="Z1614">_xlfn.XLOOKUP(tblMatriculas[[#This Row],[Cédula]]&amp;"|"&amp;tblMatriculas[[#This Row],[Código]],tblBase[Documento]&amp;"|"&amp;tblBase[Código grupo],tblBase[Fecha matrícula],"")</f>
        <v>46262</v>
      </c>
    </row>
    <row r="1615" spans="1:26" x14ac:dyDescent="0.2">
      <c r="A1615" t="s">
        <v>3383</v>
      </c>
      <c r="B1615" t="s">
        <v>3384</v>
      </c>
      <c r="C1615" t="s">
        <v>13</v>
      </c>
      <c r="D1615" t="s">
        <v>3360</v>
      </c>
      <c r="E1615" t="s">
        <v>3361</v>
      </c>
      <c r="F1615" t="s">
        <v>516</v>
      </c>
      <c r="G1615" s="1">
        <v>6.7000000000000004E-2</v>
      </c>
      <c r="H1615" t="s">
        <v>166</v>
      </c>
      <c r="I1615" t="s">
        <v>3169</v>
      </c>
      <c r="J1615" t="s">
        <v>3362</v>
      </c>
      <c r="K1615" t="s">
        <v>24</v>
      </c>
      <c r="L1615" s="14">
        <f>IFERROR(VALUE(LEFT(tblMatriculas[[#This Row],[Clases]],FIND("/",tblMatriculas[[#This Row],[Clases]])-1)),"")</f>
        <v>2</v>
      </c>
      <c r="M1615" s="14">
        <f>IFERROR(VALUE(MID(tblMatriculas[[#This Row],[Clases]],FIND("/",tblMatriculas[[#This Row],[Clases]])+1,5)),"")</f>
        <v>30</v>
      </c>
      <c r="N16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5" s="14">
        <f>IF(OR(tblMatriculas[[#This Row],[Estado]]&lt;&gt;"activa",tblMatriculas[[#This Row],[Clases dictadas]]=""),"",MAX(0,tblMatriculas[[#This Row],[Clases dictadas]]-tblMatriculas[[#This Row],[Asistidas]]))</f>
        <v>0</v>
      </c>
      <c r="P1615" s="1">
        <f>IF(OR(tblMatriculas[[#This Row],[Estado]]&lt;&gt;"activa",tblMatriculas[[#This Row],[Asistidas]]=""),"",tblMatriculas[[#This Row],[Asistencia]])</f>
        <v>6.7000000000000004E-2</v>
      </c>
      <c r="Q1615" t="b">
        <f>AND(tblMatriculas[[#This Row],[Estado]]="activa",ISNUMBER(tblMatriculas[[#This Row],[% asistencia]]),NOT(ISNUMBER(SEARCH(pPrueba,tblMatriculas[[#This Row],[Nombre]]))))</f>
        <v>1</v>
      </c>
      <c r="R16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15" s="23" t="str" cm="1">
        <f t="array" ref="S16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5" s="23" t="str" cm="1">
        <f t="array" ref="T16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5" s="14" t="str" cm="1">
        <f t="array" ref="U16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5" t="str" cm="1">
        <f t="array" ref="V16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5" t="str" cm="1">
        <f t="array" ref="W16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1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15" t="str">
        <f>IF(COUNTIFS('Base Estudiantes'!$C:$C,tblMatriculas[[#This Row],[Cédula]],'Base Estudiantes'!$I:$I,tblMatriculas[[#This Row],[Código]])&gt;0,"Sí","No")</f>
        <v>Sí</v>
      </c>
      <c r="Z1615" s="23" cm="1">
        <f t="array" ref="Z1615">_xlfn.XLOOKUP(tblMatriculas[[#This Row],[Cédula]]&amp;"|"&amp;tblMatriculas[[#This Row],[Código]],tblBase[Documento]&amp;"|"&amp;tblBase[Código grupo],tblBase[Fecha matrícula],"")</f>
        <v>46262</v>
      </c>
    </row>
    <row r="1616" spans="1:26" x14ac:dyDescent="0.2">
      <c r="A1616" t="s">
        <v>3385</v>
      </c>
      <c r="B1616" t="s">
        <v>3386</v>
      </c>
      <c r="C1616" t="s">
        <v>13</v>
      </c>
      <c r="D1616" t="s">
        <v>3360</v>
      </c>
      <c r="E1616" t="s">
        <v>3361</v>
      </c>
      <c r="F1616" t="s">
        <v>516</v>
      </c>
      <c r="G1616" s="1">
        <v>0</v>
      </c>
      <c r="H1616" t="s">
        <v>254</v>
      </c>
      <c r="I1616" t="s">
        <v>3169</v>
      </c>
      <c r="J1616" t="s">
        <v>3362</v>
      </c>
      <c r="K1616" t="s">
        <v>24</v>
      </c>
      <c r="L1616" s="14">
        <f>IFERROR(VALUE(LEFT(tblMatriculas[[#This Row],[Clases]],FIND("/",tblMatriculas[[#This Row],[Clases]])-1)),"")</f>
        <v>0</v>
      </c>
      <c r="M1616" s="14">
        <f>IFERROR(VALUE(MID(tblMatriculas[[#This Row],[Clases]],FIND("/",tblMatriculas[[#This Row],[Clases]])+1,5)),"")</f>
        <v>30</v>
      </c>
      <c r="N16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6" s="14">
        <f>IF(OR(tblMatriculas[[#This Row],[Estado]]&lt;&gt;"activa",tblMatriculas[[#This Row],[Clases dictadas]]=""),"",MAX(0,tblMatriculas[[#This Row],[Clases dictadas]]-tblMatriculas[[#This Row],[Asistidas]]))</f>
        <v>2</v>
      </c>
      <c r="P1616" s="1">
        <f>IF(OR(tblMatriculas[[#This Row],[Estado]]&lt;&gt;"activa",tblMatriculas[[#This Row],[Asistidas]]=""),"",tblMatriculas[[#This Row],[Asistencia]])</f>
        <v>0</v>
      </c>
      <c r="Q1616" t="b">
        <f>AND(tblMatriculas[[#This Row],[Estado]]="activa",ISNUMBER(tblMatriculas[[#This Row],[% asistencia]]),NOT(ISNUMBER(SEARCH(pPrueba,tblMatriculas[[#This Row],[Nombre]]))))</f>
        <v>1</v>
      </c>
      <c r="R16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6" s="23" t="str" cm="1">
        <f t="array" ref="S16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6" s="23" t="str" cm="1">
        <f t="array" ref="T16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6" s="14" t="str" cm="1">
        <f t="array" ref="U16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6" t="str" cm="1">
        <f t="array" ref="V16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6" t="str" cm="1">
        <f t="array" ref="W16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6" t="str">
        <f>IF(COUNTIFS('Base Estudiantes'!$C:$C,tblMatriculas[[#This Row],[Cédula]],'Base Estudiantes'!$I:$I,tblMatriculas[[#This Row],[Código]])&gt;0,"Sí","No")</f>
        <v>Sí</v>
      </c>
      <c r="Z1616" s="23" cm="1">
        <f t="array" ref="Z1616">_xlfn.XLOOKUP(tblMatriculas[[#This Row],[Cédula]]&amp;"|"&amp;tblMatriculas[[#This Row],[Código]],tblBase[Documento]&amp;"|"&amp;tblBase[Código grupo],tblBase[Fecha matrícula],"")</f>
        <v>46262</v>
      </c>
    </row>
    <row r="1617" spans="1:26" x14ac:dyDescent="0.2">
      <c r="A1617" t="s">
        <v>3387</v>
      </c>
      <c r="B1617" t="s">
        <v>3388</v>
      </c>
      <c r="C1617" t="s">
        <v>13</v>
      </c>
      <c r="D1617" t="s">
        <v>3360</v>
      </c>
      <c r="E1617" t="s">
        <v>3361</v>
      </c>
      <c r="F1617" t="s">
        <v>516</v>
      </c>
      <c r="G1617" s="1">
        <v>0</v>
      </c>
      <c r="H1617" t="s">
        <v>254</v>
      </c>
      <c r="I1617" t="s">
        <v>3169</v>
      </c>
      <c r="J1617" t="s">
        <v>3362</v>
      </c>
      <c r="K1617" t="s">
        <v>24</v>
      </c>
      <c r="L1617" s="14">
        <f>IFERROR(VALUE(LEFT(tblMatriculas[[#This Row],[Clases]],FIND("/",tblMatriculas[[#This Row],[Clases]])-1)),"")</f>
        <v>0</v>
      </c>
      <c r="M1617" s="14">
        <f>IFERROR(VALUE(MID(tblMatriculas[[#This Row],[Clases]],FIND("/",tblMatriculas[[#This Row],[Clases]])+1,5)),"")</f>
        <v>30</v>
      </c>
      <c r="N16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7" s="14">
        <f>IF(OR(tblMatriculas[[#This Row],[Estado]]&lt;&gt;"activa",tblMatriculas[[#This Row],[Clases dictadas]]=""),"",MAX(0,tblMatriculas[[#This Row],[Clases dictadas]]-tblMatriculas[[#This Row],[Asistidas]]))</f>
        <v>2</v>
      </c>
      <c r="P1617" s="1">
        <f>IF(OR(tblMatriculas[[#This Row],[Estado]]&lt;&gt;"activa",tblMatriculas[[#This Row],[Asistidas]]=""),"",tblMatriculas[[#This Row],[Asistencia]])</f>
        <v>0</v>
      </c>
      <c r="Q1617" t="b">
        <f>AND(tblMatriculas[[#This Row],[Estado]]="activa",ISNUMBER(tblMatriculas[[#This Row],[% asistencia]]),NOT(ISNUMBER(SEARCH(pPrueba,tblMatriculas[[#This Row],[Nombre]]))))</f>
        <v>1</v>
      </c>
      <c r="R16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7" s="23" t="str" cm="1">
        <f t="array" ref="S16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7" s="23" t="str" cm="1">
        <f t="array" ref="T16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7" s="14" t="str" cm="1">
        <f t="array" ref="U16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7" t="str" cm="1">
        <f t="array" ref="V16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7" t="str" cm="1">
        <f t="array" ref="W16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7" t="str">
        <f>IF(COUNTIFS('Base Estudiantes'!$C:$C,tblMatriculas[[#This Row],[Cédula]],'Base Estudiantes'!$I:$I,tblMatriculas[[#This Row],[Código]])&gt;0,"Sí","No")</f>
        <v>Sí</v>
      </c>
      <c r="Z1617" s="23" cm="1">
        <f t="array" ref="Z1617">_xlfn.XLOOKUP(tblMatriculas[[#This Row],[Cédula]]&amp;"|"&amp;tblMatriculas[[#This Row],[Código]],tblBase[Documento]&amp;"|"&amp;tblBase[Código grupo],tblBase[Fecha matrícula],"")</f>
        <v>46262</v>
      </c>
    </row>
    <row r="1618" spans="1:26" x14ac:dyDescent="0.2">
      <c r="A1618" t="s">
        <v>3389</v>
      </c>
      <c r="B1618" t="s">
        <v>3390</v>
      </c>
      <c r="C1618" t="s">
        <v>13</v>
      </c>
      <c r="D1618" t="s">
        <v>3360</v>
      </c>
      <c r="E1618" t="s">
        <v>3361</v>
      </c>
      <c r="F1618" t="s">
        <v>516</v>
      </c>
      <c r="G1618" s="1">
        <v>0</v>
      </c>
      <c r="H1618" t="s">
        <v>254</v>
      </c>
      <c r="I1618" t="s">
        <v>3169</v>
      </c>
      <c r="J1618" t="s">
        <v>3362</v>
      </c>
      <c r="K1618" t="s">
        <v>24</v>
      </c>
      <c r="L1618" s="14">
        <f>IFERROR(VALUE(LEFT(tblMatriculas[[#This Row],[Clases]],FIND("/",tblMatriculas[[#This Row],[Clases]])-1)),"")</f>
        <v>0</v>
      </c>
      <c r="M1618" s="14">
        <f>IFERROR(VALUE(MID(tblMatriculas[[#This Row],[Clases]],FIND("/",tblMatriculas[[#This Row],[Clases]])+1,5)),"")</f>
        <v>30</v>
      </c>
      <c r="N16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8" s="14">
        <f>IF(OR(tblMatriculas[[#This Row],[Estado]]&lt;&gt;"activa",tblMatriculas[[#This Row],[Clases dictadas]]=""),"",MAX(0,tblMatriculas[[#This Row],[Clases dictadas]]-tblMatriculas[[#This Row],[Asistidas]]))</f>
        <v>2</v>
      </c>
      <c r="P1618" s="1">
        <f>IF(OR(tblMatriculas[[#This Row],[Estado]]&lt;&gt;"activa",tblMatriculas[[#This Row],[Asistidas]]=""),"",tblMatriculas[[#This Row],[Asistencia]])</f>
        <v>0</v>
      </c>
      <c r="Q1618" t="b">
        <f>AND(tblMatriculas[[#This Row],[Estado]]="activa",ISNUMBER(tblMatriculas[[#This Row],[% asistencia]]),NOT(ISNUMBER(SEARCH(pPrueba,tblMatriculas[[#This Row],[Nombre]]))))</f>
        <v>1</v>
      </c>
      <c r="R16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8" s="23" t="str" cm="1">
        <f t="array" ref="S16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8" s="23" t="str" cm="1">
        <f t="array" ref="T16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8" s="14" t="str" cm="1">
        <f t="array" ref="U16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8" t="str" cm="1">
        <f t="array" ref="V16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8" t="str" cm="1">
        <f t="array" ref="W16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8" t="str">
        <f>IF(COUNTIFS('Base Estudiantes'!$C:$C,tblMatriculas[[#This Row],[Cédula]],'Base Estudiantes'!$I:$I,tblMatriculas[[#This Row],[Código]])&gt;0,"Sí","No")</f>
        <v>Sí</v>
      </c>
      <c r="Z1618" s="23" cm="1">
        <f t="array" ref="Z1618">_xlfn.XLOOKUP(tblMatriculas[[#This Row],[Cédula]]&amp;"|"&amp;tblMatriculas[[#This Row],[Código]],tblBase[Documento]&amp;"|"&amp;tblBase[Código grupo],tblBase[Fecha matrícula],"")</f>
        <v>46262</v>
      </c>
    </row>
    <row r="1619" spans="1:26" x14ac:dyDescent="0.2">
      <c r="A1619" t="s">
        <v>3391</v>
      </c>
      <c r="B1619" t="s">
        <v>3392</v>
      </c>
      <c r="C1619" t="s">
        <v>13</v>
      </c>
      <c r="D1619" t="s">
        <v>3360</v>
      </c>
      <c r="E1619" t="s">
        <v>3361</v>
      </c>
      <c r="F1619" t="s">
        <v>516</v>
      </c>
      <c r="G1619" s="1">
        <v>0</v>
      </c>
      <c r="H1619" t="s">
        <v>254</v>
      </c>
      <c r="I1619" t="s">
        <v>3169</v>
      </c>
      <c r="J1619" t="s">
        <v>3362</v>
      </c>
      <c r="K1619" t="s">
        <v>24</v>
      </c>
      <c r="L1619" s="14">
        <f>IFERROR(VALUE(LEFT(tblMatriculas[[#This Row],[Clases]],FIND("/",tblMatriculas[[#This Row],[Clases]])-1)),"")</f>
        <v>0</v>
      </c>
      <c r="M1619" s="14">
        <f>IFERROR(VALUE(MID(tblMatriculas[[#This Row],[Clases]],FIND("/",tblMatriculas[[#This Row],[Clases]])+1,5)),"")</f>
        <v>30</v>
      </c>
      <c r="N16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19" s="14">
        <f>IF(OR(tblMatriculas[[#This Row],[Estado]]&lt;&gt;"activa",tblMatriculas[[#This Row],[Clases dictadas]]=""),"",MAX(0,tblMatriculas[[#This Row],[Clases dictadas]]-tblMatriculas[[#This Row],[Asistidas]]))</f>
        <v>2</v>
      </c>
      <c r="P1619" s="1">
        <f>IF(OR(tblMatriculas[[#This Row],[Estado]]&lt;&gt;"activa",tblMatriculas[[#This Row],[Asistidas]]=""),"",tblMatriculas[[#This Row],[Asistencia]])</f>
        <v>0</v>
      </c>
      <c r="Q1619" t="b">
        <f>AND(tblMatriculas[[#This Row],[Estado]]="activa",ISNUMBER(tblMatriculas[[#This Row],[% asistencia]]),NOT(ISNUMBER(SEARCH(pPrueba,tblMatriculas[[#This Row],[Nombre]]))))</f>
        <v>1</v>
      </c>
      <c r="R16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19" s="23" t="str" cm="1">
        <f t="array" ref="S16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19" s="23" t="str" cm="1">
        <f t="array" ref="T16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19" s="14" t="str" cm="1">
        <f t="array" ref="U16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19" t="str" cm="1">
        <f t="array" ref="V16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19" t="str" cm="1">
        <f t="array" ref="W16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1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19" t="str">
        <f>IF(COUNTIFS('Base Estudiantes'!$C:$C,tblMatriculas[[#This Row],[Cédula]],'Base Estudiantes'!$I:$I,tblMatriculas[[#This Row],[Código]])&gt;0,"Sí","No")</f>
        <v>Sí</v>
      </c>
      <c r="Z1619" s="23" cm="1">
        <f t="array" ref="Z1619">_xlfn.XLOOKUP(tblMatriculas[[#This Row],[Cédula]]&amp;"|"&amp;tblMatriculas[[#This Row],[Código]],tblBase[Documento]&amp;"|"&amp;tblBase[Código grupo],tblBase[Fecha matrícula],"")</f>
        <v>46262</v>
      </c>
    </row>
    <row r="1620" spans="1:26" x14ac:dyDescent="0.2">
      <c r="A1620" t="s">
        <v>3393</v>
      </c>
      <c r="B1620" t="s">
        <v>3394</v>
      </c>
      <c r="C1620" t="s">
        <v>13</v>
      </c>
      <c r="D1620" t="s">
        <v>3360</v>
      </c>
      <c r="E1620" t="s">
        <v>3361</v>
      </c>
      <c r="F1620" t="s">
        <v>516</v>
      </c>
      <c r="G1620" s="1">
        <v>6.7000000000000004E-2</v>
      </c>
      <c r="H1620" t="s">
        <v>166</v>
      </c>
      <c r="I1620" t="s">
        <v>3169</v>
      </c>
      <c r="J1620" t="s">
        <v>3362</v>
      </c>
      <c r="K1620" t="s">
        <v>24</v>
      </c>
      <c r="L1620" s="14">
        <f>IFERROR(VALUE(LEFT(tblMatriculas[[#This Row],[Clases]],FIND("/",tblMatriculas[[#This Row],[Clases]])-1)),"")</f>
        <v>2</v>
      </c>
      <c r="M1620" s="14">
        <f>IFERROR(VALUE(MID(tblMatriculas[[#This Row],[Clases]],FIND("/",tblMatriculas[[#This Row],[Clases]])+1,5)),"")</f>
        <v>30</v>
      </c>
      <c r="N16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0" s="14">
        <f>IF(OR(tblMatriculas[[#This Row],[Estado]]&lt;&gt;"activa",tblMatriculas[[#This Row],[Clases dictadas]]=""),"",MAX(0,tblMatriculas[[#This Row],[Clases dictadas]]-tblMatriculas[[#This Row],[Asistidas]]))</f>
        <v>0</v>
      </c>
      <c r="P1620" s="1">
        <f>IF(OR(tblMatriculas[[#This Row],[Estado]]&lt;&gt;"activa",tblMatriculas[[#This Row],[Asistidas]]=""),"",tblMatriculas[[#This Row],[Asistencia]])</f>
        <v>6.7000000000000004E-2</v>
      </c>
      <c r="Q1620" t="b">
        <f>AND(tblMatriculas[[#This Row],[Estado]]="activa",ISNUMBER(tblMatriculas[[#This Row],[% asistencia]]),NOT(ISNUMBER(SEARCH(pPrueba,tblMatriculas[[#This Row],[Nombre]]))))</f>
        <v>1</v>
      </c>
      <c r="R16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0" s="23" t="str" cm="1">
        <f t="array" ref="S16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0" s="23" t="str" cm="1">
        <f t="array" ref="T16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0" s="14" t="str" cm="1">
        <f t="array" ref="U16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0" t="str" cm="1">
        <f t="array" ref="V16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0" t="str" cm="1">
        <f t="array" ref="W16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0" t="str">
        <f>IF(COUNTIFS('Base Estudiantes'!$C:$C,tblMatriculas[[#This Row],[Cédula]],'Base Estudiantes'!$I:$I,tblMatriculas[[#This Row],[Código]])&gt;0,"Sí","No")</f>
        <v>Sí</v>
      </c>
      <c r="Z1620" s="23" cm="1">
        <f t="array" ref="Z1620">_xlfn.XLOOKUP(tblMatriculas[[#This Row],[Cédula]]&amp;"|"&amp;tblMatriculas[[#This Row],[Código]],tblBase[Documento]&amp;"|"&amp;tblBase[Código grupo],tblBase[Fecha matrícula],"")</f>
        <v>46262</v>
      </c>
    </row>
    <row r="1621" spans="1:26" x14ac:dyDescent="0.2">
      <c r="A1621" t="s">
        <v>3395</v>
      </c>
      <c r="B1621" t="s">
        <v>3396</v>
      </c>
      <c r="C1621" t="s">
        <v>13</v>
      </c>
      <c r="D1621" t="s">
        <v>3360</v>
      </c>
      <c r="E1621" t="s">
        <v>3361</v>
      </c>
      <c r="F1621" t="s">
        <v>516</v>
      </c>
      <c r="G1621" s="1">
        <v>6.7000000000000004E-2</v>
      </c>
      <c r="H1621" t="s">
        <v>166</v>
      </c>
      <c r="I1621" t="s">
        <v>3169</v>
      </c>
      <c r="J1621" t="s">
        <v>3362</v>
      </c>
      <c r="K1621" t="s">
        <v>24</v>
      </c>
      <c r="L1621" s="14">
        <f>IFERROR(VALUE(LEFT(tblMatriculas[[#This Row],[Clases]],FIND("/",tblMatriculas[[#This Row],[Clases]])-1)),"")</f>
        <v>2</v>
      </c>
      <c r="M1621" s="14">
        <f>IFERROR(VALUE(MID(tblMatriculas[[#This Row],[Clases]],FIND("/",tblMatriculas[[#This Row],[Clases]])+1,5)),"")</f>
        <v>30</v>
      </c>
      <c r="N16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1" s="14">
        <f>IF(OR(tblMatriculas[[#This Row],[Estado]]&lt;&gt;"activa",tblMatriculas[[#This Row],[Clases dictadas]]=""),"",MAX(0,tblMatriculas[[#This Row],[Clases dictadas]]-tblMatriculas[[#This Row],[Asistidas]]))</f>
        <v>0</v>
      </c>
      <c r="P1621" s="1">
        <f>IF(OR(tblMatriculas[[#This Row],[Estado]]&lt;&gt;"activa",tblMatriculas[[#This Row],[Asistidas]]=""),"",tblMatriculas[[#This Row],[Asistencia]])</f>
        <v>6.7000000000000004E-2</v>
      </c>
      <c r="Q1621" t="b">
        <f>AND(tblMatriculas[[#This Row],[Estado]]="activa",ISNUMBER(tblMatriculas[[#This Row],[% asistencia]]),NOT(ISNUMBER(SEARCH(pPrueba,tblMatriculas[[#This Row],[Nombre]]))))</f>
        <v>1</v>
      </c>
      <c r="R16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1" s="23" t="str" cm="1">
        <f t="array" ref="S16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1" s="23" t="str" cm="1">
        <f t="array" ref="T16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1" s="14" t="str" cm="1">
        <f t="array" ref="U16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1" t="str" cm="1">
        <f t="array" ref="V16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1" t="str" cm="1">
        <f t="array" ref="W16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1" t="str">
        <f>IF(COUNTIFS('Base Estudiantes'!$C:$C,tblMatriculas[[#This Row],[Cédula]],'Base Estudiantes'!$I:$I,tblMatriculas[[#This Row],[Código]])&gt;0,"Sí","No")</f>
        <v>Sí</v>
      </c>
      <c r="Z1621" s="23" cm="1">
        <f t="array" ref="Z1621">_xlfn.XLOOKUP(tblMatriculas[[#This Row],[Cédula]]&amp;"|"&amp;tblMatriculas[[#This Row],[Código]],tblBase[Documento]&amp;"|"&amp;tblBase[Código grupo],tblBase[Fecha matrícula],"")</f>
        <v>46262</v>
      </c>
    </row>
    <row r="1622" spans="1:26" x14ac:dyDescent="0.2">
      <c r="A1622" t="s">
        <v>3397</v>
      </c>
      <c r="B1622" t="s">
        <v>3398</v>
      </c>
      <c r="C1622" t="s">
        <v>13</v>
      </c>
      <c r="D1622" t="s">
        <v>3360</v>
      </c>
      <c r="E1622" t="s">
        <v>3361</v>
      </c>
      <c r="F1622" t="s">
        <v>516</v>
      </c>
      <c r="G1622" s="1">
        <v>6.7000000000000004E-2</v>
      </c>
      <c r="H1622" t="s">
        <v>166</v>
      </c>
      <c r="I1622" t="s">
        <v>3169</v>
      </c>
      <c r="J1622" t="s">
        <v>3362</v>
      </c>
      <c r="K1622" t="s">
        <v>24</v>
      </c>
      <c r="L1622" s="14">
        <f>IFERROR(VALUE(LEFT(tblMatriculas[[#This Row],[Clases]],FIND("/",tblMatriculas[[#This Row],[Clases]])-1)),"")</f>
        <v>2</v>
      </c>
      <c r="M1622" s="14">
        <f>IFERROR(VALUE(MID(tblMatriculas[[#This Row],[Clases]],FIND("/",tblMatriculas[[#This Row],[Clases]])+1,5)),"")</f>
        <v>30</v>
      </c>
      <c r="N16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2" s="14">
        <f>IF(OR(tblMatriculas[[#This Row],[Estado]]&lt;&gt;"activa",tblMatriculas[[#This Row],[Clases dictadas]]=""),"",MAX(0,tblMatriculas[[#This Row],[Clases dictadas]]-tblMatriculas[[#This Row],[Asistidas]]))</f>
        <v>0</v>
      </c>
      <c r="P1622" s="1">
        <f>IF(OR(tblMatriculas[[#This Row],[Estado]]&lt;&gt;"activa",tblMatriculas[[#This Row],[Asistidas]]=""),"",tblMatriculas[[#This Row],[Asistencia]])</f>
        <v>6.7000000000000004E-2</v>
      </c>
      <c r="Q1622" t="b">
        <f>AND(tblMatriculas[[#This Row],[Estado]]="activa",ISNUMBER(tblMatriculas[[#This Row],[% asistencia]]),NOT(ISNUMBER(SEARCH(pPrueba,tblMatriculas[[#This Row],[Nombre]]))))</f>
        <v>1</v>
      </c>
      <c r="R16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2" s="23" t="str" cm="1">
        <f t="array" ref="S16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2" s="23" t="str" cm="1">
        <f t="array" ref="T16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2" s="14" t="str" cm="1">
        <f t="array" ref="U16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2" t="str" cm="1">
        <f t="array" ref="V16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2" t="str" cm="1">
        <f t="array" ref="W16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2" t="str">
        <f>IF(COUNTIFS('Base Estudiantes'!$C:$C,tblMatriculas[[#This Row],[Cédula]],'Base Estudiantes'!$I:$I,tblMatriculas[[#This Row],[Código]])&gt;0,"Sí","No")</f>
        <v>Sí</v>
      </c>
      <c r="Z1622" s="23" cm="1">
        <f t="array" ref="Z1622">_xlfn.XLOOKUP(tblMatriculas[[#This Row],[Cédula]]&amp;"|"&amp;tblMatriculas[[#This Row],[Código]],tblBase[Documento]&amp;"|"&amp;tblBase[Código grupo],tblBase[Fecha matrícula],"")</f>
        <v>46262</v>
      </c>
    </row>
    <row r="1623" spans="1:26" x14ac:dyDescent="0.2">
      <c r="A1623" t="s">
        <v>3399</v>
      </c>
      <c r="B1623" t="s">
        <v>3400</v>
      </c>
      <c r="C1623" t="s">
        <v>13</v>
      </c>
      <c r="D1623" t="s">
        <v>3360</v>
      </c>
      <c r="E1623" t="s">
        <v>3361</v>
      </c>
      <c r="F1623" t="s">
        <v>516</v>
      </c>
      <c r="G1623" s="1">
        <v>0</v>
      </c>
      <c r="H1623" t="s">
        <v>254</v>
      </c>
      <c r="I1623" t="s">
        <v>3169</v>
      </c>
      <c r="J1623" t="s">
        <v>3362</v>
      </c>
      <c r="K1623" t="s">
        <v>24</v>
      </c>
      <c r="L1623" s="14">
        <f>IFERROR(VALUE(LEFT(tblMatriculas[[#This Row],[Clases]],FIND("/",tblMatriculas[[#This Row],[Clases]])-1)),"")</f>
        <v>0</v>
      </c>
      <c r="M1623" s="14">
        <f>IFERROR(VALUE(MID(tblMatriculas[[#This Row],[Clases]],FIND("/",tblMatriculas[[#This Row],[Clases]])+1,5)),"")</f>
        <v>30</v>
      </c>
      <c r="N16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3" s="14">
        <f>IF(OR(tblMatriculas[[#This Row],[Estado]]&lt;&gt;"activa",tblMatriculas[[#This Row],[Clases dictadas]]=""),"",MAX(0,tblMatriculas[[#This Row],[Clases dictadas]]-tblMatriculas[[#This Row],[Asistidas]]))</f>
        <v>2</v>
      </c>
      <c r="P1623" s="1">
        <f>IF(OR(tblMatriculas[[#This Row],[Estado]]&lt;&gt;"activa",tblMatriculas[[#This Row],[Asistidas]]=""),"",tblMatriculas[[#This Row],[Asistencia]])</f>
        <v>0</v>
      </c>
      <c r="Q1623" t="b">
        <f>AND(tblMatriculas[[#This Row],[Estado]]="activa",ISNUMBER(tblMatriculas[[#This Row],[% asistencia]]),NOT(ISNUMBER(SEARCH(pPrueba,tblMatriculas[[#This Row],[Nombre]]))))</f>
        <v>1</v>
      </c>
      <c r="R16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23" s="23" t="str" cm="1">
        <f t="array" ref="S16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3" s="23" t="str" cm="1">
        <f t="array" ref="T16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3" s="14" t="str" cm="1">
        <f t="array" ref="U16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3" t="str" cm="1">
        <f t="array" ref="V16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3" t="str" cm="1">
        <f t="array" ref="W16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23" t="str">
        <f>IF(COUNTIFS('Base Estudiantes'!$C:$C,tblMatriculas[[#This Row],[Cédula]],'Base Estudiantes'!$I:$I,tblMatriculas[[#This Row],[Código]])&gt;0,"Sí","No")</f>
        <v>Sí</v>
      </c>
      <c r="Z1623" s="23" cm="1">
        <f t="array" ref="Z1623">_xlfn.XLOOKUP(tblMatriculas[[#This Row],[Cédula]]&amp;"|"&amp;tblMatriculas[[#This Row],[Código]],tblBase[Documento]&amp;"|"&amp;tblBase[Código grupo],tblBase[Fecha matrícula],"")</f>
        <v>46262</v>
      </c>
    </row>
    <row r="1624" spans="1:26" x14ac:dyDescent="0.2">
      <c r="A1624" t="s">
        <v>3401</v>
      </c>
      <c r="B1624" t="s">
        <v>3402</v>
      </c>
      <c r="C1624" t="s">
        <v>13</v>
      </c>
      <c r="D1624" t="s">
        <v>3360</v>
      </c>
      <c r="E1624" t="s">
        <v>3361</v>
      </c>
      <c r="F1624" t="s">
        <v>516</v>
      </c>
      <c r="G1624" s="1">
        <v>6.7000000000000004E-2</v>
      </c>
      <c r="H1624" t="s">
        <v>166</v>
      </c>
      <c r="I1624" t="s">
        <v>3169</v>
      </c>
      <c r="J1624" t="s">
        <v>3362</v>
      </c>
      <c r="K1624" t="s">
        <v>24</v>
      </c>
      <c r="L1624" s="14">
        <f>IFERROR(VALUE(LEFT(tblMatriculas[[#This Row],[Clases]],FIND("/",tblMatriculas[[#This Row],[Clases]])-1)),"")</f>
        <v>2</v>
      </c>
      <c r="M1624" s="14">
        <f>IFERROR(VALUE(MID(tblMatriculas[[#This Row],[Clases]],FIND("/",tblMatriculas[[#This Row],[Clases]])+1,5)),"")</f>
        <v>30</v>
      </c>
      <c r="N16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4" s="14">
        <f>IF(OR(tblMatriculas[[#This Row],[Estado]]&lt;&gt;"activa",tblMatriculas[[#This Row],[Clases dictadas]]=""),"",MAX(0,tblMatriculas[[#This Row],[Clases dictadas]]-tblMatriculas[[#This Row],[Asistidas]]))</f>
        <v>0</v>
      </c>
      <c r="P1624" s="1">
        <f>IF(OR(tblMatriculas[[#This Row],[Estado]]&lt;&gt;"activa",tblMatriculas[[#This Row],[Asistidas]]=""),"",tblMatriculas[[#This Row],[Asistencia]])</f>
        <v>6.7000000000000004E-2</v>
      </c>
      <c r="Q1624" t="b">
        <f>AND(tblMatriculas[[#This Row],[Estado]]="activa",ISNUMBER(tblMatriculas[[#This Row],[% asistencia]]),NOT(ISNUMBER(SEARCH(pPrueba,tblMatriculas[[#This Row],[Nombre]]))))</f>
        <v>1</v>
      </c>
      <c r="R16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4" s="23" t="str" cm="1">
        <f t="array" ref="S16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4" s="23" t="str" cm="1">
        <f t="array" ref="T16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4" s="14" t="str" cm="1">
        <f t="array" ref="U16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4" t="str" cm="1">
        <f t="array" ref="V16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4" t="str" cm="1">
        <f t="array" ref="W16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4" t="str">
        <f>IF(COUNTIFS('Base Estudiantes'!$C:$C,tblMatriculas[[#This Row],[Cédula]],'Base Estudiantes'!$I:$I,tblMatriculas[[#This Row],[Código]])&gt;0,"Sí","No")</f>
        <v>Sí</v>
      </c>
      <c r="Z1624" s="23" cm="1">
        <f t="array" ref="Z1624">_xlfn.XLOOKUP(tblMatriculas[[#This Row],[Cédula]]&amp;"|"&amp;tblMatriculas[[#This Row],[Código]],tblBase[Documento]&amp;"|"&amp;tblBase[Código grupo],tblBase[Fecha matrícula],"")</f>
        <v>46262</v>
      </c>
    </row>
    <row r="1625" spans="1:26" x14ac:dyDescent="0.2">
      <c r="A1625" t="s">
        <v>3403</v>
      </c>
      <c r="B1625" t="s">
        <v>3404</v>
      </c>
      <c r="C1625" t="s">
        <v>13</v>
      </c>
      <c r="D1625" t="s">
        <v>3360</v>
      </c>
      <c r="E1625" t="s">
        <v>3361</v>
      </c>
      <c r="F1625" t="s">
        <v>516</v>
      </c>
      <c r="G1625" s="1">
        <v>6.7000000000000004E-2</v>
      </c>
      <c r="H1625" t="s">
        <v>166</v>
      </c>
      <c r="I1625" t="s">
        <v>3169</v>
      </c>
      <c r="J1625" t="s">
        <v>3362</v>
      </c>
      <c r="K1625" t="s">
        <v>24</v>
      </c>
      <c r="L1625" s="14">
        <f>IFERROR(VALUE(LEFT(tblMatriculas[[#This Row],[Clases]],FIND("/",tblMatriculas[[#This Row],[Clases]])-1)),"")</f>
        <v>2</v>
      </c>
      <c r="M1625" s="14">
        <f>IFERROR(VALUE(MID(tblMatriculas[[#This Row],[Clases]],FIND("/",tblMatriculas[[#This Row],[Clases]])+1,5)),"")</f>
        <v>30</v>
      </c>
      <c r="N16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5" s="14">
        <f>IF(OR(tblMatriculas[[#This Row],[Estado]]&lt;&gt;"activa",tblMatriculas[[#This Row],[Clases dictadas]]=""),"",MAX(0,tblMatriculas[[#This Row],[Clases dictadas]]-tblMatriculas[[#This Row],[Asistidas]]))</f>
        <v>0</v>
      </c>
      <c r="P1625" s="1">
        <f>IF(OR(tblMatriculas[[#This Row],[Estado]]&lt;&gt;"activa",tblMatriculas[[#This Row],[Asistidas]]=""),"",tblMatriculas[[#This Row],[Asistencia]])</f>
        <v>6.7000000000000004E-2</v>
      </c>
      <c r="Q1625" t="b">
        <f>AND(tblMatriculas[[#This Row],[Estado]]="activa",ISNUMBER(tblMatriculas[[#This Row],[% asistencia]]),NOT(ISNUMBER(SEARCH(pPrueba,tblMatriculas[[#This Row],[Nombre]]))))</f>
        <v>1</v>
      </c>
      <c r="R16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5" s="23" t="str" cm="1">
        <f t="array" ref="S16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5" s="23" t="str" cm="1">
        <f t="array" ref="T16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5" s="14" t="str" cm="1">
        <f t="array" ref="U16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5" t="str" cm="1">
        <f t="array" ref="V16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5" t="str" cm="1">
        <f t="array" ref="W16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5" t="str">
        <f>IF(COUNTIFS('Base Estudiantes'!$C:$C,tblMatriculas[[#This Row],[Cédula]],'Base Estudiantes'!$I:$I,tblMatriculas[[#This Row],[Código]])&gt;0,"Sí","No")</f>
        <v>Sí</v>
      </c>
      <c r="Z1625" s="23" cm="1">
        <f t="array" ref="Z1625">_xlfn.XLOOKUP(tblMatriculas[[#This Row],[Cédula]]&amp;"|"&amp;tblMatriculas[[#This Row],[Código]],tblBase[Documento]&amp;"|"&amp;tblBase[Código grupo],tblBase[Fecha matrícula],"")</f>
        <v>46262</v>
      </c>
    </row>
    <row r="1626" spans="1:26" x14ac:dyDescent="0.2">
      <c r="A1626" t="s">
        <v>3405</v>
      </c>
      <c r="B1626" t="s">
        <v>3406</v>
      </c>
      <c r="C1626" t="s">
        <v>13</v>
      </c>
      <c r="D1626" t="s">
        <v>3360</v>
      </c>
      <c r="E1626" t="s">
        <v>3361</v>
      </c>
      <c r="F1626" t="s">
        <v>516</v>
      </c>
      <c r="G1626" s="1">
        <v>6.7000000000000004E-2</v>
      </c>
      <c r="H1626" t="s">
        <v>166</v>
      </c>
      <c r="I1626" t="s">
        <v>3169</v>
      </c>
      <c r="J1626" t="s">
        <v>3362</v>
      </c>
      <c r="K1626" t="s">
        <v>24</v>
      </c>
      <c r="L1626" s="14">
        <f>IFERROR(VALUE(LEFT(tblMatriculas[[#This Row],[Clases]],FIND("/",tblMatriculas[[#This Row],[Clases]])-1)),"")</f>
        <v>2</v>
      </c>
      <c r="M1626" s="14">
        <f>IFERROR(VALUE(MID(tblMatriculas[[#This Row],[Clases]],FIND("/",tblMatriculas[[#This Row],[Clases]])+1,5)),"")</f>
        <v>30</v>
      </c>
      <c r="N16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6" s="14">
        <f>IF(OR(tblMatriculas[[#This Row],[Estado]]&lt;&gt;"activa",tblMatriculas[[#This Row],[Clases dictadas]]=""),"",MAX(0,tblMatriculas[[#This Row],[Clases dictadas]]-tblMatriculas[[#This Row],[Asistidas]]))</f>
        <v>0</v>
      </c>
      <c r="P1626" s="1">
        <f>IF(OR(tblMatriculas[[#This Row],[Estado]]&lt;&gt;"activa",tblMatriculas[[#This Row],[Asistidas]]=""),"",tblMatriculas[[#This Row],[Asistencia]])</f>
        <v>6.7000000000000004E-2</v>
      </c>
      <c r="Q1626" t="b">
        <f>AND(tblMatriculas[[#This Row],[Estado]]="activa",ISNUMBER(tblMatriculas[[#This Row],[% asistencia]]),NOT(ISNUMBER(SEARCH(pPrueba,tblMatriculas[[#This Row],[Nombre]]))))</f>
        <v>1</v>
      </c>
      <c r="R16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6" s="23" t="str" cm="1">
        <f t="array" ref="S16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6" s="23" t="str" cm="1">
        <f t="array" ref="T16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6" s="14" t="str" cm="1">
        <f t="array" ref="U16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6" t="str" cm="1">
        <f t="array" ref="V16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6" t="str" cm="1">
        <f t="array" ref="W16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6" t="str">
        <f>IF(COUNTIFS('Base Estudiantes'!$C:$C,tblMatriculas[[#This Row],[Cédula]],'Base Estudiantes'!$I:$I,tblMatriculas[[#This Row],[Código]])&gt;0,"Sí","No")</f>
        <v>Sí</v>
      </c>
      <c r="Z1626" s="23" cm="1">
        <f t="array" ref="Z1626">_xlfn.XLOOKUP(tblMatriculas[[#This Row],[Cédula]]&amp;"|"&amp;tblMatriculas[[#This Row],[Código]],tblBase[Documento]&amp;"|"&amp;tblBase[Código grupo],tblBase[Fecha matrícula],"")</f>
        <v>46262</v>
      </c>
    </row>
    <row r="1627" spans="1:26" x14ac:dyDescent="0.2">
      <c r="A1627" t="s">
        <v>3407</v>
      </c>
      <c r="B1627" t="s">
        <v>3408</v>
      </c>
      <c r="C1627" t="s">
        <v>13</v>
      </c>
      <c r="D1627" t="s">
        <v>3360</v>
      </c>
      <c r="E1627" t="s">
        <v>3361</v>
      </c>
      <c r="F1627" t="s">
        <v>516</v>
      </c>
      <c r="G1627" s="1">
        <v>0</v>
      </c>
      <c r="H1627" t="s">
        <v>254</v>
      </c>
      <c r="I1627" t="s">
        <v>3169</v>
      </c>
      <c r="J1627" t="s">
        <v>3362</v>
      </c>
      <c r="K1627" t="s">
        <v>24</v>
      </c>
      <c r="L1627" s="14">
        <f>IFERROR(VALUE(LEFT(tblMatriculas[[#This Row],[Clases]],FIND("/",tblMatriculas[[#This Row],[Clases]])-1)),"")</f>
        <v>0</v>
      </c>
      <c r="M1627" s="14">
        <f>IFERROR(VALUE(MID(tblMatriculas[[#This Row],[Clases]],FIND("/",tblMatriculas[[#This Row],[Clases]])+1,5)),"")</f>
        <v>30</v>
      </c>
      <c r="N16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7" s="14">
        <f>IF(OR(tblMatriculas[[#This Row],[Estado]]&lt;&gt;"activa",tblMatriculas[[#This Row],[Clases dictadas]]=""),"",MAX(0,tblMatriculas[[#This Row],[Clases dictadas]]-tblMatriculas[[#This Row],[Asistidas]]))</f>
        <v>2</v>
      </c>
      <c r="P1627" s="1">
        <f>IF(OR(tblMatriculas[[#This Row],[Estado]]&lt;&gt;"activa",tblMatriculas[[#This Row],[Asistidas]]=""),"",tblMatriculas[[#This Row],[Asistencia]])</f>
        <v>0</v>
      </c>
      <c r="Q1627" t="b">
        <f>AND(tblMatriculas[[#This Row],[Estado]]="activa",ISNUMBER(tblMatriculas[[#This Row],[% asistencia]]),NOT(ISNUMBER(SEARCH(pPrueba,tblMatriculas[[#This Row],[Nombre]]))))</f>
        <v>1</v>
      </c>
      <c r="R16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27" s="23" t="str" cm="1">
        <f t="array" ref="S16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7" s="23" t="str" cm="1">
        <f t="array" ref="T16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7" s="14" t="str" cm="1">
        <f t="array" ref="U16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7" t="str" cm="1">
        <f t="array" ref="V16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7" t="str" cm="1">
        <f t="array" ref="W16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27" t="str">
        <f>IF(COUNTIFS('Base Estudiantes'!$C:$C,tblMatriculas[[#This Row],[Cédula]],'Base Estudiantes'!$I:$I,tblMatriculas[[#This Row],[Código]])&gt;0,"Sí","No")</f>
        <v>Sí</v>
      </c>
      <c r="Z1627" s="23" cm="1">
        <f t="array" ref="Z1627">_xlfn.XLOOKUP(tblMatriculas[[#This Row],[Cédula]]&amp;"|"&amp;tblMatriculas[[#This Row],[Código]],tblBase[Documento]&amp;"|"&amp;tblBase[Código grupo],tblBase[Fecha matrícula],"")</f>
        <v>46262</v>
      </c>
    </row>
    <row r="1628" spans="1:26" x14ac:dyDescent="0.2">
      <c r="A1628" t="s">
        <v>3409</v>
      </c>
      <c r="B1628" t="s">
        <v>3410</v>
      </c>
      <c r="C1628" t="s">
        <v>13</v>
      </c>
      <c r="D1628" t="s">
        <v>3360</v>
      </c>
      <c r="E1628" t="s">
        <v>3361</v>
      </c>
      <c r="F1628" t="s">
        <v>516</v>
      </c>
      <c r="G1628" s="1">
        <v>6.7000000000000004E-2</v>
      </c>
      <c r="H1628" t="s">
        <v>166</v>
      </c>
      <c r="I1628" t="s">
        <v>3169</v>
      </c>
      <c r="J1628" t="s">
        <v>3362</v>
      </c>
      <c r="K1628" t="s">
        <v>24</v>
      </c>
      <c r="L1628" s="14">
        <f>IFERROR(VALUE(LEFT(tblMatriculas[[#This Row],[Clases]],FIND("/",tblMatriculas[[#This Row],[Clases]])-1)),"")</f>
        <v>2</v>
      </c>
      <c r="M1628" s="14">
        <f>IFERROR(VALUE(MID(tblMatriculas[[#This Row],[Clases]],FIND("/",tblMatriculas[[#This Row],[Clases]])+1,5)),"")</f>
        <v>30</v>
      </c>
      <c r="N16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8" s="14">
        <f>IF(OR(tblMatriculas[[#This Row],[Estado]]&lt;&gt;"activa",tblMatriculas[[#This Row],[Clases dictadas]]=""),"",MAX(0,tblMatriculas[[#This Row],[Clases dictadas]]-tblMatriculas[[#This Row],[Asistidas]]))</f>
        <v>0</v>
      </c>
      <c r="P1628" s="1">
        <f>IF(OR(tblMatriculas[[#This Row],[Estado]]&lt;&gt;"activa",tblMatriculas[[#This Row],[Asistidas]]=""),"",tblMatriculas[[#This Row],[Asistencia]])</f>
        <v>6.7000000000000004E-2</v>
      </c>
      <c r="Q1628" t="b">
        <f>AND(tblMatriculas[[#This Row],[Estado]]="activa",ISNUMBER(tblMatriculas[[#This Row],[% asistencia]]),NOT(ISNUMBER(SEARCH(pPrueba,tblMatriculas[[#This Row],[Nombre]]))))</f>
        <v>1</v>
      </c>
      <c r="R16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28" s="23" t="str" cm="1">
        <f t="array" ref="S16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8" s="23" t="str" cm="1">
        <f t="array" ref="T16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8" s="14" t="str" cm="1">
        <f t="array" ref="U16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8" t="str" cm="1">
        <f t="array" ref="V16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8" t="str" cm="1">
        <f t="array" ref="W16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28" t="str">
        <f>IF(COUNTIFS('Base Estudiantes'!$C:$C,tblMatriculas[[#This Row],[Cédula]],'Base Estudiantes'!$I:$I,tblMatriculas[[#This Row],[Código]])&gt;0,"Sí","No")</f>
        <v>Sí</v>
      </c>
      <c r="Z1628" s="23" cm="1">
        <f t="array" ref="Z1628">_xlfn.XLOOKUP(tblMatriculas[[#This Row],[Cédula]]&amp;"|"&amp;tblMatriculas[[#This Row],[Código]],tblBase[Documento]&amp;"|"&amp;tblBase[Código grupo],tblBase[Fecha matrícula],"")</f>
        <v>46262</v>
      </c>
    </row>
    <row r="1629" spans="1:26" x14ac:dyDescent="0.2">
      <c r="A1629" t="s">
        <v>3411</v>
      </c>
      <c r="B1629" t="s">
        <v>3412</v>
      </c>
      <c r="C1629" t="s">
        <v>13</v>
      </c>
      <c r="D1629" t="s">
        <v>3360</v>
      </c>
      <c r="E1629" t="s">
        <v>3361</v>
      </c>
      <c r="F1629" t="s">
        <v>516</v>
      </c>
      <c r="G1629" s="1">
        <v>0</v>
      </c>
      <c r="H1629" t="s">
        <v>254</v>
      </c>
      <c r="I1629" t="s">
        <v>3169</v>
      </c>
      <c r="J1629" t="s">
        <v>3362</v>
      </c>
      <c r="K1629" t="s">
        <v>24</v>
      </c>
      <c r="L1629" s="14">
        <f>IFERROR(VALUE(LEFT(tblMatriculas[[#This Row],[Clases]],FIND("/",tblMatriculas[[#This Row],[Clases]])-1)),"")</f>
        <v>0</v>
      </c>
      <c r="M1629" s="14">
        <f>IFERROR(VALUE(MID(tblMatriculas[[#This Row],[Clases]],FIND("/",tblMatriculas[[#This Row],[Clases]])+1,5)),"")</f>
        <v>30</v>
      </c>
      <c r="N16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29" s="14">
        <f>IF(OR(tblMatriculas[[#This Row],[Estado]]&lt;&gt;"activa",tblMatriculas[[#This Row],[Clases dictadas]]=""),"",MAX(0,tblMatriculas[[#This Row],[Clases dictadas]]-tblMatriculas[[#This Row],[Asistidas]]))</f>
        <v>2</v>
      </c>
      <c r="P1629" s="1">
        <f>IF(OR(tblMatriculas[[#This Row],[Estado]]&lt;&gt;"activa",tblMatriculas[[#This Row],[Asistidas]]=""),"",tblMatriculas[[#This Row],[Asistencia]])</f>
        <v>0</v>
      </c>
      <c r="Q1629" t="b">
        <f>AND(tblMatriculas[[#This Row],[Estado]]="activa",ISNUMBER(tblMatriculas[[#This Row],[% asistencia]]),NOT(ISNUMBER(SEARCH(pPrueba,tblMatriculas[[#This Row],[Nombre]]))))</f>
        <v>1</v>
      </c>
      <c r="R16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29" s="23" t="str" cm="1">
        <f t="array" ref="S16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29" s="23" t="str" cm="1">
        <f t="array" ref="T16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29" s="14" t="str" cm="1">
        <f t="array" ref="U16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29" t="str" cm="1">
        <f t="array" ref="V16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29" t="str" cm="1">
        <f t="array" ref="W16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2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29" t="str">
        <f>IF(COUNTIFS('Base Estudiantes'!$C:$C,tblMatriculas[[#This Row],[Cédula]],'Base Estudiantes'!$I:$I,tblMatriculas[[#This Row],[Código]])&gt;0,"Sí","No")</f>
        <v>Sí</v>
      </c>
      <c r="Z1629" s="23" cm="1">
        <f t="array" ref="Z1629">_xlfn.XLOOKUP(tblMatriculas[[#This Row],[Cédula]]&amp;"|"&amp;tblMatriculas[[#This Row],[Código]],tblBase[Documento]&amp;"|"&amp;tblBase[Código grupo],tblBase[Fecha matrícula],"")</f>
        <v>46262</v>
      </c>
    </row>
    <row r="1630" spans="1:26" x14ac:dyDescent="0.2">
      <c r="A1630" t="s">
        <v>3413</v>
      </c>
      <c r="B1630" t="s">
        <v>3414</v>
      </c>
      <c r="C1630" t="s">
        <v>13</v>
      </c>
      <c r="D1630" t="s">
        <v>3360</v>
      </c>
      <c r="E1630" t="s">
        <v>3361</v>
      </c>
      <c r="F1630" t="s">
        <v>516</v>
      </c>
      <c r="G1630" s="1">
        <v>6.7000000000000004E-2</v>
      </c>
      <c r="H1630" t="s">
        <v>166</v>
      </c>
      <c r="I1630" t="s">
        <v>3169</v>
      </c>
      <c r="J1630" t="s">
        <v>3362</v>
      </c>
      <c r="K1630" t="s">
        <v>24</v>
      </c>
      <c r="L1630" s="14">
        <f>IFERROR(VALUE(LEFT(tblMatriculas[[#This Row],[Clases]],FIND("/",tblMatriculas[[#This Row],[Clases]])-1)),"")</f>
        <v>2</v>
      </c>
      <c r="M1630" s="14">
        <f>IFERROR(VALUE(MID(tblMatriculas[[#This Row],[Clases]],FIND("/",tblMatriculas[[#This Row],[Clases]])+1,5)),"")</f>
        <v>30</v>
      </c>
      <c r="N16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0" s="14">
        <f>IF(OR(tblMatriculas[[#This Row],[Estado]]&lt;&gt;"activa",tblMatriculas[[#This Row],[Clases dictadas]]=""),"",MAX(0,tblMatriculas[[#This Row],[Clases dictadas]]-tblMatriculas[[#This Row],[Asistidas]]))</f>
        <v>0</v>
      </c>
      <c r="P1630" s="1">
        <f>IF(OR(tblMatriculas[[#This Row],[Estado]]&lt;&gt;"activa",tblMatriculas[[#This Row],[Asistidas]]=""),"",tblMatriculas[[#This Row],[Asistencia]])</f>
        <v>6.7000000000000004E-2</v>
      </c>
      <c r="Q1630" t="b">
        <f>AND(tblMatriculas[[#This Row],[Estado]]="activa",ISNUMBER(tblMatriculas[[#This Row],[% asistencia]]),NOT(ISNUMBER(SEARCH(pPrueba,tblMatriculas[[#This Row],[Nombre]]))))</f>
        <v>1</v>
      </c>
      <c r="R16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0" s="23" t="str" cm="1">
        <f t="array" ref="S16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0" s="23" t="str" cm="1">
        <f t="array" ref="T16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0" s="14" t="str" cm="1">
        <f t="array" ref="U16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0" t="str" cm="1">
        <f t="array" ref="V16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0" t="str" cm="1">
        <f t="array" ref="W16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0" t="str">
        <f>IF(COUNTIFS('Base Estudiantes'!$C:$C,tblMatriculas[[#This Row],[Cédula]],'Base Estudiantes'!$I:$I,tblMatriculas[[#This Row],[Código]])&gt;0,"Sí","No")</f>
        <v>Sí</v>
      </c>
      <c r="Z1630" s="23" cm="1">
        <f t="array" ref="Z1630">_xlfn.XLOOKUP(tblMatriculas[[#This Row],[Cédula]]&amp;"|"&amp;tblMatriculas[[#This Row],[Código]],tblBase[Documento]&amp;"|"&amp;tblBase[Código grupo],tblBase[Fecha matrícula],"")</f>
        <v>46262</v>
      </c>
    </row>
    <row r="1631" spans="1:26" x14ac:dyDescent="0.2">
      <c r="A1631" t="s">
        <v>3415</v>
      </c>
      <c r="B1631" t="s">
        <v>3416</v>
      </c>
      <c r="C1631" t="s">
        <v>13</v>
      </c>
      <c r="D1631" t="s">
        <v>3360</v>
      </c>
      <c r="E1631" t="s">
        <v>3361</v>
      </c>
      <c r="F1631" t="s">
        <v>516</v>
      </c>
      <c r="G1631" s="1">
        <v>6.7000000000000004E-2</v>
      </c>
      <c r="H1631" t="s">
        <v>166</v>
      </c>
      <c r="I1631" t="s">
        <v>3169</v>
      </c>
      <c r="J1631" t="s">
        <v>3362</v>
      </c>
      <c r="K1631" t="s">
        <v>24</v>
      </c>
      <c r="L1631" s="14">
        <f>IFERROR(VALUE(LEFT(tblMatriculas[[#This Row],[Clases]],FIND("/",tblMatriculas[[#This Row],[Clases]])-1)),"")</f>
        <v>2</v>
      </c>
      <c r="M1631" s="14">
        <f>IFERROR(VALUE(MID(tblMatriculas[[#This Row],[Clases]],FIND("/",tblMatriculas[[#This Row],[Clases]])+1,5)),"")</f>
        <v>30</v>
      </c>
      <c r="N16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1" s="14">
        <f>IF(OR(tblMatriculas[[#This Row],[Estado]]&lt;&gt;"activa",tblMatriculas[[#This Row],[Clases dictadas]]=""),"",MAX(0,tblMatriculas[[#This Row],[Clases dictadas]]-tblMatriculas[[#This Row],[Asistidas]]))</f>
        <v>0</v>
      </c>
      <c r="P1631" s="1">
        <f>IF(OR(tblMatriculas[[#This Row],[Estado]]&lt;&gt;"activa",tblMatriculas[[#This Row],[Asistidas]]=""),"",tblMatriculas[[#This Row],[Asistencia]])</f>
        <v>6.7000000000000004E-2</v>
      </c>
      <c r="Q1631" t="b">
        <f>AND(tblMatriculas[[#This Row],[Estado]]="activa",ISNUMBER(tblMatriculas[[#This Row],[% asistencia]]),NOT(ISNUMBER(SEARCH(pPrueba,tblMatriculas[[#This Row],[Nombre]]))))</f>
        <v>1</v>
      </c>
      <c r="R16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1" s="23" t="str" cm="1">
        <f t="array" ref="S16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1" s="23" t="str" cm="1">
        <f t="array" ref="T16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1" s="14" t="str" cm="1">
        <f t="array" ref="U16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1" t="str" cm="1">
        <f t="array" ref="V16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1" t="str" cm="1">
        <f t="array" ref="W16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1" t="str">
        <f>IF(COUNTIFS('Base Estudiantes'!$C:$C,tblMatriculas[[#This Row],[Cédula]],'Base Estudiantes'!$I:$I,tblMatriculas[[#This Row],[Código]])&gt;0,"Sí","No")</f>
        <v>Sí</v>
      </c>
      <c r="Z1631" s="23" cm="1">
        <f t="array" ref="Z1631">_xlfn.XLOOKUP(tblMatriculas[[#This Row],[Cédula]]&amp;"|"&amp;tblMatriculas[[#This Row],[Código]],tblBase[Documento]&amp;"|"&amp;tblBase[Código grupo],tblBase[Fecha matrícula],"")</f>
        <v>46262</v>
      </c>
    </row>
    <row r="1632" spans="1:26" x14ac:dyDescent="0.2">
      <c r="A1632" t="s">
        <v>3417</v>
      </c>
      <c r="B1632" t="s">
        <v>3418</v>
      </c>
      <c r="C1632" t="s">
        <v>13</v>
      </c>
      <c r="D1632" t="s">
        <v>3360</v>
      </c>
      <c r="E1632" t="s">
        <v>3361</v>
      </c>
      <c r="F1632" t="s">
        <v>516</v>
      </c>
      <c r="G1632" s="1">
        <v>0</v>
      </c>
      <c r="H1632" t="s">
        <v>254</v>
      </c>
      <c r="I1632" t="s">
        <v>3169</v>
      </c>
      <c r="J1632" t="s">
        <v>3362</v>
      </c>
      <c r="K1632" t="s">
        <v>3179</v>
      </c>
      <c r="L1632" s="14">
        <f>IFERROR(VALUE(LEFT(tblMatriculas[[#This Row],[Clases]],FIND("/",tblMatriculas[[#This Row],[Clases]])-1)),"")</f>
        <v>0</v>
      </c>
      <c r="M1632" s="14">
        <f>IFERROR(VALUE(MID(tblMatriculas[[#This Row],[Clases]],FIND("/",tblMatriculas[[#This Row],[Clases]])+1,5)),"")</f>
        <v>30</v>
      </c>
      <c r="N16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2" s="14">
        <f>IF(OR(tblMatriculas[[#This Row],[Estado]]&lt;&gt;"activa",tblMatriculas[[#This Row],[Clases dictadas]]=""),"",MAX(0,tblMatriculas[[#This Row],[Clases dictadas]]-tblMatriculas[[#This Row],[Asistidas]]))</f>
        <v>2</v>
      </c>
      <c r="P1632" s="1">
        <f>IF(OR(tblMatriculas[[#This Row],[Estado]]&lt;&gt;"activa",tblMatriculas[[#This Row],[Asistidas]]=""),"",tblMatriculas[[#This Row],[Asistencia]])</f>
        <v>0</v>
      </c>
      <c r="Q1632" t="b">
        <f>AND(tblMatriculas[[#This Row],[Estado]]="activa",ISNUMBER(tblMatriculas[[#This Row],[% asistencia]]),NOT(ISNUMBER(SEARCH(pPrueba,tblMatriculas[[#This Row],[Nombre]]))))</f>
        <v>1</v>
      </c>
      <c r="R16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32" s="23" t="str" cm="1">
        <f t="array" ref="S16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2" s="23" t="str" cm="1">
        <f t="array" ref="T16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2" s="14" t="str" cm="1">
        <f t="array" ref="U16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2" t="str" cm="1">
        <f t="array" ref="V16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2" t="str" cm="1">
        <f t="array" ref="W16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32" t="str">
        <f>IF(COUNTIFS('Base Estudiantes'!$C:$C,tblMatriculas[[#This Row],[Cédula]],'Base Estudiantes'!$I:$I,tblMatriculas[[#This Row],[Código]])&gt;0,"Sí","No")</f>
        <v>Sí</v>
      </c>
      <c r="Z1632" s="23" cm="1">
        <f t="array" ref="Z1632">_xlfn.XLOOKUP(tblMatriculas[[#This Row],[Cédula]]&amp;"|"&amp;tblMatriculas[[#This Row],[Código]],tblBase[Documento]&amp;"|"&amp;tblBase[Código grupo],tblBase[Fecha matrícula],"")</f>
        <v>46262</v>
      </c>
    </row>
    <row r="1633" spans="1:26" x14ac:dyDescent="0.2">
      <c r="A1633" t="s">
        <v>3419</v>
      </c>
      <c r="B1633" t="s">
        <v>3420</v>
      </c>
      <c r="C1633" t="s">
        <v>13</v>
      </c>
      <c r="D1633" t="s">
        <v>3360</v>
      </c>
      <c r="E1633" t="s">
        <v>3361</v>
      </c>
      <c r="F1633" t="s">
        <v>516</v>
      </c>
      <c r="G1633" s="1">
        <v>6.7000000000000004E-2</v>
      </c>
      <c r="H1633" t="s">
        <v>166</v>
      </c>
      <c r="I1633" t="s">
        <v>3169</v>
      </c>
      <c r="J1633" t="s">
        <v>3362</v>
      </c>
      <c r="K1633" t="s">
        <v>3179</v>
      </c>
      <c r="L1633" s="14">
        <f>IFERROR(VALUE(LEFT(tblMatriculas[[#This Row],[Clases]],FIND("/",tblMatriculas[[#This Row],[Clases]])-1)),"")</f>
        <v>2</v>
      </c>
      <c r="M1633" s="14">
        <f>IFERROR(VALUE(MID(tblMatriculas[[#This Row],[Clases]],FIND("/",tblMatriculas[[#This Row],[Clases]])+1,5)),"")</f>
        <v>30</v>
      </c>
      <c r="N16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3" s="14">
        <f>IF(OR(tblMatriculas[[#This Row],[Estado]]&lt;&gt;"activa",tblMatriculas[[#This Row],[Clases dictadas]]=""),"",MAX(0,tblMatriculas[[#This Row],[Clases dictadas]]-tblMatriculas[[#This Row],[Asistidas]]))</f>
        <v>0</v>
      </c>
      <c r="P1633" s="1">
        <f>IF(OR(tblMatriculas[[#This Row],[Estado]]&lt;&gt;"activa",tblMatriculas[[#This Row],[Asistidas]]=""),"",tblMatriculas[[#This Row],[Asistencia]])</f>
        <v>6.7000000000000004E-2</v>
      </c>
      <c r="Q1633" t="b">
        <f>AND(tblMatriculas[[#This Row],[Estado]]="activa",ISNUMBER(tblMatriculas[[#This Row],[% asistencia]]),NOT(ISNUMBER(SEARCH(pPrueba,tblMatriculas[[#This Row],[Nombre]]))))</f>
        <v>1</v>
      </c>
      <c r="R16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3" s="23" t="str" cm="1">
        <f t="array" ref="S16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3" s="23" t="str" cm="1">
        <f t="array" ref="T16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3" s="14" t="str" cm="1">
        <f t="array" ref="U16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3" t="str" cm="1">
        <f t="array" ref="V16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3" t="str" cm="1">
        <f t="array" ref="W16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3" t="str">
        <f>IF(COUNTIFS('Base Estudiantes'!$C:$C,tblMatriculas[[#This Row],[Cédula]],'Base Estudiantes'!$I:$I,tblMatriculas[[#This Row],[Código]])&gt;0,"Sí","No")</f>
        <v>Sí</v>
      </c>
      <c r="Z1633" s="23" cm="1">
        <f t="array" ref="Z1633">_xlfn.XLOOKUP(tblMatriculas[[#This Row],[Cédula]]&amp;"|"&amp;tblMatriculas[[#This Row],[Código]],tblBase[Documento]&amp;"|"&amp;tblBase[Código grupo],tblBase[Fecha matrícula],"")</f>
        <v>46262</v>
      </c>
    </row>
    <row r="1634" spans="1:26" x14ac:dyDescent="0.2">
      <c r="A1634" t="s">
        <v>3421</v>
      </c>
      <c r="B1634" t="s">
        <v>3422</v>
      </c>
      <c r="C1634" t="s">
        <v>13</v>
      </c>
      <c r="D1634" t="s">
        <v>3360</v>
      </c>
      <c r="E1634" t="s">
        <v>3361</v>
      </c>
      <c r="F1634" t="s">
        <v>516</v>
      </c>
      <c r="G1634" s="1">
        <v>6.7000000000000004E-2</v>
      </c>
      <c r="H1634" t="s">
        <v>166</v>
      </c>
      <c r="I1634" t="s">
        <v>3169</v>
      </c>
      <c r="J1634" t="s">
        <v>3362</v>
      </c>
      <c r="K1634" t="s">
        <v>3179</v>
      </c>
      <c r="L1634" s="14">
        <f>IFERROR(VALUE(LEFT(tblMatriculas[[#This Row],[Clases]],FIND("/",tblMatriculas[[#This Row],[Clases]])-1)),"")</f>
        <v>2</v>
      </c>
      <c r="M1634" s="14">
        <f>IFERROR(VALUE(MID(tblMatriculas[[#This Row],[Clases]],FIND("/",tblMatriculas[[#This Row],[Clases]])+1,5)),"")</f>
        <v>30</v>
      </c>
      <c r="N16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4" s="14">
        <f>IF(OR(tblMatriculas[[#This Row],[Estado]]&lt;&gt;"activa",tblMatriculas[[#This Row],[Clases dictadas]]=""),"",MAX(0,tblMatriculas[[#This Row],[Clases dictadas]]-tblMatriculas[[#This Row],[Asistidas]]))</f>
        <v>0</v>
      </c>
      <c r="P1634" s="1">
        <f>IF(OR(tblMatriculas[[#This Row],[Estado]]&lt;&gt;"activa",tblMatriculas[[#This Row],[Asistidas]]=""),"",tblMatriculas[[#This Row],[Asistencia]])</f>
        <v>6.7000000000000004E-2</v>
      </c>
      <c r="Q1634" t="b">
        <f>AND(tblMatriculas[[#This Row],[Estado]]="activa",ISNUMBER(tblMatriculas[[#This Row],[% asistencia]]),NOT(ISNUMBER(SEARCH(pPrueba,tblMatriculas[[#This Row],[Nombre]]))))</f>
        <v>1</v>
      </c>
      <c r="R16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4" s="23" t="str" cm="1">
        <f t="array" ref="S16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4" s="23" t="str" cm="1">
        <f t="array" ref="T16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4" s="14" t="str" cm="1">
        <f t="array" ref="U16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4" t="str" cm="1">
        <f t="array" ref="V16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4" t="str" cm="1">
        <f t="array" ref="W16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4" t="str">
        <f>IF(COUNTIFS('Base Estudiantes'!$C:$C,tblMatriculas[[#This Row],[Cédula]],'Base Estudiantes'!$I:$I,tblMatriculas[[#This Row],[Código]])&gt;0,"Sí","No")</f>
        <v>Sí</v>
      </c>
      <c r="Z1634" s="23" cm="1">
        <f t="array" ref="Z1634">_xlfn.XLOOKUP(tblMatriculas[[#This Row],[Cédula]]&amp;"|"&amp;tblMatriculas[[#This Row],[Código]],tblBase[Documento]&amp;"|"&amp;tblBase[Código grupo],tblBase[Fecha matrícula],"")</f>
        <v>46262</v>
      </c>
    </row>
    <row r="1635" spans="1:26" x14ac:dyDescent="0.2">
      <c r="A1635" t="s">
        <v>3423</v>
      </c>
      <c r="B1635" t="s">
        <v>3424</v>
      </c>
      <c r="C1635" t="s">
        <v>13</v>
      </c>
      <c r="D1635" t="s">
        <v>3360</v>
      </c>
      <c r="E1635" t="s">
        <v>3361</v>
      </c>
      <c r="F1635" t="s">
        <v>516</v>
      </c>
      <c r="G1635" s="1">
        <v>6.7000000000000004E-2</v>
      </c>
      <c r="H1635" t="s">
        <v>166</v>
      </c>
      <c r="I1635" t="s">
        <v>3169</v>
      </c>
      <c r="J1635" t="s">
        <v>3362</v>
      </c>
      <c r="K1635" t="s">
        <v>3179</v>
      </c>
      <c r="L1635" s="14">
        <f>IFERROR(VALUE(LEFT(tblMatriculas[[#This Row],[Clases]],FIND("/",tblMatriculas[[#This Row],[Clases]])-1)),"")</f>
        <v>2</v>
      </c>
      <c r="M1635" s="14">
        <f>IFERROR(VALUE(MID(tblMatriculas[[#This Row],[Clases]],FIND("/",tblMatriculas[[#This Row],[Clases]])+1,5)),"")</f>
        <v>30</v>
      </c>
      <c r="N16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5" s="14">
        <f>IF(OR(tblMatriculas[[#This Row],[Estado]]&lt;&gt;"activa",tblMatriculas[[#This Row],[Clases dictadas]]=""),"",MAX(0,tblMatriculas[[#This Row],[Clases dictadas]]-tblMatriculas[[#This Row],[Asistidas]]))</f>
        <v>0</v>
      </c>
      <c r="P1635" s="1">
        <f>IF(OR(tblMatriculas[[#This Row],[Estado]]&lt;&gt;"activa",tblMatriculas[[#This Row],[Asistidas]]=""),"",tblMatriculas[[#This Row],[Asistencia]])</f>
        <v>6.7000000000000004E-2</v>
      </c>
      <c r="Q1635" t="b">
        <f>AND(tblMatriculas[[#This Row],[Estado]]="activa",ISNUMBER(tblMatriculas[[#This Row],[% asistencia]]),NOT(ISNUMBER(SEARCH(pPrueba,tblMatriculas[[#This Row],[Nombre]]))))</f>
        <v>1</v>
      </c>
      <c r="R16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5" s="23" t="str" cm="1">
        <f t="array" ref="S16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5" s="23" t="str" cm="1">
        <f t="array" ref="T16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5" s="14" t="str" cm="1">
        <f t="array" ref="U16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5" t="str" cm="1">
        <f t="array" ref="V16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5" t="str" cm="1">
        <f t="array" ref="W16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5" t="str">
        <f>IF(COUNTIFS('Base Estudiantes'!$C:$C,tblMatriculas[[#This Row],[Cédula]],'Base Estudiantes'!$I:$I,tblMatriculas[[#This Row],[Código]])&gt;0,"Sí","No")</f>
        <v>Sí</v>
      </c>
      <c r="Z1635" s="23" cm="1">
        <f t="array" ref="Z1635">_xlfn.XLOOKUP(tblMatriculas[[#This Row],[Cédula]]&amp;"|"&amp;tblMatriculas[[#This Row],[Código]],tblBase[Documento]&amp;"|"&amp;tblBase[Código grupo],tblBase[Fecha matrícula],"")</f>
        <v>46262</v>
      </c>
    </row>
    <row r="1636" spans="1:26" x14ac:dyDescent="0.2">
      <c r="A1636" t="s">
        <v>3425</v>
      </c>
      <c r="B1636" t="s">
        <v>3426</v>
      </c>
      <c r="C1636" t="s">
        <v>13</v>
      </c>
      <c r="D1636" t="s">
        <v>3360</v>
      </c>
      <c r="E1636" t="s">
        <v>3361</v>
      </c>
      <c r="F1636" t="s">
        <v>516</v>
      </c>
      <c r="G1636" s="1">
        <v>6.7000000000000004E-2</v>
      </c>
      <c r="H1636" t="s">
        <v>166</v>
      </c>
      <c r="I1636" t="s">
        <v>3169</v>
      </c>
      <c r="J1636" t="s">
        <v>3362</v>
      </c>
      <c r="K1636" t="s">
        <v>3427</v>
      </c>
      <c r="L1636" s="14">
        <f>IFERROR(VALUE(LEFT(tblMatriculas[[#This Row],[Clases]],FIND("/",tblMatriculas[[#This Row],[Clases]])-1)),"")</f>
        <v>2</v>
      </c>
      <c r="M1636" s="14">
        <f>IFERROR(VALUE(MID(tblMatriculas[[#This Row],[Clases]],FIND("/",tblMatriculas[[#This Row],[Clases]])+1,5)),"")</f>
        <v>30</v>
      </c>
      <c r="N16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6" s="14">
        <f>IF(OR(tblMatriculas[[#This Row],[Estado]]&lt;&gt;"activa",tblMatriculas[[#This Row],[Clases dictadas]]=""),"",MAX(0,tblMatriculas[[#This Row],[Clases dictadas]]-tblMatriculas[[#This Row],[Asistidas]]))</f>
        <v>0</v>
      </c>
      <c r="P1636" s="1">
        <f>IF(OR(tblMatriculas[[#This Row],[Estado]]&lt;&gt;"activa",tblMatriculas[[#This Row],[Asistidas]]=""),"",tblMatriculas[[#This Row],[Asistencia]])</f>
        <v>6.7000000000000004E-2</v>
      </c>
      <c r="Q1636" t="b">
        <f>AND(tblMatriculas[[#This Row],[Estado]]="activa",ISNUMBER(tblMatriculas[[#This Row],[% asistencia]]),NOT(ISNUMBER(SEARCH(pPrueba,tblMatriculas[[#This Row],[Nombre]]))))</f>
        <v>1</v>
      </c>
      <c r="R16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6" s="23" t="str" cm="1">
        <f t="array" ref="S16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6" s="23" t="str" cm="1">
        <f t="array" ref="T16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6" s="14" t="str" cm="1">
        <f t="array" ref="U16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6" t="str" cm="1">
        <f t="array" ref="V16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6" t="str" cm="1">
        <f t="array" ref="W16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6" t="str">
        <f>IF(COUNTIFS('Base Estudiantes'!$C:$C,tblMatriculas[[#This Row],[Cédula]],'Base Estudiantes'!$I:$I,tblMatriculas[[#This Row],[Código]])&gt;0,"Sí","No")</f>
        <v>Sí</v>
      </c>
      <c r="Z1636" s="23" cm="1">
        <f t="array" ref="Z1636">_xlfn.XLOOKUP(tblMatriculas[[#This Row],[Cédula]]&amp;"|"&amp;tblMatriculas[[#This Row],[Código]],tblBase[Documento]&amp;"|"&amp;tblBase[Código grupo],tblBase[Fecha matrícula],"")</f>
        <v>46262</v>
      </c>
    </row>
    <row r="1637" spans="1:26" x14ac:dyDescent="0.2">
      <c r="A1637" t="s">
        <v>3428</v>
      </c>
      <c r="B1637" t="s">
        <v>3429</v>
      </c>
      <c r="C1637" t="s">
        <v>13</v>
      </c>
      <c r="D1637" t="s">
        <v>3360</v>
      </c>
      <c r="E1637" t="s">
        <v>3361</v>
      </c>
      <c r="F1637" t="s">
        <v>516</v>
      </c>
      <c r="G1637" s="1">
        <v>6.7000000000000004E-2</v>
      </c>
      <c r="H1637" t="s">
        <v>166</v>
      </c>
      <c r="I1637" t="s">
        <v>3169</v>
      </c>
      <c r="J1637" t="s">
        <v>3362</v>
      </c>
      <c r="K1637" t="s">
        <v>3427</v>
      </c>
      <c r="L1637" s="14">
        <f>IFERROR(VALUE(LEFT(tblMatriculas[[#This Row],[Clases]],FIND("/",tblMatriculas[[#This Row],[Clases]])-1)),"")</f>
        <v>2</v>
      </c>
      <c r="M1637" s="14">
        <f>IFERROR(VALUE(MID(tblMatriculas[[#This Row],[Clases]],FIND("/",tblMatriculas[[#This Row],[Clases]])+1,5)),"")</f>
        <v>30</v>
      </c>
      <c r="N16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7" s="14">
        <f>IF(OR(tblMatriculas[[#This Row],[Estado]]&lt;&gt;"activa",tblMatriculas[[#This Row],[Clases dictadas]]=""),"",MAX(0,tblMatriculas[[#This Row],[Clases dictadas]]-tblMatriculas[[#This Row],[Asistidas]]))</f>
        <v>0</v>
      </c>
      <c r="P1637" s="1">
        <f>IF(OR(tblMatriculas[[#This Row],[Estado]]&lt;&gt;"activa",tblMatriculas[[#This Row],[Asistidas]]=""),"",tblMatriculas[[#This Row],[Asistencia]])</f>
        <v>6.7000000000000004E-2</v>
      </c>
      <c r="Q1637" t="b">
        <f>AND(tblMatriculas[[#This Row],[Estado]]="activa",ISNUMBER(tblMatriculas[[#This Row],[% asistencia]]),NOT(ISNUMBER(SEARCH(pPrueba,tblMatriculas[[#This Row],[Nombre]]))))</f>
        <v>1</v>
      </c>
      <c r="R16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7" s="23" t="str" cm="1">
        <f t="array" ref="S16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7" s="23" t="str" cm="1">
        <f t="array" ref="T16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7" s="14" t="str" cm="1">
        <f t="array" ref="U16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7" t="str" cm="1">
        <f t="array" ref="V16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7" t="str" cm="1">
        <f t="array" ref="W16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7" t="str">
        <f>IF(COUNTIFS('Base Estudiantes'!$C:$C,tblMatriculas[[#This Row],[Cédula]],'Base Estudiantes'!$I:$I,tblMatriculas[[#This Row],[Código]])&gt;0,"Sí","No")</f>
        <v>Sí</v>
      </c>
      <c r="Z1637" s="23" cm="1">
        <f t="array" ref="Z1637">_xlfn.XLOOKUP(tblMatriculas[[#This Row],[Cédula]]&amp;"|"&amp;tblMatriculas[[#This Row],[Código]],tblBase[Documento]&amp;"|"&amp;tblBase[Código grupo],tblBase[Fecha matrícula],"")</f>
        <v>46262</v>
      </c>
    </row>
    <row r="1638" spans="1:26" x14ac:dyDescent="0.2">
      <c r="A1638" t="s">
        <v>3430</v>
      </c>
      <c r="B1638" t="s">
        <v>3431</v>
      </c>
      <c r="C1638" t="s">
        <v>13</v>
      </c>
      <c r="D1638" t="s">
        <v>3360</v>
      </c>
      <c r="E1638" t="s">
        <v>3361</v>
      </c>
      <c r="F1638" t="s">
        <v>516</v>
      </c>
      <c r="G1638" s="1">
        <v>6.7000000000000004E-2</v>
      </c>
      <c r="H1638" t="s">
        <v>166</v>
      </c>
      <c r="I1638" t="s">
        <v>3169</v>
      </c>
      <c r="J1638" t="s">
        <v>3362</v>
      </c>
      <c r="K1638" t="s">
        <v>24</v>
      </c>
      <c r="L1638" s="14">
        <f>IFERROR(VALUE(LEFT(tblMatriculas[[#This Row],[Clases]],FIND("/",tblMatriculas[[#This Row],[Clases]])-1)),"")</f>
        <v>2</v>
      </c>
      <c r="M1638" s="14">
        <f>IFERROR(VALUE(MID(tblMatriculas[[#This Row],[Clases]],FIND("/",tblMatriculas[[#This Row],[Clases]])+1,5)),"")</f>
        <v>30</v>
      </c>
      <c r="N16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8" s="14">
        <f>IF(OR(tblMatriculas[[#This Row],[Estado]]&lt;&gt;"activa",tblMatriculas[[#This Row],[Clases dictadas]]=""),"",MAX(0,tblMatriculas[[#This Row],[Clases dictadas]]-tblMatriculas[[#This Row],[Asistidas]]))</f>
        <v>0</v>
      </c>
      <c r="P1638" s="1">
        <f>IF(OR(tblMatriculas[[#This Row],[Estado]]&lt;&gt;"activa",tblMatriculas[[#This Row],[Asistidas]]=""),"",tblMatriculas[[#This Row],[Asistencia]])</f>
        <v>6.7000000000000004E-2</v>
      </c>
      <c r="Q1638" t="b">
        <f>AND(tblMatriculas[[#This Row],[Estado]]="activa",ISNUMBER(tblMatriculas[[#This Row],[% asistencia]]),NOT(ISNUMBER(SEARCH(pPrueba,tblMatriculas[[#This Row],[Nombre]]))))</f>
        <v>1</v>
      </c>
      <c r="R16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8" s="23" t="str" cm="1">
        <f t="array" ref="S16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8" s="23" t="str" cm="1">
        <f t="array" ref="T16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8" s="14" t="str" cm="1">
        <f t="array" ref="U16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8" t="str" cm="1">
        <f t="array" ref="V16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8" t="str" cm="1">
        <f t="array" ref="W16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8" t="str">
        <f>IF(COUNTIFS('Base Estudiantes'!$C:$C,tblMatriculas[[#This Row],[Cédula]],'Base Estudiantes'!$I:$I,tblMatriculas[[#This Row],[Código]])&gt;0,"Sí","No")</f>
        <v>Sí</v>
      </c>
      <c r="Z1638" s="23" cm="1">
        <f t="array" ref="Z1638">_xlfn.XLOOKUP(tblMatriculas[[#This Row],[Cédula]]&amp;"|"&amp;tblMatriculas[[#This Row],[Código]],tblBase[Documento]&amp;"|"&amp;tblBase[Código grupo],tblBase[Fecha matrícula],"")</f>
        <v>46263</v>
      </c>
    </row>
    <row r="1639" spans="1:26" x14ac:dyDescent="0.2">
      <c r="A1639" t="s">
        <v>3432</v>
      </c>
      <c r="B1639" t="s">
        <v>3433</v>
      </c>
      <c r="C1639" t="s">
        <v>13</v>
      </c>
      <c r="D1639" t="s">
        <v>3360</v>
      </c>
      <c r="E1639" t="s">
        <v>3361</v>
      </c>
      <c r="F1639" t="s">
        <v>516</v>
      </c>
      <c r="G1639" s="1">
        <v>6.7000000000000004E-2</v>
      </c>
      <c r="H1639" t="s">
        <v>166</v>
      </c>
      <c r="I1639" t="s">
        <v>3169</v>
      </c>
      <c r="J1639" t="s">
        <v>3362</v>
      </c>
      <c r="K1639" t="s">
        <v>24</v>
      </c>
      <c r="L1639" s="14">
        <f>IFERROR(VALUE(LEFT(tblMatriculas[[#This Row],[Clases]],FIND("/",tblMatriculas[[#This Row],[Clases]])-1)),"")</f>
        <v>2</v>
      </c>
      <c r="M1639" s="14">
        <f>IFERROR(VALUE(MID(tblMatriculas[[#This Row],[Clases]],FIND("/",tblMatriculas[[#This Row],[Clases]])+1,5)),"")</f>
        <v>30</v>
      </c>
      <c r="N16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39" s="14">
        <f>IF(OR(tblMatriculas[[#This Row],[Estado]]&lt;&gt;"activa",tblMatriculas[[#This Row],[Clases dictadas]]=""),"",MAX(0,tblMatriculas[[#This Row],[Clases dictadas]]-tblMatriculas[[#This Row],[Asistidas]]))</f>
        <v>0</v>
      </c>
      <c r="P1639" s="1">
        <f>IF(OR(tblMatriculas[[#This Row],[Estado]]&lt;&gt;"activa",tblMatriculas[[#This Row],[Asistidas]]=""),"",tblMatriculas[[#This Row],[Asistencia]])</f>
        <v>6.7000000000000004E-2</v>
      </c>
      <c r="Q1639" t="b">
        <f>AND(tblMatriculas[[#This Row],[Estado]]="activa",ISNUMBER(tblMatriculas[[#This Row],[% asistencia]]),NOT(ISNUMBER(SEARCH(pPrueba,tblMatriculas[[#This Row],[Nombre]]))))</f>
        <v>1</v>
      </c>
      <c r="R16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39" s="23" t="str" cm="1">
        <f t="array" ref="S16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39" s="23" t="str" cm="1">
        <f t="array" ref="T16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39" s="14" t="str" cm="1">
        <f t="array" ref="U16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39" t="str" cm="1">
        <f t="array" ref="V16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39" t="str" cm="1">
        <f t="array" ref="W16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3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39" t="str">
        <f>IF(COUNTIFS('Base Estudiantes'!$C:$C,tblMatriculas[[#This Row],[Cédula]],'Base Estudiantes'!$I:$I,tblMatriculas[[#This Row],[Código]])&gt;0,"Sí","No")</f>
        <v>Sí</v>
      </c>
      <c r="Z1639" s="23" cm="1">
        <f t="array" ref="Z1639">_xlfn.XLOOKUP(tblMatriculas[[#This Row],[Cédula]]&amp;"|"&amp;tblMatriculas[[#This Row],[Código]],tblBase[Documento]&amp;"|"&amp;tblBase[Código grupo],tblBase[Fecha matrícula],"")</f>
        <v>46263</v>
      </c>
    </row>
    <row r="1640" spans="1:26" x14ac:dyDescent="0.2">
      <c r="A1640" t="s">
        <v>3163</v>
      </c>
      <c r="B1640" t="s">
        <v>3164</v>
      </c>
      <c r="C1640" t="s">
        <v>49</v>
      </c>
      <c r="D1640" t="s">
        <v>3360</v>
      </c>
      <c r="E1640" t="s">
        <v>3361</v>
      </c>
      <c r="F1640" t="s">
        <v>516</v>
      </c>
      <c r="G1640" s="1">
        <v>0</v>
      </c>
      <c r="H1640" t="s">
        <v>3434</v>
      </c>
      <c r="I1640" t="s">
        <v>3169</v>
      </c>
      <c r="J1640" t="s">
        <v>3362</v>
      </c>
      <c r="K1640" t="s">
        <v>24</v>
      </c>
      <c r="L1640" s="14">
        <f>IFERROR(VALUE(LEFT(tblMatriculas[[#This Row],[Clases]],FIND("/",tblMatriculas[[#This Row],[Clases]])-1)),"")</f>
        <v>0</v>
      </c>
      <c r="M1640" s="14">
        <f>IFERROR(VALUE(MID(tblMatriculas[[#This Row],[Clases]],FIND("/",tblMatriculas[[#This Row],[Clases]])+1,5)),"")</f>
        <v>75</v>
      </c>
      <c r="N16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640" s="14" t="str">
        <f>IF(OR(tblMatriculas[[#This Row],[Estado]]&lt;&gt;"activa",tblMatriculas[[#This Row],[Clases dictadas]]=""),"",MAX(0,tblMatriculas[[#This Row],[Clases dictadas]]-tblMatriculas[[#This Row],[Asistidas]]))</f>
        <v/>
      </c>
      <c r="P1640" s="1" t="str">
        <f>IF(OR(tblMatriculas[[#This Row],[Estado]]&lt;&gt;"activa",tblMatriculas[[#This Row],[Asistidas]]=""),"",tblMatriculas[[#This Row],[Asistencia]])</f>
        <v/>
      </c>
      <c r="Q1640" t="b">
        <f>AND(tblMatriculas[[#This Row],[Estado]]="activa",ISNUMBER(tblMatriculas[[#This Row],[% asistencia]]),NOT(ISNUMBER(SEARCH(pPrueba,tblMatriculas[[#This Row],[Nombre]]))))</f>
        <v>0</v>
      </c>
      <c r="R16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40" s="23" t="str" cm="1">
        <f t="array" ref="S16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0" s="23" t="str" cm="1">
        <f t="array" ref="T16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0" s="14" t="str" cm="1">
        <f t="array" ref="U16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0" t="str" cm="1">
        <f t="array" ref="V16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0" t="str" cm="1">
        <f t="array" ref="W16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0" t="str">
        <f>IF(COUNTIFS('Base Estudiantes'!$C:$C,tblMatriculas[[#This Row],[Cédula]],'Base Estudiantes'!$I:$I,tblMatriculas[[#This Row],[Código]])&gt;0,"Sí","No")</f>
        <v>No</v>
      </c>
      <c r="Z1640" s="23" t="str" cm="1">
        <f t="array" ref="Z1640">_xlfn.XLOOKUP(tblMatriculas[[#This Row],[Cédula]]&amp;"|"&amp;tblMatriculas[[#This Row],[Código]],tblBase[Documento]&amp;"|"&amp;tblBase[Código grupo],tblBase[Fecha matrícula],"")</f>
        <v/>
      </c>
    </row>
    <row r="1641" spans="1:26" x14ac:dyDescent="0.2">
      <c r="A1641" t="s">
        <v>3435</v>
      </c>
      <c r="B1641" t="s">
        <v>3436</v>
      </c>
      <c r="C1641" t="s">
        <v>13</v>
      </c>
      <c r="D1641" t="s">
        <v>3360</v>
      </c>
      <c r="E1641" t="s">
        <v>3361</v>
      </c>
      <c r="F1641" t="s">
        <v>516</v>
      </c>
      <c r="G1641" s="1">
        <v>0</v>
      </c>
      <c r="H1641" t="s">
        <v>254</v>
      </c>
      <c r="I1641" t="s">
        <v>3169</v>
      </c>
      <c r="J1641" t="s">
        <v>3362</v>
      </c>
      <c r="K1641" t="s">
        <v>3427</v>
      </c>
      <c r="L1641" s="14">
        <f>IFERROR(VALUE(LEFT(tblMatriculas[[#This Row],[Clases]],FIND("/",tblMatriculas[[#This Row],[Clases]])-1)),"")</f>
        <v>0</v>
      </c>
      <c r="M1641" s="14">
        <f>IFERROR(VALUE(MID(tblMatriculas[[#This Row],[Clases]],FIND("/",tblMatriculas[[#This Row],[Clases]])+1,5)),"")</f>
        <v>30</v>
      </c>
      <c r="N16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1641" s="14">
        <f>IF(OR(tblMatriculas[[#This Row],[Estado]]&lt;&gt;"activa",tblMatriculas[[#This Row],[Clases dictadas]]=""),"",MAX(0,tblMatriculas[[#This Row],[Clases dictadas]]-tblMatriculas[[#This Row],[Asistidas]]))</f>
        <v>2</v>
      </c>
      <c r="P1641" s="1">
        <f>IF(OR(tblMatriculas[[#This Row],[Estado]]&lt;&gt;"activa",tblMatriculas[[#This Row],[Asistidas]]=""),"",tblMatriculas[[#This Row],[Asistencia]])</f>
        <v>0</v>
      </c>
      <c r="Q1641" t="b">
        <f>AND(tblMatriculas[[#This Row],[Estado]]="activa",ISNUMBER(tblMatriculas[[#This Row],[% asistencia]]),NOT(ISNUMBER(SEARCH(pPrueba,tblMatriculas[[#This Row],[Nombre]]))))</f>
        <v>1</v>
      </c>
      <c r="R16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41" s="23" t="str" cm="1">
        <f t="array" ref="S16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1" s="23" t="str" cm="1">
        <f t="array" ref="T16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1" s="14" t="str" cm="1">
        <f t="array" ref="U16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1" t="str" cm="1">
        <f t="array" ref="V16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1" t="str" cm="1">
        <f t="array" ref="W16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41" t="str">
        <f>IF(COUNTIFS('Base Estudiantes'!$C:$C,tblMatriculas[[#This Row],[Cédula]],'Base Estudiantes'!$I:$I,tblMatriculas[[#This Row],[Código]])&gt;0,"Sí","No")</f>
        <v>Sí</v>
      </c>
      <c r="Z1641" s="23" cm="1">
        <f t="array" ref="Z1641">_xlfn.XLOOKUP(tblMatriculas[[#This Row],[Cédula]]&amp;"|"&amp;tblMatriculas[[#This Row],[Código]],tblBase[Documento]&amp;"|"&amp;tblBase[Código grupo],tblBase[Fecha matrícula],"")</f>
        <v>46273</v>
      </c>
    </row>
    <row r="1642" spans="1:26" x14ac:dyDescent="0.2">
      <c r="A1642" t="s">
        <v>3437</v>
      </c>
      <c r="B1642" t="s">
        <v>3438</v>
      </c>
      <c r="C1642" t="s">
        <v>13</v>
      </c>
      <c r="D1642" t="s">
        <v>3439</v>
      </c>
      <c r="E1642" t="s">
        <v>3440</v>
      </c>
      <c r="F1642" t="s">
        <v>16</v>
      </c>
      <c r="G1642" s="1">
        <v>0.2</v>
      </c>
      <c r="H1642" t="s">
        <v>27</v>
      </c>
      <c r="I1642" t="s">
        <v>3169</v>
      </c>
      <c r="J1642" t="s">
        <v>3170</v>
      </c>
      <c r="K1642" t="s">
        <v>24</v>
      </c>
      <c r="L1642" s="14">
        <f>IFERROR(VALUE(LEFT(tblMatriculas[[#This Row],[Clases]],FIND("/",tblMatriculas[[#This Row],[Clases]])-1)),"")</f>
        <v>9</v>
      </c>
      <c r="M1642" s="14">
        <f>IFERROR(VALUE(MID(tblMatriculas[[#This Row],[Clases]],FIND("/",tblMatriculas[[#This Row],[Clases]])+1,5)),"")</f>
        <v>45</v>
      </c>
      <c r="N16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2" s="14">
        <f>IF(OR(tblMatriculas[[#This Row],[Estado]]&lt;&gt;"activa",tblMatriculas[[#This Row],[Clases dictadas]]=""),"",MAX(0,tblMatriculas[[#This Row],[Clases dictadas]]-tblMatriculas[[#This Row],[Asistidas]]))</f>
        <v>0</v>
      </c>
      <c r="P1642" s="1">
        <f>IF(OR(tblMatriculas[[#This Row],[Estado]]&lt;&gt;"activa",tblMatriculas[[#This Row],[Asistidas]]=""),"",tblMatriculas[[#This Row],[Asistencia]])</f>
        <v>0.2</v>
      </c>
      <c r="Q1642" t="b">
        <f>AND(tblMatriculas[[#This Row],[Estado]]="activa",ISNUMBER(tblMatriculas[[#This Row],[% asistencia]]),NOT(ISNUMBER(SEARCH(pPrueba,tblMatriculas[[#This Row],[Nombre]]))))</f>
        <v>1</v>
      </c>
      <c r="R16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42" s="23" t="str" cm="1">
        <f t="array" ref="S16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2" s="23" t="str" cm="1">
        <f t="array" ref="T16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2" s="14" t="str" cm="1">
        <f t="array" ref="U16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2" t="str" cm="1">
        <f t="array" ref="V16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2" t="str" cm="1">
        <f t="array" ref="W16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2" t="str">
        <f>IF(COUNTIFS('Base Estudiantes'!$C:$C,tblMatriculas[[#This Row],[Cédula]],'Base Estudiantes'!$I:$I,tblMatriculas[[#This Row],[Código]])&gt;0,"Sí","No")</f>
        <v>Sí</v>
      </c>
      <c r="Z1642" s="23" cm="1">
        <f t="array" ref="Z1642">_xlfn.XLOOKUP(tblMatriculas[[#This Row],[Cédula]]&amp;"|"&amp;tblMatriculas[[#This Row],[Código]],tblBase[Documento]&amp;"|"&amp;tblBase[Código grupo],tblBase[Fecha matrícula],"")</f>
        <v>46262</v>
      </c>
    </row>
    <row r="1643" spans="1:26" x14ac:dyDescent="0.2">
      <c r="A1643" t="s">
        <v>3163</v>
      </c>
      <c r="B1643" t="s">
        <v>3164</v>
      </c>
      <c r="C1643" t="s">
        <v>49</v>
      </c>
      <c r="D1643" t="s">
        <v>3439</v>
      </c>
      <c r="E1643" t="s">
        <v>3440</v>
      </c>
      <c r="F1643" t="s">
        <v>16</v>
      </c>
      <c r="G1643" s="1">
        <v>0</v>
      </c>
      <c r="H1643" t="s">
        <v>3434</v>
      </c>
      <c r="I1643" t="s">
        <v>3169</v>
      </c>
      <c r="J1643" t="s">
        <v>3170</v>
      </c>
      <c r="K1643" t="s">
        <v>24</v>
      </c>
      <c r="L1643" s="14">
        <f>IFERROR(VALUE(LEFT(tblMatriculas[[#This Row],[Clases]],FIND("/",tblMatriculas[[#This Row],[Clases]])-1)),"")</f>
        <v>0</v>
      </c>
      <c r="M1643" s="14">
        <f>IFERROR(VALUE(MID(tblMatriculas[[#This Row],[Clases]],FIND("/",tblMatriculas[[#This Row],[Clases]])+1,5)),"")</f>
        <v>75</v>
      </c>
      <c r="N16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15</v>
      </c>
      <c r="O1643" s="14" t="str">
        <f>IF(OR(tblMatriculas[[#This Row],[Estado]]&lt;&gt;"activa",tblMatriculas[[#This Row],[Clases dictadas]]=""),"",MAX(0,tblMatriculas[[#This Row],[Clases dictadas]]-tblMatriculas[[#This Row],[Asistidas]]))</f>
        <v/>
      </c>
      <c r="P1643" s="1" t="str">
        <f>IF(OR(tblMatriculas[[#This Row],[Estado]]&lt;&gt;"activa",tblMatriculas[[#This Row],[Asistidas]]=""),"",tblMatriculas[[#This Row],[Asistencia]])</f>
        <v/>
      </c>
      <c r="Q1643" t="b">
        <f>AND(tblMatriculas[[#This Row],[Estado]]="activa",ISNUMBER(tblMatriculas[[#This Row],[% asistencia]]),NOT(ISNUMBER(SEARCH(pPrueba,tblMatriculas[[#This Row],[Nombre]]))))</f>
        <v>0</v>
      </c>
      <c r="R16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43" s="23" t="str" cm="1">
        <f t="array" ref="S16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3" s="23" t="str" cm="1">
        <f t="array" ref="T16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3" s="14" t="str" cm="1">
        <f t="array" ref="U16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3" t="str" cm="1">
        <f t="array" ref="V16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3" t="str" cm="1">
        <f t="array" ref="W16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3" t="str">
        <f>IF(COUNTIFS('Base Estudiantes'!$C:$C,tblMatriculas[[#This Row],[Cédula]],'Base Estudiantes'!$I:$I,tblMatriculas[[#This Row],[Código]])&gt;0,"Sí","No")</f>
        <v>No</v>
      </c>
      <c r="Z1643" s="23" t="str" cm="1">
        <f t="array" ref="Z1643">_xlfn.XLOOKUP(tblMatriculas[[#This Row],[Cédula]]&amp;"|"&amp;tblMatriculas[[#This Row],[Código]],tblBase[Documento]&amp;"|"&amp;tblBase[Código grupo],tblBase[Fecha matrícula],"")</f>
        <v/>
      </c>
    </row>
    <row r="1644" spans="1:26" x14ac:dyDescent="0.2">
      <c r="A1644" t="s">
        <v>3441</v>
      </c>
      <c r="B1644" t="s">
        <v>3442</v>
      </c>
      <c r="C1644" t="s">
        <v>13</v>
      </c>
      <c r="D1644" t="s">
        <v>3439</v>
      </c>
      <c r="E1644" t="s">
        <v>3440</v>
      </c>
      <c r="F1644" t="s">
        <v>16</v>
      </c>
      <c r="G1644" s="1">
        <v>0.156</v>
      </c>
      <c r="H1644" t="s">
        <v>42</v>
      </c>
      <c r="I1644" t="s">
        <v>3169</v>
      </c>
      <c r="J1644" t="s">
        <v>3170</v>
      </c>
      <c r="K1644" t="s">
        <v>24</v>
      </c>
      <c r="L1644" s="14">
        <f>IFERROR(VALUE(LEFT(tblMatriculas[[#This Row],[Clases]],FIND("/",tblMatriculas[[#This Row],[Clases]])-1)),"")</f>
        <v>7</v>
      </c>
      <c r="M1644" s="14">
        <f>IFERROR(VALUE(MID(tblMatriculas[[#This Row],[Clases]],FIND("/",tblMatriculas[[#This Row],[Clases]])+1,5)),"")</f>
        <v>45</v>
      </c>
      <c r="N16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4" s="14">
        <f>IF(OR(tblMatriculas[[#This Row],[Estado]]&lt;&gt;"activa",tblMatriculas[[#This Row],[Clases dictadas]]=""),"",MAX(0,tblMatriculas[[#This Row],[Clases dictadas]]-tblMatriculas[[#This Row],[Asistidas]]))</f>
        <v>2</v>
      </c>
      <c r="P1644" s="1">
        <f>IF(OR(tblMatriculas[[#This Row],[Estado]]&lt;&gt;"activa",tblMatriculas[[#This Row],[Asistidas]]=""),"",tblMatriculas[[#This Row],[Asistencia]])</f>
        <v>0.156</v>
      </c>
      <c r="Q1644" t="b">
        <f>AND(tblMatriculas[[#This Row],[Estado]]="activa",ISNUMBER(tblMatriculas[[#This Row],[% asistencia]]),NOT(ISNUMBER(SEARCH(pPrueba,tblMatriculas[[#This Row],[Nombre]]))))</f>
        <v>1</v>
      </c>
      <c r="R16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44" s="23" t="str" cm="1">
        <f t="array" ref="S16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4" s="23" t="str" cm="1">
        <f t="array" ref="T16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4" s="14" t="str" cm="1">
        <f t="array" ref="U16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4" t="str" cm="1">
        <f t="array" ref="V16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4" t="str" cm="1">
        <f t="array" ref="W16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4" t="str">
        <f>IF(COUNTIFS('Base Estudiantes'!$C:$C,tblMatriculas[[#This Row],[Cédula]],'Base Estudiantes'!$I:$I,tblMatriculas[[#This Row],[Código]])&gt;0,"Sí","No")</f>
        <v>Sí</v>
      </c>
      <c r="Z1644" s="23" cm="1">
        <f t="array" ref="Z1644">_xlfn.XLOOKUP(tblMatriculas[[#This Row],[Cédula]]&amp;"|"&amp;tblMatriculas[[#This Row],[Código]],tblBase[Documento]&amp;"|"&amp;tblBase[Código grupo],tblBase[Fecha matrícula],"")</f>
        <v>46262</v>
      </c>
    </row>
    <row r="1645" spans="1:26" x14ac:dyDescent="0.2">
      <c r="A1645" t="s">
        <v>3443</v>
      </c>
      <c r="B1645" t="s">
        <v>3444</v>
      </c>
      <c r="C1645" t="s">
        <v>13</v>
      </c>
      <c r="D1645" t="s">
        <v>3439</v>
      </c>
      <c r="E1645" t="s">
        <v>3440</v>
      </c>
      <c r="F1645" t="s">
        <v>16</v>
      </c>
      <c r="G1645" s="1">
        <v>0.156</v>
      </c>
      <c r="H1645" t="s">
        <v>42</v>
      </c>
      <c r="I1645" t="s">
        <v>3169</v>
      </c>
      <c r="J1645" t="s">
        <v>3170</v>
      </c>
      <c r="K1645" t="s">
        <v>24</v>
      </c>
      <c r="L1645" s="14">
        <f>IFERROR(VALUE(LEFT(tblMatriculas[[#This Row],[Clases]],FIND("/",tblMatriculas[[#This Row],[Clases]])-1)),"")</f>
        <v>7</v>
      </c>
      <c r="M1645" s="14">
        <f>IFERROR(VALUE(MID(tblMatriculas[[#This Row],[Clases]],FIND("/",tblMatriculas[[#This Row],[Clases]])+1,5)),"")</f>
        <v>45</v>
      </c>
      <c r="N16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5" s="14">
        <f>IF(OR(tblMatriculas[[#This Row],[Estado]]&lt;&gt;"activa",tblMatriculas[[#This Row],[Clases dictadas]]=""),"",MAX(0,tblMatriculas[[#This Row],[Clases dictadas]]-tblMatriculas[[#This Row],[Asistidas]]))</f>
        <v>2</v>
      </c>
      <c r="P1645" s="1">
        <f>IF(OR(tblMatriculas[[#This Row],[Estado]]&lt;&gt;"activa",tblMatriculas[[#This Row],[Asistidas]]=""),"",tblMatriculas[[#This Row],[Asistencia]])</f>
        <v>0.156</v>
      </c>
      <c r="Q1645" t="b">
        <f>AND(tblMatriculas[[#This Row],[Estado]]="activa",ISNUMBER(tblMatriculas[[#This Row],[% asistencia]]),NOT(ISNUMBER(SEARCH(pPrueba,tblMatriculas[[#This Row],[Nombre]]))))</f>
        <v>1</v>
      </c>
      <c r="R16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45" s="23" t="str" cm="1">
        <f t="array" ref="S16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5" s="23" t="str" cm="1">
        <f t="array" ref="T16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5" s="14" t="str" cm="1">
        <f t="array" ref="U16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5" t="str" cm="1">
        <f t="array" ref="V16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5" t="str" cm="1">
        <f t="array" ref="W16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5" t="str">
        <f>IF(COUNTIFS('Base Estudiantes'!$C:$C,tblMatriculas[[#This Row],[Cédula]],'Base Estudiantes'!$I:$I,tblMatriculas[[#This Row],[Código]])&gt;0,"Sí","No")</f>
        <v>Sí</v>
      </c>
      <c r="Z1645" s="23" cm="1">
        <f t="array" ref="Z1645">_xlfn.XLOOKUP(tblMatriculas[[#This Row],[Cédula]]&amp;"|"&amp;tblMatriculas[[#This Row],[Código]],tblBase[Documento]&amp;"|"&amp;tblBase[Código grupo],tblBase[Fecha matrícula],"")</f>
        <v>46262</v>
      </c>
    </row>
    <row r="1646" spans="1:26" x14ac:dyDescent="0.2">
      <c r="A1646" t="s">
        <v>3445</v>
      </c>
      <c r="B1646" t="s">
        <v>3446</v>
      </c>
      <c r="C1646" t="s">
        <v>13</v>
      </c>
      <c r="D1646" t="s">
        <v>3439</v>
      </c>
      <c r="E1646" t="s">
        <v>3440</v>
      </c>
      <c r="F1646" t="s">
        <v>16</v>
      </c>
      <c r="G1646" s="1">
        <v>2.2000000000000002E-2</v>
      </c>
      <c r="H1646" t="s">
        <v>23</v>
      </c>
      <c r="I1646" t="s">
        <v>3169</v>
      </c>
      <c r="J1646" t="s">
        <v>3170</v>
      </c>
      <c r="K1646" t="s">
        <v>24</v>
      </c>
      <c r="L1646" s="14">
        <f>IFERROR(VALUE(LEFT(tblMatriculas[[#This Row],[Clases]],FIND("/",tblMatriculas[[#This Row],[Clases]])-1)),"")</f>
        <v>1</v>
      </c>
      <c r="M1646" s="14">
        <f>IFERROR(VALUE(MID(tblMatriculas[[#This Row],[Clases]],FIND("/",tblMatriculas[[#This Row],[Clases]])+1,5)),"")</f>
        <v>45</v>
      </c>
      <c r="N16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6" s="14">
        <f>IF(OR(tblMatriculas[[#This Row],[Estado]]&lt;&gt;"activa",tblMatriculas[[#This Row],[Clases dictadas]]=""),"",MAX(0,tblMatriculas[[#This Row],[Clases dictadas]]-tblMatriculas[[#This Row],[Asistidas]]))</f>
        <v>8</v>
      </c>
      <c r="P1646" s="1">
        <f>IF(OR(tblMatriculas[[#This Row],[Estado]]&lt;&gt;"activa",tblMatriculas[[#This Row],[Asistidas]]=""),"",tblMatriculas[[#This Row],[Asistencia]])</f>
        <v>2.2000000000000002E-2</v>
      </c>
      <c r="Q1646" t="b">
        <f>AND(tblMatriculas[[#This Row],[Estado]]="activa",ISNUMBER(tblMatriculas[[#This Row],[% asistencia]]),NOT(ISNUMBER(SEARCH(pPrueba,tblMatriculas[[#This Row],[Nombre]]))))</f>
        <v>1</v>
      </c>
      <c r="R16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46" s="23" t="str" cm="1">
        <f t="array" ref="S16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6" s="23" t="str" cm="1">
        <f t="array" ref="T16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6" s="14" t="str" cm="1">
        <f t="array" ref="U16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6" t="str" cm="1">
        <f t="array" ref="V16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6" t="str" cm="1">
        <f t="array" ref="W16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46" t="str">
        <f>IF(COUNTIFS('Base Estudiantes'!$C:$C,tblMatriculas[[#This Row],[Cédula]],'Base Estudiantes'!$I:$I,tblMatriculas[[#This Row],[Código]])&gt;0,"Sí","No")</f>
        <v>Sí</v>
      </c>
      <c r="Z1646" s="23" cm="1">
        <f t="array" ref="Z1646">_xlfn.XLOOKUP(tblMatriculas[[#This Row],[Cédula]]&amp;"|"&amp;tblMatriculas[[#This Row],[Código]],tblBase[Documento]&amp;"|"&amp;tblBase[Código grupo],tblBase[Fecha matrícula],"")</f>
        <v>46262</v>
      </c>
    </row>
    <row r="1647" spans="1:26" x14ac:dyDescent="0.2">
      <c r="A1647" t="s">
        <v>3447</v>
      </c>
      <c r="B1647" t="s">
        <v>3448</v>
      </c>
      <c r="C1647" t="s">
        <v>13</v>
      </c>
      <c r="D1647" t="s">
        <v>3439</v>
      </c>
      <c r="E1647" t="s">
        <v>3440</v>
      </c>
      <c r="F1647" t="s">
        <v>16</v>
      </c>
      <c r="G1647" s="1">
        <v>0.156</v>
      </c>
      <c r="H1647" t="s">
        <v>42</v>
      </c>
      <c r="I1647" t="s">
        <v>3169</v>
      </c>
      <c r="J1647" t="s">
        <v>3170</v>
      </c>
      <c r="K1647" t="s">
        <v>24</v>
      </c>
      <c r="L1647" s="14">
        <f>IFERROR(VALUE(LEFT(tblMatriculas[[#This Row],[Clases]],FIND("/",tblMatriculas[[#This Row],[Clases]])-1)),"")</f>
        <v>7</v>
      </c>
      <c r="M1647" s="14">
        <f>IFERROR(VALUE(MID(tblMatriculas[[#This Row],[Clases]],FIND("/",tblMatriculas[[#This Row],[Clases]])+1,5)),"")</f>
        <v>45</v>
      </c>
      <c r="N16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7" s="14">
        <f>IF(OR(tblMatriculas[[#This Row],[Estado]]&lt;&gt;"activa",tblMatriculas[[#This Row],[Clases dictadas]]=""),"",MAX(0,tblMatriculas[[#This Row],[Clases dictadas]]-tblMatriculas[[#This Row],[Asistidas]]))</f>
        <v>2</v>
      </c>
      <c r="P1647" s="1">
        <f>IF(OR(tblMatriculas[[#This Row],[Estado]]&lt;&gt;"activa",tblMatriculas[[#This Row],[Asistidas]]=""),"",tblMatriculas[[#This Row],[Asistencia]])</f>
        <v>0.156</v>
      </c>
      <c r="Q1647" t="b">
        <f>AND(tblMatriculas[[#This Row],[Estado]]="activa",ISNUMBER(tblMatriculas[[#This Row],[% asistencia]]),NOT(ISNUMBER(SEARCH(pPrueba,tblMatriculas[[#This Row],[Nombre]]))))</f>
        <v>1</v>
      </c>
      <c r="R16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47" s="23" t="str" cm="1">
        <f t="array" ref="S16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7" s="23" t="str" cm="1">
        <f t="array" ref="T16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7" s="14" t="str" cm="1">
        <f t="array" ref="U16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7" t="str" cm="1">
        <f t="array" ref="V16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7" t="str" cm="1">
        <f t="array" ref="W16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7" t="str">
        <f>IF(COUNTIFS('Base Estudiantes'!$C:$C,tblMatriculas[[#This Row],[Cédula]],'Base Estudiantes'!$I:$I,tblMatriculas[[#This Row],[Código]])&gt;0,"Sí","No")</f>
        <v>Sí</v>
      </c>
      <c r="Z1647" s="23" cm="1">
        <f t="array" ref="Z1647">_xlfn.XLOOKUP(tblMatriculas[[#This Row],[Cédula]]&amp;"|"&amp;tblMatriculas[[#This Row],[Código]],tblBase[Documento]&amp;"|"&amp;tblBase[Código grupo],tblBase[Fecha matrícula],"")</f>
        <v>46262</v>
      </c>
    </row>
    <row r="1648" spans="1:26" x14ac:dyDescent="0.2">
      <c r="A1648" t="s">
        <v>3449</v>
      </c>
      <c r="B1648" t="s">
        <v>3450</v>
      </c>
      <c r="C1648" t="s">
        <v>49</v>
      </c>
      <c r="D1648" t="s">
        <v>3439</v>
      </c>
      <c r="E1648" t="s">
        <v>3440</v>
      </c>
      <c r="F1648" t="s">
        <v>16</v>
      </c>
      <c r="G1648" s="1">
        <v>0</v>
      </c>
      <c r="H1648" t="s">
        <v>1149</v>
      </c>
      <c r="I1648" t="s">
        <v>3169</v>
      </c>
      <c r="J1648" t="s">
        <v>3170</v>
      </c>
      <c r="K1648" t="s">
        <v>24</v>
      </c>
      <c r="L1648" s="14">
        <f>IFERROR(VALUE(LEFT(tblMatriculas[[#This Row],[Clases]],FIND("/",tblMatriculas[[#This Row],[Clases]])-1)),"")</f>
        <v>0</v>
      </c>
      <c r="M1648" s="14">
        <f>IFERROR(VALUE(MID(tblMatriculas[[#This Row],[Clases]],FIND("/",tblMatriculas[[#This Row],[Clases]])+1,5)),"")</f>
        <v>45</v>
      </c>
      <c r="N16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8" s="14" t="str">
        <f>IF(OR(tblMatriculas[[#This Row],[Estado]]&lt;&gt;"activa",tblMatriculas[[#This Row],[Clases dictadas]]=""),"",MAX(0,tblMatriculas[[#This Row],[Clases dictadas]]-tblMatriculas[[#This Row],[Asistidas]]))</f>
        <v/>
      </c>
      <c r="P1648" s="1" t="str">
        <f>IF(OR(tblMatriculas[[#This Row],[Estado]]&lt;&gt;"activa",tblMatriculas[[#This Row],[Asistidas]]=""),"",tblMatriculas[[#This Row],[Asistencia]])</f>
        <v/>
      </c>
      <c r="Q1648" t="b">
        <f>AND(tblMatriculas[[#This Row],[Estado]]="activa",ISNUMBER(tblMatriculas[[#This Row],[% asistencia]]),NOT(ISNUMBER(SEARCH(pPrueba,tblMatriculas[[#This Row],[Nombre]]))))</f>
        <v>0</v>
      </c>
      <c r="R16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48" s="23" t="str" cm="1">
        <f t="array" ref="S16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8" s="23" t="str" cm="1">
        <f t="array" ref="T16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8" s="14" t="str" cm="1">
        <f t="array" ref="U16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8" t="str" cm="1">
        <f t="array" ref="V16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8" t="str" cm="1">
        <f t="array" ref="W16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48" t="str">
        <f>IF(COUNTIFS('Base Estudiantes'!$C:$C,tblMatriculas[[#This Row],[Cédula]],'Base Estudiantes'!$I:$I,tblMatriculas[[#This Row],[Código]])&gt;0,"Sí","No")</f>
        <v>No</v>
      </c>
      <c r="Z1648" s="23" t="str" cm="1">
        <f t="array" ref="Z1648">_xlfn.XLOOKUP(tblMatriculas[[#This Row],[Cédula]]&amp;"|"&amp;tblMatriculas[[#This Row],[Código]],tblBase[Documento]&amp;"|"&amp;tblBase[Código grupo],tblBase[Fecha matrícula],"")</f>
        <v/>
      </c>
    </row>
    <row r="1649" spans="1:26" x14ac:dyDescent="0.2">
      <c r="A1649" t="s">
        <v>3451</v>
      </c>
      <c r="B1649" t="s">
        <v>3452</v>
      </c>
      <c r="C1649" t="s">
        <v>13</v>
      </c>
      <c r="D1649" t="s">
        <v>3439</v>
      </c>
      <c r="E1649" t="s">
        <v>3440</v>
      </c>
      <c r="F1649" t="s">
        <v>16</v>
      </c>
      <c r="G1649" s="1">
        <v>0</v>
      </c>
      <c r="H1649" t="s">
        <v>1149</v>
      </c>
      <c r="I1649" t="s">
        <v>3169</v>
      </c>
      <c r="J1649" t="s">
        <v>3170</v>
      </c>
      <c r="K1649" t="s">
        <v>24</v>
      </c>
      <c r="L1649" s="14">
        <f>IFERROR(VALUE(LEFT(tblMatriculas[[#This Row],[Clases]],FIND("/",tblMatriculas[[#This Row],[Clases]])-1)),"")</f>
        <v>0</v>
      </c>
      <c r="M1649" s="14">
        <f>IFERROR(VALUE(MID(tblMatriculas[[#This Row],[Clases]],FIND("/",tblMatriculas[[#This Row],[Clases]])+1,5)),"")</f>
        <v>45</v>
      </c>
      <c r="N16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49" s="14">
        <f>IF(OR(tblMatriculas[[#This Row],[Estado]]&lt;&gt;"activa",tblMatriculas[[#This Row],[Clases dictadas]]=""),"",MAX(0,tblMatriculas[[#This Row],[Clases dictadas]]-tblMatriculas[[#This Row],[Asistidas]]))</f>
        <v>9</v>
      </c>
      <c r="P1649" s="1">
        <f>IF(OR(tblMatriculas[[#This Row],[Estado]]&lt;&gt;"activa",tblMatriculas[[#This Row],[Asistidas]]=""),"",tblMatriculas[[#This Row],[Asistencia]])</f>
        <v>0</v>
      </c>
      <c r="Q1649" t="b">
        <f>AND(tblMatriculas[[#This Row],[Estado]]="activa",ISNUMBER(tblMatriculas[[#This Row],[% asistencia]]),NOT(ISNUMBER(SEARCH(pPrueba,tblMatriculas[[#This Row],[Nombre]]))))</f>
        <v>1</v>
      </c>
      <c r="R16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49" s="23" t="str" cm="1">
        <f t="array" ref="S16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49" s="23" t="str" cm="1">
        <f t="array" ref="T16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49" s="14" t="str" cm="1">
        <f t="array" ref="U16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49" t="str" cm="1">
        <f t="array" ref="V16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49" t="str" cm="1">
        <f t="array" ref="W16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49" t="str">
        <f>IF(COUNTIFS('Base Estudiantes'!$C:$C,tblMatriculas[[#This Row],[Cédula]],'Base Estudiantes'!$I:$I,tblMatriculas[[#This Row],[Código]])&gt;0,"Sí","No")</f>
        <v>Sí</v>
      </c>
      <c r="Z1649" s="23" cm="1">
        <f t="array" ref="Z1649">_xlfn.XLOOKUP(tblMatriculas[[#This Row],[Cédula]]&amp;"|"&amp;tblMatriculas[[#This Row],[Código]],tblBase[Documento]&amp;"|"&amp;tblBase[Código grupo],tblBase[Fecha matrícula],"")</f>
        <v>46262</v>
      </c>
    </row>
    <row r="1650" spans="1:26" x14ac:dyDescent="0.2">
      <c r="A1650" t="s">
        <v>3453</v>
      </c>
      <c r="B1650" t="s">
        <v>3454</v>
      </c>
      <c r="C1650" t="s">
        <v>13</v>
      </c>
      <c r="D1650" t="s">
        <v>3439</v>
      </c>
      <c r="E1650" t="s">
        <v>3440</v>
      </c>
      <c r="F1650" t="s">
        <v>16</v>
      </c>
      <c r="G1650" s="1">
        <v>0.2</v>
      </c>
      <c r="H1650" t="s">
        <v>27</v>
      </c>
      <c r="I1650" t="s">
        <v>3169</v>
      </c>
      <c r="J1650" t="s">
        <v>3170</v>
      </c>
      <c r="K1650" t="s">
        <v>24</v>
      </c>
      <c r="L1650" s="14">
        <f>IFERROR(VALUE(LEFT(tblMatriculas[[#This Row],[Clases]],FIND("/",tblMatriculas[[#This Row],[Clases]])-1)),"")</f>
        <v>9</v>
      </c>
      <c r="M1650" s="14">
        <f>IFERROR(VALUE(MID(tblMatriculas[[#This Row],[Clases]],FIND("/",tblMatriculas[[#This Row],[Clases]])+1,5)),"")</f>
        <v>45</v>
      </c>
      <c r="N16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0" s="14">
        <f>IF(OR(tblMatriculas[[#This Row],[Estado]]&lt;&gt;"activa",tblMatriculas[[#This Row],[Clases dictadas]]=""),"",MAX(0,tblMatriculas[[#This Row],[Clases dictadas]]-tblMatriculas[[#This Row],[Asistidas]]))</f>
        <v>0</v>
      </c>
      <c r="P1650" s="1">
        <f>IF(OR(tblMatriculas[[#This Row],[Estado]]&lt;&gt;"activa",tblMatriculas[[#This Row],[Asistidas]]=""),"",tblMatriculas[[#This Row],[Asistencia]])</f>
        <v>0.2</v>
      </c>
      <c r="Q1650" t="b">
        <f>AND(tblMatriculas[[#This Row],[Estado]]="activa",ISNUMBER(tblMatriculas[[#This Row],[% asistencia]]),NOT(ISNUMBER(SEARCH(pPrueba,tblMatriculas[[#This Row],[Nombre]]))))</f>
        <v>1</v>
      </c>
      <c r="R16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0" s="23" t="str" cm="1">
        <f t="array" ref="S16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0" s="23" t="str" cm="1">
        <f t="array" ref="T16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0" s="14" t="str" cm="1">
        <f t="array" ref="U16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0" t="str" cm="1">
        <f t="array" ref="V16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0" t="str" cm="1">
        <f t="array" ref="W16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0" t="str">
        <f>IF(COUNTIFS('Base Estudiantes'!$C:$C,tblMatriculas[[#This Row],[Cédula]],'Base Estudiantes'!$I:$I,tblMatriculas[[#This Row],[Código]])&gt;0,"Sí","No")</f>
        <v>Sí</v>
      </c>
      <c r="Z1650" s="23" cm="1">
        <f t="array" ref="Z1650">_xlfn.XLOOKUP(tblMatriculas[[#This Row],[Cédula]]&amp;"|"&amp;tblMatriculas[[#This Row],[Código]],tblBase[Documento]&amp;"|"&amp;tblBase[Código grupo],tblBase[Fecha matrícula],"")</f>
        <v>46262</v>
      </c>
    </row>
    <row r="1651" spans="1:26" x14ac:dyDescent="0.2">
      <c r="A1651" t="s">
        <v>3455</v>
      </c>
      <c r="B1651" t="s">
        <v>3456</v>
      </c>
      <c r="C1651" t="s">
        <v>13</v>
      </c>
      <c r="D1651" t="s">
        <v>3439</v>
      </c>
      <c r="E1651" t="s">
        <v>3440</v>
      </c>
      <c r="F1651" t="s">
        <v>16</v>
      </c>
      <c r="G1651" s="1">
        <v>0.2</v>
      </c>
      <c r="H1651" t="s">
        <v>27</v>
      </c>
      <c r="I1651" t="s">
        <v>3169</v>
      </c>
      <c r="J1651" t="s">
        <v>3170</v>
      </c>
      <c r="K1651" t="s">
        <v>24</v>
      </c>
      <c r="L1651" s="14">
        <f>IFERROR(VALUE(LEFT(tblMatriculas[[#This Row],[Clases]],FIND("/",tblMatriculas[[#This Row],[Clases]])-1)),"")</f>
        <v>9</v>
      </c>
      <c r="M1651" s="14">
        <f>IFERROR(VALUE(MID(tblMatriculas[[#This Row],[Clases]],FIND("/",tblMatriculas[[#This Row],[Clases]])+1,5)),"")</f>
        <v>45</v>
      </c>
      <c r="N16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1" s="14">
        <f>IF(OR(tblMatriculas[[#This Row],[Estado]]&lt;&gt;"activa",tblMatriculas[[#This Row],[Clases dictadas]]=""),"",MAX(0,tblMatriculas[[#This Row],[Clases dictadas]]-tblMatriculas[[#This Row],[Asistidas]]))</f>
        <v>0</v>
      </c>
      <c r="P1651" s="1">
        <f>IF(OR(tblMatriculas[[#This Row],[Estado]]&lt;&gt;"activa",tblMatriculas[[#This Row],[Asistidas]]=""),"",tblMatriculas[[#This Row],[Asistencia]])</f>
        <v>0.2</v>
      </c>
      <c r="Q1651" t="b">
        <f>AND(tblMatriculas[[#This Row],[Estado]]="activa",ISNUMBER(tblMatriculas[[#This Row],[% asistencia]]),NOT(ISNUMBER(SEARCH(pPrueba,tblMatriculas[[#This Row],[Nombre]]))))</f>
        <v>1</v>
      </c>
      <c r="R16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1" s="23" t="str" cm="1">
        <f t="array" ref="S16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1" s="23" t="str" cm="1">
        <f t="array" ref="T16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1" s="14" t="str" cm="1">
        <f t="array" ref="U16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1" t="str" cm="1">
        <f t="array" ref="V16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1" t="str" cm="1">
        <f t="array" ref="W16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1" t="str">
        <f>IF(COUNTIFS('Base Estudiantes'!$C:$C,tblMatriculas[[#This Row],[Cédula]],'Base Estudiantes'!$I:$I,tblMatriculas[[#This Row],[Código]])&gt;0,"Sí","No")</f>
        <v>Sí</v>
      </c>
      <c r="Z1651" s="23" cm="1">
        <f t="array" ref="Z1651">_xlfn.XLOOKUP(tblMatriculas[[#This Row],[Cédula]]&amp;"|"&amp;tblMatriculas[[#This Row],[Código]],tblBase[Documento]&amp;"|"&amp;tblBase[Código grupo],tblBase[Fecha matrícula],"")</f>
        <v>46262</v>
      </c>
    </row>
    <row r="1652" spans="1:26" x14ac:dyDescent="0.2">
      <c r="A1652" t="s">
        <v>3457</v>
      </c>
      <c r="B1652" t="s">
        <v>3458</v>
      </c>
      <c r="C1652" t="s">
        <v>13</v>
      </c>
      <c r="D1652" t="s">
        <v>3439</v>
      </c>
      <c r="E1652" t="s">
        <v>3440</v>
      </c>
      <c r="F1652" t="s">
        <v>16</v>
      </c>
      <c r="G1652" s="1">
        <v>0.2</v>
      </c>
      <c r="H1652" t="s">
        <v>27</v>
      </c>
      <c r="I1652" t="s">
        <v>3169</v>
      </c>
      <c r="J1652" t="s">
        <v>3170</v>
      </c>
      <c r="K1652" t="s">
        <v>24</v>
      </c>
      <c r="L1652" s="14">
        <f>IFERROR(VALUE(LEFT(tblMatriculas[[#This Row],[Clases]],FIND("/",tblMatriculas[[#This Row],[Clases]])-1)),"")</f>
        <v>9</v>
      </c>
      <c r="M1652" s="14">
        <f>IFERROR(VALUE(MID(tblMatriculas[[#This Row],[Clases]],FIND("/",tblMatriculas[[#This Row],[Clases]])+1,5)),"")</f>
        <v>45</v>
      </c>
      <c r="N16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2" s="14">
        <f>IF(OR(tblMatriculas[[#This Row],[Estado]]&lt;&gt;"activa",tblMatriculas[[#This Row],[Clases dictadas]]=""),"",MAX(0,tblMatriculas[[#This Row],[Clases dictadas]]-tblMatriculas[[#This Row],[Asistidas]]))</f>
        <v>0</v>
      </c>
      <c r="P1652" s="1">
        <f>IF(OR(tblMatriculas[[#This Row],[Estado]]&lt;&gt;"activa",tblMatriculas[[#This Row],[Asistidas]]=""),"",tblMatriculas[[#This Row],[Asistencia]])</f>
        <v>0.2</v>
      </c>
      <c r="Q1652" t="b">
        <f>AND(tblMatriculas[[#This Row],[Estado]]="activa",ISNUMBER(tblMatriculas[[#This Row],[% asistencia]]),NOT(ISNUMBER(SEARCH(pPrueba,tblMatriculas[[#This Row],[Nombre]]))))</f>
        <v>1</v>
      </c>
      <c r="R16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2" s="23" t="str" cm="1">
        <f t="array" ref="S16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2" s="23" t="str" cm="1">
        <f t="array" ref="T16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2" s="14" t="str" cm="1">
        <f t="array" ref="U16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2" t="str" cm="1">
        <f t="array" ref="V16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2" t="str" cm="1">
        <f t="array" ref="W16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2" t="str">
        <f>IF(COUNTIFS('Base Estudiantes'!$C:$C,tblMatriculas[[#This Row],[Cédula]],'Base Estudiantes'!$I:$I,tblMatriculas[[#This Row],[Código]])&gt;0,"Sí","No")</f>
        <v>Sí</v>
      </c>
      <c r="Z1652" s="23" cm="1">
        <f t="array" ref="Z1652">_xlfn.XLOOKUP(tblMatriculas[[#This Row],[Cédula]]&amp;"|"&amp;tblMatriculas[[#This Row],[Código]],tblBase[Documento]&amp;"|"&amp;tblBase[Código grupo],tblBase[Fecha matrícula],"")</f>
        <v>46262</v>
      </c>
    </row>
    <row r="1653" spans="1:26" x14ac:dyDescent="0.2">
      <c r="A1653" t="s">
        <v>3459</v>
      </c>
      <c r="B1653" t="s">
        <v>3460</v>
      </c>
      <c r="C1653" t="s">
        <v>13</v>
      </c>
      <c r="D1653" t="s">
        <v>3439</v>
      </c>
      <c r="E1653" t="s">
        <v>3440</v>
      </c>
      <c r="F1653" t="s">
        <v>16</v>
      </c>
      <c r="G1653" s="1">
        <v>0.13300000000000001</v>
      </c>
      <c r="H1653" t="s">
        <v>36</v>
      </c>
      <c r="I1653" t="s">
        <v>3169</v>
      </c>
      <c r="J1653" t="s">
        <v>3170</v>
      </c>
      <c r="K1653" t="s">
        <v>24</v>
      </c>
      <c r="L1653" s="14">
        <f>IFERROR(VALUE(LEFT(tblMatriculas[[#This Row],[Clases]],FIND("/",tblMatriculas[[#This Row],[Clases]])-1)),"")</f>
        <v>6</v>
      </c>
      <c r="M1653" s="14">
        <f>IFERROR(VALUE(MID(tblMatriculas[[#This Row],[Clases]],FIND("/",tblMatriculas[[#This Row],[Clases]])+1,5)),"")</f>
        <v>45</v>
      </c>
      <c r="N16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3" s="14">
        <f>IF(OR(tblMatriculas[[#This Row],[Estado]]&lt;&gt;"activa",tblMatriculas[[#This Row],[Clases dictadas]]=""),"",MAX(0,tblMatriculas[[#This Row],[Clases dictadas]]-tblMatriculas[[#This Row],[Asistidas]]))</f>
        <v>3</v>
      </c>
      <c r="P1653" s="1">
        <f>IF(OR(tblMatriculas[[#This Row],[Estado]]&lt;&gt;"activa",tblMatriculas[[#This Row],[Asistidas]]=""),"",tblMatriculas[[#This Row],[Asistencia]])</f>
        <v>0.13300000000000001</v>
      </c>
      <c r="Q1653" t="b">
        <f>AND(tblMatriculas[[#This Row],[Estado]]="activa",ISNUMBER(tblMatriculas[[#This Row],[% asistencia]]),NOT(ISNUMBER(SEARCH(pPrueba,tblMatriculas[[#This Row],[Nombre]]))))</f>
        <v>1</v>
      </c>
      <c r="R16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3" s="23" t="str" cm="1">
        <f t="array" ref="S16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3" s="23" t="str" cm="1">
        <f t="array" ref="T16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3" s="14" t="str" cm="1">
        <f t="array" ref="U16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3" t="str" cm="1">
        <f t="array" ref="V16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3" t="str" cm="1">
        <f t="array" ref="W16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3" t="str">
        <f>IF(COUNTIFS('Base Estudiantes'!$C:$C,tblMatriculas[[#This Row],[Cédula]],'Base Estudiantes'!$I:$I,tblMatriculas[[#This Row],[Código]])&gt;0,"Sí","No")</f>
        <v>Sí</v>
      </c>
      <c r="Z1653" s="23" cm="1">
        <f t="array" ref="Z1653">_xlfn.XLOOKUP(tblMatriculas[[#This Row],[Cédula]]&amp;"|"&amp;tblMatriculas[[#This Row],[Código]],tblBase[Documento]&amp;"|"&amp;tblBase[Código grupo],tblBase[Fecha matrícula],"")</f>
        <v>46262</v>
      </c>
    </row>
    <row r="1654" spans="1:26" x14ac:dyDescent="0.2">
      <c r="A1654" t="s">
        <v>3461</v>
      </c>
      <c r="B1654" t="s">
        <v>3462</v>
      </c>
      <c r="C1654" t="s">
        <v>13</v>
      </c>
      <c r="D1654" t="s">
        <v>3439</v>
      </c>
      <c r="E1654" t="s">
        <v>3440</v>
      </c>
      <c r="F1654" t="s">
        <v>16</v>
      </c>
      <c r="G1654" s="1">
        <v>0.2</v>
      </c>
      <c r="H1654" t="s">
        <v>27</v>
      </c>
      <c r="I1654" t="s">
        <v>3169</v>
      </c>
      <c r="J1654" t="s">
        <v>3170</v>
      </c>
      <c r="K1654" t="s">
        <v>24</v>
      </c>
      <c r="L1654" s="14">
        <f>IFERROR(VALUE(LEFT(tblMatriculas[[#This Row],[Clases]],FIND("/",tblMatriculas[[#This Row],[Clases]])-1)),"")</f>
        <v>9</v>
      </c>
      <c r="M1654" s="14">
        <f>IFERROR(VALUE(MID(tblMatriculas[[#This Row],[Clases]],FIND("/",tblMatriculas[[#This Row],[Clases]])+1,5)),"")</f>
        <v>45</v>
      </c>
      <c r="N16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4" s="14">
        <f>IF(OR(tblMatriculas[[#This Row],[Estado]]&lt;&gt;"activa",tblMatriculas[[#This Row],[Clases dictadas]]=""),"",MAX(0,tblMatriculas[[#This Row],[Clases dictadas]]-tblMatriculas[[#This Row],[Asistidas]]))</f>
        <v>0</v>
      </c>
      <c r="P1654" s="1">
        <f>IF(OR(tblMatriculas[[#This Row],[Estado]]&lt;&gt;"activa",tblMatriculas[[#This Row],[Asistidas]]=""),"",tblMatriculas[[#This Row],[Asistencia]])</f>
        <v>0.2</v>
      </c>
      <c r="Q1654" t="b">
        <f>AND(tblMatriculas[[#This Row],[Estado]]="activa",ISNUMBER(tblMatriculas[[#This Row],[% asistencia]]),NOT(ISNUMBER(SEARCH(pPrueba,tblMatriculas[[#This Row],[Nombre]]))))</f>
        <v>1</v>
      </c>
      <c r="R16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4" s="23" t="str" cm="1">
        <f t="array" ref="S16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4" s="23" t="str" cm="1">
        <f t="array" ref="T16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4" s="14" t="str" cm="1">
        <f t="array" ref="U16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4" t="str" cm="1">
        <f t="array" ref="V16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4" t="str" cm="1">
        <f t="array" ref="W16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4" t="str">
        <f>IF(COUNTIFS('Base Estudiantes'!$C:$C,tblMatriculas[[#This Row],[Cédula]],'Base Estudiantes'!$I:$I,tblMatriculas[[#This Row],[Código]])&gt;0,"Sí","No")</f>
        <v>Sí</v>
      </c>
      <c r="Z1654" s="23" cm="1">
        <f t="array" ref="Z1654">_xlfn.XLOOKUP(tblMatriculas[[#This Row],[Cédula]]&amp;"|"&amp;tblMatriculas[[#This Row],[Código]],tblBase[Documento]&amp;"|"&amp;tblBase[Código grupo],tblBase[Fecha matrícula],"")</f>
        <v>46262</v>
      </c>
    </row>
    <row r="1655" spans="1:26" x14ac:dyDescent="0.2">
      <c r="A1655" t="s">
        <v>3463</v>
      </c>
      <c r="B1655" t="s">
        <v>3464</v>
      </c>
      <c r="C1655" t="s">
        <v>13</v>
      </c>
      <c r="D1655" t="s">
        <v>3439</v>
      </c>
      <c r="E1655" t="s">
        <v>3440</v>
      </c>
      <c r="F1655" t="s">
        <v>16</v>
      </c>
      <c r="G1655" s="1">
        <v>0.17800000000000002</v>
      </c>
      <c r="H1655" t="s">
        <v>39</v>
      </c>
      <c r="I1655" t="s">
        <v>3169</v>
      </c>
      <c r="J1655" t="s">
        <v>3170</v>
      </c>
      <c r="K1655" t="s">
        <v>24</v>
      </c>
      <c r="L1655" s="14">
        <f>IFERROR(VALUE(LEFT(tblMatriculas[[#This Row],[Clases]],FIND("/",tblMatriculas[[#This Row],[Clases]])-1)),"")</f>
        <v>8</v>
      </c>
      <c r="M1655" s="14">
        <f>IFERROR(VALUE(MID(tblMatriculas[[#This Row],[Clases]],FIND("/",tblMatriculas[[#This Row],[Clases]])+1,5)),"")</f>
        <v>45</v>
      </c>
      <c r="N16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5" s="14">
        <f>IF(OR(tblMatriculas[[#This Row],[Estado]]&lt;&gt;"activa",tblMatriculas[[#This Row],[Clases dictadas]]=""),"",MAX(0,tblMatriculas[[#This Row],[Clases dictadas]]-tblMatriculas[[#This Row],[Asistidas]]))</f>
        <v>1</v>
      </c>
      <c r="P1655" s="1">
        <f>IF(OR(tblMatriculas[[#This Row],[Estado]]&lt;&gt;"activa",tblMatriculas[[#This Row],[Asistidas]]=""),"",tblMatriculas[[#This Row],[Asistencia]])</f>
        <v>0.17800000000000002</v>
      </c>
      <c r="Q1655" t="b">
        <f>AND(tblMatriculas[[#This Row],[Estado]]="activa",ISNUMBER(tblMatriculas[[#This Row],[% asistencia]]),NOT(ISNUMBER(SEARCH(pPrueba,tblMatriculas[[#This Row],[Nombre]]))))</f>
        <v>1</v>
      </c>
      <c r="R16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5" s="23" t="str" cm="1">
        <f t="array" ref="S16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5" s="23" t="str" cm="1">
        <f t="array" ref="T16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5" s="14" t="str" cm="1">
        <f t="array" ref="U16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5" t="str" cm="1">
        <f t="array" ref="V16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5" t="str" cm="1">
        <f t="array" ref="W16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5" t="str">
        <f>IF(COUNTIFS('Base Estudiantes'!$C:$C,tblMatriculas[[#This Row],[Cédula]],'Base Estudiantes'!$I:$I,tblMatriculas[[#This Row],[Código]])&gt;0,"Sí","No")</f>
        <v>Sí</v>
      </c>
      <c r="Z1655" s="23" cm="1">
        <f t="array" ref="Z1655">_xlfn.XLOOKUP(tblMatriculas[[#This Row],[Cédula]]&amp;"|"&amp;tblMatriculas[[#This Row],[Código]],tblBase[Documento]&amp;"|"&amp;tblBase[Código grupo],tblBase[Fecha matrícula],"")</f>
        <v>46262</v>
      </c>
    </row>
    <row r="1656" spans="1:26" x14ac:dyDescent="0.2">
      <c r="A1656" t="s">
        <v>3465</v>
      </c>
      <c r="B1656" t="s">
        <v>3466</v>
      </c>
      <c r="C1656" t="s">
        <v>13</v>
      </c>
      <c r="D1656" t="s">
        <v>3439</v>
      </c>
      <c r="E1656" t="s">
        <v>3440</v>
      </c>
      <c r="F1656" t="s">
        <v>16</v>
      </c>
      <c r="G1656" s="1">
        <v>0.2</v>
      </c>
      <c r="H1656" t="s">
        <v>27</v>
      </c>
      <c r="I1656" t="s">
        <v>3169</v>
      </c>
      <c r="J1656" t="s">
        <v>3170</v>
      </c>
      <c r="K1656" t="s">
        <v>24</v>
      </c>
      <c r="L1656" s="14">
        <f>IFERROR(VALUE(LEFT(tblMatriculas[[#This Row],[Clases]],FIND("/",tblMatriculas[[#This Row],[Clases]])-1)),"")</f>
        <v>9</v>
      </c>
      <c r="M1656" s="14">
        <f>IFERROR(VALUE(MID(tblMatriculas[[#This Row],[Clases]],FIND("/",tblMatriculas[[#This Row],[Clases]])+1,5)),"")</f>
        <v>45</v>
      </c>
      <c r="N16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6" s="14">
        <f>IF(OR(tblMatriculas[[#This Row],[Estado]]&lt;&gt;"activa",tblMatriculas[[#This Row],[Clases dictadas]]=""),"",MAX(0,tblMatriculas[[#This Row],[Clases dictadas]]-tblMatriculas[[#This Row],[Asistidas]]))</f>
        <v>0</v>
      </c>
      <c r="P1656" s="1">
        <f>IF(OR(tblMatriculas[[#This Row],[Estado]]&lt;&gt;"activa",tblMatriculas[[#This Row],[Asistidas]]=""),"",tblMatriculas[[#This Row],[Asistencia]])</f>
        <v>0.2</v>
      </c>
      <c r="Q1656" t="b">
        <f>AND(tblMatriculas[[#This Row],[Estado]]="activa",ISNUMBER(tblMatriculas[[#This Row],[% asistencia]]),NOT(ISNUMBER(SEARCH(pPrueba,tblMatriculas[[#This Row],[Nombre]]))))</f>
        <v>1</v>
      </c>
      <c r="R16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56" s="23" t="str" cm="1">
        <f t="array" ref="S16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6" s="23" t="str" cm="1">
        <f t="array" ref="T16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6" s="14" t="str" cm="1">
        <f t="array" ref="U16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6" t="str" cm="1">
        <f t="array" ref="V16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6" t="str" cm="1">
        <f t="array" ref="W16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6" t="str">
        <f>IF(COUNTIFS('Base Estudiantes'!$C:$C,tblMatriculas[[#This Row],[Cédula]],'Base Estudiantes'!$I:$I,tblMatriculas[[#This Row],[Código]])&gt;0,"Sí","No")</f>
        <v>Sí</v>
      </c>
      <c r="Z1656" s="23" cm="1">
        <f t="array" ref="Z1656">_xlfn.XLOOKUP(tblMatriculas[[#This Row],[Cédula]]&amp;"|"&amp;tblMatriculas[[#This Row],[Código]],tblBase[Documento]&amp;"|"&amp;tblBase[Código grupo],tblBase[Fecha matrícula],"")</f>
        <v>46262</v>
      </c>
    </row>
    <row r="1657" spans="1:26" x14ac:dyDescent="0.2">
      <c r="A1657" t="s">
        <v>3467</v>
      </c>
      <c r="B1657" t="s">
        <v>3468</v>
      </c>
      <c r="C1657" t="s">
        <v>49</v>
      </c>
      <c r="D1657" t="s">
        <v>3439</v>
      </c>
      <c r="E1657" t="s">
        <v>3440</v>
      </c>
      <c r="F1657" t="s">
        <v>16</v>
      </c>
      <c r="G1657" s="1">
        <v>4.4000000000000004E-2</v>
      </c>
      <c r="H1657" t="s">
        <v>76</v>
      </c>
      <c r="I1657" t="s">
        <v>3169</v>
      </c>
      <c r="J1657" t="s">
        <v>3170</v>
      </c>
      <c r="K1657" t="s">
        <v>24</v>
      </c>
      <c r="L1657" s="14">
        <f>IFERROR(VALUE(LEFT(tblMatriculas[[#This Row],[Clases]],FIND("/",tblMatriculas[[#This Row],[Clases]])-1)),"")</f>
        <v>2</v>
      </c>
      <c r="M1657" s="14">
        <f>IFERROR(VALUE(MID(tblMatriculas[[#This Row],[Clases]],FIND("/",tblMatriculas[[#This Row],[Clases]])+1,5)),"")</f>
        <v>45</v>
      </c>
      <c r="N16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7" s="14" t="str">
        <f>IF(OR(tblMatriculas[[#This Row],[Estado]]&lt;&gt;"activa",tblMatriculas[[#This Row],[Clases dictadas]]=""),"",MAX(0,tblMatriculas[[#This Row],[Clases dictadas]]-tblMatriculas[[#This Row],[Asistidas]]))</f>
        <v/>
      </c>
      <c r="P1657" s="1" t="str">
        <f>IF(OR(tblMatriculas[[#This Row],[Estado]]&lt;&gt;"activa",tblMatriculas[[#This Row],[Asistidas]]=""),"",tblMatriculas[[#This Row],[Asistencia]])</f>
        <v/>
      </c>
      <c r="Q1657" t="b">
        <f>AND(tblMatriculas[[#This Row],[Estado]]="activa",ISNUMBER(tblMatriculas[[#This Row],[% asistencia]]),NOT(ISNUMBER(SEARCH(pPrueba,tblMatriculas[[#This Row],[Nombre]]))))</f>
        <v>0</v>
      </c>
      <c r="R16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57" s="23" t="str" cm="1">
        <f t="array" ref="S16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7" s="23" t="str" cm="1">
        <f t="array" ref="T16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7" s="14" t="str" cm="1">
        <f t="array" ref="U16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7" t="str" cm="1">
        <f t="array" ref="V16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7" t="str" cm="1">
        <f t="array" ref="W16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57" t="str">
        <f>IF(COUNTIFS('Base Estudiantes'!$C:$C,tblMatriculas[[#This Row],[Cédula]],'Base Estudiantes'!$I:$I,tblMatriculas[[#This Row],[Código]])&gt;0,"Sí","No")</f>
        <v>Sí</v>
      </c>
      <c r="Z1657" s="23" cm="1">
        <f t="array" ref="Z1657">_xlfn.XLOOKUP(tblMatriculas[[#This Row],[Cédula]]&amp;"|"&amp;tblMatriculas[[#This Row],[Código]],tblBase[Documento]&amp;"|"&amp;tblBase[Código grupo],tblBase[Fecha matrícula],"")</f>
        <v>46262</v>
      </c>
    </row>
    <row r="1658" spans="1:26" x14ac:dyDescent="0.2">
      <c r="A1658" t="s">
        <v>3469</v>
      </c>
      <c r="B1658" t="s">
        <v>3470</v>
      </c>
      <c r="C1658" t="s">
        <v>13</v>
      </c>
      <c r="D1658" t="s">
        <v>3439</v>
      </c>
      <c r="E1658" t="s">
        <v>3440</v>
      </c>
      <c r="F1658" t="s">
        <v>16</v>
      </c>
      <c r="G1658" s="1">
        <v>0</v>
      </c>
      <c r="H1658" t="s">
        <v>1149</v>
      </c>
      <c r="I1658" t="s">
        <v>3169</v>
      </c>
      <c r="J1658" t="s">
        <v>3170</v>
      </c>
      <c r="K1658" t="s">
        <v>24</v>
      </c>
      <c r="L1658" s="14">
        <f>IFERROR(VALUE(LEFT(tblMatriculas[[#This Row],[Clases]],FIND("/",tblMatriculas[[#This Row],[Clases]])-1)),"")</f>
        <v>0</v>
      </c>
      <c r="M1658" s="14">
        <f>IFERROR(VALUE(MID(tblMatriculas[[#This Row],[Clases]],FIND("/",tblMatriculas[[#This Row],[Clases]])+1,5)),"")</f>
        <v>45</v>
      </c>
      <c r="N16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8" s="14">
        <f>IF(OR(tblMatriculas[[#This Row],[Estado]]&lt;&gt;"activa",tblMatriculas[[#This Row],[Clases dictadas]]=""),"",MAX(0,tblMatriculas[[#This Row],[Clases dictadas]]-tblMatriculas[[#This Row],[Asistidas]]))</f>
        <v>9</v>
      </c>
      <c r="P1658" s="1">
        <f>IF(OR(tblMatriculas[[#This Row],[Estado]]&lt;&gt;"activa",tblMatriculas[[#This Row],[Asistidas]]=""),"",tblMatriculas[[#This Row],[Asistencia]])</f>
        <v>0</v>
      </c>
      <c r="Q1658" t="b">
        <f>AND(tblMatriculas[[#This Row],[Estado]]="activa",ISNUMBER(tblMatriculas[[#This Row],[% asistencia]]),NOT(ISNUMBER(SEARCH(pPrueba,tblMatriculas[[#This Row],[Nombre]]))))</f>
        <v>1</v>
      </c>
      <c r="R16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58" s="23" t="str" cm="1">
        <f t="array" ref="S16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8" s="23" t="str" cm="1">
        <f t="array" ref="T16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8" s="14" t="str" cm="1">
        <f t="array" ref="U16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8" t="str" cm="1">
        <f t="array" ref="V16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8" t="str" cm="1">
        <f t="array" ref="W16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58" t="str">
        <f>IF(COUNTIFS('Base Estudiantes'!$C:$C,tblMatriculas[[#This Row],[Cédula]],'Base Estudiantes'!$I:$I,tblMatriculas[[#This Row],[Código]])&gt;0,"Sí","No")</f>
        <v>Sí</v>
      </c>
      <c r="Z1658" s="23" cm="1">
        <f t="array" ref="Z1658">_xlfn.XLOOKUP(tblMatriculas[[#This Row],[Cédula]]&amp;"|"&amp;tblMatriculas[[#This Row],[Código]],tblBase[Documento]&amp;"|"&amp;tblBase[Código grupo],tblBase[Fecha matrícula],"")</f>
        <v>46262</v>
      </c>
    </row>
    <row r="1659" spans="1:26" x14ac:dyDescent="0.2">
      <c r="A1659" t="s">
        <v>3471</v>
      </c>
      <c r="B1659" t="s">
        <v>3472</v>
      </c>
      <c r="C1659" t="s">
        <v>13</v>
      </c>
      <c r="D1659" t="s">
        <v>3439</v>
      </c>
      <c r="E1659" t="s">
        <v>3440</v>
      </c>
      <c r="F1659" t="s">
        <v>16</v>
      </c>
      <c r="G1659" s="1">
        <v>0</v>
      </c>
      <c r="H1659" t="s">
        <v>1149</v>
      </c>
      <c r="I1659" t="s">
        <v>3169</v>
      </c>
      <c r="J1659" t="s">
        <v>3170</v>
      </c>
      <c r="K1659" t="s">
        <v>24</v>
      </c>
      <c r="L1659" s="14">
        <f>IFERROR(VALUE(LEFT(tblMatriculas[[#This Row],[Clases]],FIND("/",tblMatriculas[[#This Row],[Clases]])-1)),"")</f>
        <v>0</v>
      </c>
      <c r="M1659" s="14">
        <f>IFERROR(VALUE(MID(tblMatriculas[[#This Row],[Clases]],FIND("/",tblMatriculas[[#This Row],[Clases]])+1,5)),"")</f>
        <v>45</v>
      </c>
      <c r="N16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59" s="14">
        <f>IF(OR(tblMatriculas[[#This Row],[Estado]]&lt;&gt;"activa",tblMatriculas[[#This Row],[Clases dictadas]]=""),"",MAX(0,tblMatriculas[[#This Row],[Clases dictadas]]-tblMatriculas[[#This Row],[Asistidas]]))</f>
        <v>9</v>
      </c>
      <c r="P1659" s="1">
        <f>IF(OR(tblMatriculas[[#This Row],[Estado]]&lt;&gt;"activa",tblMatriculas[[#This Row],[Asistidas]]=""),"",tblMatriculas[[#This Row],[Asistencia]])</f>
        <v>0</v>
      </c>
      <c r="Q1659" t="b">
        <f>AND(tblMatriculas[[#This Row],[Estado]]="activa",ISNUMBER(tblMatriculas[[#This Row],[% asistencia]]),NOT(ISNUMBER(SEARCH(pPrueba,tblMatriculas[[#This Row],[Nombre]]))))</f>
        <v>1</v>
      </c>
      <c r="R16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59" s="23" t="str" cm="1">
        <f t="array" ref="S16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59" s="23" t="str" cm="1">
        <f t="array" ref="T16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59" s="14" t="str" cm="1">
        <f t="array" ref="U16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59" t="str" cm="1">
        <f t="array" ref="V16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59" t="str" cm="1">
        <f t="array" ref="W16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59" t="str">
        <f>IF(COUNTIFS('Base Estudiantes'!$C:$C,tblMatriculas[[#This Row],[Cédula]],'Base Estudiantes'!$I:$I,tblMatriculas[[#This Row],[Código]])&gt;0,"Sí","No")</f>
        <v>Sí</v>
      </c>
      <c r="Z1659" s="23" cm="1">
        <f t="array" ref="Z1659">_xlfn.XLOOKUP(tblMatriculas[[#This Row],[Cédula]]&amp;"|"&amp;tblMatriculas[[#This Row],[Código]],tblBase[Documento]&amp;"|"&amp;tblBase[Código grupo],tblBase[Fecha matrícula],"")</f>
        <v>46262</v>
      </c>
    </row>
    <row r="1660" spans="1:26" x14ac:dyDescent="0.2">
      <c r="A1660" t="s">
        <v>3473</v>
      </c>
      <c r="B1660" t="s">
        <v>3474</v>
      </c>
      <c r="C1660" t="s">
        <v>13</v>
      </c>
      <c r="D1660" t="s">
        <v>3439</v>
      </c>
      <c r="E1660" t="s">
        <v>3440</v>
      </c>
      <c r="F1660" t="s">
        <v>16</v>
      </c>
      <c r="G1660" s="1">
        <v>0</v>
      </c>
      <c r="H1660" t="s">
        <v>1149</v>
      </c>
      <c r="I1660" t="s">
        <v>3169</v>
      </c>
      <c r="J1660" t="s">
        <v>3170</v>
      </c>
      <c r="K1660" t="s">
        <v>24</v>
      </c>
      <c r="L1660" s="14">
        <f>IFERROR(VALUE(LEFT(tblMatriculas[[#This Row],[Clases]],FIND("/",tblMatriculas[[#This Row],[Clases]])-1)),"")</f>
        <v>0</v>
      </c>
      <c r="M1660" s="14">
        <f>IFERROR(VALUE(MID(tblMatriculas[[#This Row],[Clases]],FIND("/",tblMatriculas[[#This Row],[Clases]])+1,5)),"")</f>
        <v>45</v>
      </c>
      <c r="N16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0" s="14">
        <f>IF(OR(tblMatriculas[[#This Row],[Estado]]&lt;&gt;"activa",tblMatriculas[[#This Row],[Clases dictadas]]=""),"",MAX(0,tblMatriculas[[#This Row],[Clases dictadas]]-tblMatriculas[[#This Row],[Asistidas]]))</f>
        <v>9</v>
      </c>
      <c r="P1660" s="1">
        <f>IF(OR(tblMatriculas[[#This Row],[Estado]]&lt;&gt;"activa",tblMatriculas[[#This Row],[Asistidas]]=""),"",tblMatriculas[[#This Row],[Asistencia]])</f>
        <v>0</v>
      </c>
      <c r="Q1660" t="b">
        <f>AND(tblMatriculas[[#This Row],[Estado]]="activa",ISNUMBER(tblMatriculas[[#This Row],[% asistencia]]),NOT(ISNUMBER(SEARCH(pPrueba,tblMatriculas[[#This Row],[Nombre]]))))</f>
        <v>1</v>
      </c>
      <c r="R16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60" s="23" t="str" cm="1">
        <f t="array" ref="S16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0" s="23" t="str" cm="1">
        <f t="array" ref="T16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0" s="14" t="str" cm="1">
        <f t="array" ref="U16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0" t="str" cm="1">
        <f t="array" ref="V16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0" t="str" cm="1">
        <f t="array" ref="W16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60" t="str">
        <f>IF(COUNTIFS('Base Estudiantes'!$C:$C,tblMatriculas[[#This Row],[Cédula]],'Base Estudiantes'!$I:$I,tblMatriculas[[#This Row],[Código]])&gt;0,"Sí","No")</f>
        <v>Sí</v>
      </c>
      <c r="Z1660" s="23" cm="1">
        <f t="array" ref="Z1660">_xlfn.XLOOKUP(tblMatriculas[[#This Row],[Cédula]]&amp;"|"&amp;tblMatriculas[[#This Row],[Código]],tblBase[Documento]&amp;"|"&amp;tblBase[Código grupo],tblBase[Fecha matrícula],"")</f>
        <v>46262</v>
      </c>
    </row>
    <row r="1661" spans="1:26" x14ac:dyDescent="0.2">
      <c r="A1661" t="s">
        <v>3475</v>
      </c>
      <c r="B1661" t="s">
        <v>3476</v>
      </c>
      <c r="C1661" t="s">
        <v>13</v>
      </c>
      <c r="D1661" t="s">
        <v>3439</v>
      </c>
      <c r="E1661" t="s">
        <v>3440</v>
      </c>
      <c r="F1661" t="s">
        <v>16</v>
      </c>
      <c r="G1661" s="1">
        <v>6.7000000000000004E-2</v>
      </c>
      <c r="H1661" t="s">
        <v>50</v>
      </c>
      <c r="I1661" t="s">
        <v>3169</v>
      </c>
      <c r="J1661" t="s">
        <v>3170</v>
      </c>
      <c r="K1661" t="s">
        <v>24</v>
      </c>
      <c r="L1661" s="14">
        <f>IFERROR(VALUE(LEFT(tblMatriculas[[#This Row],[Clases]],FIND("/",tblMatriculas[[#This Row],[Clases]])-1)),"")</f>
        <v>3</v>
      </c>
      <c r="M1661" s="14">
        <f>IFERROR(VALUE(MID(tblMatriculas[[#This Row],[Clases]],FIND("/",tblMatriculas[[#This Row],[Clases]])+1,5)),"")</f>
        <v>45</v>
      </c>
      <c r="N16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1" s="14">
        <f>IF(OR(tblMatriculas[[#This Row],[Estado]]&lt;&gt;"activa",tblMatriculas[[#This Row],[Clases dictadas]]=""),"",MAX(0,tblMatriculas[[#This Row],[Clases dictadas]]-tblMatriculas[[#This Row],[Asistidas]]))</f>
        <v>6</v>
      </c>
      <c r="P1661" s="1">
        <f>IF(OR(tblMatriculas[[#This Row],[Estado]]&lt;&gt;"activa",tblMatriculas[[#This Row],[Asistidas]]=""),"",tblMatriculas[[#This Row],[Asistencia]])</f>
        <v>6.7000000000000004E-2</v>
      </c>
      <c r="Q1661" t="b">
        <f>AND(tblMatriculas[[#This Row],[Estado]]="activa",ISNUMBER(tblMatriculas[[#This Row],[% asistencia]]),NOT(ISNUMBER(SEARCH(pPrueba,tblMatriculas[[#This Row],[Nombre]]))))</f>
        <v>1</v>
      </c>
      <c r="R16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61" s="23" t="str" cm="1">
        <f t="array" ref="S16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1" s="23" t="str" cm="1">
        <f t="array" ref="T16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1" s="14" t="str" cm="1">
        <f t="array" ref="U16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1" t="str" cm="1">
        <f t="array" ref="V16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1" t="str" cm="1">
        <f t="array" ref="W16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61" t="str">
        <f>IF(COUNTIFS('Base Estudiantes'!$C:$C,tblMatriculas[[#This Row],[Cédula]],'Base Estudiantes'!$I:$I,tblMatriculas[[#This Row],[Código]])&gt;0,"Sí","No")</f>
        <v>Sí</v>
      </c>
      <c r="Z1661" s="23" cm="1">
        <f t="array" ref="Z1661">_xlfn.XLOOKUP(tblMatriculas[[#This Row],[Cédula]]&amp;"|"&amp;tblMatriculas[[#This Row],[Código]],tblBase[Documento]&amp;"|"&amp;tblBase[Código grupo],tblBase[Fecha matrícula],"")</f>
        <v>46262</v>
      </c>
    </row>
    <row r="1662" spans="1:26" x14ac:dyDescent="0.2">
      <c r="A1662" t="s">
        <v>3477</v>
      </c>
      <c r="B1662" t="s">
        <v>3478</v>
      </c>
      <c r="C1662" t="s">
        <v>13</v>
      </c>
      <c r="D1662" t="s">
        <v>3439</v>
      </c>
      <c r="E1662" t="s">
        <v>3440</v>
      </c>
      <c r="F1662" t="s">
        <v>16</v>
      </c>
      <c r="G1662" s="1">
        <v>0.17800000000000002</v>
      </c>
      <c r="H1662" t="s">
        <v>39</v>
      </c>
      <c r="I1662" t="s">
        <v>3169</v>
      </c>
      <c r="J1662" t="s">
        <v>3170</v>
      </c>
      <c r="K1662" t="s">
        <v>24</v>
      </c>
      <c r="L1662" s="14">
        <f>IFERROR(VALUE(LEFT(tblMatriculas[[#This Row],[Clases]],FIND("/",tblMatriculas[[#This Row],[Clases]])-1)),"")</f>
        <v>8</v>
      </c>
      <c r="M1662" s="14">
        <f>IFERROR(VALUE(MID(tblMatriculas[[#This Row],[Clases]],FIND("/",tblMatriculas[[#This Row],[Clases]])+1,5)),"")</f>
        <v>45</v>
      </c>
      <c r="N16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2" s="14">
        <f>IF(OR(tblMatriculas[[#This Row],[Estado]]&lt;&gt;"activa",tblMatriculas[[#This Row],[Clases dictadas]]=""),"",MAX(0,tblMatriculas[[#This Row],[Clases dictadas]]-tblMatriculas[[#This Row],[Asistidas]]))</f>
        <v>1</v>
      </c>
      <c r="P1662" s="1">
        <f>IF(OR(tblMatriculas[[#This Row],[Estado]]&lt;&gt;"activa",tblMatriculas[[#This Row],[Asistidas]]=""),"",tblMatriculas[[#This Row],[Asistencia]])</f>
        <v>0.17800000000000002</v>
      </c>
      <c r="Q1662" t="b">
        <f>AND(tblMatriculas[[#This Row],[Estado]]="activa",ISNUMBER(tblMatriculas[[#This Row],[% asistencia]]),NOT(ISNUMBER(SEARCH(pPrueba,tblMatriculas[[#This Row],[Nombre]]))))</f>
        <v>1</v>
      </c>
      <c r="R16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2" s="23" t="str" cm="1">
        <f t="array" ref="S16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2" s="23" t="str" cm="1">
        <f t="array" ref="T16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2" s="14" t="str" cm="1">
        <f t="array" ref="U16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2" t="str" cm="1">
        <f t="array" ref="V16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2" t="str" cm="1">
        <f t="array" ref="W16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2" t="str">
        <f>IF(COUNTIFS('Base Estudiantes'!$C:$C,tblMatriculas[[#This Row],[Cédula]],'Base Estudiantes'!$I:$I,tblMatriculas[[#This Row],[Código]])&gt;0,"Sí","No")</f>
        <v>Sí</v>
      </c>
      <c r="Z1662" s="23" cm="1">
        <f t="array" ref="Z1662">_xlfn.XLOOKUP(tblMatriculas[[#This Row],[Cédula]]&amp;"|"&amp;tblMatriculas[[#This Row],[Código]],tblBase[Documento]&amp;"|"&amp;tblBase[Código grupo],tblBase[Fecha matrícula],"")</f>
        <v>46262</v>
      </c>
    </row>
    <row r="1663" spans="1:26" x14ac:dyDescent="0.2">
      <c r="A1663" t="s">
        <v>3479</v>
      </c>
      <c r="B1663" t="s">
        <v>3480</v>
      </c>
      <c r="C1663" t="s">
        <v>13</v>
      </c>
      <c r="D1663" t="s">
        <v>3439</v>
      </c>
      <c r="E1663" t="s">
        <v>3440</v>
      </c>
      <c r="F1663" t="s">
        <v>16</v>
      </c>
      <c r="G1663" s="1">
        <v>0.2</v>
      </c>
      <c r="H1663" t="s">
        <v>27</v>
      </c>
      <c r="I1663" t="s">
        <v>3169</v>
      </c>
      <c r="J1663" t="s">
        <v>3170</v>
      </c>
      <c r="K1663" t="s">
        <v>24</v>
      </c>
      <c r="L1663" s="14">
        <f>IFERROR(VALUE(LEFT(tblMatriculas[[#This Row],[Clases]],FIND("/",tblMatriculas[[#This Row],[Clases]])-1)),"")</f>
        <v>9</v>
      </c>
      <c r="M1663" s="14">
        <f>IFERROR(VALUE(MID(tblMatriculas[[#This Row],[Clases]],FIND("/",tblMatriculas[[#This Row],[Clases]])+1,5)),"")</f>
        <v>45</v>
      </c>
      <c r="N16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3" s="14">
        <f>IF(OR(tblMatriculas[[#This Row],[Estado]]&lt;&gt;"activa",tblMatriculas[[#This Row],[Clases dictadas]]=""),"",MAX(0,tblMatriculas[[#This Row],[Clases dictadas]]-tblMatriculas[[#This Row],[Asistidas]]))</f>
        <v>0</v>
      </c>
      <c r="P1663" s="1">
        <f>IF(OR(tblMatriculas[[#This Row],[Estado]]&lt;&gt;"activa",tblMatriculas[[#This Row],[Asistidas]]=""),"",tblMatriculas[[#This Row],[Asistencia]])</f>
        <v>0.2</v>
      </c>
      <c r="Q1663" t="b">
        <f>AND(tblMatriculas[[#This Row],[Estado]]="activa",ISNUMBER(tblMatriculas[[#This Row],[% asistencia]]),NOT(ISNUMBER(SEARCH(pPrueba,tblMatriculas[[#This Row],[Nombre]]))))</f>
        <v>1</v>
      </c>
      <c r="R16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3" s="23" t="str" cm="1">
        <f t="array" ref="S16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3" s="23" t="str" cm="1">
        <f t="array" ref="T16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3" s="14" t="str" cm="1">
        <f t="array" ref="U16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3" t="str" cm="1">
        <f t="array" ref="V16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3" t="str" cm="1">
        <f t="array" ref="W16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3" t="str">
        <f>IF(COUNTIFS('Base Estudiantes'!$C:$C,tblMatriculas[[#This Row],[Cédula]],'Base Estudiantes'!$I:$I,tblMatriculas[[#This Row],[Código]])&gt;0,"Sí","No")</f>
        <v>Sí</v>
      </c>
      <c r="Z1663" s="23" cm="1">
        <f t="array" ref="Z1663">_xlfn.XLOOKUP(tblMatriculas[[#This Row],[Cédula]]&amp;"|"&amp;tblMatriculas[[#This Row],[Código]],tblBase[Documento]&amp;"|"&amp;tblBase[Código grupo],tblBase[Fecha matrícula],"")</f>
        <v>46262</v>
      </c>
    </row>
    <row r="1664" spans="1:26" x14ac:dyDescent="0.2">
      <c r="A1664" t="s">
        <v>3481</v>
      </c>
      <c r="B1664" t="s">
        <v>3482</v>
      </c>
      <c r="C1664" t="s">
        <v>49</v>
      </c>
      <c r="D1664" t="s">
        <v>3439</v>
      </c>
      <c r="E1664" t="s">
        <v>3440</v>
      </c>
      <c r="F1664" t="s">
        <v>16</v>
      </c>
      <c r="G1664" s="1">
        <v>0</v>
      </c>
      <c r="H1664" t="s">
        <v>1149</v>
      </c>
      <c r="I1664" t="s">
        <v>3169</v>
      </c>
      <c r="J1664" t="s">
        <v>3170</v>
      </c>
      <c r="K1664" t="s">
        <v>24</v>
      </c>
      <c r="L1664" s="14">
        <f>IFERROR(VALUE(LEFT(tblMatriculas[[#This Row],[Clases]],FIND("/",tblMatriculas[[#This Row],[Clases]])-1)),"")</f>
        <v>0</v>
      </c>
      <c r="M1664" s="14">
        <f>IFERROR(VALUE(MID(tblMatriculas[[#This Row],[Clases]],FIND("/",tblMatriculas[[#This Row],[Clases]])+1,5)),"")</f>
        <v>45</v>
      </c>
      <c r="N16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4" s="14" t="str">
        <f>IF(OR(tblMatriculas[[#This Row],[Estado]]&lt;&gt;"activa",tblMatriculas[[#This Row],[Clases dictadas]]=""),"",MAX(0,tblMatriculas[[#This Row],[Clases dictadas]]-tblMatriculas[[#This Row],[Asistidas]]))</f>
        <v/>
      </c>
      <c r="P1664" s="1" t="str">
        <f>IF(OR(tblMatriculas[[#This Row],[Estado]]&lt;&gt;"activa",tblMatriculas[[#This Row],[Asistidas]]=""),"",tblMatriculas[[#This Row],[Asistencia]])</f>
        <v/>
      </c>
      <c r="Q1664" t="b">
        <f>AND(tblMatriculas[[#This Row],[Estado]]="activa",ISNUMBER(tblMatriculas[[#This Row],[% asistencia]]),NOT(ISNUMBER(SEARCH(pPrueba,tblMatriculas[[#This Row],[Nombre]]))))</f>
        <v>0</v>
      </c>
      <c r="R16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64" s="23" t="str" cm="1">
        <f t="array" ref="S16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4" s="23" t="str" cm="1">
        <f t="array" ref="T16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4" s="14" t="str" cm="1">
        <f t="array" ref="U16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4" t="str" cm="1">
        <f t="array" ref="V16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4" t="str" cm="1">
        <f t="array" ref="W16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4" t="str">
        <f>IF(COUNTIFS('Base Estudiantes'!$C:$C,tblMatriculas[[#This Row],[Cédula]],'Base Estudiantes'!$I:$I,tblMatriculas[[#This Row],[Código]])&gt;0,"Sí","No")</f>
        <v>No</v>
      </c>
      <c r="Z1664" s="23" t="str" cm="1">
        <f t="array" ref="Z1664">_xlfn.XLOOKUP(tblMatriculas[[#This Row],[Cédula]]&amp;"|"&amp;tblMatriculas[[#This Row],[Código]],tblBase[Documento]&amp;"|"&amp;tblBase[Código grupo],tblBase[Fecha matrícula],"")</f>
        <v/>
      </c>
    </row>
    <row r="1665" spans="1:26" x14ac:dyDescent="0.2">
      <c r="A1665" t="s">
        <v>3483</v>
      </c>
      <c r="B1665" t="s">
        <v>3484</v>
      </c>
      <c r="C1665" t="s">
        <v>13</v>
      </c>
      <c r="D1665" t="s">
        <v>3439</v>
      </c>
      <c r="E1665" t="s">
        <v>3440</v>
      </c>
      <c r="F1665" t="s">
        <v>16</v>
      </c>
      <c r="G1665" s="1">
        <v>0.2</v>
      </c>
      <c r="H1665" t="s">
        <v>27</v>
      </c>
      <c r="I1665" t="s">
        <v>3169</v>
      </c>
      <c r="J1665" t="s">
        <v>3170</v>
      </c>
      <c r="K1665" t="s">
        <v>24</v>
      </c>
      <c r="L1665" s="14">
        <f>IFERROR(VALUE(LEFT(tblMatriculas[[#This Row],[Clases]],FIND("/",tblMatriculas[[#This Row],[Clases]])-1)),"")</f>
        <v>9</v>
      </c>
      <c r="M1665" s="14">
        <f>IFERROR(VALUE(MID(tblMatriculas[[#This Row],[Clases]],FIND("/",tblMatriculas[[#This Row],[Clases]])+1,5)),"")</f>
        <v>45</v>
      </c>
      <c r="N16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5" s="14">
        <f>IF(OR(tblMatriculas[[#This Row],[Estado]]&lt;&gt;"activa",tblMatriculas[[#This Row],[Clases dictadas]]=""),"",MAX(0,tblMatriculas[[#This Row],[Clases dictadas]]-tblMatriculas[[#This Row],[Asistidas]]))</f>
        <v>0</v>
      </c>
      <c r="P1665" s="1">
        <f>IF(OR(tblMatriculas[[#This Row],[Estado]]&lt;&gt;"activa",tblMatriculas[[#This Row],[Asistidas]]=""),"",tblMatriculas[[#This Row],[Asistencia]])</f>
        <v>0.2</v>
      </c>
      <c r="Q1665" t="b">
        <f>AND(tblMatriculas[[#This Row],[Estado]]="activa",ISNUMBER(tblMatriculas[[#This Row],[% asistencia]]),NOT(ISNUMBER(SEARCH(pPrueba,tblMatriculas[[#This Row],[Nombre]]))))</f>
        <v>1</v>
      </c>
      <c r="R16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5" s="23" t="str" cm="1">
        <f t="array" ref="S16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5" s="23" t="str" cm="1">
        <f t="array" ref="T16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5" s="14" t="str" cm="1">
        <f t="array" ref="U16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5" t="str" cm="1">
        <f t="array" ref="V16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5" t="str" cm="1">
        <f t="array" ref="W16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5" t="str">
        <f>IF(COUNTIFS('Base Estudiantes'!$C:$C,tblMatriculas[[#This Row],[Cédula]],'Base Estudiantes'!$I:$I,tblMatriculas[[#This Row],[Código]])&gt;0,"Sí","No")</f>
        <v>Sí</v>
      </c>
      <c r="Z1665" s="23" cm="1">
        <f t="array" ref="Z1665">_xlfn.XLOOKUP(tblMatriculas[[#This Row],[Cédula]]&amp;"|"&amp;tblMatriculas[[#This Row],[Código]],tblBase[Documento]&amp;"|"&amp;tblBase[Código grupo],tblBase[Fecha matrícula],"")</f>
        <v>46262</v>
      </c>
    </row>
    <row r="1666" spans="1:26" x14ac:dyDescent="0.2">
      <c r="A1666" t="s">
        <v>3485</v>
      </c>
      <c r="B1666" t="s">
        <v>3486</v>
      </c>
      <c r="C1666" t="s">
        <v>13</v>
      </c>
      <c r="D1666" t="s">
        <v>3439</v>
      </c>
      <c r="E1666" t="s">
        <v>3440</v>
      </c>
      <c r="F1666" t="s">
        <v>16</v>
      </c>
      <c r="G1666" s="1">
        <v>0.17800000000000002</v>
      </c>
      <c r="H1666" t="s">
        <v>39</v>
      </c>
      <c r="I1666" t="s">
        <v>3169</v>
      </c>
      <c r="J1666" t="s">
        <v>3170</v>
      </c>
      <c r="K1666" t="s">
        <v>24</v>
      </c>
      <c r="L1666" s="14">
        <f>IFERROR(VALUE(LEFT(tblMatriculas[[#This Row],[Clases]],FIND("/",tblMatriculas[[#This Row],[Clases]])-1)),"")</f>
        <v>8</v>
      </c>
      <c r="M1666" s="14">
        <f>IFERROR(VALUE(MID(tblMatriculas[[#This Row],[Clases]],FIND("/",tblMatriculas[[#This Row],[Clases]])+1,5)),"")</f>
        <v>45</v>
      </c>
      <c r="N16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6" s="14">
        <f>IF(OR(tblMatriculas[[#This Row],[Estado]]&lt;&gt;"activa",tblMatriculas[[#This Row],[Clases dictadas]]=""),"",MAX(0,tblMatriculas[[#This Row],[Clases dictadas]]-tblMatriculas[[#This Row],[Asistidas]]))</f>
        <v>1</v>
      </c>
      <c r="P1666" s="1">
        <f>IF(OR(tblMatriculas[[#This Row],[Estado]]&lt;&gt;"activa",tblMatriculas[[#This Row],[Asistidas]]=""),"",tblMatriculas[[#This Row],[Asistencia]])</f>
        <v>0.17800000000000002</v>
      </c>
      <c r="Q1666" t="b">
        <f>AND(tblMatriculas[[#This Row],[Estado]]="activa",ISNUMBER(tblMatriculas[[#This Row],[% asistencia]]),NOT(ISNUMBER(SEARCH(pPrueba,tblMatriculas[[#This Row],[Nombre]]))))</f>
        <v>1</v>
      </c>
      <c r="R16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6" s="23" t="str" cm="1">
        <f t="array" ref="S16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6" s="23" t="str" cm="1">
        <f t="array" ref="T16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6" s="14" t="str" cm="1">
        <f t="array" ref="U16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6" t="str" cm="1">
        <f t="array" ref="V16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6" t="str" cm="1">
        <f t="array" ref="W16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6" t="str">
        <f>IF(COUNTIFS('Base Estudiantes'!$C:$C,tblMatriculas[[#This Row],[Cédula]],'Base Estudiantes'!$I:$I,tblMatriculas[[#This Row],[Código]])&gt;0,"Sí","No")</f>
        <v>Sí</v>
      </c>
      <c r="Z1666" s="23" cm="1">
        <f t="array" ref="Z1666">_xlfn.XLOOKUP(tblMatriculas[[#This Row],[Cédula]]&amp;"|"&amp;tblMatriculas[[#This Row],[Código]],tblBase[Documento]&amp;"|"&amp;tblBase[Código grupo],tblBase[Fecha matrícula],"")</f>
        <v>46262</v>
      </c>
    </row>
    <row r="1667" spans="1:26" x14ac:dyDescent="0.2">
      <c r="A1667" t="s">
        <v>3487</v>
      </c>
      <c r="B1667" t="s">
        <v>3488</v>
      </c>
      <c r="C1667" t="s">
        <v>13</v>
      </c>
      <c r="D1667" t="s">
        <v>3439</v>
      </c>
      <c r="E1667" t="s">
        <v>3440</v>
      </c>
      <c r="F1667" t="s">
        <v>16</v>
      </c>
      <c r="G1667" s="1">
        <v>0</v>
      </c>
      <c r="H1667" t="s">
        <v>1149</v>
      </c>
      <c r="I1667" t="s">
        <v>3169</v>
      </c>
      <c r="J1667" t="s">
        <v>3170</v>
      </c>
      <c r="K1667" t="s">
        <v>24</v>
      </c>
      <c r="L1667" s="14">
        <f>IFERROR(VALUE(LEFT(tblMatriculas[[#This Row],[Clases]],FIND("/",tblMatriculas[[#This Row],[Clases]])-1)),"")</f>
        <v>0</v>
      </c>
      <c r="M1667" s="14">
        <f>IFERROR(VALUE(MID(tblMatriculas[[#This Row],[Clases]],FIND("/",tblMatriculas[[#This Row],[Clases]])+1,5)),"")</f>
        <v>45</v>
      </c>
      <c r="N16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7" s="14">
        <f>IF(OR(tblMatriculas[[#This Row],[Estado]]&lt;&gt;"activa",tblMatriculas[[#This Row],[Clases dictadas]]=""),"",MAX(0,tblMatriculas[[#This Row],[Clases dictadas]]-tblMatriculas[[#This Row],[Asistidas]]))</f>
        <v>9</v>
      </c>
      <c r="P1667" s="1">
        <f>IF(OR(tblMatriculas[[#This Row],[Estado]]&lt;&gt;"activa",tblMatriculas[[#This Row],[Asistidas]]=""),"",tblMatriculas[[#This Row],[Asistencia]])</f>
        <v>0</v>
      </c>
      <c r="Q1667" t="b">
        <f>AND(tblMatriculas[[#This Row],[Estado]]="activa",ISNUMBER(tblMatriculas[[#This Row],[% asistencia]]),NOT(ISNUMBER(SEARCH(pPrueba,tblMatriculas[[#This Row],[Nombre]]))))</f>
        <v>1</v>
      </c>
      <c r="R16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67" s="23" t="str" cm="1">
        <f t="array" ref="S16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7" s="23" t="str" cm="1">
        <f t="array" ref="T16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7" s="14" t="str" cm="1">
        <f t="array" ref="U16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7" t="str" cm="1">
        <f t="array" ref="V16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7" t="str" cm="1">
        <f t="array" ref="W16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67" t="str">
        <f>IF(COUNTIFS('Base Estudiantes'!$C:$C,tblMatriculas[[#This Row],[Cédula]],'Base Estudiantes'!$I:$I,tblMatriculas[[#This Row],[Código]])&gt;0,"Sí","No")</f>
        <v>Sí</v>
      </c>
      <c r="Z1667" s="23" cm="1">
        <f t="array" ref="Z1667">_xlfn.XLOOKUP(tblMatriculas[[#This Row],[Cédula]]&amp;"|"&amp;tblMatriculas[[#This Row],[Código]],tblBase[Documento]&amp;"|"&amp;tblBase[Código grupo],tblBase[Fecha matrícula],"")</f>
        <v>46262</v>
      </c>
    </row>
    <row r="1668" spans="1:26" x14ac:dyDescent="0.2">
      <c r="A1668" t="s">
        <v>3489</v>
      </c>
      <c r="B1668" t="s">
        <v>3490</v>
      </c>
      <c r="C1668" t="s">
        <v>13</v>
      </c>
      <c r="D1668" t="s">
        <v>3439</v>
      </c>
      <c r="E1668" t="s">
        <v>3440</v>
      </c>
      <c r="F1668" t="s">
        <v>16</v>
      </c>
      <c r="G1668" s="1">
        <v>0.2</v>
      </c>
      <c r="H1668" t="s">
        <v>27</v>
      </c>
      <c r="I1668" t="s">
        <v>3169</v>
      </c>
      <c r="J1668" t="s">
        <v>3170</v>
      </c>
      <c r="K1668" t="s">
        <v>24</v>
      </c>
      <c r="L1668" s="14">
        <f>IFERROR(VALUE(LEFT(tblMatriculas[[#This Row],[Clases]],FIND("/",tblMatriculas[[#This Row],[Clases]])-1)),"")</f>
        <v>9</v>
      </c>
      <c r="M1668" s="14">
        <f>IFERROR(VALUE(MID(tblMatriculas[[#This Row],[Clases]],FIND("/",tblMatriculas[[#This Row],[Clases]])+1,5)),"")</f>
        <v>45</v>
      </c>
      <c r="N16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8" s="14">
        <f>IF(OR(tblMatriculas[[#This Row],[Estado]]&lt;&gt;"activa",tblMatriculas[[#This Row],[Clases dictadas]]=""),"",MAX(0,tblMatriculas[[#This Row],[Clases dictadas]]-tblMatriculas[[#This Row],[Asistidas]]))</f>
        <v>0</v>
      </c>
      <c r="P1668" s="1">
        <f>IF(OR(tblMatriculas[[#This Row],[Estado]]&lt;&gt;"activa",tblMatriculas[[#This Row],[Asistidas]]=""),"",tblMatriculas[[#This Row],[Asistencia]])</f>
        <v>0.2</v>
      </c>
      <c r="Q1668" t="b">
        <f>AND(tblMatriculas[[#This Row],[Estado]]="activa",ISNUMBER(tblMatriculas[[#This Row],[% asistencia]]),NOT(ISNUMBER(SEARCH(pPrueba,tblMatriculas[[#This Row],[Nombre]]))))</f>
        <v>1</v>
      </c>
      <c r="R16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8" s="23" t="str" cm="1">
        <f t="array" ref="S16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8" s="23" t="str" cm="1">
        <f t="array" ref="T16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8" s="14" t="str" cm="1">
        <f t="array" ref="U16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8" t="str" cm="1">
        <f t="array" ref="V16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8" t="str" cm="1">
        <f t="array" ref="W16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8" t="str">
        <f>IF(COUNTIFS('Base Estudiantes'!$C:$C,tblMatriculas[[#This Row],[Cédula]],'Base Estudiantes'!$I:$I,tblMatriculas[[#This Row],[Código]])&gt;0,"Sí","No")</f>
        <v>Sí</v>
      </c>
      <c r="Z1668" s="23" cm="1">
        <f t="array" ref="Z1668">_xlfn.XLOOKUP(tblMatriculas[[#This Row],[Cédula]]&amp;"|"&amp;tblMatriculas[[#This Row],[Código]],tblBase[Documento]&amp;"|"&amp;tblBase[Código grupo],tblBase[Fecha matrícula],"")</f>
        <v>46262</v>
      </c>
    </row>
    <row r="1669" spans="1:26" x14ac:dyDescent="0.2">
      <c r="A1669" t="s">
        <v>3491</v>
      </c>
      <c r="B1669" t="s">
        <v>3492</v>
      </c>
      <c r="C1669" t="s">
        <v>13</v>
      </c>
      <c r="D1669" t="s">
        <v>3439</v>
      </c>
      <c r="E1669" t="s">
        <v>3440</v>
      </c>
      <c r="F1669" t="s">
        <v>16</v>
      </c>
      <c r="G1669" s="1">
        <v>0.2</v>
      </c>
      <c r="H1669" t="s">
        <v>27</v>
      </c>
      <c r="I1669" t="s">
        <v>3169</v>
      </c>
      <c r="J1669" t="s">
        <v>3170</v>
      </c>
      <c r="K1669" t="s">
        <v>24</v>
      </c>
      <c r="L1669" s="14">
        <f>IFERROR(VALUE(LEFT(tblMatriculas[[#This Row],[Clases]],FIND("/",tblMatriculas[[#This Row],[Clases]])-1)),"")</f>
        <v>9</v>
      </c>
      <c r="M1669" s="14">
        <f>IFERROR(VALUE(MID(tblMatriculas[[#This Row],[Clases]],FIND("/",tblMatriculas[[#This Row],[Clases]])+1,5)),"")</f>
        <v>45</v>
      </c>
      <c r="N16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69" s="14">
        <f>IF(OR(tblMatriculas[[#This Row],[Estado]]&lt;&gt;"activa",tblMatriculas[[#This Row],[Clases dictadas]]=""),"",MAX(0,tblMatriculas[[#This Row],[Clases dictadas]]-tblMatriculas[[#This Row],[Asistidas]]))</f>
        <v>0</v>
      </c>
      <c r="P1669" s="1">
        <f>IF(OR(tblMatriculas[[#This Row],[Estado]]&lt;&gt;"activa",tblMatriculas[[#This Row],[Asistidas]]=""),"",tblMatriculas[[#This Row],[Asistencia]])</f>
        <v>0.2</v>
      </c>
      <c r="Q1669" t="b">
        <f>AND(tblMatriculas[[#This Row],[Estado]]="activa",ISNUMBER(tblMatriculas[[#This Row],[% asistencia]]),NOT(ISNUMBER(SEARCH(pPrueba,tblMatriculas[[#This Row],[Nombre]]))))</f>
        <v>1</v>
      </c>
      <c r="R16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69" s="23" t="str" cm="1">
        <f t="array" ref="S16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69" s="23" t="str" cm="1">
        <f t="array" ref="T16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69" s="14" t="str" cm="1">
        <f t="array" ref="U16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69" t="str" cm="1">
        <f t="array" ref="V16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69" t="str" cm="1">
        <f t="array" ref="W16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69" t="str">
        <f>IF(COUNTIFS('Base Estudiantes'!$C:$C,tblMatriculas[[#This Row],[Cédula]],'Base Estudiantes'!$I:$I,tblMatriculas[[#This Row],[Código]])&gt;0,"Sí","No")</f>
        <v>Sí</v>
      </c>
      <c r="Z1669" s="23" cm="1">
        <f t="array" ref="Z1669">_xlfn.XLOOKUP(tblMatriculas[[#This Row],[Cédula]]&amp;"|"&amp;tblMatriculas[[#This Row],[Código]],tblBase[Documento]&amp;"|"&amp;tblBase[Código grupo],tblBase[Fecha matrícula],"")</f>
        <v>46262</v>
      </c>
    </row>
    <row r="1670" spans="1:26" x14ac:dyDescent="0.2">
      <c r="A1670" t="s">
        <v>3493</v>
      </c>
      <c r="B1670" t="s">
        <v>3494</v>
      </c>
      <c r="C1670" t="s">
        <v>13</v>
      </c>
      <c r="D1670" t="s">
        <v>3439</v>
      </c>
      <c r="E1670" t="s">
        <v>3440</v>
      </c>
      <c r="F1670" t="s">
        <v>16</v>
      </c>
      <c r="G1670" s="1">
        <v>0</v>
      </c>
      <c r="H1670" t="s">
        <v>1149</v>
      </c>
      <c r="I1670" t="s">
        <v>3169</v>
      </c>
      <c r="J1670" t="s">
        <v>3170</v>
      </c>
      <c r="K1670" t="s">
        <v>24</v>
      </c>
      <c r="L1670" s="14">
        <f>IFERROR(VALUE(LEFT(tblMatriculas[[#This Row],[Clases]],FIND("/",tblMatriculas[[#This Row],[Clases]])-1)),"")</f>
        <v>0</v>
      </c>
      <c r="M1670" s="14">
        <f>IFERROR(VALUE(MID(tblMatriculas[[#This Row],[Clases]],FIND("/",tblMatriculas[[#This Row],[Clases]])+1,5)),"")</f>
        <v>45</v>
      </c>
      <c r="N16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70" s="14">
        <f>IF(OR(tblMatriculas[[#This Row],[Estado]]&lt;&gt;"activa",tblMatriculas[[#This Row],[Clases dictadas]]=""),"",MAX(0,tblMatriculas[[#This Row],[Clases dictadas]]-tblMatriculas[[#This Row],[Asistidas]]))</f>
        <v>9</v>
      </c>
      <c r="P1670" s="1">
        <f>IF(OR(tblMatriculas[[#This Row],[Estado]]&lt;&gt;"activa",tblMatriculas[[#This Row],[Asistidas]]=""),"",tblMatriculas[[#This Row],[Asistencia]])</f>
        <v>0</v>
      </c>
      <c r="Q1670" t="b">
        <f>AND(tblMatriculas[[#This Row],[Estado]]="activa",ISNUMBER(tblMatriculas[[#This Row],[% asistencia]]),NOT(ISNUMBER(SEARCH(pPrueba,tblMatriculas[[#This Row],[Nombre]]))))</f>
        <v>1</v>
      </c>
      <c r="R16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70" s="23" t="str" cm="1">
        <f t="array" ref="S16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0" s="23" t="str" cm="1">
        <f t="array" ref="T16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0" s="14" t="str" cm="1">
        <f t="array" ref="U16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0" t="str" cm="1">
        <f t="array" ref="V16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0" t="str" cm="1">
        <f t="array" ref="W16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70" t="str">
        <f>IF(COUNTIFS('Base Estudiantes'!$C:$C,tblMatriculas[[#This Row],[Cédula]],'Base Estudiantes'!$I:$I,tblMatriculas[[#This Row],[Código]])&gt;0,"Sí","No")</f>
        <v>Sí</v>
      </c>
      <c r="Z1670" s="23" cm="1">
        <f t="array" ref="Z1670">_xlfn.XLOOKUP(tblMatriculas[[#This Row],[Cédula]]&amp;"|"&amp;tblMatriculas[[#This Row],[Código]],tblBase[Documento]&amp;"|"&amp;tblBase[Código grupo],tblBase[Fecha matrícula],"")</f>
        <v>46262</v>
      </c>
    </row>
    <row r="1671" spans="1:26" x14ac:dyDescent="0.2">
      <c r="A1671" t="s">
        <v>3495</v>
      </c>
      <c r="B1671" t="s">
        <v>3496</v>
      </c>
      <c r="C1671" t="s">
        <v>13</v>
      </c>
      <c r="D1671" t="s">
        <v>3439</v>
      </c>
      <c r="E1671" t="s">
        <v>3440</v>
      </c>
      <c r="F1671" t="s">
        <v>16</v>
      </c>
      <c r="G1671" s="1">
        <v>2.2000000000000002E-2</v>
      </c>
      <c r="H1671" t="s">
        <v>23</v>
      </c>
      <c r="I1671" t="s">
        <v>3169</v>
      </c>
      <c r="J1671" t="s">
        <v>3170</v>
      </c>
      <c r="K1671" t="s">
        <v>24</v>
      </c>
      <c r="L1671" s="14">
        <f>IFERROR(VALUE(LEFT(tblMatriculas[[#This Row],[Clases]],FIND("/",tblMatriculas[[#This Row],[Clases]])-1)),"")</f>
        <v>1</v>
      </c>
      <c r="M1671" s="14">
        <f>IFERROR(VALUE(MID(tblMatriculas[[#This Row],[Clases]],FIND("/",tblMatriculas[[#This Row],[Clases]])+1,5)),"")</f>
        <v>45</v>
      </c>
      <c r="N16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71" s="14">
        <f>IF(OR(tblMatriculas[[#This Row],[Estado]]&lt;&gt;"activa",tblMatriculas[[#This Row],[Clases dictadas]]=""),"",MAX(0,tblMatriculas[[#This Row],[Clases dictadas]]-tblMatriculas[[#This Row],[Asistidas]]))</f>
        <v>8</v>
      </c>
      <c r="P1671" s="1">
        <f>IF(OR(tblMatriculas[[#This Row],[Estado]]&lt;&gt;"activa",tblMatriculas[[#This Row],[Asistidas]]=""),"",tblMatriculas[[#This Row],[Asistencia]])</f>
        <v>2.2000000000000002E-2</v>
      </c>
      <c r="Q1671" t="b">
        <f>AND(tblMatriculas[[#This Row],[Estado]]="activa",ISNUMBER(tblMatriculas[[#This Row],[% asistencia]]),NOT(ISNUMBER(SEARCH(pPrueba,tblMatriculas[[#This Row],[Nombre]]))))</f>
        <v>1</v>
      </c>
      <c r="R16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71" s="23" t="str" cm="1">
        <f t="array" ref="S16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1" s="23" t="str" cm="1">
        <f t="array" ref="T16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1" s="14" t="str" cm="1">
        <f t="array" ref="U16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1" t="str" cm="1">
        <f t="array" ref="V16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1" t="str" cm="1">
        <f t="array" ref="W16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7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71" t="str">
        <f>IF(COUNTIFS('Base Estudiantes'!$C:$C,tblMatriculas[[#This Row],[Cédula]],'Base Estudiantes'!$I:$I,tblMatriculas[[#This Row],[Código]])&gt;0,"Sí","No")</f>
        <v>Sí</v>
      </c>
      <c r="Z1671" s="23" cm="1">
        <f t="array" ref="Z1671">_xlfn.XLOOKUP(tblMatriculas[[#This Row],[Cédula]]&amp;"|"&amp;tblMatriculas[[#This Row],[Código]],tblBase[Documento]&amp;"|"&amp;tblBase[Código grupo],tblBase[Fecha matrícula],"")</f>
        <v>46262</v>
      </c>
    </row>
    <row r="1672" spans="1:26" x14ac:dyDescent="0.2">
      <c r="A1672" t="s">
        <v>3497</v>
      </c>
      <c r="B1672" t="s">
        <v>3498</v>
      </c>
      <c r="C1672" t="s">
        <v>13</v>
      </c>
      <c r="D1672" t="s">
        <v>3439</v>
      </c>
      <c r="E1672" t="s">
        <v>3440</v>
      </c>
      <c r="F1672" t="s">
        <v>16</v>
      </c>
      <c r="G1672" s="1">
        <v>0.2</v>
      </c>
      <c r="H1672" t="s">
        <v>27</v>
      </c>
      <c r="I1672" t="s">
        <v>3169</v>
      </c>
      <c r="J1672" t="s">
        <v>3170</v>
      </c>
      <c r="K1672" t="s">
        <v>3427</v>
      </c>
      <c r="L1672" s="14">
        <f>IFERROR(VALUE(LEFT(tblMatriculas[[#This Row],[Clases]],FIND("/",tblMatriculas[[#This Row],[Clases]])-1)),"")</f>
        <v>9</v>
      </c>
      <c r="M1672" s="14">
        <f>IFERROR(VALUE(MID(tblMatriculas[[#This Row],[Clases]],FIND("/",tblMatriculas[[#This Row],[Clases]])+1,5)),"")</f>
        <v>45</v>
      </c>
      <c r="N16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72" s="14">
        <f>IF(OR(tblMatriculas[[#This Row],[Estado]]&lt;&gt;"activa",tblMatriculas[[#This Row],[Clases dictadas]]=""),"",MAX(0,tblMatriculas[[#This Row],[Clases dictadas]]-tblMatriculas[[#This Row],[Asistidas]]))</f>
        <v>0</v>
      </c>
      <c r="P1672" s="1">
        <f>IF(OR(tblMatriculas[[#This Row],[Estado]]&lt;&gt;"activa",tblMatriculas[[#This Row],[Asistidas]]=""),"",tblMatriculas[[#This Row],[Asistencia]])</f>
        <v>0.2</v>
      </c>
      <c r="Q1672" t="b">
        <f>AND(tblMatriculas[[#This Row],[Estado]]="activa",ISNUMBER(tblMatriculas[[#This Row],[% asistencia]]),NOT(ISNUMBER(SEARCH(pPrueba,tblMatriculas[[#This Row],[Nombre]]))))</f>
        <v>1</v>
      </c>
      <c r="R16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2" s="23" t="str" cm="1">
        <f t="array" ref="S16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2" s="23" t="str" cm="1">
        <f t="array" ref="T16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2" s="14" t="str" cm="1">
        <f t="array" ref="U16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2" t="str" cm="1">
        <f t="array" ref="V16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2" t="str" cm="1">
        <f t="array" ref="W16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2" t="str">
        <f>IF(COUNTIFS('Base Estudiantes'!$C:$C,tblMatriculas[[#This Row],[Cédula]],'Base Estudiantes'!$I:$I,tblMatriculas[[#This Row],[Código]])&gt;0,"Sí","No")</f>
        <v>Sí</v>
      </c>
      <c r="Z1672" s="23" cm="1">
        <f t="array" ref="Z1672">_xlfn.XLOOKUP(tblMatriculas[[#This Row],[Cédula]]&amp;"|"&amp;tblMatriculas[[#This Row],[Código]],tblBase[Documento]&amp;"|"&amp;tblBase[Código grupo],tblBase[Fecha matrícula],"")</f>
        <v>46262</v>
      </c>
    </row>
    <row r="1673" spans="1:26" x14ac:dyDescent="0.2">
      <c r="A1673" t="s">
        <v>3499</v>
      </c>
      <c r="B1673" t="s">
        <v>3500</v>
      </c>
      <c r="C1673" t="s">
        <v>13</v>
      </c>
      <c r="D1673" t="s">
        <v>3439</v>
      </c>
      <c r="E1673" t="s">
        <v>3440</v>
      </c>
      <c r="F1673" t="s">
        <v>16</v>
      </c>
      <c r="G1673" s="1">
        <v>0.17800000000000002</v>
      </c>
      <c r="H1673" t="s">
        <v>39</v>
      </c>
      <c r="I1673" t="s">
        <v>3169</v>
      </c>
      <c r="J1673" t="s">
        <v>3170</v>
      </c>
      <c r="K1673" t="s">
        <v>24</v>
      </c>
      <c r="L1673" s="14">
        <f>IFERROR(VALUE(LEFT(tblMatriculas[[#This Row],[Clases]],FIND("/",tblMatriculas[[#This Row],[Clases]])-1)),"")</f>
        <v>8</v>
      </c>
      <c r="M1673" s="14">
        <f>IFERROR(VALUE(MID(tblMatriculas[[#This Row],[Clases]],FIND("/",tblMatriculas[[#This Row],[Clases]])+1,5)),"")</f>
        <v>45</v>
      </c>
      <c r="N16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73" s="14">
        <f>IF(OR(tblMatriculas[[#This Row],[Estado]]&lt;&gt;"activa",tblMatriculas[[#This Row],[Clases dictadas]]=""),"",MAX(0,tblMatriculas[[#This Row],[Clases dictadas]]-tblMatriculas[[#This Row],[Asistidas]]))</f>
        <v>1</v>
      </c>
      <c r="P1673" s="1">
        <f>IF(OR(tblMatriculas[[#This Row],[Estado]]&lt;&gt;"activa",tblMatriculas[[#This Row],[Asistidas]]=""),"",tblMatriculas[[#This Row],[Asistencia]])</f>
        <v>0.17800000000000002</v>
      </c>
      <c r="Q1673" t="b">
        <f>AND(tblMatriculas[[#This Row],[Estado]]="activa",ISNUMBER(tblMatriculas[[#This Row],[% asistencia]]),NOT(ISNUMBER(SEARCH(pPrueba,tblMatriculas[[#This Row],[Nombre]]))))</f>
        <v>1</v>
      </c>
      <c r="R16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3" s="23" t="str" cm="1">
        <f t="array" ref="S16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3" s="23" t="str" cm="1">
        <f t="array" ref="T16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3" s="14" t="str" cm="1">
        <f t="array" ref="U16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3" t="str" cm="1">
        <f t="array" ref="V16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3" t="str" cm="1">
        <f t="array" ref="W16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3" t="str">
        <f>IF(COUNTIFS('Base Estudiantes'!$C:$C,tblMatriculas[[#This Row],[Cédula]],'Base Estudiantes'!$I:$I,tblMatriculas[[#This Row],[Código]])&gt;0,"Sí","No")</f>
        <v>Sí</v>
      </c>
      <c r="Z1673" s="23" cm="1">
        <f t="array" ref="Z1673">_xlfn.XLOOKUP(tblMatriculas[[#This Row],[Cédula]]&amp;"|"&amp;tblMatriculas[[#This Row],[Código]],tblBase[Documento]&amp;"|"&amp;tblBase[Código grupo],tblBase[Fecha matrícula],"")</f>
        <v>46263</v>
      </c>
    </row>
    <row r="1674" spans="1:26" x14ac:dyDescent="0.2">
      <c r="A1674" t="s">
        <v>3501</v>
      </c>
      <c r="B1674" t="s">
        <v>3502</v>
      </c>
      <c r="C1674" t="s">
        <v>13</v>
      </c>
      <c r="D1674" t="s">
        <v>3439</v>
      </c>
      <c r="E1674" t="s">
        <v>3440</v>
      </c>
      <c r="F1674" t="s">
        <v>16</v>
      </c>
      <c r="G1674" s="1">
        <v>0.17800000000000002</v>
      </c>
      <c r="H1674" t="s">
        <v>39</v>
      </c>
      <c r="I1674" t="s">
        <v>3169</v>
      </c>
      <c r="J1674" t="s">
        <v>3170</v>
      </c>
      <c r="K1674" t="s">
        <v>24</v>
      </c>
      <c r="L1674" s="14">
        <f>IFERROR(VALUE(LEFT(tblMatriculas[[#This Row],[Clases]],FIND("/",tblMatriculas[[#This Row],[Clases]])-1)),"")</f>
        <v>8</v>
      </c>
      <c r="M1674" s="14">
        <f>IFERROR(VALUE(MID(tblMatriculas[[#This Row],[Clases]],FIND("/",tblMatriculas[[#This Row],[Clases]])+1,5)),"")</f>
        <v>45</v>
      </c>
      <c r="N16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74" s="14">
        <f>IF(OR(tblMatriculas[[#This Row],[Estado]]&lt;&gt;"activa",tblMatriculas[[#This Row],[Clases dictadas]]=""),"",MAX(0,tblMatriculas[[#This Row],[Clases dictadas]]-tblMatriculas[[#This Row],[Asistidas]]))</f>
        <v>1</v>
      </c>
      <c r="P1674" s="1">
        <f>IF(OR(tblMatriculas[[#This Row],[Estado]]&lt;&gt;"activa",tblMatriculas[[#This Row],[Asistidas]]=""),"",tblMatriculas[[#This Row],[Asistencia]])</f>
        <v>0.17800000000000002</v>
      </c>
      <c r="Q1674" t="b">
        <f>AND(tblMatriculas[[#This Row],[Estado]]="activa",ISNUMBER(tblMatriculas[[#This Row],[% asistencia]]),NOT(ISNUMBER(SEARCH(pPrueba,tblMatriculas[[#This Row],[Nombre]]))))</f>
        <v>1</v>
      </c>
      <c r="R16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4" s="23" t="str" cm="1">
        <f t="array" ref="S16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4" s="23" t="str" cm="1">
        <f t="array" ref="T16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4" s="14" t="str" cm="1">
        <f t="array" ref="U16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4" t="str" cm="1">
        <f t="array" ref="V16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4" t="str" cm="1">
        <f t="array" ref="W16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4" t="str">
        <f>IF(COUNTIFS('Base Estudiantes'!$C:$C,tblMatriculas[[#This Row],[Cédula]],'Base Estudiantes'!$I:$I,tblMatriculas[[#This Row],[Código]])&gt;0,"Sí","No")</f>
        <v>Sí</v>
      </c>
      <c r="Z1674" s="23" cm="1">
        <f t="array" ref="Z1674">_xlfn.XLOOKUP(tblMatriculas[[#This Row],[Cédula]]&amp;"|"&amp;tblMatriculas[[#This Row],[Código]],tblBase[Documento]&amp;"|"&amp;tblBase[Código grupo],tblBase[Fecha matrícula],"")</f>
        <v>46265</v>
      </c>
    </row>
    <row r="1675" spans="1:26" x14ac:dyDescent="0.2">
      <c r="A1675" t="s">
        <v>1139</v>
      </c>
      <c r="B1675" t="s">
        <v>1140</v>
      </c>
      <c r="C1675" t="s">
        <v>49</v>
      </c>
      <c r="D1675" t="s">
        <v>3503</v>
      </c>
      <c r="E1675" t="s">
        <v>3504</v>
      </c>
      <c r="F1675" t="s">
        <v>1863</v>
      </c>
      <c r="G1675" s="1">
        <v>2.2000000000000002E-2</v>
      </c>
      <c r="H1675" t="s">
        <v>23</v>
      </c>
      <c r="I1675" t="s">
        <v>3505</v>
      </c>
      <c r="J1675" t="s">
        <v>3506</v>
      </c>
      <c r="K1675" t="s">
        <v>3507</v>
      </c>
      <c r="L1675" s="14">
        <f>IFERROR(VALUE(LEFT(tblMatriculas[[#This Row],[Clases]],FIND("/",tblMatriculas[[#This Row],[Clases]])-1)),"")</f>
        <v>1</v>
      </c>
      <c r="M1675" s="14">
        <f>IFERROR(VALUE(MID(tblMatriculas[[#This Row],[Clases]],FIND("/",tblMatriculas[[#This Row],[Clases]])+1,5)),"")</f>
        <v>45</v>
      </c>
      <c r="N16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75" s="14" t="str">
        <f>IF(OR(tblMatriculas[[#This Row],[Estado]]&lt;&gt;"activa",tblMatriculas[[#This Row],[Clases dictadas]]=""),"",MAX(0,tblMatriculas[[#This Row],[Clases dictadas]]-tblMatriculas[[#This Row],[Asistidas]]))</f>
        <v/>
      </c>
      <c r="P1675" s="1" t="str">
        <f>IF(OR(tblMatriculas[[#This Row],[Estado]]&lt;&gt;"activa",tblMatriculas[[#This Row],[Asistidas]]=""),"",tblMatriculas[[#This Row],[Asistencia]])</f>
        <v/>
      </c>
      <c r="Q1675" t="b">
        <f>AND(tblMatriculas[[#This Row],[Estado]]="activa",ISNUMBER(tblMatriculas[[#This Row],[% asistencia]]),NOT(ISNUMBER(SEARCH(pPrueba,tblMatriculas[[#This Row],[Nombre]]))))</f>
        <v>0</v>
      </c>
      <c r="R16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75" s="23" t="str" cm="1">
        <f t="array" ref="S16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5" s="23" t="str" cm="1">
        <f t="array" ref="T16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5" s="14" t="str" cm="1">
        <f t="array" ref="U16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5" t="str" cm="1">
        <f t="array" ref="V16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5" t="str" cm="1">
        <f t="array" ref="W16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5" t="str">
        <f>IF(COUNTIFS('Base Estudiantes'!$C:$C,tblMatriculas[[#This Row],[Cédula]],'Base Estudiantes'!$I:$I,tblMatriculas[[#This Row],[Código]])&gt;0,"Sí","No")</f>
        <v>No</v>
      </c>
      <c r="Z1675" s="23" t="str" cm="1">
        <f t="array" ref="Z1675">_xlfn.XLOOKUP(tblMatriculas[[#This Row],[Cédula]]&amp;"|"&amp;tblMatriculas[[#This Row],[Código]],tblBase[Documento]&amp;"|"&amp;tblBase[Código grupo],tblBase[Fecha matrícula],"")</f>
        <v/>
      </c>
    </row>
    <row r="1676" spans="1:26" x14ac:dyDescent="0.2">
      <c r="A1676" t="s">
        <v>3508</v>
      </c>
      <c r="B1676" t="s">
        <v>3509</v>
      </c>
      <c r="C1676" t="s">
        <v>13</v>
      </c>
      <c r="D1676" t="s">
        <v>3503</v>
      </c>
      <c r="E1676" t="s">
        <v>3504</v>
      </c>
      <c r="F1676" t="s">
        <v>1863</v>
      </c>
      <c r="G1676" s="1">
        <v>0.13300000000000001</v>
      </c>
      <c r="H1676" t="s">
        <v>36</v>
      </c>
      <c r="I1676" t="s">
        <v>3505</v>
      </c>
      <c r="J1676" t="s">
        <v>3506</v>
      </c>
      <c r="K1676" t="s">
        <v>24</v>
      </c>
      <c r="L1676" s="14">
        <f>IFERROR(VALUE(LEFT(tblMatriculas[[#This Row],[Clases]],FIND("/",tblMatriculas[[#This Row],[Clases]])-1)),"")</f>
        <v>6</v>
      </c>
      <c r="M1676" s="14">
        <f>IFERROR(VALUE(MID(tblMatriculas[[#This Row],[Clases]],FIND("/",tblMatriculas[[#This Row],[Clases]])+1,5)),"")</f>
        <v>45</v>
      </c>
      <c r="N16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76" s="14">
        <f>IF(OR(tblMatriculas[[#This Row],[Estado]]&lt;&gt;"activa",tblMatriculas[[#This Row],[Clases dictadas]]=""),"",MAX(0,tblMatriculas[[#This Row],[Clases dictadas]]-tblMatriculas[[#This Row],[Asistidas]]))</f>
        <v>0</v>
      </c>
      <c r="P1676" s="1">
        <f>IF(OR(tblMatriculas[[#This Row],[Estado]]&lt;&gt;"activa",tblMatriculas[[#This Row],[Asistidas]]=""),"",tblMatriculas[[#This Row],[Asistencia]])</f>
        <v>0.13300000000000001</v>
      </c>
      <c r="Q1676" t="b">
        <f>AND(tblMatriculas[[#This Row],[Estado]]="activa",ISNUMBER(tblMatriculas[[#This Row],[% asistencia]]),NOT(ISNUMBER(SEARCH(pPrueba,tblMatriculas[[#This Row],[Nombre]]))))</f>
        <v>1</v>
      </c>
      <c r="R16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6" s="23" t="str" cm="1">
        <f t="array" ref="S16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6" s="23" t="str" cm="1">
        <f t="array" ref="T16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6" s="14" t="str" cm="1">
        <f t="array" ref="U16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6" t="str" cm="1">
        <f t="array" ref="V16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6" t="str" cm="1">
        <f t="array" ref="W16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6" t="str">
        <f>IF(COUNTIFS('Base Estudiantes'!$C:$C,tblMatriculas[[#This Row],[Cédula]],'Base Estudiantes'!$I:$I,tblMatriculas[[#This Row],[Código]])&gt;0,"Sí","No")</f>
        <v>Sí</v>
      </c>
      <c r="Z1676" s="23" cm="1">
        <f t="array" ref="Z1676">_xlfn.XLOOKUP(tblMatriculas[[#This Row],[Cédula]]&amp;"|"&amp;tblMatriculas[[#This Row],[Código]],tblBase[Documento]&amp;"|"&amp;tblBase[Código grupo],tblBase[Fecha matrícula],"")</f>
        <v>46262</v>
      </c>
    </row>
    <row r="1677" spans="1:26" x14ac:dyDescent="0.2">
      <c r="A1677" t="s">
        <v>3510</v>
      </c>
      <c r="B1677" t="s">
        <v>3511</v>
      </c>
      <c r="C1677" t="s">
        <v>13</v>
      </c>
      <c r="D1677" t="s">
        <v>3503</v>
      </c>
      <c r="E1677" t="s">
        <v>3504</v>
      </c>
      <c r="F1677" t="s">
        <v>1863</v>
      </c>
      <c r="G1677" s="1">
        <v>0.13300000000000001</v>
      </c>
      <c r="H1677" t="s">
        <v>36</v>
      </c>
      <c r="I1677" t="s">
        <v>3505</v>
      </c>
      <c r="J1677" t="s">
        <v>3506</v>
      </c>
      <c r="K1677" t="s">
        <v>24</v>
      </c>
      <c r="L1677" s="14">
        <f>IFERROR(VALUE(LEFT(tblMatriculas[[#This Row],[Clases]],FIND("/",tblMatriculas[[#This Row],[Clases]])-1)),"")</f>
        <v>6</v>
      </c>
      <c r="M1677" s="14">
        <f>IFERROR(VALUE(MID(tblMatriculas[[#This Row],[Clases]],FIND("/",tblMatriculas[[#This Row],[Clases]])+1,5)),"")</f>
        <v>45</v>
      </c>
      <c r="N16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77" s="14">
        <f>IF(OR(tblMatriculas[[#This Row],[Estado]]&lt;&gt;"activa",tblMatriculas[[#This Row],[Clases dictadas]]=""),"",MAX(0,tblMatriculas[[#This Row],[Clases dictadas]]-tblMatriculas[[#This Row],[Asistidas]]))</f>
        <v>0</v>
      </c>
      <c r="P1677" s="1">
        <f>IF(OR(tblMatriculas[[#This Row],[Estado]]&lt;&gt;"activa",tblMatriculas[[#This Row],[Asistidas]]=""),"",tblMatriculas[[#This Row],[Asistencia]])</f>
        <v>0.13300000000000001</v>
      </c>
      <c r="Q1677" t="b">
        <f>AND(tblMatriculas[[#This Row],[Estado]]="activa",ISNUMBER(tblMatriculas[[#This Row],[% asistencia]]),NOT(ISNUMBER(SEARCH(pPrueba,tblMatriculas[[#This Row],[Nombre]]))))</f>
        <v>1</v>
      </c>
      <c r="R16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7" s="23" t="str" cm="1">
        <f t="array" ref="S16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7" s="23" t="str" cm="1">
        <f t="array" ref="T16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7" s="14" t="str" cm="1">
        <f t="array" ref="U16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7" t="str" cm="1">
        <f t="array" ref="V16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7" t="str" cm="1">
        <f t="array" ref="W16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7" t="str">
        <f>IF(COUNTIFS('Base Estudiantes'!$C:$C,tblMatriculas[[#This Row],[Cédula]],'Base Estudiantes'!$I:$I,tblMatriculas[[#This Row],[Código]])&gt;0,"Sí","No")</f>
        <v>Sí</v>
      </c>
      <c r="Z1677" s="23" cm="1">
        <f t="array" ref="Z1677">_xlfn.XLOOKUP(tblMatriculas[[#This Row],[Cédula]]&amp;"|"&amp;tblMatriculas[[#This Row],[Código]],tblBase[Documento]&amp;"|"&amp;tblBase[Código grupo],tblBase[Fecha matrícula],"")</f>
        <v>46262</v>
      </c>
    </row>
    <row r="1678" spans="1:26" x14ac:dyDescent="0.2">
      <c r="A1678" t="s">
        <v>3512</v>
      </c>
      <c r="B1678" t="s">
        <v>3513</v>
      </c>
      <c r="C1678" t="s">
        <v>13</v>
      </c>
      <c r="D1678" t="s">
        <v>3503</v>
      </c>
      <c r="E1678" t="s">
        <v>3504</v>
      </c>
      <c r="F1678" t="s">
        <v>1863</v>
      </c>
      <c r="G1678" s="1">
        <v>0.111</v>
      </c>
      <c r="H1678" t="s">
        <v>55</v>
      </c>
      <c r="I1678" t="s">
        <v>3505</v>
      </c>
      <c r="J1678" t="s">
        <v>3506</v>
      </c>
      <c r="K1678" t="s">
        <v>24</v>
      </c>
      <c r="L1678" s="14">
        <f>IFERROR(VALUE(LEFT(tblMatriculas[[#This Row],[Clases]],FIND("/",tblMatriculas[[#This Row],[Clases]])-1)),"")</f>
        <v>5</v>
      </c>
      <c r="M1678" s="14">
        <f>IFERROR(VALUE(MID(tblMatriculas[[#This Row],[Clases]],FIND("/",tblMatriculas[[#This Row],[Clases]])+1,5)),"")</f>
        <v>45</v>
      </c>
      <c r="N16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78" s="14">
        <f>IF(OR(tblMatriculas[[#This Row],[Estado]]&lt;&gt;"activa",tblMatriculas[[#This Row],[Clases dictadas]]=""),"",MAX(0,tblMatriculas[[#This Row],[Clases dictadas]]-tblMatriculas[[#This Row],[Asistidas]]))</f>
        <v>1</v>
      </c>
      <c r="P1678" s="1">
        <f>IF(OR(tblMatriculas[[#This Row],[Estado]]&lt;&gt;"activa",tblMatriculas[[#This Row],[Asistidas]]=""),"",tblMatriculas[[#This Row],[Asistencia]])</f>
        <v>0.111</v>
      </c>
      <c r="Q1678" t="b">
        <f>AND(tblMatriculas[[#This Row],[Estado]]="activa",ISNUMBER(tblMatriculas[[#This Row],[% asistencia]]),NOT(ISNUMBER(SEARCH(pPrueba,tblMatriculas[[#This Row],[Nombre]]))))</f>
        <v>1</v>
      </c>
      <c r="R16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8" s="23" t="str" cm="1">
        <f t="array" ref="S16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8" s="23" t="str" cm="1">
        <f t="array" ref="T16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8" s="14" t="str" cm="1">
        <f t="array" ref="U16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8" t="str" cm="1">
        <f t="array" ref="V16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8" t="str" cm="1">
        <f t="array" ref="W16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8" t="str">
        <f>IF(COUNTIFS('Base Estudiantes'!$C:$C,tblMatriculas[[#This Row],[Cédula]],'Base Estudiantes'!$I:$I,tblMatriculas[[#This Row],[Código]])&gt;0,"Sí","No")</f>
        <v>Sí</v>
      </c>
      <c r="Z1678" s="23" cm="1">
        <f t="array" ref="Z1678">_xlfn.XLOOKUP(tblMatriculas[[#This Row],[Cédula]]&amp;"|"&amp;tblMatriculas[[#This Row],[Código]],tblBase[Documento]&amp;"|"&amp;tblBase[Código grupo],tblBase[Fecha matrícula],"")</f>
        <v>46262</v>
      </c>
    </row>
    <row r="1679" spans="1:26" x14ac:dyDescent="0.2">
      <c r="A1679" t="s">
        <v>3514</v>
      </c>
      <c r="B1679" t="s">
        <v>3515</v>
      </c>
      <c r="C1679" t="s">
        <v>13</v>
      </c>
      <c r="D1679" t="s">
        <v>3503</v>
      </c>
      <c r="E1679" t="s">
        <v>3504</v>
      </c>
      <c r="F1679" t="s">
        <v>1863</v>
      </c>
      <c r="G1679" s="1">
        <v>0.13300000000000001</v>
      </c>
      <c r="H1679" t="s">
        <v>36</v>
      </c>
      <c r="I1679" t="s">
        <v>3505</v>
      </c>
      <c r="J1679" t="s">
        <v>3506</v>
      </c>
      <c r="K1679" t="s">
        <v>24</v>
      </c>
      <c r="L1679" s="14">
        <f>IFERROR(VALUE(LEFT(tblMatriculas[[#This Row],[Clases]],FIND("/",tblMatriculas[[#This Row],[Clases]])-1)),"")</f>
        <v>6</v>
      </c>
      <c r="M1679" s="14">
        <f>IFERROR(VALUE(MID(tblMatriculas[[#This Row],[Clases]],FIND("/",tblMatriculas[[#This Row],[Clases]])+1,5)),"")</f>
        <v>45</v>
      </c>
      <c r="N16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79" s="14">
        <f>IF(OR(tblMatriculas[[#This Row],[Estado]]&lt;&gt;"activa",tblMatriculas[[#This Row],[Clases dictadas]]=""),"",MAX(0,tblMatriculas[[#This Row],[Clases dictadas]]-tblMatriculas[[#This Row],[Asistidas]]))</f>
        <v>0</v>
      </c>
      <c r="P1679" s="1">
        <f>IF(OR(tblMatriculas[[#This Row],[Estado]]&lt;&gt;"activa",tblMatriculas[[#This Row],[Asistidas]]=""),"",tblMatriculas[[#This Row],[Asistencia]])</f>
        <v>0.13300000000000001</v>
      </c>
      <c r="Q1679" t="b">
        <f>AND(tblMatriculas[[#This Row],[Estado]]="activa",ISNUMBER(tblMatriculas[[#This Row],[% asistencia]]),NOT(ISNUMBER(SEARCH(pPrueba,tblMatriculas[[#This Row],[Nombre]]))))</f>
        <v>1</v>
      </c>
      <c r="R16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79" s="23" t="str" cm="1">
        <f t="array" ref="S16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79" s="23" t="str" cm="1">
        <f t="array" ref="T16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79" s="14" t="str" cm="1">
        <f t="array" ref="U16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79" t="str" cm="1">
        <f t="array" ref="V16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79" t="str" cm="1">
        <f t="array" ref="W16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79" t="str">
        <f>IF(COUNTIFS('Base Estudiantes'!$C:$C,tblMatriculas[[#This Row],[Cédula]],'Base Estudiantes'!$I:$I,tblMatriculas[[#This Row],[Código]])&gt;0,"Sí","No")</f>
        <v>Sí</v>
      </c>
      <c r="Z1679" s="23" cm="1">
        <f t="array" ref="Z1679">_xlfn.XLOOKUP(tblMatriculas[[#This Row],[Cédula]]&amp;"|"&amp;tblMatriculas[[#This Row],[Código]],tblBase[Documento]&amp;"|"&amp;tblBase[Código grupo],tblBase[Fecha matrícula],"")</f>
        <v>46262</v>
      </c>
    </row>
    <row r="1680" spans="1:26" x14ac:dyDescent="0.2">
      <c r="A1680" t="s">
        <v>3516</v>
      </c>
      <c r="B1680" t="s">
        <v>3517</v>
      </c>
      <c r="C1680" t="s">
        <v>13</v>
      </c>
      <c r="D1680" t="s">
        <v>3503</v>
      </c>
      <c r="E1680" t="s">
        <v>3504</v>
      </c>
      <c r="F1680" t="s">
        <v>1863</v>
      </c>
      <c r="G1680" s="1">
        <v>0.13300000000000001</v>
      </c>
      <c r="H1680" t="s">
        <v>36</v>
      </c>
      <c r="I1680" t="s">
        <v>3505</v>
      </c>
      <c r="J1680" t="s">
        <v>3506</v>
      </c>
      <c r="K1680" t="s">
        <v>24</v>
      </c>
      <c r="L1680" s="14">
        <f>IFERROR(VALUE(LEFT(tblMatriculas[[#This Row],[Clases]],FIND("/",tblMatriculas[[#This Row],[Clases]])-1)),"")</f>
        <v>6</v>
      </c>
      <c r="M1680" s="14">
        <f>IFERROR(VALUE(MID(tblMatriculas[[#This Row],[Clases]],FIND("/",tblMatriculas[[#This Row],[Clases]])+1,5)),"")</f>
        <v>45</v>
      </c>
      <c r="N16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0" s="14">
        <f>IF(OR(tblMatriculas[[#This Row],[Estado]]&lt;&gt;"activa",tblMatriculas[[#This Row],[Clases dictadas]]=""),"",MAX(0,tblMatriculas[[#This Row],[Clases dictadas]]-tblMatriculas[[#This Row],[Asistidas]]))</f>
        <v>0</v>
      </c>
      <c r="P1680" s="1">
        <f>IF(OR(tblMatriculas[[#This Row],[Estado]]&lt;&gt;"activa",tblMatriculas[[#This Row],[Asistidas]]=""),"",tblMatriculas[[#This Row],[Asistencia]])</f>
        <v>0.13300000000000001</v>
      </c>
      <c r="Q1680" t="b">
        <f>AND(tblMatriculas[[#This Row],[Estado]]="activa",ISNUMBER(tblMatriculas[[#This Row],[% asistencia]]),NOT(ISNUMBER(SEARCH(pPrueba,tblMatriculas[[#This Row],[Nombre]]))))</f>
        <v>1</v>
      </c>
      <c r="R16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0" s="23" t="str" cm="1">
        <f t="array" ref="S16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0" s="23" t="str" cm="1">
        <f t="array" ref="T16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0" s="14" t="str" cm="1">
        <f t="array" ref="U16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0" t="str" cm="1">
        <f t="array" ref="V16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0" t="str" cm="1">
        <f t="array" ref="W16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0" t="str">
        <f>IF(COUNTIFS('Base Estudiantes'!$C:$C,tblMatriculas[[#This Row],[Cédula]],'Base Estudiantes'!$I:$I,tblMatriculas[[#This Row],[Código]])&gt;0,"Sí","No")</f>
        <v>Sí</v>
      </c>
      <c r="Z1680" s="23" cm="1">
        <f t="array" ref="Z1680">_xlfn.XLOOKUP(tblMatriculas[[#This Row],[Cédula]]&amp;"|"&amp;tblMatriculas[[#This Row],[Código]],tblBase[Documento]&amp;"|"&amp;tblBase[Código grupo],tblBase[Fecha matrícula],"")</f>
        <v>46262</v>
      </c>
    </row>
    <row r="1681" spans="1:26" x14ac:dyDescent="0.2">
      <c r="A1681" t="s">
        <v>3518</v>
      </c>
      <c r="B1681" t="s">
        <v>3519</v>
      </c>
      <c r="C1681" t="s">
        <v>13</v>
      </c>
      <c r="D1681" t="s">
        <v>3503</v>
      </c>
      <c r="E1681" t="s">
        <v>3504</v>
      </c>
      <c r="F1681" t="s">
        <v>1863</v>
      </c>
      <c r="G1681" s="1">
        <v>2.2000000000000002E-2</v>
      </c>
      <c r="H1681" t="s">
        <v>23</v>
      </c>
      <c r="I1681" t="s">
        <v>3505</v>
      </c>
      <c r="J1681" t="s">
        <v>3506</v>
      </c>
      <c r="K1681" t="s">
        <v>24</v>
      </c>
      <c r="L1681" s="14">
        <f>IFERROR(VALUE(LEFT(tblMatriculas[[#This Row],[Clases]],FIND("/",tblMatriculas[[#This Row],[Clases]])-1)),"")</f>
        <v>1</v>
      </c>
      <c r="M1681" s="14">
        <f>IFERROR(VALUE(MID(tblMatriculas[[#This Row],[Clases]],FIND("/",tblMatriculas[[#This Row],[Clases]])+1,5)),"")</f>
        <v>45</v>
      </c>
      <c r="N16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1" s="14">
        <f>IF(OR(tblMatriculas[[#This Row],[Estado]]&lt;&gt;"activa",tblMatriculas[[#This Row],[Clases dictadas]]=""),"",MAX(0,tblMatriculas[[#This Row],[Clases dictadas]]-tblMatriculas[[#This Row],[Asistidas]]))</f>
        <v>5</v>
      </c>
      <c r="P1681" s="1">
        <f>IF(OR(tblMatriculas[[#This Row],[Estado]]&lt;&gt;"activa",tblMatriculas[[#This Row],[Asistidas]]=""),"",tblMatriculas[[#This Row],[Asistencia]])</f>
        <v>2.2000000000000002E-2</v>
      </c>
      <c r="Q1681" t="b">
        <f>AND(tblMatriculas[[#This Row],[Estado]]="activa",ISNUMBER(tblMatriculas[[#This Row],[% asistencia]]),NOT(ISNUMBER(SEARCH(pPrueba,tblMatriculas[[#This Row],[Nombre]]))))</f>
        <v>1</v>
      </c>
      <c r="R16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81" s="23" t="str" cm="1">
        <f t="array" ref="S16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1" s="23" t="str" cm="1">
        <f t="array" ref="T16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1" s="14" t="str" cm="1">
        <f t="array" ref="U16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1" t="str" cm="1">
        <f t="array" ref="V16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1" t="str" cm="1">
        <f t="array" ref="W16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81" t="str">
        <f>IF(COUNTIFS('Base Estudiantes'!$C:$C,tblMatriculas[[#This Row],[Cédula]],'Base Estudiantes'!$I:$I,tblMatriculas[[#This Row],[Código]])&gt;0,"Sí","No")</f>
        <v>Sí</v>
      </c>
      <c r="Z1681" s="23" cm="1">
        <f t="array" ref="Z1681">_xlfn.XLOOKUP(tblMatriculas[[#This Row],[Cédula]]&amp;"|"&amp;tblMatriculas[[#This Row],[Código]],tblBase[Documento]&amp;"|"&amp;tblBase[Código grupo],tblBase[Fecha matrícula],"")</f>
        <v>46262</v>
      </c>
    </row>
    <row r="1682" spans="1:26" x14ac:dyDescent="0.2">
      <c r="A1682" t="s">
        <v>3520</v>
      </c>
      <c r="B1682" t="s">
        <v>3521</v>
      </c>
      <c r="C1682" t="s">
        <v>13</v>
      </c>
      <c r="D1682" t="s">
        <v>3503</v>
      </c>
      <c r="E1682" t="s">
        <v>3504</v>
      </c>
      <c r="F1682" t="s">
        <v>1863</v>
      </c>
      <c r="G1682" s="1">
        <v>4.4000000000000004E-2</v>
      </c>
      <c r="H1682" t="s">
        <v>76</v>
      </c>
      <c r="I1682" t="s">
        <v>3505</v>
      </c>
      <c r="J1682" t="s">
        <v>3506</v>
      </c>
      <c r="K1682" t="s">
        <v>24</v>
      </c>
      <c r="L1682" s="14">
        <f>IFERROR(VALUE(LEFT(tblMatriculas[[#This Row],[Clases]],FIND("/",tblMatriculas[[#This Row],[Clases]])-1)),"")</f>
        <v>2</v>
      </c>
      <c r="M1682" s="14">
        <f>IFERROR(VALUE(MID(tblMatriculas[[#This Row],[Clases]],FIND("/",tblMatriculas[[#This Row],[Clases]])+1,5)),"")</f>
        <v>45</v>
      </c>
      <c r="N16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2" s="14">
        <f>IF(OR(tblMatriculas[[#This Row],[Estado]]&lt;&gt;"activa",tblMatriculas[[#This Row],[Clases dictadas]]=""),"",MAX(0,tblMatriculas[[#This Row],[Clases dictadas]]-tblMatriculas[[#This Row],[Asistidas]]))</f>
        <v>4</v>
      </c>
      <c r="P1682" s="1">
        <f>IF(OR(tblMatriculas[[#This Row],[Estado]]&lt;&gt;"activa",tblMatriculas[[#This Row],[Asistidas]]=""),"",tblMatriculas[[#This Row],[Asistencia]])</f>
        <v>4.4000000000000004E-2</v>
      </c>
      <c r="Q1682" t="b">
        <f>AND(tblMatriculas[[#This Row],[Estado]]="activa",ISNUMBER(tblMatriculas[[#This Row],[% asistencia]]),NOT(ISNUMBER(SEARCH(pPrueba,tblMatriculas[[#This Row],[Nombre]]))))</f>
        <v>1</v>
      </c>
      <c r="R16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682" s="23" t="str" cm="1">
        <f t="array" ref="S16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2" s="23" t="str" cm="1">
        <f t="array" ref="T16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2" s="14" t="str" cm="1">
        <f t="array" ref="U16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2" t="str" cm="1">
        <f t="array" ref="V16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2" t="str" cm="1">
        <f t="array" ref="W16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6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682" t="str">
        <f>IF(COUNTIFS('Base Estudiantes'!$C:$C,tblMatriculas[[#This Row],[Cédula]],'Base Estudiantes'!$I:$I,tblMatriculas[[#This Row],[Código]])&gt;0,"Sí","No")</f>
        <v>Sí</v>
      </c>
      <c r="Z1682" s="23" cm="1">
        <f t="array" ref="Z1682">_xlfn.XLOOKUP(tblMatriculas[[#This Row],[Cédula]]&amp;"|"&amp;tblMatriculas[[#This Row],[Código]],tblBase[Documento]&amp;"|"&amp;tblBase[Código grupo],tblBase[Fecha matrícula],"")</f>
        <v>46262</v>
      </c>
    </row>
    <row r="1683" spans="1:26" x14ac:dyDescent="0.2">
      <c r="A1683" t="s">
        <v>3522</v>
      </c>
      <c r="B1683" t="s">
        <v>3523</v>
      </c>
      <c r="C1683" t="s">
        <v>13</v>
      </c>
      <c r="D1683" t="s">
        <v>3503</v>
      </c>
      <c r="E1683" t="s">
        <v>3504</v>
      </c>
      <c r="F1683" t="s">
        <v>1863</v>
      </c>
      <c r="G1683" s="1">
        <v>0.13300000000000001</v>
      </c>
      <c r="H1683" t="s">
        <v>36</v>
      </c>
      <c r="I1683" t="s">
        <v>3505</v>
      </c>
      <c r="J1683" t="s">
        <v>3506</v>
      </c>
      <c r="K1683" t="s">
        <v>24</v>
      </c>
      <c r="L1683" s="14">
        <f>IFERROR(VALUE(LEFT(tblMatriculas[[#This Row],[Clases]],FIND("/",tblMatriculas[[#This Row],[Clases]])-1)),"")</f>
        <v>6</v>
      </c>
      <c r="M1683" s="14">
        <f>IFERROR(VALUE(MID(tblMatriculas[[#This Row],[Clases]],FIND("/",tblMatriculas[[#This Row],[Clases]])+1,5)),"")</f>
        <v>45</v>
      </c>
      <c r="N16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3" s="14">
        <f>IF(OR(tblMatriculas[[#This Row],[Estado]]&lt;&gt;"activa",tblMatriculas[[#This Row],[Clases dictadas]]=""),"",MAX(0,tblMatriculas[[#This Row],[Clases dictadas]]-tblMatriculas[[#This Row],[Asistidas]]))</f>
        <v>0</v>
      </c>
      <c r="P1683" s="1">
        <f>IF(OR(tblMatriculas[[#This Row],[Estado]]&lt;&gt;"activa",tblMatriculas[[#This Row],[Asistidas]]=""),"",tblMatriculas[[#This Row],[Asistencia]])</f>
        <v>0.13300000000000001</v>
      </c>
      <c r="Q1683" t="b">
        <f>AND(tblMatriculas[[#This Row],[Estado]]="activa",ISNUMBER(tblMatriculas[[#This Row],[% asistencia]]),NOT(ISNUMBER(SEARCH(pPrueba,tblMatriculas[[#This Row],[Nombre]]))))</f>
        <v>1</v>
      </c>
      <c r="R16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3" s="23" t="str" cm="1">
        <f t="array" ref="S16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3" s="23" t="str" cm="1">
        <f t="array" ref="T16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3" s="14" t="str" cm="1">
        <f t="array" ref="U16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3" t="str" cm="1">
        <f t="array" ref="V16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3" t="str" cm="1">
        <f t="array" ref="W16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3" t="str">
        <f>IF(COUNTIFS('Base Estudiantes'!$C:$C,tblMatriculas[[#This Row],[Cédula]],'Base Estudiantes'!$I:$I,tblMatriculas[[#This Row],[Código]])&gt;0,"Sí","No")</f>
        <v>Sí</v>
      </c>
      <c r="Z1683" s="23" cm="1">
        <f t="array" ref="Z1683">_xlfn.XLOOKUP(tblMatriculas[[#This Row],[Cédula]]&amp;"|"&amp;tblMatriculas[[#This Row],[Código]],tblBase[Documento]&amp;"|"&amp;tblBase[Código grupo],tblBase[Fecha matrícula],"")</f>
        <v>46262</v>
      </c>
    </row>
    <row r="1684" spans="1:26" x14ac:dyDescent="0.2">
      <c r="A1684" t="s">
        <v>3524</v>
      </c>
      <c r="B1684" t="s">
        <v>3525</v>
      </c>
      <c r="C1684" t="s">
        <v>13</v>
      </c>
      <c r="D1684" t="s">
        <v>3503</v>
      </c>
      <c r="E1684" t="s">
        <v>3504</v>
      </c>
      <c r="F1684" t="s">
        <v>1863</v>
      </c>
      <c r="G1684" s="1">
        <v>2.2000000000000002E-2</v>
      </c>
      <c r="H1684" t="s">
        <v>23</v>
      </c>
      <c r="I1684" t="s">
        <v>3505</v>
      </c>
      <c r="J1684" t="s">
        <v>3506</v>
      </c>
      <c r="K1684" t="s">
        <v>24</v>
      </c>
      <c r="L1684" s="14">
        <f>IFERROR(VALUE(LEFT(tblMatriculas[[#This Row],[Clases]],FIND("/",tblMatriculas[[#This Row],[Clases]])-1)),"")</f>
        <v>1</v>
      </c>
      <c r="M1684" s="14">
        <f>IFERROR(VALUE(MID(tblMatriculas[[#This Row],[Clases]],FIND("/",tblMatriculas[[#This Row],[Clases]])+1,5)),"")</f>
        <v>45</v>
      </c>
      <c r="N16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4" s="14">
        <f>IF(OR(tblMatriculas[[#This Row],[Estado]]&lt;&gt;"activa",tblMatriculas[[#This Row],[Clases dictadas]]=""),"",MAX(0,tblMatriculas[[#This Row],[Clases dictadas]]-tblMatriculas[[#This Row],[Asistidas]]))</f>
        <v>5</v>
      </c>
      <c r="P1684" s="1">
        <f>IF(OR(tblMatriculas[[#This Row],[Estado]]&lt;&gt;"activa",tblMatriculas[[#This Row],[Asistidas]]=""),"",tblMatriculas[[#This Row],[Asistencia]])</f>
        <v>2.2000000000000002E-2</v>
      </c>
      <c r="Q1684" t="b">
        <f>AND(tblMatriculas[[#This Row],[Estado]]="activa",ISNUMBER(tblMatriculas[[#This Row],[% asistencia]]),NOT(ISNUMBER(SEARCH(pPrueba,tblMatriculas[[#This Row],[Nombre]]))))</f>
        <v>1</v>
      </c>
      <c r="R16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84" s="23" t="str" cm="1">
        <f t="array" ref="S16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4" s="23" t="str" cm="1">
        <f t="array" ref="T16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4" s="14" t="str" cm="1">
        <f t="array" ref="U16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4" t="str" cm="1">
        <f t="array" ref="V16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4" t="str" cm="1">
        <f t="array" ref="W16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84" t="str">
        <f>IF(COUNTIFS('Base Estudiantes'!$C:$C,tblMatriculas[[#This Row],[Cédula]],'Base Estudiantes'!$I:$I,tblMatriculas[[#This Row],[Código]])&gt;0,"Sí","No")</f>
        <v>Sí</v>
      </c>
      <c r="Z1684" s="23" cm="1">
        <f t="array" ref="Z1684">_xlfn.XLOOKUP(tblMatriculas[[#This Row],[Cédula]]&amp;"|"&amp;tblMatriculas[[#This Row],[Código]],tblBase[Documento]&amp;"|"&amp;tblBase[Código grupo],tblBase[Fecha matrícula],"")</f>
        <v>46262</v>
      </c>
    </row>
    <row r="1685" spans="1:26" x14ac:dyDescent="0.2">
      <c r="A1685" t="s">
        <v>3526</v>
      </c>
      <c r="B1685" t="s">
        <v>3527</v>
      </c>
      <c r="C1685" t="s">
        <v>13</v>
      </c>
      <c r="D1685" t="s">
        <v>3503</v>
      </c>
      <c r="E1685" t="s">
        <v>3504</v>
      </c>
      <c r="F1685" t="s">
        <v>1863</v>
      </c>
      <c r="G1685" s="1">
        <v>0.13300000000000001</v>
      </c>
      <c r="H1685" t="s">
        <v>36</v>
      </c>
      <c r="I1685" t="s">
        <v>3505</v>
      </c>
      <c r="J1685" t="s">
        <v>3506</v>
      </c>
      <c r="K1685" t="s">
        <v>24</v>
      </c>
      <c r="L1685" s="14">
        <f>IFERROR(VALUE(LEFT(tblMatriculas[[#This Row],[Clases]],FIND("/",tblMatriculas[[#This Row],[Clases]])-1)),"")</f>
        <v>6</v>
      </c>
      <c r="M1685" s="14">
        <f>IFERROR(VALUE(MID(tblMatriculas[[#This Row],[Clases]],FIND("/",tblMatriculas[[#This Row],[Clases]])+1,5)),"")</f>
        <v>45</v>
      </c>
      <c r="N16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5" s="14">
        <f>IF(OR(tblMatriculas[[#This Row],[Estado]]&lt;&gt;"activa",tblMatriculas[[#This Row],[Clases dictadas]]=""),"",MAX(0,tblMatriculas[[#This Row],[Clases dictadas]]-tblMatriculas[[#This Row],[Asistidas]]))</f>
        <v>0</v>
      </c>
      <c r="P1685" s="1">
        <f>IF(OR(tblMatriculas[[#This Row],[Estado]]&lt;&gt;"activa",tblMatriculas[[#This Row],[Asistidas]]=""),"",tblMatriculas[[#This Row],[Asistencia]])</f>
        <v>0.13300000000000001</v>
      </c>
      <c r="Q1685" t="b">
        <f>AND(tblMatriculas[[#This Row],[Estado]]="activa",ISNUMBER(tblMatriculas[[#This Row],[% asistencia]]),NOT(ISNUMBER(SEARCH(pPrueba,tblMatriculas[[#This Row],[Nombre]]))))</f>
        <v>1</v>
      </c>
      <c r="R16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5" s="23" t="str" cm="1">
        <f t="array" ref="S16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5" s="23" t="str" cm="1">
        <f t="array" ref="T16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5" s="14" t="str" cm="1">
        <f t="array" ref="U16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5" t="str" cm="1">
        <f t="array" ref="V16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5" t="str" cm="1">
        <f t="array" ref="W16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5" t="str">
        <f>IF(COUNTIFS('Base Estudiantes'!$C:$C,tblMatriculas[[#This Row],[Cédula]],'Base Estudiantes'!$I:$I,tblMatriculas[[#This Row],[Código]])&gt;0,"Sí","No")</f>
        <v>Sí</v>
      </c>
      <c r="Z1685" s="23" cm="1">
        <f t="array" ref="Z1685">_xlfn.XLOOKUP(tblMatriculas[[#This Row],[Cédula]]&amp;"|"&amp;tblMatriculas[[#This Row],[Código]],tblBase[Documento]&amp;"|"&amp;tblBase[Código grupo],tblBase[Fecha matrícula],"")</f>
        <v>46262</v>
      </c>
    </row>
    <row r="1686" spans="1:26" x14ac:dyDescent="0.2">
      <c r="A1686" t="s">
        <v>3528</v>
      </c>
      <c r="B1686" t="s">
        <v>3529</v>
      </c>
      <c r="C1686" t="s">
        <v>13</v>
      </c>
      <c r="D1686" t="s">
        <v>3503</v>
      </c>
      <c r="E1686" t="s">
        <v>3504</v>
      </c>
      <c r="F1686" t="s">
        <v>1863</v>
      </c>
      <c r="G1686" s="1">
        <v>0.13300000000000001</v>
      </c>
      <c r="H1686" t="s">
        <v>36</v>
      </c>
      <c r="I1686" t="s">
        <v>3505</v>
      </c>
      <c r="J1686" t="s">
        <v>3506</v>
      </c>
      <c r="K1686" t="s">
        <v>24</v>
      </c>
      <c r="L1686" s="14">
        <f>IFERROR(VALUE(LEFT(tblMatriculas[[#This Row],[Clases]],FIND("/",tblMatriculas[[#This Row],[Clases]])-1)),"")</f>
        <v>6</v>
      </c>
      <c r="M1686" s="14">
        <f>IFERROR(VALUE(MID(tblMatriculas[[#This Row],[Clases]],FIND("/",tblMatriculas[[#This Row],[Clases]])+1,5)),"")</f>
        <v>45</v>
      </c>
      <c r="N16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6" s="14">
        <f>IF(OR(tblMatriculas[[#This Row],[Estado]]&lt;&gt;"activa",tblMatriculas[[#This Row],[Clases dictadas]]=""),"",MAX(0,tblMatriculas[[#This Row],[Clases dictadas]]-tblMatriculas[[#This Row],[Asistidas]]))</f>
        <v>0</v>
      </c>
      <c r="P1686" s="1">
        <f>IF(OR(tblMatriculas[[#This Row],[Estado]]&lt;&gt;"activa",tblMatriculas[[#This Row],[Asistidas]]=""),"",tblMatriculas[[#This Row],[Asistencia]])</f>
        <v>0.13300000000000001</v>
      </c>
      <c r="Q1686" t="b">
        <f>AND(tblMatriculas[[#This Row],[Estado]]="activa",ISNUMBER(tblMatriculas[[#This Row],[% asistencia]]),NOT(ISNUMBER(SEARCH(pPrueba,tblMatriculas[[#This Row],[Nombre]]))))</f>
        <v>1</v>
      </c>
      <c r="R16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6" s="23" t="str" cm="1">
        <f t="array" ref="S16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6" s="23" t="str" cm="1">
        <f t="array" ref="T16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6" s="14" t="str" cm="1">
        <f t="array" ref="U16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6" t="str" cm="1">
        <f t="array" ref="V16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6" t="str" cm="1">
        <f t="array" ref="W16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6" t="str">
        <f>IF(COUNTIFS('Base Estudiantes'!$C:$C,tblMatriculas[[#This Row],[Cédula]],'Base Estudiantes'!$I:$I,tblMatriculas[[#This Row],[Código]])&gt;0,"Sí","No")</f>
        <v>Sí</v>
      </c>
      <c r="Z1686" s="23" cm="1">
        <f t="array" ref="Z1686">_xlfn.XLOOKUP(tblMatriculas[[#This Row],[Cédula]]&amp;"|"&amp;tblMatriculas[[#This Row],[Código]],tblBase[Documento]&amp;"|"&amp;tblBase[Código grupo],tblBase[Fecha matrícula],"")</f>
        <v>46262</v>
      </c>
    </row>
    <row r="1687" spans="1:26" x14ac:dyDescent="0.2">
      <c r="A1687" t="s">
        <v>1917</v>
      </c>
      <c r="B1687" t="s">
        <v>1918</v>
      </c>
      <c r="C1687" t="s">
        <v>49</v>
      </c>
      <c r="D1687" t="s">
        <v>3503</v>
      </c>
      <c r="E1687" t="s">
        <v>3504</v>
      </c>
      <c r="F1687" t="s">
        <v>1863</v>
      </c>
      <c r="G1687" s="1">
        <v>0</v>
      </c>
      <c r="H1687" t="s">
        <v>1149</v>
      </c>
      <c r="I1687" t="s">
        <v>3505</v>
      </c>
      <c r="J1687" t="s">
        <v>3506</v>
      </c>
      <c r="K1687" t="s">
        <v>24</v>
      </c>
      <c r="L1687" s="14">
        <f>IFERROR(VALUE(LEFT(tblMatriculas[[#This Row],[Clases]],FIND("/",tblMatriculas[[#This Row],[Clases]])-1)),"")</f>
        <v>0</v>
      </c>
      <c r="M1687" s="14">
        <f>IFERROR(VALUE(MID(tblMatriculas[[#This Row],[Clases]],FIND("/",tblMatriculas[[#This Row],[Clases]])+1,5)),"")</f>
        <v>45</v>
      </c>
      <c r="N16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7" s="14" t="str">
        <f>IF(OR(tblMatriculas[[#This Row],[Estado]]&lt;&gt;"activa",tblMatriculas[[#This Row],[Clases dictadas]]=""),"",MAX(0,tblMatriculas[[#This Row],[Clases dictadas]]-tblMatriculas[[#This Row],[Asistidas]]))</f>
        <v/>
      </c>
      <c r="P1687" s="1" t="str">
        <f>IF(OR(tblMatriculas[[#This Row],[Estado]]&lt;&gt;"activa",tblMatriculas[[#This Row],[Asistidas]]=""),"",tblMatriculas[[#This Row],[Asistencia]])</f>
        <v/>
      </c>
      <c r="Q1687" t="b">
        <f>AND(tblMatriculas[[#This Row],[Estado]]="activa",ISNUMBER(tblMatriculas[[#This Row],[% asistencia]]),NOT(ISNUMBER(SEARCH(pPrueba,tblMatriculas[[#This Row],[Nombre]]))))</f>
        <v>0</v>
      </c>
      <c r="R16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687" s="23" t="str" cm="1">
        <f t="array" ref="S16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7" s="23" t="str" cm="1">
        <f t="array" ref="T16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7" s="14" t="str" cm="1">
        <f t="array" ref="U16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7" t="str" cm="1">
        <f t="array" ref="V16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7" t="str" cm="1">
        <f t="array" ref="W16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7" t="str">
        <f>IF(COUNTIFS('Base Estudiantes'!$C:$C,tblMatriculas[[#This Row],[Cédula]],'Base Estudiantes'!$I:$I,tblMatriculas[[#This Row],[Código]])&gt;0,"Sí","No")</f>
        <v>No</v>
      </c>
      <c r="Z1687" s="23" t="str" cm="1">
        <f t="array" ref="Z1687">_xlfn.XLOOKUP(tblMatriculas[[#This Row],[Cédula]]&amp;"|"&amp;tblMatriculas[[#This Row],[Código]],tblBase[Documento]&amp;"|"&amp;tblBase[Código grupo],tblBase[Fecha matrícula],"")</f>
        <v/>
      </c>
    </row>
    <row r="1688" spans="1:26" x14ac:dyDescent="0.2">
      <c r="A1688" t="s">
        <v>3530</v>
      </c>
      <c r="B1688" t="s">
        <v>3531</v>
      </c>
      <c r="C1688" t="s">
        <v>13</v>
      </c>
      <c r="D1688" t="s">
        <v>3503</v>
      </c>
      <c r="E1688" t="s">
        <v>3504</v>
      </c>
      <c r="F1688" t="s">
        <v>1863</v>
      </c>
      <c r="G1688" s="1">
        <v>8.900000000000001E-2</v>
      </c>
      <c r="H1688" t="s">
        <v>17</v>
      </c>
      <c r="I1688" t="s">
        <v>3505</v>
      </c>
      <c r="J1688" t="s">
        <v>3506</v>
      </c>
      <c r="K1688" t="s">
        <v>24</v>
      </c>
      <c r="L1688" s="14">
        <f>IFERROR(VALUE(LEFT(tblMatriculas[[#This Row],[Clases]],FIND("/",tblMatriculas[[#This Row],[Clases]])-1)),"")</f>
        <v>4</v>
      </c>
      <c r="M1688" s="14">
        <f>IFERROR(VALUE(MID(tblMatriculas[[#This Row],[Clases]],FIND("/",tblMatriculas[[#This Row],[Clases]])+1,5)),"")</f>
        <v>45</v>
      </c>
      <c r="N16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8" s="14">
        <f>IF(OR(tblMatriculas[[#This Row],[Estado]]&lt;&gt;"activa",tblMatriculas[[#This Row],[Clases dictadas]]=""),"",MAX(0,tblMatriculas[[#This Row],[Clases dictadas]]-tblMatriculas[[#This Row],[Asistidas]]))</f>
        <v>2</v>
      </c>
      <c r="P1688" s="1">
        <f>IF(OR(tblMatriculas[[#This Row],[Estado]]&lt;&gt;"activa",tblMatriculas[[#This Row],[Asistidas]]=""),"",tblMatriculas[[#This Row],[Asistencia]])</f>
        <v>8.900000000000001E-2</v>
      </c>
      <c r="Q1688" t="b">
        <f>AND(tblMatriculas[[#This Row],[Estado]]="activa",ISNUMBER(tblMatriculas[[#This Row],[% asistencia]]),NOT(ISNUMBER(SEARCH(pPrueba,tblMatriculas[[#This Row],[Nombre]]))))</f>
        <v>1</v>
      </c>
      <c r="R16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8" s="23" t="str" cm="1">
        <f t="array" ref="S16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8" s="23" t="str" cm="1">
        <f t="array" ref="T16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8" s="14" t="str" cm="1">
        <f t="array" ref="U16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8" t="str" cm="1">
        <f t="array" ref="V16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8" t="str" cm="1">
        <f t="array" ref="W16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8" t="str">
        <f>IF(COUNTIFS('Base Estudiantes'!$C:$C,tblMatriculas[[#This Row],[Cédula]],'Base Estudiantes'!$I:$I,tblMatriculas[[#This Row],[Código]])&gt;0,"Sí","No")</f>
        <v>Sí</v>
      </c>
      <c r="Z1688" s="23" cm="1">
        <f t="array" ref="Z1688">_xlfn.XLOOKUP(tblMatriculas[[#This Row],[Cédula]]&amp;"|"&amp;tblMatriculas[[#This Row],[Código]],tblBase[Documento]&amp;"|"&amp;tblBase[Código grupo],tblBase[Fecha matrícula],"")</f>
        <v>46262</v>
      </c>
    </row>
    <row r="1689" spans="1:26" x14ac:dyDescent="0.2">
      <c r="A1689" t="s">
        <v>3532</v>
      </c>
      <c r="B1689" t="s">
        <v>3533</v>
      </c>
      <c r="C1689" t="s">
        <v>13</v>
      </c>
      <c r="D1689" t="s">
        <v>3503</v>
      </c>
      <c r="E1689" t="s">
        <v>3504</v>
      </c>
      <c r="F1689" t="s">
        <v>1863</v>
      </c>
      <c r="G1689" s="1">
        <v>0.13300000000000001</v>
      </c>
      <c r="H1689" t="s">
        <v>36</v>
      </c>
      <c r="I1689" t="s">
        <v>3505</v>
      </c>
      <c r="J1689" t="s">
        <v>3506</v>
      </c>
      <c r="K1689" t="s">
        <v>24</v>
      </c>
      <c r="L1689" s="14">
        <f>IFERROR(VALUE(LEFT(tblMatriculas[[#This Row],[Clases]],FIND("/",tblMatriculas[[#This Row],[Clases]])-1)),"")</f>
        <v>6</v>
      </c>
      <c r="M1689" s="14">
        <f>IFERROR(VALUE(MID(tblMatriculas[[#This Row],[Clases]],FIND("/",tblMatriculas[[#This Row],[Clases]])+1,5)),"")</f>
        <v>45</v>
      </c>
      <c r="N16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89" s="14">
        <f>IF(OR(tblMatriculas[[#This Row],[Estado]]&lt;&gt;"activa",tblMatriculas[[#This Row],[Clases dictadas]]=""),"",MAX(0,tblMatriculas[[#This Row],[Clases dictadas]]-tblMatriculas[[#This Row],[Asistidas]]))</f>
        <v>0</v>
      </c>
      <c r="P1689" s="1">
        <f>IF(OR(tblMatriculas[[#This Row],[Estado]]&lt;&gt;"activa",tblMatriculas[[#This Row],[Asistidas]]=""),"",tblMatriculas[[#This Row],[Asistencia]])</f>
        <v>0.13300000000000001</v>
      </c>
      <c r="Q1689" t="b">
        <f>AND(tblMatriculas[[#This Row],[Estado]]="activa",ISNUMBER(tblMatriculas[[#This Row],[% asistencia]]),NOT(ISNUMBER(SEARCH(pPrueba,tblMatriculas[[#This Row],[Nombre]]))))</f>
        <v>1</v>
      </c>
      <c r="R16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89" s="23" t="str" cm="1">
        <f t="array" ref="S16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89" s="23" t="str" cm="1">
        <f t="array" ref="T16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89" s="14" t="str" cm="1">
        <f t="array" ref="U16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89" t="str" cm="1">
        <f t="array" ref="V16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89" t="str" cm="1">
        <f t="array" ref="W16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89" t="str">
        <f>IF(COUNTIFS('Base Estudiantes'!$C:$C,tblMatriculas[[#This Row],[Cédula]],'Base Estudiantes'!$I:$I,tblMatriculas[[#This Row],[Código]])&gt;0,"Sí","No")</f>
        <v>Sí</v>
      </c>
      <c r="Z1689" s="23" cm="1">
        <f t="array" ref="Z1689">_xlfn.XLOOKUP(tblMatriculas[[#This Row],[Cédula]]&amp;"|"&amp;tblMatriculas[[#This Row],[Código]],tblBase[Documento]&amp;"|"&amp;tblBase[Código grupo],tblBase[Fecha matrícula],"")</f>
        <v>46262</v>
      </c>
    </row>
    <row r="1690" spans="1:26" x14ac:dyDescent="0.2">
      <c r="A1690" t="s">
        <v>3534</v>
      </c>
      <c r="B1690" t="s">
        <v>3535</v>
      </c>
      <c r="C1690" t="s">
        <v>13</v>
      </c>
      <c r="D1690" t="s">
        <v>3503</v>
      </c>
      <c r="E1690" t="s">
        <v>3504</v>
      </c>
      <c r="F1690" t="s">
        <v>1863</v>
      </c>
      <c r="G1690" s="1">
        <v>0.13300000000000001</v>
      </c>
      <c r="H1690" t="s">
        <v>36</v>
      </c>
      <c r="I1690" t="s">
        <v>3505</v>
      </c>
      <c r="J1690" t="s">
        <v>3506</v>
      </c>
      <c r="K1690" t="s">
        <v>24</v>
      </c>
      <c r="L1690" s="14">
        <f>IFERROR(VALUE(LEFT(tblMatriculas[[#This Row],[Clases]],FIND("/",tblMatriculas[[#This Row],[Clases]])-1)),"")</f>
        <v>6</v>
      </c>
      <c r="M1690" s="14">
        <f>IFERROR(VALUE(MID(tblMatriculas[[#This Row],[Clases]],FIND("/",tblMatriculas[[#This Row],[Clases]])+1,5)),"")</f>
        <v>45</v>
      </c>
      <c r="N16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0" s="14">
        <f>IF(OR(tblMatriculas[[#This Row],[Estado]]&lt;&gt;"activa",tblMatriculas[[#This Row],[Clases dictadas]]=""),"",MAX(0,tblMatriculas[[#This Row],[Clases dictadas]]-tblMatriculas[[#This Row],[Asistidas]]))</f>
        <v>0</v>
      </c>
      <c r="P1690" s="1">
        <f>IF(OR(tblMatriculas[[#This Row],[Estado]]&lt;&gt;"activa",tblMatriculas[[#This Row],[Asistidas]]=""),"",tblMatriculas[[#This Row],[Asistencia]])</f>
        <v>0.13300000000000001</v>
      </c>
      <c r="Q1690" t="b">
        <f>AND(tblMatriculas[[#This Row],[Estado]]="activa",ISNUMBER(tblMatriculas[[#This Row],[% asistencia]]),NOT(ISNUMBER(SEARCH(pPrueba,tblMatriculas[[#This Row],[Nombre]]))))</f>
        <v>1</v>
      </c>
      <c r="R16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0" s="23" t="str" cm="1">
        <f t="array" ref="S16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0" s="23" t="str" cm="1">
        <f t="array" ref="T16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0" s="14" t="str" cm="1">
        <f t="array" ref="U16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0" t="str" cm="1">
        <f t="array" ref="V16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0" t="str" cm="1">
        <f t="array" ref="W16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0" t="str">
        <f>IF(COUNTIFS('Base Estudiantes'!$C:$C,tblMatriculas[[#This Row],[Cédula]],'Base Estudiantes'!$I:$I,tblMatriculas[[#This Row],[Código]])&gt;0,"Sí","No")</f>
        <v>Sí</v>
      </c>
      <c r="Z1690" s="23" cm="1">
        <f t="array" ref="Z1690">_xlfn.XLOOKUP(tblMatriculas[[#This Row],[Cédula]]&amp;"|"&amp;tblMatriculas[[#This Row],[Código]],tblBase[Documento]&amp;"|"&amp;tblBase[Código grupo],tblBase[Fecha matrícula],"")</f>
        <v>46262</v>
      </c>
    </row>
    <row r="1691" spans="1:26" x14ac:dyDescent="0.2">
      <c r="A1691" t="s">
        <v>3536</v>
      </c>
      <c r="B1691" t="s">
        <v>3537</v>
      </c>
      <c r="C1691" t="s">
        <v>13</v>
      </c>
      <c r="D1691" t="s">
        <v>3503</v>
      </c>
      <c r="E1691" t="s">
        <v>3504</v>
      </c>
      <c r="F1691" t="s">
        <v>1863</v>
      </c>
      <c r="G1691" s="1">
        <v>2.2000000000000002E-2</v>
      </c>
      <c r="H1691" t="s">
        <v>23</v>
      </c>
      <c r="I1691" t="s">
        <v>3505</v>
      </c>
      <c r="J1691" t="s">
        <v>3506</v>
      </c>
      <c r="K1691" t="s">
        <v>24</v>
      </c>
      <c r="L1691" s="14">
        <f>IFERROR(VALUE(LEFT(tblMatriculas[[#This Row],[Clases]],FIND("/",tblMatriculas[[#This Row],[Clases]])-1)),"")</f>
        <v>1</v>
      </c>
      <c r="M1691" s="14">
        <f>IFERROR(VALUE(MID(tblMatriculas[[#This Row],[Clases]],FIND("/",tblMatriculas[[#This Row],[Clases]])+1,5)),"")</f>
        <v>45</v>
      </c>
      <c r="N16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1" s="14">
        <f>IF(OR(tblMatriculas[[#This Row],[Estado]]&lt;&gt;"activa",tblMatriculas[[#This Row],[Clases dictadas]]=""),"",MAX(0,tblMatriculas[[#This Row],[Clases dictadas]]-tblMatriculas[[#This Row],[Asistidas]]))</f>
        <v>5</v>
      </c>
      <c r="P1691" s="1">
        <f>IF(OR(tblMatriculas[[#This Row],[Estado]]&lt;&gt;"activa",tblMatriculas[[#This Row],[Asistidas]]=""),"",tblMatriculas[[#This Row],[Asistencia]])</f>
        <v>2.2000000000000002E-2</v>
      </c>
      <c r="Q1691" t="b">
        <f>AND(tblMatriculas[[#This Row],[Estado]]="activa",ISNUMBER(tblMatriculas[[#This Row],[% asistencia]]),NOT(ISNUMBER(SEARCH(pPrueba,tblMatriculas[[#This Row],[Nombre]]))))</f>
        <v>1</v>
      </c>
      <c r="R16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91" s="23" t="str" cm="1">
        <f t="array" ref="S16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1" s="23" t="str" cm="1">
        <f t="array" ref="T16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1" s="14" t="str" cm="1">
        <f t="array" ref="U16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1" t="str" cm="1">
        <f t="array" ref="V16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1" t="str" cm="1">
        <f t="array" ref="W16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91" t="str">
        <f>IF(COUNTIFS('Base Estudiantes'!$C:$C,tblMatriculas[[#This Row],[Cédula]],'Base Estudiantes'!$I:$I,tblMatriculas[[#This Row],[Código]])&gt;0,"Sí","No")</f>
        <v>Sí</v>
      </c>
      <c r="Z1691" s="23" cm="1">
        <f t="array" ref="Z1691">_xlfn.XLOOKUP(tblMatriculas[[#This Row],[Cédula]]&amp;"|"&amp;tblMatriculas[[#This Row],[Código]],tblBase[Documento]&amp;"|"&amp;tblBase[Código grupo],tblBase[Fecha matrícula],"")</f>
        <v>46262</v>
      </c>
    </row>
    <row r="1692" spans="1:26" x14ac:dyDescent="0.2">
      <c r="A1692" t="s">
        <v>3538</v>
      </c>
      <c r="B1692" t="s">
        <v>3539</v>
      </c>
      <c r="C1692" t="s">
        <v>13</v>
      </c>
      <c r="D1692" t="s">
        <v>3503</v>
      </c>
      <c r="E1692" t="s">
        <v>3504</v>
      </c>
      <c r="F1692" t="s">
        <v>1863</v>
      </c>
      <c r="G1692" s="1">
        <v>0.13300000000000001</v>
      </c>
      <c r="H1692" t="s">
        <v>36</v>
      </c>
      <c r="I1692" t="s">
        <v>3505</v>
      </c>
      <c r="J1692" t="s">
        <v>3506</v>
      </c>
      <c r="K1692" t="s">
        <v>24</v>
      </c>
      <c r="L1692" s="14">
        <f>IFERROR(VALUE(LEFT(tblMatriculas[[#This Row],[Clases]],FIND("/",tblMatriculas[[#This Row],[Clases]])-1)),"")</f>
        <v>6</v>
      </c>
      <c r="M1692" s="14">
        <f>IFERROR(VALUE(MID(tblMatriculas[[#This Row],[Clases]],FIND("/",tblMatriculas[[#This Row],[Clases]])+1,5)),"")</f>
        <v>45</v>
      </c>
      <c r="N16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2" s="14">
        <f>IF(OR(tblMatriculas[[#This Row],[Estado]]&lt;&gt;"activa",tblMatriculas[[#This Row],[Clases dictadas]]=""),"",MAX(0,tblMatriculas[[#This Row],[Clases dictadas]]-tblMatriculas[[#This Row],[Asistidas]]))</f>
        <v>0</v>
      </c>
      <c r="P1692" s="1">
        <f>IF(OR(tblMatriculas[[#This Row],[Estado]]&lt;&gt;"activa",tblMatriculas[[#This Row],[Asistidas]]=""),"",tblMatriculas[[#This Row],[Asistencia]])</f>
        <v>0.13300000000000001</v>
      </c>
      <c r="Q1692" t="b">
        <f>AND(tblMatriculas[[#This Row],[Estado]]="activa",ISNUMBER(tblMatriculas[[#This Row],[% asistencia]]),NOT(ISNUMBER(SEARCH(pPrueba,tblMatriculas[[#This Row],[Nombre]]))))</f>
        <v>1</v>
      </c>
      <c r="R16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2" s="23" t="str" cm="1">
        <f t="array" ref="S16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2" s="23" t="str" cm="1">
        <f t="array" ref="T16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2" s="14" t="str" cm="1">
        <f t="array" ref="U16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2" t="str" cm="1">
        <f t="array" ref="V16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2" t="str" cm="1">
        <f t="array" ref="W16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2" t="str">
        <f>IF(COUNTIFS('Base Estudiantes'!$C:$C,tblMatriculas[[#This Row],[Cédula]],'Base Estudiantes'!$I:$I,tblMatriculas[[#This Row],[Código]])&gt;0,"Sí","No")</f>
        <v>Sí</v>
      </c>
      <c r="Z1692" s="23" cm="1">
        <f t="array" ref="Z1692">_xlfn.XLOOKUP(tblMatriculas[[#This Row],[Cédula]]&amp;"|"&amp;tblMatriculas[[#This Row],[Código]],tblBase[Documento]&amp;"|"&amp;tblBase[Código grupo],tblBase[Fecha matrícula],"")</f>
        <v>46262</v>
      </c>
    </row>
    <row r="1693" spans="1:26" x14ac:dyDescent="0.2">
      <c r="A1693" t="s">
        <v>3540</v>
      </c>
      <c r="B1693" t="s">
        <v>3541</v>
      </c>
      <c r="C1693" t="s">
        <v>13</v>
      </c>
      <c r="D1693" t="s">
        <v>3503</v>
      </c>
      <c r="E1693" t="s">
        <v>3504</v>
      </c>
      <c r="F1693" t="s">
        <v>1863</v>
      </c>
      <c r="G1693" s="1">
        <v>0.13300000000000001</v>
      </c>
      <c r="H1693" t="s">
        <v>36</v>
      </c>
      <c r="I1693" t="s">
        <v>3505</v>
      </c>
      <c r="J1693" t="s">
        <v>3506</v>
      </c>
      <c r="K1693" t="s">
        <v>24</v>
      </c>
      <c r="L1693" s="14">
        <f>IFERROR(VALUE(LEFT(tblMatriculas[[#This Row],[Clases]],FIND("/",tblMatriculas[[#This Row],[Clases]])-1)),"")</f>
        <v>6</v>
      </c>
      <c r="M1693" s="14">
        <f>IFERROR(VALUE(MID(tblMatriculas[[#This Row],[Clases]],FIND("/",tblMatriculas[[#This Row],[Clases]])+1,5)),"")</f>
        <v>45</v>
      </c>
      <c r="N16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3" s="14">
        <f>IF(OR(tblMatriculas[[#This Row],[Estado]]&lt;&gt;"activa",tblMatriculas[[#This Row],[Clases dictadas]]=""),"",MAX(0,tblMatriculas[[#This Row],[Clases dictadas]]-tblMatriculas[[#This Row],[Asistidas]]))</f>
        <v>0</v>
      </c>
      <c r="P1693" s="1">
        <f>IF(OR(tblMatriculas[[#This Row],[Estado]]&lt;&gt;"activa",tblMatriculas[[#This Row],[Asistidas]]=""),"",tblMatriculas[[#This Row],[Asistencia]])</f>
        <v>0.13300000000000001</v>
      </c>
      <c r="Q1693" t="b">
        <f>AND(tblMatriculas[[#This Row],[Estado]]="activa",ISNUMBER(tblMatriculas[[#This Row],[% asistencia]]),NOT(ISNUMBER(SEARCH(pPrueba,tblMatriculas[[#This Row],[Nombre]]))))</f>
        <v>1</v>
      </c>
      <c r="R16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3" s="23" t="str" cm="1">
        <f t="array" ref="S16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3" s="23" t="str" cm="1">
        <f t="array" ref="T16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3" s="14" t="str" cm="1">
        <f t="array" ref="U16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3" t="str" cm="1">
        <f t="array" ref="V16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3" t="str" cm="1">
        <f t="array" ref="W16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3" t="str">
        <f>IF(COUNTIFS('Base Estudiantes'!$C:$C,tblMatriculas[[#This Row],[Cédula]],'Base Estudiantes'!$I:$I,tblMatriculas[[#This Row],[Código]])&gt;0,"Sí","No")</f>
        <v>Sí</v>
      </c>
      <c r="Z1693" s="23" cm="1">
        <f t="array" ref="Z1693">_xlfn.XLOOKUP(tblMatriculas[[#This Row],[Cédula]]&amp;"|"&amp;tblMatriculas[[#This Row],[Código]],tblBase[Documento]&amp;"|"&amp;tblBase[Código grupo],tblBase[Fecha matrícula],"")</f>
        <v>46262</v>
      </c>
    </row>
    <row r="1694" spans="1:26" x14ac:dyDescent="0.2">
      <c r="A1694" t="s">
        <v>3542</v>
      </c>
      <c r="B1694" t="s">
        <v>3543</v>
      </c>
      <c r="C1694" t="s">
        <v>13</v>
      </c>
      <c r="D1694" t="s">
        <v>3503</v>
      </c>
      <c r="E1694" t="s">
        <v>3504</v>
      </c>
      <c r="F1694" t="s">
        <v>1863</v>
      </c>
      <c r="G1694" s="1">
        <v>0.13300000000000001</v>
      </c>
      <c r="H1694" t="s">
        <v>36</v>
      </c>
      <c r="I1694" t="s">
        <v>3505</v>
      </c>
      <c r="J1694" t="s">
        <v>3506</v>
      </c>
      <c r="K1694" t="s">
        <v>24</v>
      </c>
      <c r="L1694" s="14">
        <f>IFERROR(VALUE(LEFT(tblMatriculas[[#This Row],[Clases]],FIND("/",tblMatriculas[[#This Row],[Clases]])-1)),"")</f>
        <v>6</v>
      </c>
      <c r="M1694" s="14">
        <f>IFERROR(VALUE(MID(tblMatriculas[[#This Row],[Clases]],FIND("/",tblMatriculas[[#This Row],[Clases]])+1,5)),"")</f>
        <v>45</v>
      </c>
      <c r="N16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4" s="14">
        <f>IF(OR(tblMatriculas[[#This Row],[Estado]]&lt;&gt;"activa",tblMatriculas[[#This Row],[Clases dictadas]]=""),"",MAX(0,tblMatriculas[[#This Row],[Clases dictadas]]-tblMatriculas[[#This Row],[Asistidas]]))</f>
        <v>0</v>
      </c>
      <c r="P1694" s="1">
        <f>IF(OR(tblMatriculas[[#This Row],[Estado]]&lt;&gt;"activa",tblMatriculas[[#This Row],[Asistidas]]=""),"",tblMatriculas[[#This Row],[Asistencia]])</f>
        <v>0.13300000000000001</v>
      </c>
      <c r="Q1694" t="b">
        <f>AND(tblMatriculas[[#This Row],[Estado]]="activa",ISNUMBER(tblMatriculas[[#This Row],[% asistencia]]),NOT(ISNUMBER(SEARCH(pPrueba,tblMatriculas[[#This Row],[Nombre]]))))</f>
        <v>1</v>
      </c>
      <c r="R16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4" s="23" t="str" cm="1">
        <f t="array" ref="S16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4" s="23" t="str" cm="1">
        <f t="array" ref="T16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4" s="14" t="str" cm="1">
        <f t="array" ref="U16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4" t="str" cm="1">
        <f t="array" ref="V16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4" t="str" cm="1">
        <f t="array" ref="W16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4" t="str">
        <f>IF(COUNTIFS('Base Estudiantes'!$C:$C,tblMatriculas[[#This Row],[Cédula]],'Base Estudiantes'!$I:$I,tblMatriculas[[#This Row],[Código]])&gt;0,"Sí","No")</f>
        <v>Sí</v>
      </c>
      <c r="Z1694" s="23" cm="1">
        <f t="array" ref="Z1694">_xlfn.XLOOKUP(tblMatriculas[[#This Row],[Cédula]]&amp;"|"&amp;tblMatriculas[[#This Row],[Código]],tblBase[Documento]&amp;"|"&amp;tblBase[Código grupo],tblBase[Fecha matrícula],"")</f>
        <v>46262</v>
      </c>
    </row>
    <row r="1695" spans="1:26" x14ac:dyDescent="0.2">
      <c r="A1695" t="s">
        <v>3544</v>
      </c>
      <c r="B1695" t="s">
        <v>3545</v>
      </c>
      <c r="C1695" t="s">
        <v>13</v>
      </c>
      <c r="D1695" t="s">
        <v>3503</v>
      </c>
      <c r="E1695" t="s">
        <v>3504</v>
      </c>
      <c r="F1695" t="s">
        <v>1863</v>
      </c>
      <c r="G1695" s="1">
        <v>2.2000000000000002E-2</v>
      </c>
      <c r="H1695" t="s">
        <v>23</v>
      </c>
      <c r="I1695" t="s">
        <v>3505</v>
      </c>
      <c r="J1695" t="s">
        <v>3506</v>
      </c>
      <c r="K1695" t="s">
        <v>24</v>
      </c>
      <c r="L1695" s="14">
        <f>IFERROR(VALUE(LEFT(tblMatriculas[[#This Row],[Clases]],FIND("/",tblMatriculas[[#This Row],[Clases]])-1)),"")</f>
        <v>1</v>
      </c>
      <c r="M1695" s="14">
        <f>IFERROR(VALUE(MID(tblMatriculas[[#This Row],[Clases]],FIND("/",tblMatriculas[[#This Row],[Clases]])+1,5)),"")</f>
        <v>45</v>
      </c>
      <c r="N16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5" s="14">
        <f>IF(OR(tblMatriculas[[#This Row],[Estado]]&lt;&gt;"activa",tblMatriculas[[#This Row],[Clases dictadas]]=""),"",MAX(0,tblMatriculas[[#This Row],[Clases dictadas]]-tblMatriculas[[#This Row],[Asistidas]]))</f>
        <v>5</v>
      </c>
      <c r="P1695" s="1">
        <f>IF(OR(tblMatriculas[[#This Row],[Estado]]&lt;&gt;"activa",tblMatriculas[[#This Row],[Asistidas]]=""),"",tblMatriculas[[#This Row],[Asistencia]])</f>
        <v>2.2000000000000002E-2</v>
      </c>
      <c r="Q1695" t="b">
        <f>AND(tblMatriculas[[#This Row],[Estado]]="activa",ISNUMBER(tblMatriculas[[#This Row],[% asistencia]]),NOT(ISNUMBER(SEARCH(pPrueba,tblMatriculas[[#This Row],[Nombre]]))))</f>
        <v>1</v>
      </c>
      <c r="R16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695" s="23" t="str" cm="1">
        <f t="array" ref="S16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5" s="23" t="str" cm="1">
        <f t="array" ref="T16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5" s="14" t="str" cm="1">
        <f t="array" ref="U16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5" t="str" cm="1">
        <f t="array" ref="V16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5" t="str" cm="1">
        <f t="array" ref="W16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6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695" t="str">
        <f>IF(COUNTIFS('Base Estudiantes'!$C:$C,tblMatriculas[[#This Row],[Cédula]],'Base Estudiantes'!$I:$I,tblMatriculas[[#This Row],[Código]])&gt;0,"Sí","No")</f>
        <v>Sí</v>
      </c>
      <c r="Z1695" s="23" cm="1">
        <f t="array" ref="Z1695">_xlfn.XLOOKUP(tblMatriculas[[#This Row],[Cédula]]&amp;"|"&amp;tblMatriculas[[#This Row],[Código]],tblBase[Documento]&amp;"|"&amp;tblBase[Código grupo],tblBase[Fecha matrícula],"")</f>
        <v>46262</v>
      </c>
    </row>
    <row r="1696" spans="1:26" x14ac:dyDescent="0.2">
      <c r="A1696" t="s">
        <v>3546</v>
      </c>
      <c r="B1696" t="s">
        <v>3547</v>
      </c>
      <c r="C1696" t="s">
        <v>13</v>
      </c>
      <c r="D1696" t="s">
        <v>3503</v>
      </c>
      <c r="E1696" t="s">
        <v>3504</v>
      </c>
      <c r="F1696" t="s">
        <v>1863</v>
      </c>
      <c r="G1696" s="1">
        <v>0</v>
      </c>
      <c r="H1696" t="s">
        <v>1149</v>
      </c>
      <c r="I1696" t="s">
        <v>3505</v>
      </c>
      <c r="J1696" t="s">
        <v>3506</v>
      </c>
      <c r="K1696" t="s">
        <v>24</v>
      </c>
      <c r="L1696" s="14">
        <f>IFERROR(VALUE(LEFT(tblMatriculas[[#This Row],[Clases]],FIND("/",tblMatriculas[[#This Row],[Clases]])-1)),"")</f>
        <v>0</v>
      </c>
      <c r="M1696" s="14">
        <f>IFERROR(VALUE(MID(tblMatriculas[[#This Row],[Clases]],FIND("/",tblMatriculas[[#This Row],[Clases]])+1,5)),"")</f>
        <v>45</v>
      </c>
      <c r="N16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6" s="14">
        <f>IF(OR(tblMatriculas[[#This Row],[Estado]]&lt;&gt;"activa",tblMatriculas[[#This Row],[Clases dictadas]]=""),"",MAX(0,tblMatriculas[[#This Row],[Clases dictadas]]-tblMatriculas[[#This Row],[Asistidas]]))</f>
        <v>6</v>
      </c>
      <c r="P1696" s="1">
        <f>IF(OR(tblMatriculas[[#This Row],[Estado]]&lt;&gt;"activa",tblMatriculas[[#This Row],[Asistidas]]=""),"",tblMatriculas[[#This Row],[Asistencia]])</f>
        <v>0</v>
      </c>
      <c r="Q1696" t="b">
        <f>AND(tblMatriculas[[#This Row],[Estado]]="activa",ISNUMBER(tblMatriculas[[#This Row],[% asistencia]]),NOT(ISNUMBER(SEARCH(pPrueba,tblMatriculas[[#This Row],[Nombre]]))))</f>
        <v>1</v>
      </c>
      <c r="R16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696" s="23" t="str" cm="1">
        <f t="array" ref="S16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6" s="23" t="str" cm="1">
        <f t="array" ref="T16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6" s="14" t="str" cm="1">
        <f t="array" ref="U16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6" t="str" cm="1">
        <f t="array" ref="V16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6" t="str" cm="1">
        <f t="array" ref="W16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6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696" t="str">
        <f>IF(COUNTIFS('Base Estudiantes'!$C:$C,tblMatriculas[[#This Row],[Cédula]],'Base Estudiantes'!$I:$I,tblMatriculas[[#This Row],[Código]])&gt;0,"Sí","No")</f>
        <v>Sí</v>
      </c>
      <c r="Z1696" s="23" cm="1">
        <f t="array" ref="Z1696">_xlfn.XLOOKUP(tblMatriculas[[#This Row],[Cédula]]&amp;"|"&amp;tblMatriculas[[#This Row],[Código]],tblBase[Documento]&amp;"|"&amp;tblBase[Código grupo],tblBase[Fecha matrícula],"")</f>
        <v>46263</v>
      </c>
    </row>
    <row r="1697" spans="1:26" x14ac:dyDescent="0.2">
      <c r="A1697" t="s">
        <v>1625</v>
      </c>
      <c r="B1697" t="s">
        <v>1626</v>
      </c>
      <c r="C1697" t="s">
        <v>13</v>
      </c>
      <c r="D1697" t="s">
        <v>3503</v>
      </c>
      <c r="E1697" t="s">
        <v>3504</v>
      </c>
      <c r="F1697" t="s">
        <v>1863</v>
      </c>
      <c r="G1697" s="1">
        <v>0.13300000000000001</v>
      </c>
      <c r="H1697" t="s">
        <v>36</v>
      </c>
      <c r="I1697" t="s">
        <v>3505</v>
      </c>
      <c r="J1697" t="s">
        <v>3506</v>
      </c>
      <c r="K1697" t="s">
        <v>24</v>
      </c>
      <c r="L1697" s="14">
        <f>IFERROR(VALUE(LEFT(tblMatriculas[[#This Row],[Clases]],FIND("/",tblMatriculas[[#This Row],[Clases]])-1)),"")</f>
        <v>6</v>
      </c>
      <c r="M1697" s="14">
        <f>IFERROR(VALUE(MID(tblMatriculas[[#This Row],[Clases]],FIND("/",tblMatriculas[[#This Row],[Clases]])+1,5)),"")</f>
        <v>45</v>
      </c>
      <c r="N16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7" s="14">
        <f>IF(OR(tblMatriculas[[#This Row],[Estado]]&lt;&gt;"activa",tblMatriculas[[#This Row],[Clases dictadas]]=""),"",MAX(0,tblMatriculas[[#This Row],[Clases dictadas]]-tblMatriculas[[#This Row],[Asistidas]]))</f>
        <v>0</v>
      </c>
      <c r="P1697" s="1">
        <f>IF(OR(tblMatriculas[[#This Row],[Estado]]&lt;&gt;"activa",tblMatriculas[[#This Row],[Asistidas]]=""),"",tblMatriculas[[#This Row],[Asistencia]])</f>
        <v>0.13300000000000001</v>
      </c>
      <c r="Q1697" t="b">
        <f>AND(tblMatriculas[[#This Row],[Estado]]="activa",ISNUMBER(tblMatriculas[[#This Row],[% asistencia]]),NOT(ISNUMBER(SEARCH(pPrueba,tblMatriculas[[#This Row],[Nombre]]))))</f>
        <v>1</v>
      </c>
      <c r="R16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7" s="23" t="str" cm="1">
        <f t="array" ref="S16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7" s="23" t="str" cm="1">
        <f t="array" ref="T16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7" s="14" t="str" cm="1">
        <f t="array" ref="U16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7" t="str" cm="1">
        <f t="array" ref="V16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7" t="str" cm="1">
        <f t="array" ref="W16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7" t="str">
        <f>IF(COUNTIFS('Base Estudiantes'!$C:$C,tblMatriculas[[#This Row],[Cédula]],'Base Estudiantes'!$I:$I,tblMatriculas[[#This Row],[Código]])&gt;0,"Sí","No")</f>
        <v>Sí</v>
      </c>
      <c r="Z1697" s="23" cm="1">
        <f t="array" ref="Z1697">_xlfn.XLOOKUP(tblMatriculas[[#This Row],[Cédula]]&amp;"|"&amp;tblMatriculas[[#This Row],[Código]],tblBase[Documento]&amp;"|"&amp;tblBase[Código grupo],tblBase[Fecha matrícula],"")</f>
        <v>46268</v>
      </c>
    </row>
    <row r="1698" spans="1:26" x14ac:dyDescent="0.2">
      <c r="A1698" t="s">
        <v>3548</v>
      </c>
      <c r="B1698" t="s">
        <v>3549</v>
      </c>
      <c r="C1698" t="s">
        <v>13</v>
      </c>
      <c r="D1698" t="s">
        <v>3503</v>
      </c>
      <c r="E1698" t="s">
        <v>3504</v>
      </c>
      <c r="F1698" t="s">
        <v>1863</v>
      </c>
      <c r="G1698" s="1">
        <v>8.900000000000001E-2</v>
      </c>
      <c r="H1698" t="s">
        <v>17</v>
      </c>
      <c r="I1698" t="s">
        <v>3505</v>
      </c>
      <c r="J1698" t="s">
        <v>3506</v>
      </c>
      <c r="K1698" t="s">
        <v>24</v>
      </c>
      <c r="L1698" s="14">
        <f>IFERROR(VALUE(LEFT(tblMatriculas[[#This Row],[Clases]],FIND("/",tblMatriculas[[#This Row],[Clases]])-1)),"")</f>
        <v>4</v>
      </c>
      <c r="M1698" s="14">
        <f>IFERROR(VALUE(MID(tblMatriculas[[#This Row],[Clases]],FIND("/",tblMatriculas[[#This Row],[Clases]])+1,5)),"")</f>
        <v>45</v>
      </c>
      <c r="N16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698" s="14">
        <f>IF(OR(tblMatriculas[[#This Row],[Estado]]&lt;&gt;"activa",tblMatriculas[[#This Row],[Clases dictadas]]=""),"",MAX(0,tblMatriculas[[#This Row],[Clases dictadas]]-tblMatriculas[[#This Row],[Asistidas]]))</f>
        <v>2</v>
      </c>
      <c r="P1698" s="1">
        <f>IF(OR(tblMatriculas[[#This Row],[Estado]]&lt;&gt;"activa",tblMatriculas[[#This Row],[Asistidas]]=""),"",tblMatriculas[[#This Row],[Asistencia]])</f>
        <v>8.900000000000001E-2</v>
      </c>
      <c r="Q1698" t="b">
        <f>AND(tblMatriculas[[#This Row],[Estado]]="activa",ISNUMBER(tblMatriculas[[#This Row],[% asistencia]]),NOT(ISNUMBER(SEARCH(pPrueba,tblMatriculas[[#This Row],[Nombre]]))))</f>
        <v>1</v>
      </c>
      <c r="R16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698" s="23" t="str" cm="1">
        <f t="array" ref="S16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8" s="23" t="str" cm="1">
        <f t="array" ref="T16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8" s="14" t="str" cm="1">
        <f t="array" ref="U16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8" t="str" cm="1">
        <f t="array" ref="V16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8" t="str" cm="1">
        <f t="array" ref="W16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8" t="str">
        <f>IF(COUNTIFS('Base Estudiantes'!$C:$C,tblMatriculas[[#This Row],[Cédula]],'Base Estudiantes'!$I:$I,tblMatriculas[[#This Row],[Código]])&gt;0,"Sí","No")</f>
        <v>Sí</v>
      </c>
      <c r="Z1698" s="23" cm="1">
        <f t="array" ref="Z1698">_xlfn.XLOOKUP(tblMatriculas[[#This Row],[Cédula]]&amp;"|"&amp;tblMatriculas[[#This Row],[Código]],tblBase[Documento]&amp;"|"&amp;tblBase[Código grupo],tblBase[Fecha matrícula],"")</f>
        <v>46274</v>
      </c>
    </row>
    <row r="1699" spans="1:26" x14ac:dyDescent="0.2">
      <c r="A1699" t="s">
        <v>3081</v>
      </c>
      <c r="B1699" t="s">
        <v>3082</v>
      </c>
      <c r="C1699" t="s">
        <v>13</v>
      </c>
      <c r="D1699" t="s">
        <v>3550</v>
      </c>
      <c r="E1699" t="s">
        <v>3551</v>
      </c>
      <c r="F1699" t="s">
        <v>335</v>
      </c>
      <c r="G1699" s="1">
        <v>0.1</v>
      </c>
      <c r="H1699" t="s">
        <v>380</v>
      </c>
      <c r="I1699" t="s">
        <v>3505</v>
      </c>
      <c r="J1699" t="s">
        <v>3362</v>
      </c>
      <c r="K1699" t="s">
        <v>3507</v>
      </c>
      <c r="L1699" s="14">
        <f>IFERROR(VALUE(LEFT(tblMatriculas[[#This Row],[Clases]],FIND("/",tblMatriculas[[#This Row],[Clases]])-1)),"")</f>
        <v>6</v>
      </c>
      <c r="M1699" s="14">
        <f>IFERROR(VALUE(MID(tblMatriculas[[#This Row],[Clases]],FIND("/",tblMatriculas[[#This Row],[Clases]])+1,5)),"")</f>
        <v>60</v>
      </c>
      <c r="N16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9</v>
      </c>
      <c r="O1699" s="14">
        <f>IF(OR(tblMatriculas[[#This Row],[Estado]]&lt;&gt;"activa",tblMatriculas[[#This Row],[Clases dictadas]]=""),"",MAX(0,tblMatriculas[[#This Row],[Clases dictadas]]-tblMatriculas[[#This Row],[Asistidas]]))</f>
        <v>3</v>
      </c>
      <c r="P1699" s="1">
        <f>IF(OR(tblMatriculas[[#This Row],[Estado]]&lt;&gt;"activa",tblMatriculas[[#This Row],[Asistidas]]=""),"",tblMatriculas[[#This Row],[Asistencia]])</f>
        <v>0.1</v>
      </c>
      <c r="Q1699" t="b">
        <f>AND(tblMatriculas[[#This Row],[Estado]]="activa",ISNUMBER(tblMatriculas[[#This Row],[% asistencia]]),NOT(ISNUMBER(SEARCH(pPrueba,tblMatriculas[[#This Row],[Nombre]]))))</f>
        <v>0</v>
      </c>
      <c r="R16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Prueba</v>
      </c>
      <c r="S1699" s="23" t="str" cm="1">
        <f t="array" ref="S16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699" s="23" t="str" cm="1">
        <f t="array" ref="T16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699" s="14" t="str" cm="1">
        <f t="array" ref="U16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699" t="str" cm="1">
        <f t="array" ref="V16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699" t="str" cm="1">
        <f t="array" ref="W16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6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699" t="str">
        <f>IF(COUNTIFS('Base Estudiantes'!$C:$C,tblMatriculas[[#This Row],[Cédula]],'Base Estudiantes'!$I:$I,tblMatriculas[[#This Row],[Código]])&gt;0,"Sí","No")</f>
        <v>Sí</v>
      </c>
      <c r="Z1699" s="23" cm="1">
        <f t="array" ref="Z1699">_xlfn.XLOOKUP(tblMatriculas[[#This Row],[Cédula]]&amp;"|"&amp;tblMatriculas[[#This Row],[Código]],tblBase[Documento]&amp;"|"&amp;tblBase[Código grupo],tblBase[Fecha matrícula],"")</f>
        <v>46260</v>
      </c>
    </row>
    <row r="1700" spans="1:26" x14ac:dyDescent="0.2">
      <c r="A1700" t="s">
        <v>3552</v>
      </c>
      <c r="B1700" t="s">
        <v>3553</v>
      </c>
      <c r="C1700" t="s">
        <v>13</v>
      </c>
      <c r="D1700" t="s">
        <v>3550</v>
      </c>
      <c r="E1700" t="s">
        <v>3551</v>
      </c>
      <c r="F1700" t="s">
        <v>335</v>
      </c>
      <c r="G1700" s="1">
        <v>0.16699999999999998</v>
      </c>
      <c r="H1700" t="s">
        <v>229</v>
      </c>
      <c r="I1700" t="s">
        <v>3505</v>
      </c>
      <c r="J1700" t="s">
        <v>3362</v>
      </c>
      <c r="K1700" t="s">
        <v>3554</v>
      </c>
      <c r="L1700" s="14">
        <f>IFERROR(VALUE(LEFT(tblMatriculas[[#This Row],[Clases]],FIND("/",tblMatriculas[[#This Row],[Clases]])-1)),"")</f>
        <v>5</v>
      </c>
      <c r="M1700" s="14">
        <f>IFERROR(VALUE(MID(tblMatriculas[[#This Row],[Clases]],FIND("/",tblMatriculas[[#This Row],[Clases]])+1,5)),"")</f>
        <v>30</v>
      </c>
      <c r="N17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0" s="14">
        <f>IF(OR(tblMatriculas[[#This Row],[Estado]]&lt;&gt;"activa",tblMatriculas[[#This Row],[Clases dictadas]]=""),"",MAX(0,tblMatriculas[[#This Row],[Clases dictadas]]-tblMatriculas[[#This Row],[Asistidas]]))</f>
        <v>0</v>
      </c>
      <c r="P1700" s="1">
        <f>IF(OR(tblMatriculas[[#This Row],[Estado]]&lt;&gt;"activa",tblMatriculas[[#This Row],[Asistidas]]=""),"",tblMatriculas[[#This Row],[Asistencia]])</f>
        <v>0.16699999999999998</v>
      </c>
      <c r="Q1700" t="b">
        <f>AND(tblMatriculas[[#This Row],[Estado]]="activa",ISNUMBER(tblMatriculas[[#This Row],[% asistencia]]),NOT(ISNUMBER(SEARCH(pPrueba,tblMatriculas[[#This Row],[Nombre]]))))</f>
        <v>1</v>
      </c>
      <c r="R17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0" s="23" t="str" cm="1">
        <f t="array" ref="S17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0" s="23" t="str" cm="1">
        <f t="array" ref="T17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0" s="14" t="str" cm="1">
        <f t="array" ref="U17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0" t="str" cm="1">
        <f t="array" ref="V17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0" t="str" cm="1">
        <f t="array" ref="W17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0" t="str">
        <f>IF(COUNTIFS('Base Estudiantes'!$C:$C,tblMatriculas[[#This Row],[Cédula]],'Base Estudiantes'!$I:$I,tblMatriculas[[#This Row],[Código]])&gt;0,"Sí","No")</f>
        <v>Sí</v>
      </c>
      <c r="Z1700" s="23" cm="1">
        <f t="array" ref="Z1700">_xlfn.XLOOKUP(tblMatriculas[[#This Row],[Cédula]]&amp;"|"&amp;tblMatriculas[[#This Row],[Código]],tblBase[Documento]&amp;"|"&amp;tblBase[Código grupo],tblBase[Fecha matrícula],"")</f>
        <v>46262</v>
      </c>
    </row>
    <row r="1701" spans="1:26" x14ac:dyDescent="0.2">
      <c r="A1701" t="s">
        <v>3555</v>
      </c>
      <c r="B1701" t="s">
        <v>3556</v>
      </c>
      <c r="C1701" t="s">
        <v>13</v>
      </c>
      <c r="D1701" t="s">
        <v>3550</v>
      </c>
      <c r="E1701" t="s">
        <v>3551</v>
      </c>
      <c r="F1701" t="s">
        <v>335</v>
      </c>
      <c r="G1701" s="1">
        <v>0.13300000000000001</v>
      </c>
      <c r="H1701" t="s">
        <v>112</v>
      </c>
      <c r="I1701" t="s">
        <v>3505</v>
      </c>
      <c r="J1701" t="s">
        <v>3362</v>
      </c>
      <c r="K1701" t="s">
        <v>3554</v>
      </c>
      <c r="L1701" s="14">
        <f>IFERROR(VALUE(LEFT(tblMatriculas[[#This Row],[Clases]],FIND("/",tblMatriculas[[#This Row],[Clases]])-1)),"")</f>
        <v>4</v>
      </c>
      <c r="M1701" s="14">
        <f>IFERROR(VALUE(MID(tblMatriculas[[#This Row],[Clases]],FIND("/",tblMatriculas[[#This Row],[Clases]])+1,5)),"")</f>
        <v>30</v>
      </c>
      <c r="N17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1" s="14">
        <f>IF(OR(tblMatriculas[[#This Row],[Estado]]&lt;&gt;"activa",tblMatriculas[[#This Row],[Clases dictadas]]=""),"",MAX(0,tblMatriculas[[#This Row],[Clases dictadas]]-tblMatriculas[[#This Row],[Asistidas]]))</f>
        <v>1</v>
      </c>
      <c r="P1701" s="1">
        <f>IF(OR(tblMatriculas[[#This Row],[Estado]]&lt;&gt;"activa",tblMatriculas[[#This Row],[Asistidas]]=""),"",tblMatriculas[[#This Row],[Asistencia]])</f>
        <v>0.13300000000000001</v>
      </c>
      <c r="Q1701" t="b">
        <f>AND(tblMatriculas[[#This Row],[Estado]]="activa",ISNUMBER(tblMatriculas[[#This Row],[% asistencia]]),NOT(ISNUMBER(SEARCH(pPrueba,tblMatriculas[[#This Row],[Nombre]]))))</f>
        <v>1</v>
      </c>
      <c r="R17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1" s="23" t="str" cm="1">
        <f t="array" ref="S17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1" s="23" t="str" cm="1">
        <f t="array" ref="T17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1" s="14" t="str" cm="1">
        <f t="array" ref="U17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1" t="str" cm="1">
        <f t="array" ref="V17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1" t="str" cm="1">
        <f t="array" ref="W17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1" t="str">
        <f>IF(COUNTIFS('Base Estudiantes'!$C:$C,tblMatriculas[[#This Row],[Cédula]],'Base Estudiantes'!$I:$I,tblMatriculas[[#This Row],[Código]])&gt;0,"Sí","No")</f>
        <v>Sí</v>
      </c>
      <c r="Z1701" s="23" cm="1">
        <f t="array" ref="Z1701">_xlfn.XLOOKUP(tblMatriculas[[#This Row],[Cédula]]&amp;"|"&amp;tblMatriculas[[#This Row],[Código]],tblBase[Documento]&amp;"|"&amp;tblBase[Código grupo],tblBase[Fecha matrícula],"")</f>
        <v>46262</v>
      </c>
    </row>
    <row r="1702" spans="1:26" x14ac:dyDescent="0.2">
      <c r="A1702" t="s">
        <v>3557</v>
      </c>
      <c r="B1702" t="s">
        <v>3558</v>
      </c>
      <c r="C1702" t="s">
        <v>13</v>
      </c>
      <c r="D1702" t="s">
        <v>3550</v>
      </c>
      <c r="E1702" t="s">
        <v>3551</v>
      </c>
      <c r="F1702" t="s">
        <v>335</v>
      </c>
      <c r="G1702" s="1">
        <v>0.13300000000000001</v>
      </c>
      <c r="H1702" t="s">
        <v>2173</v>
      </c>
      <c r="I1702" t="s">
        <v>3505</v>
      </c>
      <c r="J1702" t="s">
        <v>3362</v>
      </c>
      <c r="K1702" t="s">
        <v>3554</v>
      </c>
      <c r="L1702" s="14">
        <f>IFERROR(VALUE(LEFT(tblMatriculas[[#This Row],[Clases]],FIND("/",tblMatriculas[[#This Row],[Clases]])-1)),"")</f>
        <v>8</v>
      </c>
      <c r="M1702" s="14">
        <f>IFERROR(VALUE(MID(tblMatriculas[[#This Row],[Clases]],FIND("/",tblMatriculas[[#This Row],[Clases]])+1,5)),"")</f>
        <v>60</v>
      </c>
      <c r="N17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10</v>
      </c>
      <c r="O1702" s="14">
        <f>IF(OR(tblMatriculas[[#This Row],[Estado]]&lt;&gt;"activa",tblMatriculas[[#This Row],[Clases dictadas]]=""),"",MAX(0,tblMatriculas[[#This Row],[Clases dictadas]]-tblMatriculas[[#This Row],[Asistidas]]))</f>
        <v>2</v>
      </c>
      <c r="P1702" s="1">
        <f>IF(OR(tblMatriculas[[#This Row],[Estado]]&lt;&gt;"activa",tblMatriculas[[#This Row],[Asistidas]]=""),"",tblMatriculas[[#This Row],[Asistencia]])</f>
        <v>0.13300000000000001</v>
      </c>
      <c r="Q1702" t="b">
        <f>AND(tblMatriculas[[#This Row],[Estado]]="activa",ISNUMBER(tblMatriculas[[#This Row],[% asistencia]]),NOT(ISNUMBER(SEARCH(pPrueba,tblMatriculas[[#This Row],[Nombre]]))))</f>
        <v>1</v>
      </c>
      <c r="R17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2" s="23" t="str" cm="1">
        <f t="array" ref="S17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2" s="23" t="str" cm="1">
        <f t="array" ref="T17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2" s="14" t="str" cm="1">
        <f t="array" ref="U17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2" t="str" cm="1">
        <f t="array" ref="V17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2" t="str" cm="1">
        <f t="array" ref="W17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2" t="str">
        <f>IF(COUNTIFS('Base Estudiantes'!$C:$C,tblMatriculas[[#This Row],[Cédula]],'Base Estudiantes'!$I:$I,tblMatriculas[[#This Row],[Código]])&gt;0,"Sí","No")</f>
        <v>Sí</v>
      </c>
      <c r="Z1702" s="23" cm="1">
        <f t="array" ref="Z1702">_xlfn.XLOOKUP(tblMatriculas[[#This Row],[Cédula]]&amp;"|"&amp;tblMatriculas[[#This Row],[Código]],tblBase[Documento]&amp;"|"&amp;tblBase[Código grupo],tblBase[Fecha matrícula],"")</f>
        <v>46262</v>
      </c>
    </row>
    <row r="1703" spans="1:26" x14ac:dyDescent="0.2">
      <c r="A1703" t="s">
        <v>3559</v>
      </c>
      <c r="B1703" t="s">
        <v>3560</v>
      </c>
      <c r="C1703" t="s">
        <v>13</v>
      </c>
      <c r="D1703" t="s">
        <v>3550</v>
      </c>
      <c r="E1703" t="s">
        <v>3551</v>
      </c>
      <c r="F1703" t="s">
        <v>335</v>
      </c>
      <c r="G1703" s="1">
        <v>0.16699999999999998</v>
      </c>
      <c r="H1703" t="s">
        <v>229</v>
      </c>
      <c r="I1703" t="s">
        <v>3505</v>
      </c>
      <c r="J1703" t="s">
        <v>3362</v>
      </c>
      <c r="K1703" t="s">
        <v>3554</v>
      </c>
      <c r="L1703" s="14">
        <f>IFERROR(VALUE(LEFT(tblMatriculas[[#This Row],[Clases]],FIND("/",tblMatriculas[[#This Row],[Clases]])-1)),"")</f>
        <v>5</v>
      </c>
      <c r="M1703" s="14">
        <f>IFERROR(VALUE(MID(tblMatriculas[[#This Row],[Clases]],FIND("/",tblMatriculas[[#This Row],[Clases]])+1,5)),"")</f>
        <v>30</v>
      </c>
      <c r="N17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3" s="14">
        <f>IF(OR(tblMatriculas[[#This Row],[Estado]]&lt;&gt;"activa",tblMatriculas[[#This Row],[Clases dictadas]]=""),"",MAX(0,tblMatriculas[[#This Row],[Clases dictadas]]-tblMatriculas[[#This Row],[Asistidas]]))</f>
        <v>0</v>
      </c>
      <c r="P1703" s="1">
        <f>IF(OR(tblMatriculas[[#This Row],[Estado]]&lt;&gt;"activa",tblMatriculas[[#This Row],[Asistidas]]=""),"",tblMatriculas[[#This Row],[Asistencia]])</f>
        <v>0.16699999999999998</v>
      </c>
      <c r="Q1703" t="b">
        <f>AND(tblMatriculas[[#This Row],[Estado]]="activa",ISNUMBER(tblMatriculas[[#This Row],[% asistencia]]),NOT(ISNUMBER(SEARCH(pPrueba,tblMatriculas[[#This Row],[Nombre]]))))</f>
        <v>1</v>
      </c>
      <c r="R17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3" s="23" t="str" cm="1">
        <f t="array" ref="S17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3" s="23" t="str" cm="1">
        <f t="array" ref="T17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3" s="14" t="str" cm="1">
        <f t="array" ref="U17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3" t="str" cm="1">
        <f t="array" ref="V17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3" t="str" cm="1">
        <f t="array" ref="W17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3" t="str">
        <f>IF(COUNTIFS('Base Estudiantes'!$C:$C,tblMatriculas[[#This Row],[Cédula]],'Base Estudiantes'!$I:$I,tblMatriculas[[#This Row],[Código]])&gt;0,"Sí","No")</f>
        <v>Sí</v>
      </c>
      <c r="Z1703" s="23" cm="1">
        <f t="array" ref="Z1703">_xlfn.XLOOKUP(tblMatriculas[[#This Row],[Cédula]]&amp;"|"&amp;tblMatriculas[[#This Row],[Código]],tblBase[Documento]&amp;"|"&amp;tblBase[Código grupo],tblBase[Fecha matrícula],"")</f>
        <v>46262</v>
      </c>
    </row>
    <row r="1704" spans="1:26" x14ac:dyDescent="0.2">
      <c r="A1704" t="s">
        <v>3561</v>
      </c>
      <c r="B1704" t="s">
        <v>3562</v>
      </c>
      <c r="C1704" t="s">
        <v>13</v>
      </c>
      <c r="D1704" t="s">
        <v>3550</v>
      </c>
      <c r="E1704" t="s">
        <v>3551</v>
      </c>
      <c r="F1704" t="s">
        <v>335</v>
      </c>
      <c r="G1704" s="1">
        <v>0.16699999999999998</v>
      </c>
      <c r="H1704" t="s">
        <v>229</v>
      </c>
      <c r="I1704" t="s">
        <v>3505</v>
      </c>
      <c r="J1704" t="s">
        <v>3362</v>
      </c>
      <c r="K1704" t="s">
        <v>3554</v>
      </c>
      <c r="L1704" s="14">
        <f>IFERROR(VALUE(LEFT(tblMatriculas[[#This Row],[Clases]],FIND("/",tblMatriculas[[#This Row],[Clases]])-1)),"")</f>
        <v>5</v>
      </c>
      <c r="M1704" s="14">
        <f>IFERROR(VALUE(MID(tblMatriculas[[#This Row],[Clases]],FIND("/",tblMatriculas[[#This Row],[Clases]])+1,5)),"")</f>
        <v>30</v>
      </c>
      <c r="N17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4" s="14">
        <f>IF(OR(tblMatriculas[[#This Row],[Estado]]&lt;&gt;"activa",tblMatriculas[[#This Row],[Clases dictadas]]=""),"",MAX(0,tblMatriculas[[#This Row],[Clases dictadas]]-tblMatriculas[[#This Row],[Asistidas]]))</f>
        <v>0</v>
      </c>
      <c r="P1704" s="1">
        <f>IF(OR(tblMatriculas[[#This Row],[Estado]]&lt;&gt;"activa",tblMatriculas[[#This Row],[Asistidas]]=""),"",tblMatriculas[[#This Row],[Asistencia]])</f>
        <v>0.16699999999999998</v>
      </c>
      <c r="Q1704" t="b">
        <f>AND(tblMatriculas[[#This Row],[Estado]]="activa",ISNUMBER(tblMatriculas[[#This Row],[% asistencia]]),NOT(ISNUMBER(SEARCH(pPrueba,tblMatriculas[[#This Row],[Nombre]]))))</f>
        <v>1</v>
      </c>
      <c r="R17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4" s="23" t="str" cm="1">
        <f t="array" ref="S17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4" s="23" t="str" cm="1">
        <f t="array" ref="T17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4" s="14" t="str" cm="1">
        <f t="array" ref="U17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4" t="str" cm="1">
        <f t="array" ref="V17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4" t="str" cm="1">
        <f t="array" ref="W17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4" t="str">
        <f>IF(COUNTIFS('Base Estudiantes'!$C:$C,tblMatriculas[[#This Row],[Cédula]],'Base Estudiantes'!$I:$I,tblMatriculas[[#This Row],[Código]])&gt;0,"Sí","No")</f>
        <v>Sí</v>
      </c>
      <c r="Z1704" s="23" cm="1">
        <f t="array" ref="Z1704">_xlfn.XLOOKUP(tblMatriculas[[#This Row],[Cédula]]&amp;"|"&amp;tblMatriculas[[#This Row],[Código]],tblBase[Documento]&amp;"|"&amp;tblBase[Código grupo],tblBase[Fecha matrícula],"")</f>
        <v>46262</v>
      </c>
    </row>
    <row r="1705" spans="1:26" x14ac:dyDescent="0.2">
      <c r="A1705" t="s">
        <v>3563</v>
      </c>
      <c r="B1705" t="s">
        <v>3564</v>
      </c>
      <c r="C1705" t="s">
        <v>13</v>
      </c>
      <c r="D1705" t="s">
        <v>3550</v>
      </c>
      <c r="E1705" t="s">
        <v>3551</v>
      </c>
      <c r="F1705" t="s">
        <v>335</v>
      </c>
      <c r="G1705" s="1">
        <v>0.1</v>
      </c>
      <c r="H1705" t="s">
        <v>117</v>
      </c>
      <c r="I1705" t="s">
        <v>3505</v>
      </c>
      <c r="J1705" t="s">
        <v>3362</v>
      </c>
      <c r="K1705" t="s">
        <v>3554</v>
      </c>
      <c r="L1705" s="14">
        <f>IFERROR(VALUE(LEFT(tblMatriculas[[#This Row],[Clases]],FIND("/",tblMatriculas[[#This Row],[Clases]])-1)),"")</f>
        <v>3</v>
      </c>
      <c r="M1705" s="14">
        <f>IFERROR(VALUE(MID(tblMatriculas[[#This Row],[Clases]],FIND("/",tblMatriculas[[#This Row],[Clases]])+1,5)),"")</f>
        <v>30</v>
      </c>
      <c r="N17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5" s="14">
        <f>IF(OR(tblMatriculas[[#This Row],[Estado]]&lt;&gt;"activa",tblMatriculas[[#This Row],[Clases dictadas]]=""),"",MAX(0,tblMatriculas[[#This Row],[Clases dictadas]]-tblMatriculas[[#This Row],[Asistidas]]))</f>
        <v>2</v>
      </c>
      <c r="P1705" s="1">
        <f>IF(OR(tblMatriculas[[#This Row],[Estado]]&lt;&gt;"activa",tblMatriculas[[#This Row],[Asistidas]]=""),"",tblMatriculas[[#This Row],[Asistencia]])</f>
        <v>0.1</v>
      </c>
      <c r="Q1705" t="b">
        <f>AND(tblMatriculas[[#This Row],[Estado]]="activa",ISNUMBER(tblMatriculas[[#This Row],[% asistencia]]),NOT(ISNUMBER(SEARCH(pPrueba,tblMatriculas[[#This Row],[Nombre]]))))</f>
        <v>1</v>
      </c>
      <c r="R17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5" s="23" t="str" cm="1">
        <f t="array" ref="S17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5" s="23" t="str" cm="1">
        <f t="array" ref="T17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5" s="14" t="str" cm="1">
        <f t="array" ref="U17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5" t="str" cm="1">
        <f t="array" ref="V17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5" t="str" cm="1">
        <f t="array" ref="W17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5" t="str">
        <f>IF(COUNTIFS('Base Estudiantes'!$C:$C,tblMatriculas[[#This Row],[Cédula]],'Base Estudiantes'!$I:$I,tblMatriculas[[#This Row],[Código]])&gt;0,"Sí","No")</f>
        <v>Sí</v>
      </c>
      <c r="Z1705" s="23" cm="1">
        <f t="array" ref="Z1705">_xlfn.XLOOKUP(tblMatriculas[[#This Row],[Cédula]]&amp;"|"&amp;tblMatriculas[[#This Row],[Código]],tblBase[Documento]&amp;"|"&amp;tblBase[Código grupo],tblBase[Fecha matrícula],"")</f>
        <v>46262</v>
      </c>
    </row>
    <row r="1706" spans="1:26" x14ac:dyDescent="0.2">
      <c r="A1706" t="s">
        <v>3565</v>
      </c>
      <c r="B1706" t="s">
        <v>3566</v>
      </c>
      <c r="C1706" t="s">
        <v>13</v>
      </c>
      <c r="D1706" t="s">
        <v>3550</v>
      </c>
      <c r="E1706" t="s">
        <v>3551</v>
      </c>
      <c r="F1706" t="s">
        <v>335</v>
      </c>
      <c r="G1706" s="1">
        <v>0.13300000000000001</v>
      </c>
      <c r="H1706" t="s">
        <v>112</v>
      </c>
      <c r="I1706" t="s">
        <v>3505</v>
      </c>
      <c r="J1706" t="s">
        <v>3362</v>
      </c>
      <c r="K1706" t="s">
        <v>3567</v>
      </c>
      <c r="L1706" s="14">
        <f>IFERROR(VALUE(LEFT(tblMatriculas[[#This Row],[Clases]],FIND("/",tblMatriculas[[#This Row],[Clases]])-1)),"")</f>
        <v>4</v>
      </c>
      <c r="M1706" s="14">
        <f>IFERROR(VALUE(MID(tblMatriculas[[#This Row],[Clases]],FIND("/",tblMatriculas[[#This Row],[Clases]])+1,5)),"")</f>
        <v>30</v>
      </c>
      <c r="N17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6" s="14">
        <f>IF(OR(tblMatriculas[[#This Row],[Estado]]&lt;&gt;"activa",tblMatriculas[[#This Row],[Clases dictadas]]=""),"",MAX(0,tblMatriculas[[#This Row],[Clases dictadas]]-tblMatriculas[[#This Row],[Asistidas]]))</f>
        <v>1</v>
      </c>
      <c r="P1706" s="1">
        <f>IF(OR(tblMatriculas[[#This Row],[Estado]]&lt;&gt;"activa",tblMatriculas[[#This Row],[Asistidas]]=""),"",tblMatriculas[[#This Row],[Asistencia]])</f>
        <v>0.13300000000000001</v>
      </c>
      <c r="Q1706" t="b">
        <f>AND(tblMatriculas[[#This Row],[Estado]]="activa",ISNUMBER(tblMatriculas[[#This Row],[% asistencia]]),NOT(ISNUMBER(SEARCH(pPrueba,tblMatriculas[[#This Row],[Nombre]]))))</f>
        <v>1</v>
      </c>
      <c r="R17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6" s="23" t="str" cm="1">
        <f t="array" ref="S17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6" s="23" t="str" cm="1">
        <f t="array" ref="T17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6" s="14" t="str" cm="1">
        <f t="array" ref="U17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6" t="str" cm="1">
        <f t="array" ref="V17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6" t="str" cm="1">
        <f t="array" ref="W17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6" t="str">
        <f>IF(COUNTIFS('Base Estudiantes'!$C:$C,tblMatriculas[[#This Row],[Cédula]],'Base Estudiantes'!$I:$I,tblMatriculas[[#This Row],[Código]])&gt;0,"Sí","No")</f>
        <v>Sí</v>
      </c>
      <c r="Z1706" s="23" cm="1">
        <f t="array" ref="Z1706">_xlfn.XLOOKUP(tblMatriculas[[#This Row],[Cédula]]&amp;"|"&amp;tblMatriculas[[#This Row],[Código]],tblBase[Documento]&amp;"|"&amp;tblBase[Código grupo],tblBase[Fecha matrícula],"")</f>
        <v>46262</v>
      </c>
    </row>
    <row r="1707" spans="1:26" x14ac:dyDescent="0.2">
      <c r="A1707" t="s">
        <v>3568</v>
      </c>
      <c r="B1707" t="s">
        <v>3569</v>
      </c>
      <c r="C1707" t="s">
        <v>13</v>
      </c>
      <c r="D1707" t="s">
        <v>3550</v>
      </c>
      <c r="E1707" t="s">
        <v>3551</v>
      </c>
      <c r="F1707" t="s">
        <v>335</v>
      </c>
      <c r="G1707" s="1">
        <v>0.16699999999999998</v>
      </c>
      <c r="H1707" t="s">
        <v>229</v>
      </c>
      <c r="I1707" t="s">
        <v>3505</v>
      </c>
      <c r="J1707" t="s">
        <v>3362</v>
      </c>
      <c r="K1707" t="s">
        <v>24</v>
      </c>
      <c r="L1707" s="14">
        <f>IFERROR(VALUE(LEFT(tblMatriculas[[#This Row],[Clases]],FIND("/",tblMatriculas[[#This Row],[Clases]])-1)),"")</f>
        <v>5</v>
      </c>
      <c r="M1707" s="14">
        <f>IFERROR(VALUE(MID(tblMatriculas[[#This Row],[Clases]],FIND("/",tblMatriculas[[#This Row],[Clases]])+1,5)),"")</f>
        <v>30</v>
      </c>
      <c r="N17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7" s="14">
        <f>IF(OR(tblMatriculas[[#This Row],[Estado]]&lt;&gt;"activa",tblMatriculas[[#This Row],[Clases dictadas]]=""),"",MAX(0,tblMatriculas[[#This Row],[Clases dictadas]]-tblMatriculas[[#This Row],[Asistidas]]))</f>
        <v>0</v>
      </c>
      <c r="P1707" s="1">
        <f>IF(OR(tblMatriculas[[#This Row],[Estado]]&lt;&gt;"activa",tblMatriculas[[#This Row],[Asistidas]]=""),"",tblMatriculas[[#This Row],[Asistencia]])</f>
        <v>0.16699999999999998</v>
      </c>
      <c r="Q1707" t="b">
        <f>AND(tblMatriculas[[#This Row],[Estado]]="activa",ISNUMBER(tblMatriculas[[#This Row],[% asistencia]]),NOT(ISNUMBER(SEARCH(pPrueba,tblMatriculas[[#This Row],[Nombre]]))))</f>
        <v>1</v>
      </c>
      <c r="R17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7" s="23" t="str" cm="1">
        <f t="array" ref="S17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7" s="23" t="str" cm="1">
        <f t="array" ref="T17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7" s="14" t="str" cm="1">
        <f t="array" ref="U17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7" t="str" cm="1">
        <f t="array" ref="V17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7" t="str" cm="1">
        <f t="array" ref="W17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7" t="str">
        <f>IF(COUNTIFS('Base Estudiantes'!$C:$C,tblMatriculas[[#This Row],[Cédula]],'Base Estudiantes'!$I:$I,tblMatriculas[[#This Row],[Código]])&gt;0,"Sí","No")</f>
        <v>Sí</v>
      </c>
      <c r="Z1707" s="23" cm="1">
        <f t="array" ref="Z1707">_xlfn.XLOOKUP(tblMatriculas[[#This Row],[Cédula]]&amp;"|"&amp;tblMatriculas[[#This Row],[Código]],tblBase[Documento]&amp;"|"&amp;tblBase[Código grupo],tblBase[Fecha matrícula],"")</f>
        <v>46262</v>
      </c>
    </row>
    <row r="1708" spans="1:26" x14ac:dyDescent="0.2">
      <c r="A1708" t="s">
        <v>3570</v>
      </c>
      <c r="B1708" t="s">
        <v>3571</v>
      </c>
      <c r="C1708" t="s">
        <v>13</v>
      </c>
      <c r="D1708" t="s">
        <v>3550</v>
      </c>
      <c r="E1708" t="s">
        <v>3551</v>
      </c>
      <c r="F1708" t="s">
        <v>335</v>
      </c>
      <c r="G1708" s="1">
        <v>0.16699999999999998</v>
      </c>
      <c r="H1708" t="s">
        <v>229</v>
      </c>
      <c r="I1708" t="s">
        <v>3505</v>
      </c>
      <c r="J1708" t="s">
        <v>3362</v>
      </c>
      <c r="K1708" t="s">
        <v>24</v>
      </c>
      <c r="L1708" s="14">
        <f>IFERROR(VALUE(LEFT(tblMatriculas[[#This Row],[Clases]],FIND("/",tblMatriculas[[#This Row],[Clases]])-1)),"")</f>
        <v>5</v>
      </c>
      <c r="M1708" s="14">
        <f>IFERROR(VALUE(MID(tblMatriculas[[#This Row],[Clases]],FIND("/",tblMatriculas[[#This Row],[Clases]])+1,5)),"")</f>
        <v>30</v>
      </c>
      <c r="N17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8" s="14">
        <f>IF(OR(tblMatriculas[[#This Row],[Estado]]&lt;&gt;"activa",tblMatriculas[[#This Row],[Clases dictadas]]=""),"",MAX(0,tblMatriculas[[#This Row],[Clases dictadas]]-tblMatriculas[[#This Row],[Asistidas]]))</f>
        <v>0</v>
      </c>
      <c r="P1708" s="1">
        <f>IF(OR(tblMatriculas[[#This Row],[Estado]]&lt;&gt;"activa",tblMatriculas[[#This Row],[Asistidas]]=""),"",tblMatriculas[[#This Row],[Asistencia]])</f>
        <v>0.16699999999999998</v>
      </c>
      <c r="Q1708" t="b">
        <f>AND(tblMatriculas[[#This Row],[Estado]]="activa",ISNUMBER(tblMatriculas[[#This Row],[% asistencia]]),NOT(ISNUMBER(SEARCH(pPrueba,tblMatriculas[[#This Row],[Nombre]]))))</f>
        <v>1</v>
      </c>
      <c r="R17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8" s="23" t="str" cm="1">
        <f t="array" ref="S17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8" s="23" t="str" cm="1">
        <f t="array" ref="T17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8" s="14" t="str" cm="1">
        <f t="array" ref="U17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8" t="str" cm="1">
        <f t="array" ref="V17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8" t="str" cm="1">
        <f t="array" ref="W17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8" t="str">
        <f>IF(COUNTIFS('Base Estudiantes'!$C:$C,tblMatriculas[[#This Row],[Cédula]],'Base Estudiantes'!$I:$I,tblMatriculas[[#This Row],[Código]])&gt;0,"Sí","No")</f>
        <v>Sí</v>
      </c>
      <c r="Z1708" s="23" cm="1">
        <f t="array" ref="Z1708">_xlfn.XLOOKUP(tblMatriculas[[#This Row],[Cédula]]&amp;"|"&amp;tblMatriculas[[#This Row],[Código]],tblBase[Documento]&amp;"|"&amp;tblBase[Código grupo],tblBase[Fecha matrícula],"")</f>
        <v>46262</v>
      </c>
    </row>
    <row r="1709" spans="1:26" x14ac:dyDescent="0.2">
      <c r="A1709" t="s">
        <v>3572</v>
      </c>
      <c r="B1709" t="s">
        <v>3573</v>
      </c>
      <c r="C1709" t="s">
        <v>13</v>
      </c>
      <c r="D1709" t="s">
        <v>3550</v>
      </c>
      <c r="E1709" t="s">
        <v>3551</v>
      </c>
      <c r="F1709" t="s">
        <v>335</v>
      </c>
      <c r="G1709" s="1">
        <v>0.13300000000000001</v>
      </c>
      <c r="H1709" t="s">
        <v>112</v>
      </c>
      <c r="I1709" t="s">
        <v>3505</v>
      </c>
      <c r="J1709" t="s">
        <v>3362</v>
      </c>
      <c r="K1709" t="s">
        <v>24</v>
      </c>
      <c r="L1709" s="14">
        <f>IFERROR(VALUE(LEFT(tblMatriculas[[#This Row],[Clases]],FIND("/",tblMatriculas[[#This Row],[Clases]])-1)),"")</f>
        <v>4</v>
      </c>
      <c r="M1709" s="14">
        <f>IFERROR(VALUE(MID(tblMatriculas[[#This Row],[Clases]],FIND("/",tblMatriculas[[#This Row],[Clases]])+1,5)),"")</f>
        <v>30</v>
      </c>
      <c r="N17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09" s="14">
        <f>IF(OR(tblMatriculas[[#This Row],[Estado]]&lt;&gt;"activa",tblMatriculas[[#This Row],[Clases dictadas]]=""),"",MAX(0,tblMatriculas[[#This Row],[Clases dictadas]]-tblMatriculas[[#This Row],[Asistidas]]))</f>
        <v>1</v>
      </c>
      <c r="P1709" s="1">
        <f>IF(OR(tblMatriculas[[#This Row],[Estado]]&lt;&gt;"activa",tblMatriculas[[#This Row],[Asistidas]]=""),"",tblMatriculas[[#This Row],[Asistencia]])</f>
        <v>0.13300000000000001</v>
      </c>
      <c r="Q1709" t="b">
        <f>AND(tblMatriculas[[#This Row],[Estado]]="activa",ISNUMBER(tblMatriculas[[#This Row],[% asistencia]]),NOT(ISNUMBER(SEARCH(pPrueba,tblMatriculas[[#This Row],[Nombre]]))))</f>
        <v>1</v>
      </c>
      <c r="R17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09" s="23" t="str" cm="1">
        <f t="array" ref="S17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09" s="23" t="str" cm="1">
        <f t="array" ref="T17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09" s="14" t="str" cm="1">
        <f t="array" ref="U17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09" t="str" cm="1">
        <f t="array" ref="V17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09" t="str" cm="1">
        <f t="array" ref="W17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09" t="str">
        <f>IF(COUNTIFS('Base Estudiantes'!$C:$C,tblMatriculas[[#This Row],[Cédula]],'Base Estudiantes'!$I:$I,tblMatriculas[[#This Row],[Código]])&gt;0,"Sí","No")</f>
        <v>Sí</v>
      </c>
      <c r="Z1709" s="23" cm="1">
        <f t="array" ref="Z1709">_xlfn.XLOOKUP(tblMatriculas[[#This Row],[Cédula]]&amp;"|"&amp;tblMatriculas[[#This Row],[Código]],tblBase[Documento]&amp;"|"&amp;tblBase[Código grupo],tblBase[Fecha matrícula],"")</f>
        <v>46262</v>
      </c>
    </row>
    <row r="1710" spans="1:26" x14ac:dyDescent="0.2">
      <c r="A1710" t="s">
        <v>3574</v>
      </c>
      <c r="B1710" t="s">
        <v>3575</v>
      </c>
      <c r="C1710" t="s">
        <v>13</v>
      </c>
      <c r="D1710" t="s">
        <v>3550</v>
      </c>
      <c r="E1710" t="s">
        <v>3551</v>
      </c>
      <c r="F1710" t="s">
        <v>335</v>
      </c>
      <c r="G1710" s="1">
        <v>0.13300000000000001</v>
      </c>
      <c r="H1710" t="s">
        <v>112</v>
      </c>
      <c r="I1710" t="s">
        <v>3505</v>
      </c>
      <c r="J1710" t="s">
        <v>3362</v>
      </c>
      <c r="K1710" t="s">
        <v>24</v>
      </c>
      <c r="L1710" s="14">
        <f>IFERROR(VALUE(LEFT(tblMatriculas[[#This Row],[Clases]],FIND("/",tblMatriculas[[#This Row],[Clases]])-1)),"")</f>
        <v>4</v>
      </c>
      <c r="M1710" s="14">
        <f>IFERROR(VALUE(MID(tblMatriculas[[#This Row],[Clases]],FIND("/",tblMatriculas[[#This Row],[Clases]])+1,5)),"")</f>
        <v>30</v>
      </c>
      <c r="N17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0" s="14">
        <f>IF(OR(tblMatriculas[[#This Row],[Estado]]&lt;&gt;"activa",tblMatriculas[[#This Row],[Clases dictadas]]=""),"",MAX(0,tblMatriculas[[#This Row],[Clases dictadas]]-tblMatriculas[[#This Row],[Asistidas]]))</f>
        <v>1</v>
      </c>
      <c r="P1710" s="1">
        <f>IF(OR(tblMatriculas[[#This Row],[Estado]]&lt;&gt;"activa",tblMatriculas[[#This Row],[Asistidas]]=""),"",tblMatriculas[[#This Row],[Asistencia]])</f>
        <v>0.13300000000000001</v>
      </c>
      <c r="Q1710" t="b">
        <f>AND(tblMatriculas[[#This Row],[Estado]]="activa",ISNUMBER(tblMatriculas[[#This Row],[% asistencia]]),NOT(ISNUMBER(SEARCH(pPrueba,tblMatriculas[[#This Row],[Nombre]]))))</f>
        <v>1</v>
      </c>
      <c r="R17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0" s="23" t="str" cm="1">
        <f t="array" ref="S17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0" s="23" t="str" cm="1">
        <f t="array" ref="T17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0" s="14" t="str" cm="1">
        <f t="array" ref="U17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0" t="str" cm="1">
        <f t="array" ref="V17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0" t="str" cm="1">
        <f t="array" ref="W17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0" t="str">
        <f>IF(COUNTIFS('Base Estudiantes'!$C:$C,tblMatriculas[[#This Row],[Cédula]],'Base Estudiantes'!$I:$I,tblMatriculas[[#This Row],[Código]])&gt;0,"Sí","No")</f>
        <v>Sí</v>
      </c>
      <c r="Z1710" s="23" cm="1">
        <f t="array" ref="Z1710">_xlfn.XLOOKUP(tblMatriculas[[#This Row],[Cédula]]&amp;"|"&amp;tblMatriculas[[#This Row],[Código]],tblBase[Documento]&amp;"|"&amp;tblBase[Código grupo],tblBase[Fecha matrícula],"")</f>
        <v>46262</v>
      </c>
    </row>
    <row r="1711" spans="1:26" x14ac:dyDescent="0.2">
      <c r="A1711" t="s">
        <v>3576</v>
      </c>
      <c r="B1711" t="s">
        <v>3577</v>
      </c>
      <c r="C1711" t="s">
        <v>13</v>
      </c>
      <c r="D1711" t="s">
        <v>3550</v>
      </c>
      <c r="E1711" t="s">
        <v>3551</v>
      </c>
      <c r="F1711" t="s">
        <v>335</v>
      </c>
      <c r="G1711" s="1">
        <v>0.16699999999999998</v>
      </c>
      <c r="H1711" t="s">
        <v>229</v>
      </c>
      <c r="I1711" t="s">
        <v>3505</v>
      </c>
      <c r="J1711" t="s">
        <v>3362</v>
      </c>
      <c r="K1711" t="s">
        <v>24</v>
      </c>
      <c r="L1711" s="14">
        <f>IFERROR(VALUE(LEFT(tblMatriculas[[#This Row],[Clases]],FIND("/",tblMatriculas[[#This Row],[Clases]])-1)),"")</f>
        <v>5</v>
      </c>
      <c r="M1711" s="14">
        <f>IFERROR(VALUE(MID(tblMatriculas[[#This Row],[Clases]],FIND("/",tblMatriculas[[#This Row],[Clases]])+1,5)),"")</f>
        <v>30</v>
      </c>
      <c r="N17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1" s="14">
        <f>IF(OR(tblMatriculas[[#This Row],[Estado]]&lt;&gt;"activa",tblMatriculas[[#This Row],[Clases dictadas]]=""),"",MAX(0,tblMatriculas[[#This Row],[Clases dictadas]]-tblMatriculas[[#This Row],[Asistidas]]))</f>
        <v>0</v>
      </c>
      <c r="P1711" s="1">
        <f>IF(OR(tblMatriculas[[#This Row],[Estado]]&lt;&gt;"activa",tblMatriculas[[#This Row],[Asistidas]]=""),"",tblMatriculas[[#This Row],[Asistencia]])</f>
        <v>0.16699999999999998</v>
      </c>
      <c r="Q1711" t="b">
        <f>AND(tblMatriculas[[#This Row],[Estado]]="activa",ISNUMBER(tblMatriculas[[#This Row],[% asistencia]]),NOT(ISNUMBER(SEARCH(pPrueba,tblMatriculas[[#This Row],[Nombre]]))))</f>
        <v>1</v>
      </c>
      <c r="R17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1" s="23" t="str" cm="1">
        <f t="array" ref="S17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1" s="23" t="str" cm="1">
        <f t="array" ref="T17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1" s="14" t="str" cm="1">
        <f t="array" ref="U17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1" t="str" cm="1">
        <f t="array" ref="V17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1" t="str" cm="1">
        <f t="array" ref="W17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1" t="str">
        <f>IF(COUNTIFS('Base Estudiantes'!$C:$C,tblMatriculas[[#This Row],[Cédula]],'Base Estudiantes'!$I:$I,tblMatriculas[[#This Row],[Código]])&gt;0,"Sí","No")</f>
        <v>Sí</v>
      </c>
      <c r="Z1711" s="23" cm="1">
        <f t="array" ref="Z1711">_xlfn.XLOOKUP(tblMatriculas[[#This Row],[Cédula]]&amp;"|"&amp;tblMatriculas[[#This Row],[Código]],tblBase[Documento]&amp;"|"&amp;tblBase[Código grupo],tblBase[Fecha matrícula],"")</f>
        <v>46262</v>
      </c>
    </row>
    <row r="1712" spans="1:26" x14ac:dyDescent="0.2">
      <c r="A1712" t="s">
        <v>3578</v>
      </c>
      <c r="B1712" t="s">
        <v>3579</v>
      </c>
      <c r="C1712" t="s">
        <v>13</v>
      </c>
      <c r="D1712" t="s">
        <v>3550</v>
      </c>
      <c r="E1712" t="s">
        <v>3551</v>
      </c>
      <c r="F1712" t="s">
        <v>335</v>
      </c>
      <c r="G1712" s="1">
        <v>0.16699999999999998</v>
      </c>
      <c r="H1712" t="s">
        <v>229</v>
      </c>
      <c r="I1712" t="s">
        <v>3505</v>
      </c>
      <c r="J1712" t="s">
        <v>3362</v>
      </c>
      <c r="K1712" t="s">
        <v>24</v>
      </c>
      <c r="L1712" s="14">
        <f>IFERROR(VALUE(LEFT(tblMatriculas[[#This Row],[Clases]],FIND("/",tblMatriculas[[#This Row],[Clases]])-1)),"")</f>
        <v>5</v>
      </c>
      <c r="M1712" s="14">
        <f>IFERROR(VALUE(MID(tblMatriculas[[#This Row],[Clases]],FIND("/",tblMatriculas[[#This Row],[Clases]])+1,5)),"")</f>
        <v>30</v>
      </c>
      <c r="N17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2" s="14">
        <f>IF(OR(tblMatriculas[[#This Row],[Estado]]&lt;&gt;"activa",tblMatriculas[[#This Row],[Clases dictadas]]=""),"",MAX(0,tblMatriculas[[#This Row],[Clases dictadas]]-tblMatriculas[[#This Row],[Asistidas]]))</f>
        <v>0</v>
      </c>
      <c r="P1712" s="1">
        <f>IF(OR(tblMatriculas[[#This Row],[Estado]]&lt;&gt;"activa",tblMatriculas[[#This Row],[Asistidas]]=""),"",tblMatriculas[[#This Row],[Asistencia]])</f>
        <v>0.16699999999999998</v>
      </c>
      <c r="Q1712" t="b">
        <f>AND(tblMatriculas[[#This Row],[Estado]]="activa",ISNUMBER(tblMatriculas[[#This Row],[% asistencia]]),NOT(ISNUMBER(SEARCH(pPrueba,tblMatriculas[[#This Row],[Nombre]]))))</f>
        <v>1</v>
      </c>
      <c r="R17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2" s="23" t="str" cm="1">
        <f t="array" ref="S17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2" s="23" t="str" cm="1">
        <f t="array" ref="T17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2" s="14" t="str" cm="1">
        <f t="array" ref="U17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2" t="str" cm="1">
        <f t="array" ref="V17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2" t="str" cm="1">
        <f t="array" ref="W17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2" t="str">
        <f>IF(COUNTIFS('Base Estudiantes'!$C:$C,tblMatriculas[[#This Row],[Cédula]],'Base Estudiantes'!$I:$I,tblMatriculas[[#This Row],[Código]])&gt;0,"Sí","No")</f>
        <v>Sí</v>
      </c>
      <c r="Z1712" s="23" cm="1">
        <f t="array" ref="Z1712">_xlfn.XLOOKUP(tblMatriculas[[#This Row],[Cédula]]&amp;"|"&amp;tblMatriculas[[#This Row],[Código]],tblBase[Documento]&amp;"|"&amp;tblBase[Código grupo],tblBase[Fecha matrícula],"")</f>
        <v>46262</v>
      </c>
    </row>
    <row r="1713" spans="1:26" x14ac:dyDescent="0.2">
      <c r="A1713" t="s">
        <v>3580</v>
      </c>
      <c r="B1713" t="s">
        <v>3581</v>
      </c>
      <c r="C1713" t="s">
        <v>13</v>
      </c>
      <c r="D1713" t="s">
        <v>3550</v>
      </c>
      <c r="E1713" t="s">
        <v>3551</v>
      </c>
      <c r="F1713" t="s">
        <v>335</v>
      </c>
      <c r="G1713" s="1">
        <v>0.16699999999999998</v>
      </c>
      <c r="H1713" t="s">
        <v>229</v>
      </c>
      <c r="I1713" t="s">
        <v>3505</v>
      </c>
      <c r="J1713" t="s">
        <v>3362</v>
      </c>
      <c r="K1713" t="s">
        <v>24</v>
      </c>
      <c r="L1713" s="14">
        <f>IFERROR(VALUE(LEFT(tblMatriculas[[#This Row],[Clases]],FIND("/",tblMatriculas[[#This Row],[Clases]])-1)),"")</f>
        <v>5</v>
      </c>
      <c r="M1713" s="14">
        <f>IFERROR(VALUE(MID(tblMatriculas[[#This Row],[Clases]],FIND("/",tblMatriculas[[#This Row],[Clases]])+1,5)),"")</f>
        <v>30</v>
      </c>
      <c r="N17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3" s="14">
        <f>IF(OR(tblMatriculas[[#This Row],[Estado]]&lt;&gt;"activa",tblMatriculas[[#This Row],[Clases dictadas]]=""),"",MAX(0,tblMatriculas[[#This Row],[Clases dictadas]]-tblMatriculas[[#This Row],[Asistidas]]))</f>
        <v>0</v>
      </c>
      <c r="P1713" s="1">
        <f>IF(OR(tblMatriculas[[#This Row],[Estado]]&lt;&gt;"activa",tblMatriculas[[#This Row],[Asistidas]]=""),"",tblMatriculas[[#This Row],[Asistencia]])</f>
        <v>0.16699999999999998</v>
      </c>
      <c r="Q1713" t="b">
        <f>AND(tblMatriculas[[#This Row],[Estado]]="activa",ISNUMBER(tblMatriculas[[#This Row],[% asistencia]]),NOT(ISNUMBER(SEARCH(pPrueba,tblMatriculas[[#This Row],[Nombre]]))))</f>
        <v>1</v>
      </c>
      <c r="R17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3" s="23" t="str" cm="1">
        <f t="array" ref="S17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3" s="23" t="str" cm="1">
        <f t="array" ref="T17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3" s="14" t="str" cm="1">
        <f t="array" ref="U17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3" t="str" cm="1">
        <f t="array" ref="V17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3" t="str" cm="1">
        <f t="array" ref="W17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3" t="str">
        <f>IF(COUNTIFS('Base Estudiantes'!$C:$C,tblMatriculas[[#This Row],[Cédula]],'Base Estudiantes'!$I:$I,tblMatriculas[[#This Row],[Código]])&gt;0,"Sí","No")</f>
        <v>Sí</v>
      </c>
      <c r="Z1713" s="23" cm="1">
        <f t="array" ref="Z1713">_xlfn.XLOOKUP(tblMatriculas[[#This Row],[Cédula]]&amp;"|"&amp;tblMatriculas[[#This Row],[Código]],tblBase[Documento]&amp;"|"&amp;tblBase[Código grupo],tblBase[Fecha matrícula],"")</f>
        <v>46262</v>
      </c>
    </row>
    <row r="1714" spans="1:26" x14ac:dyDescent="0.2">
      <c r="A1714" t="s">
        <v>3582</v>
      </c>
      <c r="B1714" t="s">
        <v>3583</v>
      </c>
      <c r="C1714" t="s">
        <v>13</v>
      </c>
      <c r="D1714" t="s">
        <v>3550</v>
      </c>
      <c r="E1714" t="s">
        <v>3551</v>
      </c>
      <c r="F1714" t="s">
        <v>335</v>
      </c>
      <c r="G1714" s="1">
        <v>0.16699999999999998</v>
      </c>
      <c r="H1714" t="s">
        <v>229</v>
      </c>
      <c r="I1714" t="s">
        <v>3505</v>
      </c>
      <c r="J1714" t="s">
        <v>3362</v>
      </c>
      <c r="K1714" t="s">
        <v>24</v>
      </c>
      <c r="L1714" s="14">
        <f>IFERROR(VALUE(LEFT(tblMatriculas[[#This Row],[Clases]],FIND("/",tblMatriculas[[#This Row],[Clases]])-1)),"")</f>
        <v>5</v>
      </c>
      <c r="M1714" s="14">
        <f>IFERROR(VALUE(MID(tblMatriculas[[#This Row],[Clases]],FIND("/",tblMatriculas[[#This Row],[Clases]])+1,5)),"")</f>
        <v>30</v>
      </c>
      <c r="N17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4" s="14">
        <f>IF(OR(tblMatriculas[[#This Row],[Estado]]&lt;&gt;"activa",tblMatriculas[[#This Row],[Clases dictadas]]=""),"",MAX(0,tblMatriculas[[#This Row],[Clases dictadas]]-tblMatriculas[[#This Row],[Asistidas]]))</f>
        <v>0</v>
      </c>
      <c r="P1714" s="1">
        <f>IF(OR(tblMatriculas[[#This Row],[Estado]]&lt;&gt;"activa",tblMatriculas[[#This Row],[Asistidas]]=""),"",tblMatriculas[[#This Row],[Asistencia]])</f>
        <v>0.16699999999999998</v>
      </c>
      <c r="Q1714" t="b">
        <f>AND(tblMatriculas[[#This Row],[Estado]]="activa",ISNUMBER(tblMatriculas[[#This Row],[% asistencia]]),NOT(ISNUMBER(SEARCH(pPrueba,tblMatriculas[[#This Row],[Nombre]]))))</f>
        <v>1</v>
      </c>
      <c r="R17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4" s="23" t="str" cm="1">
        <f t="array" ref="S17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4" s="23" t="str" cm="1">
        <f t="array" ref="T17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4" s="14" t="str" cm="1">
        <f t="array" ref="U17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4" t="str" cm="1">
        <f t="array" ref="V17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4" t="str" cm="1">
        <f t="array" ref="W17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4" t="str">
        <f>IF(COUNTIFS('Base Estudiantes'!$C:$C,tblMatriculas[[#This Row],[Cédula]],'Base Estudiantes'!$I:$I,tblMatriculas[[#This Row],[Código]])&gt;0,"Sí","No")</f>
        <v>Sí</v>
      </c>
      <c r="Z1714" s="23" cm="1">
        <f t="array" ref="Z1714">_xlfn.XLOOKUP(tblMatriculas[[#This Row],[Cédula]]&amp;"|"&amp;tblMatriculas[[#This Row],[Código]],tblBase[Documento]&amp;"|"&amp;tblBase[Código grupo],tblBase[Fecha matrícula],"")</f>
        <v>46262</v>
      </c>
    </row>
    <row r="1715" spans="1:26" x14ac:dyDescent="0.2">
      <c r="A1715" t="s">
        <v>3584</v>
      </c>
      <c r="B1715" t="s">
        <v>3585</v>
      </c>
      <c r="C1715" t="s">
        <v>13</v>
      </c>
      <c r="D1715" t="s">
        <v>3550</v>
      </c>
      <c r="E1715" t="s">
        <v>3551</v>
      </c>
      <c r="F1715" t="s">
        <v>335</v>
      </c>
      <c r="G1715" s="1">
        <v>0.16699999999999998</v>
      </c>
      <c r="H1715" t="s">
        <v>229</v>
      </c>
      <c r="I1715" t="s">
        <v>3505</v>
      </c>
      <c r="J1715" t="s">
        <v>3362</v>
      </c>
      <c r="K1715" t="s">
        <v>24</v>
      </c>
      <c r="L1715" s="14">
        <f>IFERROR(VALUE(LEFT(tblMatriculas[[#This Row],[Clases]],FIND("/",tblMatriculas[[#This Row],[Clases]])-1)),"")</f>
        <v>5</v>
      </c>
      <c r="M1715" s="14">
        <f>IFERROR(VALUE(MID(tblMatriculas[[#This Row],[Clases]],FIND("/",tblMatriculas[[#This Row],[Clases]])+1,5)),"")</f>
        <v>30</v>
      </c>
      <c r="N17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5" s="14">
        <f>IF(OR(tblMatriculas[[#This Row],[Estado]]&lt;&gt;"activa",tblMatriculas[[#This Row],[Clases dictadas]]=""),"",MAX(0,tblMatriculas[[#This Row],[Clases dictadas]]-tblMatriculas[[#This Row],[Asistidas]]))</f>
        <v>0</v>
      </c>
      <c r="P1715" s="1">
        <f>IF(OR(tblMatriculas[[#This Row],[Estado]]&lt;&gt;"activa",tblMatriculas[[#This Row],[Asistidas]]=""),"",tblMatriculas[[#This Row],[Asistencia]])</f>
        <v>0.16699999999999998</v>
      </c>
      <c r="Q1715" t="b">
        <f>AND(tblMatriculas[[#This Row],[Estado]]="activa",ISNUMBER(tblMatriculas[[#This Row],[% asistencia]]),NOT(ISNUMBER(SEARCH(pPrueba,tblMatriculas[[#This Row],[Nombre]]))))</f>
        <v>1</v>
      </c>
      <c r="R17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5" s="23" t="str" cm="1">
        <f t="array" ref="S17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5" s="23" t="str" cm="1">
        <f t="array" ref="T17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5" s="14" t="str" cm="1">
        <f t="array" ref="U17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5" t="str" cm="1">
        <f t="array" ref="V17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5" t="str" cm="1">
        <f t="array" ref="W17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5" t="str">
        <f>IF(COUNTIFS('Base Estudiantes'!$C:$C,tblMatriculas[[#This Row],[Cédula]],'Base Estudiantes'!$I:$I,tblMatriculas[[#This Row],[Código]])&gt;0,"Sí","No")</f>
        <v>Sí</v>
      </c>
      <c r="Z1715" s="23" cm="1">
        <f t="array" ref="Z1715">_xlfn.XLOOKUP(tblMatriculas[[#This Row],[Cédula]]&amp;"|"&amp;tblMatriculas[[#This Row],[Código]],tblBase[Documento]&amp;"|"&amp;tblBase[Código grupo],tblBase[Fecha matrícula],"")</f>
        <v>46262</v>
      </c>
    </row>
    <row r="1716" spans="1:26" x14ac:dyDescent="0.2">
      <c r="A1716" t="s">
        <v>3586</v>
      </c>
      <c r="B1716" t="s">
        <v>3587</v>
      </c>
      <c r="C1716" t="s">
        <v>13</v>
      </c>
      <c r="D1716" t="s">
        <v>3550</v>
      </c>
      <c r="E1716" t="s">
        <v>3551</v>
      </c>
      <c r="F1716" t="s">
        <v>335</v>
      </c>
      <c r="G1716" s="1">
        <v>0.1</v>
      </c>
      <c r="H1716" t="s">
        <v>117</v>
      </c>
      <c r="I1716" t="s">
        <v>3505</v>
      </c>
      <c r="J1716" t="s">
        <v>3362</v>
      </c>
      <c r="K1716" t="s">
        <v>24</v>
      </c>
      <c r="L1716" s="14">
        <f>IFERROR(VALUE(LEFT(tblMatriculas[[#This Row],[Clases]],FIND("/",tblMatriculas[[#This Row],[Clases]])-1)),"")</f>
        <v>3</v>
      </c>
      <c r="M1716" s="14">
        <f>IFERROR(VALUE(MID(tblMatriculas[[#This Row],[Clases]],FIND("/",tblMatriculas[[#This Row],[Clases]])+1,5)),"")</f>
        <v>30</v>
      </c>
      <c r="N17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6" s="14">
        <f>IF(OR(tblMatriculas[[#This Row],[Estado]]&lt;&gt;"activa",tblMatriculas[[#This Row],[Clases dictadas]]=""),"",MAX(0,tblMatriculas[[#This Row],[Clases dictadas]]-tblMatriculas[[#This Row],[Asistidas]]))</f>
        <v>2</v>
      </c>
      <c r="P1716" s="1">
        <f>IF(OR(tblMatriculas[[#This Row],[Estado]]&lt;&gt;"activa",tblMatriculas[[#This Row],[Asistidas]]=""),"",tblMatriculas[[#This Row],[Asistencia]])</f>
        <v>0.1</v>
      </c>
      <c r="Q1716" t="b">
        <f>AND(tblMatriculas[[#This Row],[Estado]]="activa",ISNUMBER(tblMatriculas[[#This Row],[% asistencia]]),NOT(ISNUMBER(SEARCH(pPrueba,tblMatriculas[[#This Row],[Nombre]]))))</f>
        <v>1</v>
      </c>
      <c r="R17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6" s="23" t="str" cm="1">
        <f t="array" ref="S17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6" s="23" t="str" cm="1">
        <f t="array" ref="T17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6" s="14" t="str" cm="1">
        <f t="array" ref="U17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6" t="str" cm="1">
        <f t="array" ref="V17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6" t="str" cm="1">
        <f t="array" ref="W17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6" t="str">
        <f>IF(COUNTIFS('Base Estudiantes'!$C:$C,tblMatriculas[[#This Row],[Cédula]],'Base Estudiantes'!$I:$I,tblMatriculas[[#This Row],[Código]])&gt;0,"Sí","No")</f>
        <v>Sí</v>
      </c>
      <c r="Z1716" s="23" cm="1">
        <f t="array" ref="Z1716">_xlfn.XLOOKUP(tblMatriculas[[#This Row],[Cédula]]&amp;"|"&amp;tblMatriculas[[#This Row],[Código]],tblBase[Documento]&amp;"|"&amp;tblBase[Código grupo],tblBase[Fecha matrícula],"")</f>
        <v>46262</v>
      </c>
    </row>
    <row r="1717" spans="1:26" x14ac:dyDescent="0.2">
      <c r="A1717" t="s">
        <v>3588</v>
      </c>
      <c r="B1717" t="s">
        <v>3589</v>
      </c>
      <c r="C1717" t="s">
        <v>13</v>
      </c>
      <c r="D1717" t="s">
        <v>3550</v>
      </c>
      <c r="E1717" t="s">
        <v>3551</v>
      </c>
      <c r="F1717" t="s">
        <v>335</v>
      </c>
      <c r="G1717" s="1">
        <v>0.16699999999999998</v>
      </c>
      <c r="H1717" t="s">
        <v>229</v>
      </c>
      <c r="I1717" t="s">
        <v>3505</v>
      </c>
      <c r="J1717" t="s">
        <v>3362</v>
      </c>
      <c r="K1717" t="s">
        <v>24</v>
      </c>
      <c r="L1717" s="14">
        <f>IFERROR(VALUE(LEFT(tblMatriculas[[#This Row],[Clases]],FIND("/",tblMatriculas[[#This Row],[Clases]])-1)),"")</f>
        <v>5</v>
      </c>
      <c r="M1717" s="14">
        <f>IFERROR(VALUE(MID(tblMatriculas[[#This Row],[Clases]],FIND("/",tblMatriculas[[#This Row],[Clases]])+1,5)),"")</f>
        <v>30</v>
      </c>
      <c r="N17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7" s="14">
        <f>IF(OR(tblMatriculas[[#This Row],[Estado]]&lt;&gt;"activa",tblMatriculas[[#This Row],[Clases dictadas]]=""),"",MAX(0,tblMatriculas[[#This Row],[Clases dictadas]]-tblMatriculas[[#This Row],[Asistidas]]))</f>
        <v>0</v>
      </c>
      <c r="P1717" s="1">
        <f>IF(OR(tblMatriculas[[#This Row],[Estado]]&lt;&gt;"activa",tblMatriculas[[#This Row],[Asistidas]]=""),"",tblMatriculas[[#This Row],[Asistencia]])</f>
        <v>0.16699999999999998</v>
      </c>
      <c r="Q1717" t="b">
        <f>AND(tblMatriculas[[#This Row],[Estado]]="activa",ISNUMBER(tblMatriculas[[#This Row],[% asistencia]]),NOT(ISNUMBER(SEARCH(pPrueba,tblMatriculas[[#This Row],[Nombre]]))))</f>
        <v>1</v>
      </c>
      <c r="R17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7" s="23" t="str" cm="1">
        <f t="array" ref="S17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7" s="23" t="str" cm="1">
        <f t="array" ref="T17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7" s="14" t="str" cm="1">
        <f t="array" ref="U17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7" t="str" cm="1">
        <f t="array" ref="V17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7" t="str" cm="1">
        <f t="array" ref="W17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7" t="str">
        <f>IF(COUNTIFS('Base Estudiantes'!$C:$C,tblMatriculas[[#This Row],[Cédula]],'Base Estudiantes'!$I:$I,tblMatriculas[[#This Row],[Código]])&gt;0,"Sí","No")</f>
        <v>Sí</v>
      </c>
      <c r="Z1717" s="23" cm="1">
        <f t="array" ref="Z1717">_xlfn.XLOOKUP(tblMatriculas[[#This Row],[Cédula]]&amp;"|"&amp;tblMatriculas[[#This Row],[Código]],tblBase[Documento]&amp;"|"&amp;tblBase[Código grupo],tblBase[Fecha matrícula],"")</f>
        <v>46262</v>
      </c>
    </row>
    <row r="1718" spans="1:26" x14ac:dyDescent="0.2">
      <c r="A1718" t="s">
        <v>3590</v>
      </c>
      <c r="B1718" t="s">
        <v>3591</v>
      </c>
      <c r="C1718" t="s">
        <v>13</v>
      </c>
      <c r="D1718" t="s">
        <v>3550</v>
      </c>
      <c r="E1718" t="s">
        <v>3551</v>
      </c>
      <c r="F1718" t="s">
        <v>335</v>
      </c>
      <c r="G1718" s="1">
        <v>0.13300000000000001</v>
      </c>
      <c r="H1718" t="s">
        <v>112</v>
      </c>
      <c r="I1718" t="s">
        <v>3505</v>
      </c>
      <c r="J1718" t="s">
        <v>3362</v>
      </c>
      <c r="K1718" t="s">
        <v>24</v>
      </c>
      <c r="L1718" s="14">
        <f>IFERROR(VALUE(LEFT(tblMatriculas[[#This Row],[Clases]],FIND("/",tblMatriculas[[#This Row],[Clases]])-1)),"")</f>
        <v>4</v>
      </c>
      <c r="M1718" s="14">
        <f>IFERROR(VALUE(MID(tblMatriculas[[#This Row],[Clases]],FIND("/",tblMatriculas[[#This Row],[Clases]])+1,5)),"")</f>
        <v>30</v>
      </c>
      <c r="N17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8" s="14">
        <f>IF(OR(tblMatriculas[[#This Row],[Estado]]&lt;&gt;"activa",tblMatriculas[[#This Row],[Clases dictadas]]=""),"",MAX(0,tblMatriculas[[#This Row],[Clases dictadas]]-tblMatriculas[[#This Row],[Asistidas]]))</f>
        <v>1</v>
      </c>
      <c r="P1718" s="1">
        <f>IF(OR(tblMatriculas[[#This Row],[Estado]]&lt;&gt;"activa",tblMatriculas[[#This Row],[Asistidas]]=""),"",tblMatriculas[[#This Row],[Asistencia]])</f>
        <v>0.13300000000000001</v>
      </c>
      <c r="Q1718" t="b">
        <f>AND(tblMatriculas[[#This Row],[Estado]]="activa",ISNUMBER(tblMatriculas[[#This Row],[% asistencia]]),NOT(ISNUMBER(SEARCH(pPrueba,tblMatriculas[[#This Row],[Nombre]]))))</f>
        <v>1</v>
      </c>
      <c r="R17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8" s="23" t="str" cm="1">
        <f t="array" ref="S17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8" s="23" t="str" cm="1">
        <f t="array" ref="T17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8" s="14" t="str" cm="1">
        <f t="array" ref="U17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8" t="str" cm="1">
        <f t="array" ref="V17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8" t="str" cm="1">
        <f t="array" ref="W17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8" t="str">
        <f>IF(COUNTIFS('Base Estudiantes'!$C:$C,tblMatriculas[[#This Row],[Cédula]],'Base Estudiantes'!$I:$I,tblMatriculas[[#This Row],[Código]])&gt;0,"Sí","No")</f>
        <v>Sí</v>
      </c>
      <c r="Z1718" s="23" cm="1">
        <f t="array" ref="Z1718">_xlfn.XLOOKUP(tblMatriculas[[#This Row],[Cédula]]&amp;"|"&amp;tblMatriculas[[#This Row],[Código]],tblBase[Documento]&amp;"|"&amp;tblBase[Código grupo],tblBase[Fecha matrícula],"")</f>
        <v>46262</v>
      </c>
    </row>
    <row r="1719" spans="1:26" x14ac:dyDescent="0.2">
      <c r="A1719" t="s">
        <v>3592</v>
      </c>
      <c r="B1719" t="s">
        <v>3593</v>
      </c>
      <c r="C1719" t="s">
        <v>13</v>
      </c>
      <c r="D1719" t="s">
        <v>3550</v>
      </c>
      <c r="E1719" t="s">
        <v>3551</v>
      </c>
      <c r="F1719" t="s">
        <v>335</v>
      </c>
      <c r="G1719" s="1">
        <v>0.16699999999999998</v>
      </c>
      <c r="H1719" t="s">
        <v>229</v>
      </c>
      <c r="I1719" t="s">
        <v>3505</v>
      </c>
      <c r="J1719" t="s">
        <v>3362</v>
      </c>
      <c r="K1719" t="s">
        <v>24</v>
      </c>
      <c r="L1719" s="14">
        <f>IFERROR(VALUE(LEFT(tblMatriculas[[#This Row],[Clases]],FIND("/",tblMatriculas[[#This Row],[Clases]])-1)),"")</f>
        <v>5</v>
      </c>
      <c r="M1719" s="14">
        <f>IFERROR(VALUE(MID(tblMatriculas[[#This Row],[Clases]],FIND("/",tblMatriculas[[#This Row],[Clases]])+1,5)),"")</f>
        <v>30</v>
      </c>
      <c r="N17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19" s="14">
        <f>IF(OR(tblMatriculas[[#This Row],[Estado]]&lt;&gt;"activa",tblMatriculas[[#This Row],[Clases dictadas]]=""),"",MAX(0,tblMatriculas[[#This Row],[Clases dictadas]]-tblMatriculas[[#This Row],[Asistidas]]))</f>
        <v>0</v>
      </c>
      <c r="P1719" s="1">
        <f>IF(OR(tblMatriculas[[#This Row],[Estado]]&lt;&gt;"activa",tblMatriculas[[#This Row],[Asistidas]]=""),"",tblMatriculas[[#This Row],[Asistencia]])</f>
        <v>0.16699999999999998</v>
      </c>
      <c r="Q1719" t="b">
        <f>AND(tblMatriculas[[#This Row],[Estado]]="activa",ISNUMBER(tblMatriculas[[#This Row],[% asistencia]]),NOT(ISNUMBER(SEARCH(pPrueba,tblMatriculas[[#This Row],[Nombre]]))))</f>
        <v>1</v>
      </c>
      <c r="R17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19" s="23" t="str" cm="1">
        <f t="array" ref="S17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19" s="23" t="str" cm="1">
        <f t="array" ref="T17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19" s="14" t="str" cm="1">
        <f t="array" ref="U17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19" t="str" cm="1">
        <f t="array" ref="V17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19" t="str" cm="1">
        <f t="array" ref="W17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19" t="str">
        <f>IF(COUNTIFS('Base Estudiantes'!$C:$C,tblMatriculas[[#This Row],[Cédula]],'Base Estudiantes'!$I:$I,tblMatriculas[[#This Row],[Código]])&gt;0,"Sí","No")</f>
        <v>Sí</v>
      </c>
      <c r="Z1719" s="23" cm="1">
        <f t="array" ref="Z1719">_xlfn.XLOOKUP(tblMatriculas[[#This Row],[Cédula]]&amp;"|"&amp;tblMatriculas[[#This Row],[Código]],tblBase[Documento]&amp;"|"&amp;tblBase[Código grupo],tblBase[Fecha matrícula],"")</f>
        <v>46262</v>
      </c>
    </row>
    <row r="1720" spans="1:26" x14ac:dyDescent="0.2">
      <c r="A1720" t="s">
        <v>3594</v>
      </c>
      <c r="B1720" t="s">
        <v>3595</v>
      </c>
      <c r="C1720" t="s">
        <v>13</v>
      </c>
      <c r="D1720" t="s">
        <v>3550</v>
      </c>
      <c r="E1720" t="s">
        <v>3551</v>
      </c>
      <c r="F1720" t="s">
        <v>335</v>
      </c>
      <c r="G1720" s="1">
        <v>0.16699999999999998</v>
      </c>
      <c r="H1720" t="s">
        <v>229</v>
      </c>
      <c r="I1720" t="s">
        <v>3505</v>
      </c>
      <c r="J1720" t="s">
        <v>3362</v>
      </c>
      <c r="K1720" t="s">
        <v>24</v>
      </c>
      <c r="L1720" s="14">
        <f>IFERROR(VALUE(LEFT(tblMatriculas[[#This Row],[Clases]],FIND("/",tblMatriculas[[#This Row],[Clases]])-1)),"")</f>
        <v>5</v>
      </c>
      <c r="M1720" s="14">
        <f>IFERROR(VALUE(MID(tblMatriculas[[#This Row],[Clases]],FIND("/",tblMatriculas[[#This Row],[Clases]])+1,5)),"")</f>
        <v>30</v>
      </c>
      <c r="N17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0" s="14">
        <f>IF(OR(tblMatriculas[[#This Row],[Estado]]&lt;&gt;"activa",tblMatriculas[[#This Row],[Clases dictadas]]=""),"",MAX(0,tblMatriculas[[#This Row],[Clases dictadas]]-tblMatriculas[[#This Row],[Asistidas]]))</f>
        <v>0</v>
      </c>
      <c r="P1720" s="1">
        <f>IF(OR(tblMatriculas[[#This Row],[Estado]]&lt;&gt;"activa",tblMatriculas[[#This Row],[Asistidas]]=""),"",tblMatriculas[[#This Row],[Asistencia]])</f>
        <v>0.16699999999999998</v>
      </c>
      <c r="Q1720" t="b">
        <f>AND(tblMatriculas[[#This Row],[Estado]]="activa",ISNUMBER(tblMatriculas[[#This Row],[% asistencia]]),NOT(ISNUMBER(SEARCH(pPrueba,tblMatriculas[[#This Row],[Nombre]]))))</f>
        <v>1</v>
      </c>
      <c r="R17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0" s="23" t="str" cm="1">
        <f t="array" ref="S17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0" s="23" t="str" cm="1">
        <f t="array" ref="T17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0" s="14" t="str" cm="1">
        <f t="array" ref="U17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0" t="str" cm="1">
        <f t="array" ref="V17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0" t="str" cm="1">
        <f t="array" ref="W17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0" t="str">
        <f>IF(COUNTIFS('Base Estudiantes'!$C:$C,tblMatriculas[[#This Row],[Cédula]],'Base Estudiantes'!$I:$I,tblMatriculas[[#This Row],[Código]])&gt;0,"Sí","No")</f>
        <v>Sí</v>
      </c>
      <c r="Z1720" s="23" cm="1">
        <f t="array" ref="Z1720">_xlfn.XLOOKUP(tblMatriculas[[#This Row],[Cédula]]&amp;"|"&amp;tblMatriculas[[#This Row],[Código]],tblBase[Documento]&amp;"|"&amp;tblBase[Código grupo],tblBase[Fecha matrícula],"")</f>
        <v>46262</v>
      </c>
    </row>
    <row r="1721" spans="1:26" x14ac:dyDescent="0.2">
      <c r="A1721" t="s">
        <v>3596</v>
      </c>
      <c r="B1721" t="s">
        <v>3597</v>
      </c>
      <c r="C1721" t="s">
        <v>13</v>
      </c>
      <c r="D1721" t="s">
        <v>3550</v>
      </c>
      <c r="E1721" t="s">
        <v>3551</v>
      </c>
      <c r="F1721" t="s">
        <v>335</v>
      </c>
      <c r="G1721" s="1">
        <v>0.16699999999999998</v>
      </c>
      <c r="H1721" t="s">
        <v>229</v>
      </c>
      <c r="I1721" t="s">
        <v>3505</v>
      </c>
      <c r="J1721" t="s">
        <v>3362</v>
      </c>
      <c r="K1721" t="s">
        <v>3554</v>
      </c>
      <c r="L1721" s="14">
        <f>IFERROR(VALUE(LEFT(tblMatriculas[[#This Row],[Clases]],FIND("/",tblMatriculas[[#This Row],[Clases]])-1)),"")</f>
        <v>5</v>
      </c>
      <c r="M1721" s="14">
        <f>IFERROR(VALUE(MID(tblMatriculas[[#This Row],[Clases]],FIND("/",tblMatriculas[[#This Row],[Clases]])+1,5)),"")</f>
        <v>30</v>
      </c>
      <c r="N17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1" s="14">
        <f>IF(OR(tblMatriculas[[#This Row],[Estado]]&lt;&gt;"activa",tblMatriculas[[#This Row],[Clases dictadas]]=""),"",MAX(0,tblMatriculas[[#This Row],[Clases dictadas]]-tblMatriculas[[#This Row],[Asistidas]]))</f>
        <v>0</v>
      </c>
      <c r="P1721" s="1">
        <f>IF(OR(tblMatriculas[[#This Row],[Estado]]&lt;&gt;"activa",tblMatriculas[[#This Row],[Asistidas]]=""),"",tblMatriculas[[#This Row],[Asistencia]])</f>
        <v>0.16699999999999998</v>
      </c>
      <c r="Q1721" t="b">
        <f>AND(tblMatriculas[[#This Row],[Estado]]="activa",ISNUMBER(tblMatriculas[[#This Row],[% asistencia]]),NOT(ISNUMBER(SEARCH(pPrueba,tblMatriculas[[#This Row],[Nombre]]))))</f>
        <v>1</v>
      </c>
      <c r="R17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1" s="23" t="str" cm="1">
        <f t="array" ref="S17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1" s="23" t="str" cm="1">
        <f t="array" ref="T17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1" s="14" t="str" cm="1">
        <f t="array" ref="U17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1" t="str" cm="1">
        <f t="array" ref="V17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1" t="str" cm="1">
        <f t="array" ref="W17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1" t="str">
        <f>IF(COUNTIFS('Base Estudiantes'!$C:$C,tblMatriculas[[#This Row],[Cédula]],'Base Estudiantes'!$I:$I,tblMatriculas[[#This Row],[Código]])&gt;0,"Sí","No")</f>
        <v>Sí</v>
      </c>
      <c r="Z1721" s="23" cm="1">
        <f t="array" ref="Z1721">_xlfn.XLOOKUP(tblMatriculas[[#This Row],[Cédula]]&amp;"|"&amp;tblMatriculas[[#This Row],[Código]],tblBase[Documento]&amp;"|"&amp;tblBase[Código grupo],tblBase[Fecha matrícula],"")</f>
        <v>46262</v>
      </c>
    </row>
    <row r="1722" spans="1:26" x14ac:dyDescent="0.2">
      <c r="A1722" t="s">
        <v>3598</v>
      </c>
      <c r="B1722" t="s">
        <v>3599</v>
      </c>
      <c r="C1722" t="s">
        <v>13</v>
      </c>
      <c r="D1722" t="s">
        <v>3550</v>
      </c>
      <c r="E1722" t="s">
        <v>3551</v>
      </c>
      <c r="F1722" t="s">
        <v>335</v>
      </c>
      <c r="G1722" s="1">
        <v>3.3000000000000002E-2</v>
      </c>
      <c r="H1722" t="s">
        <v>225</v>
      </c>
      <c r="I1722" t="s">
        <v>3505</v>
      </c>
      <c r="J1722" t="s">
        <v>3362</v>
      </c>
      <c r="K1722" t="s">
        <v>24</v>
      </c>
      <c r="L1722" s="14">
        <f>IFERROR(VALUE(LEFT(tblMatriculas[[#This Row],[Clases]],FIND("/",tblMatriculas[[#This Row],[Clases]])-1)),"")</f>
        <v>1</v>
      </c>
      <c r="M1722" s="14">
        <f>IFERROR(VALUE(MID(tblMatriculas[[#This Row],[Clases]],FIND("/",tblMatriculas[[#This Row],[Clases]])+1,5)),"")</f>
        <v>30</v>
      </c>
      <c r="N17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2" s="14">
        <f>IF(OR(tblMatriculas[[#This Row],[Estado]]&lt;&gt;"activa",tblMatriculas[[#This Row],[Clases dictadas]]=""),"",MAX(0,tblMatriculas[[#This Row],[Clases dictadas]]-tblMatriculas[[#This Row],[Asistidas]]))</f>
        <v>4</v>
      </c>
      <c r="P1722" s="1">
        <f>IF(OR(tblMatriculas[[#This Row],[Estado]]&lt;&gt;"activa",tblMatriculas[[#This Row],[Asistidas]]=""),"",tblMatriculas[[#This Row],[Asistencia]])</f>
        <v>3.3000000000000002E-2</v>
      </c>
      <c r="Q1722" t="b">
        <f>AND(tblMatriculas[[#This Row],[Estado]]="activa",ISNUMBER(tblMatriculas[[#This Row],[% asistencia]]),NOT(ISNUMBER(SEARCH(pPrueba,tblMatriculas[[#This Row],[Nombre]]))))</f>
        <v>1</v>
      </c>
      <c r="R17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22" s="23" t="str" cm="1">
        <f t="array" ref="S17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2" s="23" t="str" cm="1">
        <f t="array" ref="T17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2" s="14" t="str" cm="1">
        <f t="array" ref="U17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2" t="str" cm="1">
        <f t="array" ref="V17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2" t="str" cm="1">
        <f t="array" ref="W17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22" t="str">
        <f>IF(COUNTIFS('Base Estudiantes'!$C:$C,tblMatriculas[[#This Row],[Cédula]],'Base Estudiantes'!$I:$I,tblMatriculas[[#This Row],[Código]])&gt;0,"Sí","No")</f>
        <v>Sí</v>
      </c>
      <c r="Z1722" s="23" cm="1">
        <f t="array" ref="Z1722">_xlfn.XLOOKUP(tblMatriculas[[#This Row],[Cédula]]&amp;"|"&amp;tblMatriculas[[#This Row],[Código]],tblBase[Documento]&amp;"|"&amp;tblBase[Código grupo],tblBase[Fecha matrícula],"")</f>
        <v>46262</v>
      </c>
    </row>
    <row r="1723" spans="1:26" x14ac:dyDescent="0.2">
      <c r="A1723" t="s">
        <v>3600</v>
      </c>
      <c r="B1723" t="s">
        <v>3601</v>
      </c>
      <c r="C1723" t="s">
        <v>13</v>
      </c>
      <c r="D1723" t="s">
        <v>3550</v>
      </c>
      <c r="E1723" t="s">
        <v>3551</v>
      </c>
      <c r="F1723" t="s">
        <v>335</v>
      </c>
      <c r="G1723" s="1">
        <v>3.3000000000000002E-2</v>
      </c>
      <c r="H1723" t="s">
        <v>225</v>
      </c>
      <c r="I1723" t="s">
        <v>3505</v>
      </c>
      <c r="J1723" t="s">
        <v>3362</v>
      </c>
      <c r="K1723" t="s">
        <v>24</v>
      </c>
      <c r="L1723" s="14">
        <f>IFERROR(VALUE(LEFT(tblMatriculas[[#This Row],[Clases]],FIND("/",tblMatriculas[[#This Row],[Clases]])-1)),"")</f>
        <v>1</v>
      </c>
      <c r="M1723" s="14">
        <f>IFERROR(VALUE(MID(tblMatriculas[[#This Row],[Clases]],FIND("/",tblMatriculas[[#This Row],[Clases]])+1,5)),"")</f>
        <v>30</v>
      </c>
      <c r="N17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3" s="14">
        <f>IF(OR(tblMatriculas[[#This Row],[Estado]]&lt;&gt;"activa",tblMatriculas[[#This Row],[Clases dictadas]]=""),"",MAX(0,tblMatriculas[[#This Row],[Clases dictadas]]-tblMatriculas[[#This Row],[Asistidas]]))</f>
        <v>4</v>
      </c>
      <c r="P1723" s="1">
        <f>IF(OR(tblMatriculas[[#This Row],[Estado]]&lt;&gt;"activa",tblMatriculas[[#This Row],[Asistidas]]=""),"",tblMatriculas[[#This Row],[Asistencia]])</f>
        <v>3.3000000000000002E-2</v>
      </c>
      <c r="Q1723" t="b">
        <f>AND(tblMatriculas[[#This Row],[Estado]]="activa",ISNUMBER(tblMatriculas[[#This Row],[% asistencia]]),NOT(ISNUMBER(SEARCH(pPrueba,tblMatriculas[[#This Row],[Nombre]]))))</f>
        <v>1</v>
      </c>
      <c r="R17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23" s="23" t="str" cm="1">
        <f t="array" ref="S17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3" s="23" t="str" cm="1">
        <f t="array" ref="T17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3" s="14" t="str" cm="1">
        <f t="array" ref="U17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3" t="str" cm="1">
        <f t="array" ref="V17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3" t="str" cm="1">
        <f t="array" ref="W17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23" t="str">
        <f>IF(COUNTIFS('Base Estudiantes'!$C:$C,tblMatriculas[[#This Row],[Cédula]],'Base Estudiantes'!$I:$I,tblMatriculas[[#This Row],[Código]])&gt;0,"Sí","No")</f>
        <v>Sí</v>
      </c>
      <c r="Z1723" s="23" cm="1">
        <f t="array" ref="Z1723">_xlfn.XLOOKUP(tblMatriculas[[#This Row],[Cédula]]&amp;"|"&amp;tblMatriculas[[#This Row],[Código]],tblBase[Documento]&amp;"|"&amp;tblBase[Código grupo],tblBase[Fecha matrícula],"")</f>
        <v>46262</v>
      </c>
    </row>
    <row r="1724" spans="1:26" x14ac:dyDescent="0.2">
      <c r="A1724" t="s">
        <v>3602</v>
      </c>
      <c r="B1724" t="s">
        <v>3603</v>
      </c>
      <c r="C1724" t="s">
        <v>13</v>
      </c>
      <c r="D1724" t="s">
        <v>3550</v>
      </c>
      <c r="E1724" t="s">
        <v>3551</v>
      </c>
      <c r="F1724" t="s">
        <v>335</v>
      </c>
      <c r="G1724" s="1">
        <v>0.16699999999999998</v>
      </c>
      <c r="H1724" t="s">
        <v>229</v>
      </c>
      <c r="I1724" t="s">
        <v>3505</v>
      </c>
      <c r="J1724" t="s">
        <v>3362</v>
      </c>
      <c r="K1724" t="s">
        <v>24</v>
      </c>
      <c r="L1724" s="14">
        <f>IFERROR(VALUE(LEFT(tblMatriculas[[#This Row],[Clases]],FIND("/",tblMatriculas[[#This Row],[Clases]])-1)),"")</f>
        <v>5</v>
      </c>
      <c r="M1724" s="14">
        <f>IFERROR(VALUE(MID(tblMatriculas[[#This Row],[Clases]],FIND("/",tblMatriculas[[#This Row],[Clases]])+1,5)),"")</f>
        <v>30</v>
      </c>
      <c r="N17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4" s="14">
        <f>IF(OR(tblMatriculas[[#This Row],[Estado]]&lt;&gt;"activa",tblMatriculas[[#This Row],[Clases dictadas]]=""),"",MAX(0,tblMatriculas[[#This Row],[Clases dictadas]]-tblMatriculas[[#This Row],[Asistidas]]))</f>
        <v>0</v>
      </c>
      <c r="P1724" s="1">
        <f>IF(OR(tblMatriculas[[#This Row],[Estado]]&lt;&gt;"activa",tblMatriculas[[#This Row],[Asistidas]]=""),"",tblMatriculas[[#This Row],[Asistencia]])</f>
        <v>0.16699999999999998</v>
      </c>
      <c r="Q1724" t="b">
        <f>AND(tblMatriculas[[#This Row],[Estado]]="activa",ISNUMBER(tblMatriculas[[#This Row],[% asistencia]]),NOT(ISNUMBER(SEARCH(pPrueba,tblMatriculas[[#This Row],[Nombre]]))))</f>
        <v>1</v>
      </c>
      <c r="R17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4" s="23" t="str" cm="1">
        <f t="array" ref="S17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4" s="23" t="str" cm="1">
        <f t="array" ref="T17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4" s="14" t="str" cm="1">
        <f t="array" ref="U17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4" t="str" cm="1">
        <f t="array" ref="V17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4" t="str" cm="1">
        <f t="array" ref="W17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4" t="str">
        <f>IF(COUNTIFS('Base Estudiantes'!$C:$C,tblMatriculas[[#This Row],[Cédula]],'Base Estudiantes'!$I:$I,tblMatriculas[[#This Row],[Código]])&gt;0,"Sí","No")</f>
        <v>Sí</v>
      </c>
      <c r="Z1724" s="23" cm="1">
        <f t="array" ref="Z1724">_xlfn.XLOOKUP(tblMatriculas[[#This Row],[Cédula]]&amp;"|"&amp;tblMatriculas[[#This Row],[Código]],tblBase[Documento]&amp;"|"&amp;tblBase[Código grupo],tblBase[Fecha matrícula],"")</f>
        <v>46262</v>
      </c>
    </row>
    <row r="1725" spans="1:26" x14ac:dyDescent="0.2">
      <c r="A1725" t="s">
        <v>3604</v>
      </c>
      <c r="B1725" t="s">
        <v>3605</v>
      </c>
      <c r="C1725" t="s">
        <v>13</v>
      </c>
      <c r="D1725" t="s">
        <v>3550</v>
      </c>
      <c r="E1725" t="s">
        <v>3551</v>
      </c>
      <c r="F1725" t="s">
        <v>335</v>
      </c>
      <c r="G1725" s="1">
        <v>0.16699999999999998</v>
      </c>
      <c r="H1725" t="s">
        <v>229</v>
      </c>
      <c r="I1725" t="s">
        <v>3505</v>
      </c>
      <c r="J1725" t="s">
        <v>3362</v>
      </c>
      <c r="K1725" t="s">
        <v>24</v>
      </c>
      <c r="L1725" s="14">
        <f>IFERROR(VALUE(LEFT(tblMatriculas[[#This Row],[Clases]],FIND("/",tblMatriculas[[#This Row],[Clases]])-1)),"")</f>
        <v>5</v>
      </c>
      <c r="M1725" s="14">
        <f>IFERROR(VALUE(MID(tblMatriculas[[#This Row],[Clases]],FIND("/",tblMatriculas[[#This Row],[Clases]])+1,5)),"")</f>
        <v>30</v>
      </c>
      <c r="N17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5" s="14">
        <f>IF(OR(tblMatriculas[[#This Row],[Estado]]&lt;&gt;"activa",tblMatriculas[[#This Row],[Clases dictadas]]=""),"",MAX(0,tblMatriculas[[#This Row],[Clases dictadas]]-tblMatriculas[[#This Row],[Asistidas]]))</f>
        <v>0</v>
      </c>
      <c r="P1725" s="1">
        <f>IF(OR(tblMatriculas[[#This Row],[Estado]]&lt;&gt;"activa",tblMatriculas[[#This Row],[Asistidas]]=""),"",tblMatriculas[[#This Row],[Asistencia]])</f>
        <v>0.16699999999999998</v>
      </c>
      <c r="Q1725" t="b">
        <f>AND(tblMatriculas[[#This Row],[Estado]]="activa",ISNUMBER(tblMatriculas[[#This Row],[% asistencia]]),NOT(ISNUMBER(SEARCH(pPrueba,tblMatriculas[[#This Row],[Nombre]]))))</f>
        <v>1</v>
      </c>
      <c r="R17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5" s="23" t="str" cm="1">
        <f t="array" ref="S17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5" s="23" t="str" cm="1">
        <f t="array" ref="T17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5" s="14" t="str" cm="1">
        <f t="array" ref="U17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5" t="str" cm="1">
        <f t="array" ref="V17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5" t="str" cm="1">
        <f t="array" ref="W17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5" t="str">
        <f>IF(COUNTIFS('Base Estudiantes'!$C:$C,tblMatriculas[[#This Row],[Cédula]],'Base Estudiantes'!$I:$I,tblMatriculas[[#This Row],[Código]])&gt;0,"Sí","No")</f>
        <v>Sí</v>
      </c>
      <c r="Z1725" s="23" cm="1">
        <f t="array" ref="Z1725">_xlfn.XLOOKUP(tblMatriculas[[#This Row],[Cédula]]&amp;"|"&amp;tblMatriculas[[#This Row],[Código]],tblBase[Documento]&amp;"|"&amp;tblBase[Código grupo],tblBase[Fecha matrícula],"")</f>
        <v>46262</v>
      </c>
    </row>
    <row r="1726" spans="1:26" x14ac:dyDescent="0.2">
      <c r="A1726" t="s">
        <v>3606</v>
      </c>
      <c r="B1726" t="s">
        <v>3607</v>
      </c>
      <c r="C1726" t="s">
        <v>13</v>
      </c>
      <c r="D1726" t="s">
        <v>3550</v>
      </c>
      <c r="E1726" t="s">
        <v>3551</v>
      </c>
      <c r="F1726" t="s">
        <v>335</v>
      </c>
      <c r="G1726" s="1">
        <v>0.16699999999999998</v>
      </c>
      <c r="H1726" t="s">
        <v>229</v>
      </c>
      <c r="I1726" t="s">
        <v>3505</v>
      </c>
      <c r="J1726" t="s">
        <v>3362</v>
      </c>
      <c r="K1726" t="s">
        <v>24</v>
      </c>
      <c r="L1726" s="14">
        <f>IFERROR(VALUE(LEFT(tblMatriculas[[#This Row],[Clases]],FIND("/",tblMatriculas[[#This Row],[Clases]])-1)),"")</f>
        <v>5</v>
      </c>
      <c r="M1726" s="14">
        <f>IFERROR(VALUE(MID(tblMatriculas[[#This Row],[Clases]],FIND("/",tblMatriculas[[#This Row],[Clases]])+1,5)),"")</f>
        <v>30</v>
      </c>
      <c r="N17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6" s="14">
        <f>IF(OR(tblMatriculas[[#This Row],[Estado]]&lt;&gt;"activa",tblMatriculas[[#This Row],[Clases dictadas]]=""),"",MAX(0,tblMatriculas[[#This Row],[Clases dictadas]]-tblMatriculas[[#This Row],[Asistidas]]))</f>
        <v>0</v>
      </c>
      <c r="P1726" s="1">
        <f>IF(OR(tblMatriculas[[#This Row],[Estado]]&lt;&gt;"activa",tblMatriculas[[#This Row],[Asistidas]]=""),"",tblMatriculas[[#This Row],[Asistencia]])</f>
        <v>0.16699999999999998</v>
      </c>
      <c r="Q1726" t="b">
        <f>AND(tblMatriculas[[#This Row],[Estado]]="activa",ISNUMBER(tblMatriculas[[#This Row],[% asistencia]]),NOT(ISNUMBER(SEARCH(pPrueba,tblMatriculas[[#This Row],[Nombre]]))))</f>
        <v>1</v>
      </c>
      <c r="R17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6" s="23" t="str" cm="1">
        <f t="array" ref="S17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6" s="23" t="str" cm="1">
        <f t="array" ref="T17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6" s="14" t="str" cm="1">
        <f t="array" ref="U17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6" t="str" cm="1">
        <f t="array" ref="V17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6" t="str" cm="1">
        <f t="array" ref="W17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6" t="str">
        <f>IF(COUNTIFS('Base Estudiantes'!$C:$C,tblMatriculas[[#This Row],[Cédula]],'Base Estudiantes'!$I:$I,tblMatriculas[[#This Row],[Código]])&gt;0,"Sí","No")</f>
        <v>Sí</v>
      </c>
      <c r="Z1726" s="23" cm="1">
        <f t="array" ref="Z1726">_xlfn.XLOOKUP(tblMatriculas[[#This Row],[Cédula]]&amp;"|"&amp;tblMatriculas[[#This Row],[Código]],tblBase[Documento]&amp;"|"&amp;tblBase[Código grupo],tblBase[Fecha matrícula],"")</f>
        <v>46262</v>
      </c>
    </row>
    <row r="1727" spans="1:26" x14ac:dyDescent="0.2">
      <c r="A1727" t="s">
        <v>3608</v>
      </c>
      <c r="B1727" t="s">
        <v>3609</v>
      </c>
      <c r="C1727" t="s">
        <v>13</v>
      </c>
      <c r="D1727" t="s">
        <v>3550</v>
      </c>
      <c r="E1727" t="s">
        <v>3551</v>
      </c>
      <c r="F1727" t="s">
        <v>335</v>
      </c>
      <c r="G1727" s="1">
        <v>0.16699999999999998</v>
      </c>
      <c r="H1727" t="s">
        <v>229</v>
      </c>
      <c r="I1727" t="s">
        <v>3505</v>
      </c>
      <c r="J1727" t="s">
        <v>3362</v>
      </c>
      <c r="K1727" t="s">
        <v>24</v>
      </c>
      <c r="L1727" s="14">
        <f>IFERROR(VALUE(LEFT(tblMatriculas[[#This Row],[Clases]],FIND("/",tblMatriculas[[#This Row],[Clases]])-1)),"")</f>
        <v>5</v>
      </c>
      <c r="M1727" s="14">
        <f>IFERROR(VALUE(MID(tblMatriculas[[#This Row],[Clases]],FIND("/",tblMatriculas[[#This Row],[Clases]])+1,5)),"")</f>
        <v>30</v>
      </c>
      <c r="N17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7" s="14">
        <f>IF(OR(tblMatriculas[[#This Row],[Estado]]&lt;&gt;"activa",tblMatriculas[[#This Row],[Clases dictadas]]=""),"",MAX(0,tblMatriculas[[#This Row],[Clases dictadas]]-tblMatriculas[[#This Row],[Asistidas]]))</f>
        <v>0</v>
      </c>
      <c r="P1727" s="1">
        <f>IF(OR(tblMatriculas[[#This Row],[Estado]]&lt;&gt;"activa",tblMatriculas[[#This Row],[Asistidas]]=""),"",tblMatriculas[[#This Row],[Asistencia]])</f>
        <v>0.16699999999999998</v>
      </c>
      <c r="Q1727" t="b">
        <f>AND(tblMatriculas[[#This Row],[Estado]]="activa",ISNUMBER(tblMatriculas[[#This Row],[% asistencia]]),NOT(ISNUMBER(SEARCH(pPrueba,tblMatriculas[[#This Row],[Nombre]]))))</f>
        <v>1</v>
      </c>
      <c r="R17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7" s="23" t="str" cm="1">
        <f t="array" ref="S17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7" s="23" t="str" cm="1">
        <f t="array" ref="T17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7" s="14" t="str" cm="1">
        <f t="array" ref="U17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7" t="str" cm="1">
        <f t="array" ref="V17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7" t="str" cm="1">
        <f t="array" ref="W17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7" t="str">
        <f>IF(COUNTIFS('Base Estudiantes'!$C:$C,tblMatriculas[[#This Row],[Cédula]],'Base Estudiantes'!$I:$I,tblMatriculas[[#This Row],[Código]])&gt;0,"Sí","No")</f>
        <v>Sí</v>
      </c>
      <c r="Z1727" s="23" cm="1">
        <f t="array" ref="Z1727">_xlfn.XLOOKUP(tblMatriculas[[#This Row],[Cédula]]&amp;"|"&amp;tblMatriculas[[#This Row],[Código]],tblBase[Documento]&amp;"|"&amp;tblBase[Código grupo],tblBase[Fecha matrícula],"")</f>
        <v>46262</v>
      </c>
    </row>
    <row r="1728" spans="1:26" x14ac:dyDescent="0.2">
      <c r="A1728" t="s">
        <v>3610</v>
      </c>
      <c r="B1728" t="s">
        <v>3611</v>
      </c>
      <c r="C1728" t="s">
        <v>49</v>
      </c>
      <c r="D1728" t="s">
        <v>3550</v>
      </c>
      <c r="E1728" t="s">
        <v>3551</v>
      </c>
      <c r="F1728" t="s">
        <v>335</v>
      </c>
      <c r="G1728" s="1">
        <v>0.1</v>
      </c>
      <c r="H1728" t="s">
        <v>117</v>
      </c>
      <c r="I1728" t="s">
        <v>3505</v>
      </c>
      <c r="J1728" t="s">
        <v>3362</v>
      </c>
      <c r="K1728" t="s">
        <v>24</v>
      </c>
      <c r="L1728" s="14">
        <f>IFERROR(VALUE(LEFT(tblMatriculas[[#This Row],[Clases]],FIND("/",tblMatriculas[[#This Row],[Clases]])-1)),"")</f>
        <v>3</v>
      </c>
      <c r="M1728" s="14">
        <f>IFERROR(VALUE(MID(tblMatriculas[[#This Row],[Clases]],FIND("/",tblMatriculas[[#This Row],[Clases]])+1,5)),"")</f>
        <v>30</v>
      </c>
      <c r="N17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8" s="14" t="str">
        <f>IF(OR(tblMatriculas[[#This Row],[Estado]]&lt;&gt;"activa",tblMatriculas[[#This Row],[Clases dictadas]]=""),"",MAX(0,tblMatriculas[[#This Row],[Clases dictadas]]-tblMatriculas[[#This Row],[Asistidas]]))</f>
        <v/>
      </c>
      <c r="P1728" s="1" t="str">
        <f>IF(OR(tblMatriculas[[#This Row],[Estado]]&lt;&gt;"activa",tblMatriculas[[#This Row],[Asistidas]]=""),"",tblMatriculas[[#This Row],[Asistencia]])</f>
        <v/>
      </c>
      <c r="Q1728" t="b">
        <f>AND(tblMatriculas[[#This Row],[Estado]]="activa",ISNUMBER(tblMatriculas[[#This Row],[% asistencia]]),NOT(ISNUMBER(SEARCH(pPrueba,tblMatriculas[[#This Row],[Nombre]]))))</f>
        <v>0</v>
      </c>
      <c r="R17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728" s="23" t="str" cm="1">
        <f t="array" ref="S17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8" s="23" t="str" cm="1">
        <f t="array" ref="T17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8" s="14" t="str" cm="1">
        <f t="array" ref="U17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8" t="str" cm="1">
        <f t="array" ref="V17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8" t="str" cm="1">
        <f t="array" ref="W17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8" t="str">
        <f>IF(COUNTIFS('Base Estudiantes'!$C:$C,tblMatriculas[[#This Row],[Cédula]],'Base Estudiantes'!$I:$I,tblMatriculas[[#This Row],[Código]])&gt;0,"Sí","No")</f>
        <v>No</v>
      </c>
      <c r="Z1728" s="23" t="str" cm="1">
        <f t="array" ref="Z1728">_xlfn.XLOOKUP(tblMatriculas[[#This Row],[Cédula]]&amp;"|"&amp;tblMatriculas[[#This Row],[Código]],tblBase[Documento]&amp;"|"&amp;tblBase[Código grupo],tblBase[Fecha matrícula],"")</f>
        <v/>
      </c>
    </row>
    <row r="1729" spans="1:26" x14ac:dyDescent="0.2">
      <c r="A1729" t="s">
        <v>3612</v>
      </c>
      <c r="B1729" t="s">
        <v>3613</v>
      </c>
      <c r="C1729" t="s">
        <v>13</v>
      </c>
      <c r="D1729" t="s">
        <v>3550</v>
      </c>
      <c r="E1729" t="s">
        <v>3551</v>
      </c>
      <c r="F1729" t="s">
        <v>335</v>
      </c>
      <c r="G1729" s="1">
        <v>0.13300000000000001</v>
      </c>
      <c r="H1729" t="s">
        <v>112</v>
      </c>
      <c r="I1729" t="s">
        <v>3505</v>
      </c>
      <c r="J1729" t="s">
        <v>3362</v>
      </c>
      <c r="K1729" t="s">
        <v>24</v>
      </c>
      <c r="L1729" s="14">
        <f>IFERROR(VALUE(LEFT(tblMatriculas[[#This Row],[Clases]],FIND("/",tblMatriculas[[#This Row],[Clases]])-1)),"")</f>
        <v>4</v>
      </c>
      <c r="M1729" s="14">
        <f>IFERROR(VALUE(MID(tblMatriculas[[#This Row],[Clases]],FIND("/",tblMatriculas[[#This Row],[Clases]])+1,5)),"")</f>
        <v>30</v>
      </c>
      <c r="N17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29" s="14">
        <f>IF(OR(tblMatriculas[[#This Row],[Estado]]&lt;&gt;"activa",tblMatriculas[[#This Row],[Clases dictadas]]=""),"",MAX(0,tblMatriculas[[#This Row],[Clases dictadas]]-tblMatriculas[[#This Row],[Asistidas]]))</f>
        <v>1</v>
      </c>
      <c r="P1729" s="1">
        <f>IF(OR(tblMatriculas[[#This Row],[Estado]]&lt;&gt;"activa",tblMatriculas[[#This Row],[Asistidas]]=""),"",tblMatriculas[[#This Row],[Asistencia]])</f>
        <v>0.13300000000000001</v>
      </c>
      <c r="Q1729" t="b">
        <f>AND(tblMatriculas[[#This Row],[Estado]]="activa",ISNUMBER(tblMatriculas[[#This Row],[% asistencia]]),NOT(ISNUMBER(SEARCH(pPrueba,tblMatriculas[[#This Row],[Nombre]]))))</f>
        <v>1</v>
      </c>
      <c r="R17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29" s="23" t="str" cm="1">
        <f t="array" ref="S17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29" s="23" t="str" cm="1">
        <f t="array" ref="T17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29" s="14" t="str" cm="1">
        <f t="array" ref="U17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29" t="str" cm="1">
        <f t="array" ref="V17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29" t="str" cm="1">
        <f t="array" ref="W17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29" t="str">
        <f>IF(COUNTIFS('Base Estudiantes'!$C:$C,tblMatriculas[[#This Row],[Cédula]],'Base Estudiantes'!$I:$I,tblMatriculas[[#This Row],[Código]])&gt;0,"Sí","No")</f>
        <v>Sí</v>
      </c>
      <c r="Z1729" s="23" cm="1">
        <f t="array" ref="Z1729">_xlfn.XLOOKUP(tblMatriculas[[#This Row],[Cédula]]&amp;"|"&amp;tblMatriculas[[#This Row],[Código]],tblBase[Documento]&amp;"|"&amp;tblBase[Código grupo],tblBase[Fecha matrícula],"")</f>
        <v>46262</v>
      </c>
    </row>
    <row r="1730" spans="1:26" x14ac:dyDescent="0.2">
      <c r="A1730" t="s">
        <v>3614</v>
      </c>
      <c r="B1730" t="s">
        <v>3615</v>
      </c>
      <c r="C1730" t="s">
        <v>13</v>
      </c>
      <c r="D1730" t="s">
        <v>3550</v>
      </c>
      <c r="E1730" t="s">
        <v>3551</v>
      </c>
      <c r="F1730" t="s">
        <v>335</v>
      </c>
      <c r="G1730" s="1">
        <v>0.16699999999999998</v>
      </c>
      <c r="H1730" t="s">
        <v>229</v>
      </c>
      <c r="I1730" t="s">
        <v>3505</v>
      </c>
      <c r="J1730" t="s">
        <v>3362</v>
      </c>
      <c r="K1730" t="s">
        <v>24</v>
      </c>
      <c r="L1730" s="14">
        <f>IFERROR(VALUE(LEFT(tblMatriculas[[#This Row],[Clases]],FIND("/",tblMatriculas[[#This Row],[Clases]])-1)),"")</f>
        <v>5</v>
      </c>
      <c r="M1730" s="14">
        <f>IFERROR(VALUE(MID(tblMatriculas[[#This Row],[Clases]],FIND("/",tblMatriculas[[#This Row],[Clases]])+1,5)),"")</f>
        <v>30</v>
      </c>
      <c r="N17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0" s="14">
        <f>IF(OR(tblMatriculas[[#This Row],[Estado]]&lt;&gt;"activa",tblMatriculas[[#This Row],[Clases dictadas]]=""),"",MAX(0,tblMatriculas[[#This Row],[Clases dictadas]]-tblMatriculas[[#This Row],[Asistidas]]))</f>
        <v>0</v>
      </c>
      <c r="P1730" s="1">
        <f>IF(OR(tblMatriculas[[#This Row],[Estado]]&lt;&gt;"activa",tblMatriculas[[#This Row],[Asistidas]]=""),"",tblMatriculas[[#This Row],[Asistencia]])</f>
        <v>0.16699999999999998</v>
      </c>
      <c r="Q1730" t="b">
        <f>AND(tblMatriculas[[#This Row],[Estado]]="activa",ISNUMBER(tblMatriculas[[#This Row],[% asistencia]]),NOT(ISNUMBER(SEARCH(pPrueba,tblMatriculas[[#This Row],[Nombre]]))))</f>
        <v>1</v>
      </c>
      <c r="R17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0" s="23" t="str" cm="1">
        <f t="array" ref="S17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0" s="23" t="str" cm="1">
        <f t="array" ref="T17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0" s="14" t="str" cm="1">
        <f t="array" ref="U17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0" t="str" cm="1">
        <f t="array" ref="V17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0" t="str" cm="1">
        <f t="array" ref="W17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0" t="str">
        <f>IF(COUNTIFS('Base Estudiantes'!$C:$C,tblMatriculas[[#This Row],[Cédula]],'Base Estudiantes'!$I:$I,tblMatriculas[[#This Row],[Código]])&gt;0,"Sí","No")</f>
        <v>Sí</v>
      </c>
      <c r="Z1730" s="23" cm="1">
        <f t="array" ref="Z1730">_xlfn.XLOOKUP(tblMatriculas[[#This Row],[Cédula]]&amp;"|"&amp;tblMatriculas[[#This Row],[Código]],tblBase[Documento]&amp;"|"&amp;tblBase[Código grupo],tblBase[Fecha matrícula],"")</f>
        <v>46262</v>
      </c>
    </row>
    <row r="1731" spans="1:26" x14ac:dyDescent="0.2">
      <c r="A1731" t="s">
        <v>3616</v>
      </c>
      <c r="B1731" t="s">
        <v>3617</v>
      </c>
      <c r="C1731" t="s">
        <v>13</v>
      </c>
      <c r="D1731" t="s">
        <v>3550</v>
      </c>
      <c r="E1731" t="s">
        <v>3551</v>
      </c>
      <c r="F1731" t="s">
        <v>335</v>
      </c>
      <c r="G1731" s="1">
        <v>0.13300000000000001</v>
      </c>
      <c r="H1731" t="s">
        <v>112</v>
      </c>
      <c r="I1731" t="s">
        <v>3505</v>
      </c>
      <c r="J1731" t="s">
        <v>3362</v>
      </c>
      <c r="K1731" t="s">
        <v>24</v>
      </c>
      <c r="L1731" s="14">
        <f>IFERROR(VALUE(LEFT(tblMatriculas[[#This Row],[Clases]],FIND("/",tblMatriculas[[#This Row],[Clases]])-1)),"")</f>
        <v>4</v>
      </c>
      <c r="M1731" s="14">
        <f>IFERROR(VALUE(MID(tblMatriculas[[#This Row],[Clases]],FIND("/",tblMatriculas[[#This Row],[Clases]])+1,5)),"")</f>
        <v>30</v>
      </c>
      <c r="N17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1" s="14">
        <f>IF(OR(tblMatriculas[[#This Row],[Estado]]&lt;&gt;"activa",tblMatriculas[[#This Row],[Clases dictadas]]=""),"",MAX(0,tblMatriculas[[#This Row],[Clases dictadas]]-tblMatriculas[[#This Row],[Asistidas]]))</f>
        <v>1</v>
      </c>
      <c r="P1731" s="1">
        <f>IF(OR(tblMatriculas[[#This Row],[Estado]]&lt;&gt;"activa",tblMatriculas[[#This Row],[Asistidas]]=""),"",tblMatriculas[[#This Row],[Asistencia]])</f>
        <v>0.13300000000000001</v>
      </c>
      <c r="Q1731" t="b">
        <f>AND(tblMatriculas[[#This Row],[Estado]]="activa",ISNUMBER(tblMatriculas[[#This Row],[% asistencia]]),NOT(ISNUMBER(SEARCH(pPrueba,tblMatriculas[[#This Row],[Nombre]]))))</f>
        <v>1</v>
      </c>
      <c r="R17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1" s="23" t="str" cm="1">
        <f t="array" ref="S17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1" s="23" t="str" cm="1">
        <f t="array" ref="T17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1" s="14" t="str" cm="1">
        <f t="array" ref="U17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1" t="str" cm="1">
        <f t="array" ref="V17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1" t="str" cm="1">
        <f t="array" ref="W17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1" t="str">
        <f>IF(COUNTIFS('Base Estudiantes'!$C:$C,tblMatriculas[[#This Row],[Cédula]],'Base Estudiantes'!$I:$I,tblMatriculas[[#This Row],[Código]])&gt;0,"Sí","No")</f>
        <v>Sí</v>
      </c>
      <c r="Z1731" s="23" cm="1">
        <f t="array" ref="Z1731">_xlfn.XLOOKUP(tblMatriculas[[#This Row],[Cédula]]&amp;"|"&amp;tblMatriculas[[#This Row],[Código]],tblBase[Documento]&amp;"|"&amp;tblBase[Código grupo],tblBase[Fecha matrícula],"")</f>
        <v>46262</v>
      </c>
    </row>
    <row r="1732" spans="1:26" x14ac:dyDescent="0.2">
      <c r="A1732" t="s">
        <v>3618</v>
      </c>
      <c r="B1732" t="s">
        <v>3619</v>
      </c>
      <c r="C1732" t="s">
        <v>13</v>
      </c>
      <c r="D1732" t="s">
        <v>3550</v>
      </c>
      <c r="E1732" t="s">
        <v>3551</v>
      </c>
      <c r="F1732" t="s">
        <v>335</v>
      </c>
      <c r="G1732" s="1">
        <v>0.16699999999999998</v>
      </c>
      <c r="H1732" t="s">
        <v>229</v>
      </c>
      <c r="I1732" t="s">
        <v>3505</v>
      </c>
      <c r="J1732" t="s">
        <v>3362</v>
      </c>
      <c r="K1732" t="s">
        <v>24</v>
      </c>
      <c r="L1732" s="14">
        <f>IFERROR(VALUE(LEFT(tblMatriculas[[#This Row],[Clases]],FIND("/",tblMatriculas[[#This Row],[Clases]])-1)),"")</f>
        <v>5</v>
      </c>
      <c r="M1732" s="14">
        <f>IFERROR(VALUE(MID(tblMatriculas[[#This Row],[Clases]],FIND("/",tblMatriculas[[#This Row],[Clases]])+1,5)),"")</f>
        <v>30</v>
      </c>
      <c r="N17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2" s="14">
        <f>IF(OR(tblMatriculas[[#This Row],[Estado]]&lt;&gt;"activa",tblMatriculas[[#This Row],[Clases dictadas]]=""),"",MAX(0,tblMatriculas[[#This Row],[Clases dictadas]]-tblMatriculas[[#This Row],[Asistidas]]))</f>
        <v>0</v>
      </c>
      <c r="P1732" s="1">
        <f>IF(OR(tblMatriculas[[#This Row],[Estado]]&lt;&gt;"activa",tblMatriculas[[#This Row],[Asistidas]]=""),"",tblMatriculas[[#This Row],[Asistencia]])</f>
        <v>0.16699999999999998</v>
      </c>
      <c r="Q1732" t="b">
        <f>AND(tblMatriculas[[#This Row],[Estado]]="activa",ISNUMBER(tblMatriculas[[#This Row],[% asistencia]]),NOT(ISNUMBER(SEARCH(pPrueba,tblMatriculas[[#This Row],[Nombre]]))))</f>
        <v>1</v>
      </c>
      <c r="R17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2" s="23" t="str" cm="1">
        <f t="array" ref="S17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2" s="23" t="str" cm="1">
        <f t="array" ref="T17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2" s="14" t="str" cm="1">
        <f t="array" ref="U17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2" t="str" cm="1">
        <f t="array" ref="V17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2" t="str" cm="1">
        <f t="array" ref="W17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2" t="str">
        <f>IF(COUNTIFS('Base Estudiantes'!$C:$C,tblMatriculas[[#This Row],[Cédula]],'Base Estudiantes'!$I:$I,tblMatriculas[[#This Row],[Código]])&gt;0,"Sí","No")</f>
        <v>Sí</v>
      </c>
      <c r="Z1732" s="23" cm="1">
        <f t="array" ref="Z1732">_xlfn.XLOOKUP(tblMatriculas[[#This Row],[Cédula]]&amp;"|"&amp;tblMatriculas[[#This Row],[Código]],tblBase[Documento]&amp;"|"&amp;tblBase[Código grupo],tblBase[Fecha matrícula],"")</f>
        <v>46262</v>
      </c>
    </row>
    <row r="1733" spans="1:26" x14ac:dyDescent="0.2">
      <c r="A1733" t="s">
        <v>3620</v>
      </c>
      <c r="B1733" t="s">
        <v>3621</v>
      </c>
      <c r="C1733" t="s">
        <v>13</v>
      </c>
      <c r="D1733" t="s">
        <v>3550</v>
      </c>
      <c r="E1733" t="s">
        <v>3551</v>
      </c>
      <c r="F1733" t="s">
        <v>335</v>
      </c>
      <c r="G1733" s="1">
        <v>0.13300000000000001</v>
      </c>
      <c r="H1733" t="s">
        <v>112</v>
      </c>
      <c r="I1733" t="s">
        <v>3505</v>
      </c>
      <c r="J1733" t="s">
        <v>3362</v>
      </c>
      <c r="K1733" t="s">
        <v>24</v>
      </c>
      <c r="L1733" s="14">
        <f>IFERROR(VALUE(LEFT(tblMatriculas[[#This Row],[Clases]],FIND("/",tblMatriculas[[#This Row],[Clases]])-1)),"")</f>
        <v>4</v>
      </c>
      <c r="M1733" s="14">
        <f>IFERROR(VALUE(MID(tblMatriculas[[#This Row],[Clases]],FIND("/",tblMatriculas[[#This Row],[Clases]])+1,5)),"")</f>
        <v>30</v>
      </c>
      <c r="N17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3" s="14">
        <f>IF(OR(tblMatriculas[[#This Row],[Estado]]&lt;&gt;"activa",tblMatriculas[[#This Row],[Clases dictadas]]=""),"",MAX(0,tblMatriculas[[#This Row],[Clases dictadas]]-tblMatriculas[[#This Row],[Asistidas]]))</f>
        <v>1</v>
      </c>
      <c r="P1733" s="1">
        <f>IF(OR(tblMatriculas[[#This Row],[Estado]]&lt;&gt;"activa",tblMatriculas[[#This Row],[Asistidas]]=""),"",tblMatriculas[[#This Row],[Asistencia]])</f>
        <v>0.13300000000000001</v>
      </c>
      <c r="Q1733" t="b">
        <f>AND(tblMatriculas[[#This Row],[Estado]]="activa",ISNUMBER(tblMatriculas[[#This Row],[% asistencia]]),NOT(ISNUMBER(SEARCH(pPrueba,tblMatriculas[[#This Row],[Nombre]]))))</f>
        <v>1</v>
      </c>
      <c r="R17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3" s="23" t="str" cm="1">
        <f t="array" ref="S17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3" s="23" t="str" cm="1">
        <f t="array" ref="T17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3" s="14" t="str" cm="1">
        <f t="array" ref="U17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3" t="str" cm="1">
        <f t="array" ref="V17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3" t="str" cm="1">
        <f t="array" ref="W17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3" t="str">
        <f>IF(COUNTIFS('Base Estudiantes'!$C:$C,tblMatriculas[[#This Row],[Cédula]],'Base Estudiantes'!$I:$I,tblMatriculas[[#This Row],[Código]])&gt;0,"Sí","No")</f>
        <v>Sí</v>
      </c>
      <c r="Z1733" s="23" cm="1">
        <f t="array" ref="Z1733">_xlfn.XLOOKUP(tblMatriculas[[#This Row],[Cédula]]&amp;"|"&amp;tblMatriculas[[#This Row],[Código]],tblBase[Documento]&amp;"|"&amp;tblBase[Código grupo],tblBase[Fecha matrícula],"")</f>
        <v>46263</v>
      </c>
    </row>
    <row r="1734" spans="1:26" x14ac:dyDescent="0.2">
      <c r="A1734" t="s">
        <v>3622</v>
      </c>
      <c r="B1734" t="s">
        <v>3623</v>
      </c>
      <c r="C1734" t="s">
        <v>13</v>
      </c>
      <c r="D1734" t="s">
        <v>3550</v>
      </c>
      <c r="E1734" t="s">
        <v>3551</v>
      </c>
      <c r="F1734" t="s">
        <v>335</v>
      </c>
      <c r="G1734" s="1">
        <v>0.16699999999999998</v>
      </c>
      <c r="H1734" t="s">
        <v>229</v>
      </c>
      <c r="I1734" t="s">
        <v>3505</v>
      </c>
      <c r="J1734" t="s">
        <v>3362</v>
      </c>
      <c r="K1734" t="s">
        <v>24</v>
      </c>
      <c r="L1734" s="14">
        <f>IFERROR(VALUE(LEFT(tblMatriculas[[#This Row],[Clases]],FIND("/",tblMatriculas[[#This Row],[Clases]])-1)),"")</f>
        <v>5</v>
      </c>
      <c r="M1734" s="14">
        <f>IFERROR(VALUE(MID(tblMatriculas[[#This Row],[Clases]],FIND("/",tblMatriculas[[#This Row],[Clases]])+1,5)),"")</f>
        <v>30</v>
      </c>
      <c r="N17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4" s="14">
        <f>IF(OR(tblMatriculas[[#This Row],[Estado]]&lt;&gt;"activa",tblMatriculas[[#This Row],[Clases dictadas]]=""),"",MAX(0,tblMatriculas[[#This Row],[Clases dictadas]]-tblMatriculas[[#This Row],[Asistidas]]))</f>
        <v>0</v>
      </c>
      <c r="P1734" s="1">
        <f>IF(OR(tblMatriculas[[#This Row],[Estado]]&lt;&gt;"activa",tblMatriculas[[#This Row],[Asistidas]]=""),"",tblMatriculas[[#This Row],[Asistencia]])</f>
        <v>0.16699999999999998</v>
      </c>
      <c r="Q1734" t="b">
        <f>AND(tblMatriculas[[#This Row],[Estado]]="activa",ISNUMBER(tblMatriculas[[#This Row],[% asistencia]]),NOT(ISNUMBER(SEARCH(pPrueba,tblMatriculas[[#This Row],[Nombre]]))))</f>
        <v>1</v>
      </c>
      <c r="R17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4" s="23" t="str" cm="1">
        <f t="array" ref="S17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4" s="23" t="str" cm="1">
        <f t="array" ref="T17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4" s="14" t="str" cm="1">
        <f t="array" ref="U17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4" t="str" cm="1">
        <f t="array" ref="V17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4" t="str" cm="1">
        <f t="array" ref="W17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4" t="str">
        <f>IF(COUNTIFS('Base Estudiantes'!$C:$C,tblMatriculas[[#This Row],[Cédula]],'Base Estudiantes'!$I:$I,tblMatriculas[[#This Row],[Código]])&gt;0,"Sí","No")</f>
        <v>Sí</v>
      </c>
      <c r="Z1734" s="23" cm="1">
        <f t="array" ref="Z1734">_xlfn.XLOOKUP(tblMatriculas[[#This Row],[Cédula]]&amp;"|"&amp;tblMatriculas[[#This Row],[Código]],tblBase[Documento]&amp;"|"&amp;tblBase[Código grupo],tblBase[Fecha matrícula],"")</f>
        <v>46263</v>
      </c>
    </row>
    <row r="1735" spans="1:26" x14ac:dyDescent="0.2">
      <c r="A1735" t="s">
        <v>3624</v>
      </c>
      <c r="B1735" t="s">
        <v>3625</v>
      </c>
      <c r="C1735" t="s">
        <v>13</v>
      </c>
      <c r="D1735" t="s">
        <v>3550</v>
      </c>
      <c r="E1735" t="s">
        <v>3551</v>
      </c>
      <c r="F1735" t="s">
        <v>335</v>
      </c>
      <c r="G1735" s="1">
        <v>0.13300000000000001</v>
      </c>
      <c r="H1735" t="s">
        <v>112</v>
      </c>
      <c r="I1735" t="s">
        <v>3505</v>
      </c>
      <c r="J1735" t="s">
        <v>3362</v>
      </c>
      <c r="K1735" t="s">
        <v>24</v>
      </c>
      <c r="L1735" s="14">
        <f>IFERROR(VALUE(LEFT(tblMatriculas[[#This Row],[Clases]],FIND("/",tblMatriculas[[#This Row],[Clases]])-1)),"")</f>
        <v>4</v>
      </c>
      <c r="M1735" s="14">
        <f>IFERROR(VALUE(MID(tblMatriculas[[#This Row],[Clases]],FIND("/",tblMatriculas[[#This Row],[Clases]])+1,5)),"")</f>
        <v>30</v>
      </c>
      <c r="N17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35" s="14">
        <f>IF(OR(tblMatriculas[[#This Row],[Estado]]&lt;&gt;"activa",tblMatriculas[[#This Row],[Clases dictadas]]=""),"",MAX(0,tblMatriculas[[#This Row],[Clases dictadas]]-tblMatriculas[[#This Row],[Asistidas]]))</f>
        <v>1</v>
      </c>
      <c r="P1735" s="1">
        <f>IF(OR(tblMatriculas[[#This Row],[Estado]]&lt;&gt;"activa",tblMatriculas[[#This Row],[Asistidas]]=""),"",tblMatriculas[[#This Row],[Asistencia]])</f>
        <v>0.13300000000000001</v>
      </c>
      <c r="Q1735" t="b">
        <f>AND(tblMatriculas[[#This Row],[Estado]]="activa",ISNUMBER(tblMatriculas[[#This Row],[% asistencia]]),NOT(ISNUMBER(SEARCH(pPrueba,tblMatriculas[[#This Row],[Nombre]]))))</f>
        <v>1</v>
      </c>
      <c r="R17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5" s="23" t="str" cm="1">
        <f t="array" ref="S17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5" s="23" t="str" cm="1">
        <f t="array" ref="T17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5" s="14" t="str" cm="1">
        <f t="array" ref="U17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5" t="str" cm="1">
        <f t="array" ref="V17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5" t="str" cm="1">
        <f t="array" ref="W17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5" t="str">
        <f>IF(COUNTIFS('Base Estudiantes'!$C:$C,tblMatriculas[[#This Row],[Cédula]],'Base Estudiantes'!$I:$I,tblMatriculas[[#This Row],[Código]])&gt;0,"Sí","No")</f>
        <v>No</v>
      </c>
      <c r="Z1735" s="23" t="str" cm="1">
        <f t="array" ref="Z1735">_xlfn.XLOOKUP(tblMatriculas[[#This Row],[Cédula]]&amp;"|"&amp;tblMatriculas[[#This Row],[Código]],tblBase[Documento]&amp;"|"&amp;tblBase[Código grupo],tblBase[Fecha matrícula],"")</f>
        <v/>
      </c>
    </row>
    <row r="1736" spans="1:26" x14ac:dyDescent="0.2">
      <c r="A1736" t="s">
        <v>3081</v>
      </c>
      <c r="B1736" t="s">
        <v>3082</v>
      </c>
      <c r="C1736" t="s">
        <v>49</v>
      </c>
      <c r="D1736" t="s">
        <v>3626</v>
      </c>
      <c r="E1736" t="s">
        <v>3627</v>
      </c>
      <c r="F1736" t="s">
        <v>1453</v>
      </c>
      <c r="G1736" s="1">
        <v>0.1</v>
      </c>
      <c r="H1736" t="s">
        <v>380</v>
      </c>
      <c r="I1736" t="s">
        <v>3505</v>
      </c>
      <c r="J1736" t="s">
        <v>3242</v>
      </c>
      <c r="K1736" t="s">
        <v>24</v>
      </c>
      <c r="L1736" s="14">
        <f>IFERROR(VALUE(LEFT(tblMatriculas[[#This Row],[Clases]],FIND("/",tblMatriculas[[#This Row],[Clases]])-1)),"")</f>
        <v>6</v>
      </c>
      <c r="M1736" s="14">
        <f>IFERROR(VALUE(MID(tblMatriculas[[#This Row],[Clases]],FIND("/",tblMatriculas[[#This Row],[Clases]])+1,5)),"")</f>
        <v>60</v>
      </c>
      <c r="N17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12</v>
      </c>
      <c r="O1736" s="14" t="str">
        <f>IF(OR(tblMatriculas[[#This Row],[Estado]]&lt;&gt;"activa",tblMatriculas[[#This Row],[Clases dictadas]]=""),"",MAX(0,tblMatriculas[[#This Row],[Clases dictadas]]-tblMatriculas[[#This Row],[Asistidas]]))</f>
        <v/>
      </c>
      <c r="P1736" s="1" t="str">
        <f>IF(OR(tblMatriculas[[#This Row],[Estado]]&lt;&gt;"activa",tblMatriculas[[#This Row],[Asistidas]]=""),"",tblMatriculas[[#This Row],[Asistencia]])</f>
        <v/>
      </c>
      <c r="Q1736" t="b">
        <f>AND(tblMatriculas[[#This Row],[Estado]]="activa",ISNUMBER(tblMatriculas[[#This Row],[% asistencia]]),NOT(ISNUMBER(SEARCH(pPrueba,tblMatriculas[[#This Row],[Nombre]]))))</f>
        <v>0</v>
      </c>
      <c r="R17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736" s="23" t="str" cm="1">
        <f t="array" ref="S17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6" s="23" t="str" cm="1">
        <f t="array" ref="T17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6" s="14" t="str" cm="1">
        <f t="array" ref="U17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6" t="str" cm="1">
        <f t="array" ref="V17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6" t="str" cm="1">
        <f t="array" ref="W17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6" t="str">
        <f>IF(COUNTIFS('Base Estudiantes'!$C:$C,tblMatriculas[[#This Row],[Cédula]],'Base Estudiantes'!$I:$I,tblMatriculas[[#This Row],[Código]])&gt;0,"Sí","No")</f>
        <v>No</v>
      </c>
      <c r="Z1736" s="23" t="str" cm="1">
        <f t="array" ref="Z1736">_xlfn.XLOOKUP(tblMatriculas[[#This Row],[Cédula]]&amp;"|"&amp;tblMatriculas[[#This Row],[Código]],tblBase[Documento]&amp;"|"&amp;tblBase[Código grupo],tblBase[Fecha matrícula],"")</f>
        <v/>
      </c>
    </row>
    <row r="1737" spans="1:26" x14ac:dyDescent="0.2">
      <c r="A1737" t="s">
        <v>3628</v>
      </c>
      <c r="B1737" t="s">
        <v>3629</v>
      </c>
      <c r="C1737" t="s">
        <v>13</v>
      </c>
      <c r="D1737" t="s">
        <v>3626</v>
      </c>
      <c r="E1737" t="s">
        <v>3627</v>
      </c>
      <c r="F1737" t="s">
        <v>1453</v>
      </c>
      <c r="G1737" s="1">
        <v>0</v>
      </c>
      <c r="H1737" t="s">
        <v>254</v>
      </c>
      <c r="I1737" t="s">
        <v>3505</v>
      </c>
      <c r="J1737" t="s">
        <v>3242</v>
      </c>
      <c r="K1737" t="s">
        <v>3507</v>
      </c>
      <c r="L1737" s="14">
        <f>IFERROR(VALUE(LEFT(tblMatriculas[[#This Row],[Clases]],FIND("/",tblMatriculas[[#This Row],[Clases]])-1)),"")</f>
        <v>0</v>
      </c>
      <c r="M1737" s="14">
        <f>IFERROR(VALUE(MID(tblMatriculas[[#This Row],[Clases]],FIND("/",tblMatriculas[[#This Row],[Clases]])+1,5)),"")</f>
        <v>30</v>
      </c>
      <c r="N17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37" s="14">
        <f>IF(OR(tblMatriculas[[#This Row],[Estado]]&lt;&gt;"activa",tblMatriculas[[#This Row],[Clases dictadas]]=""),"",MAX(0,tblMatriculas[[#This Row],[Clases dictadas]]-tblMatriculas[[#This Row],[Asistidas]]))</f>
        <v>6</v>
      </c>
      <c r="P1737" s="1">
        <f>IF(OR(tblMatriculas[[#This Row],[Estado]]&lt;&gt;"activa",tblMatriculas[[#This Row],[Asistidas]]=""),"",tblMatriculas[[#This Row],[Asistencia]])</f>
        <v>0</v>
      </c>
      <c r="Q1737" t="b">
        <f>AND(tblMatriculas[[#This Row],[Estado]]="activa",ISNUMBER(tblMatriculas[[#This Row],[% asistencia]]),NOT(ISNUMBER(SEARCH(pPrueba,tblMatriculas[[#This Row],[Nombre]]))))</f>
        <v>1</v>
      </c>
      <c r="R17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737" s="23" t="str" cm="1">
        <f t="array" ref="S17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7" s="23" t="str" cm="1">
        <f t="array" ref="T17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7" s="14" t="str" cm="1">
        <f t="array" ref="U17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7" t="str" cm="1">
        <f t="array" ref="V17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7" t="str" cm="1">
        <f t="array" ref="W17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7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737" t="str">
        <f>IF(COUNTIFS('Base Estudiantes'!$C:$C,tblMatriculas[[#This Row],[Cédula]],'Base Estudiantes'!$I:$I,tblMatriculas[[#This Row],[Código]])&gt;0,"Sí","No")</f>
        <v>Sí</v>
      </c>
      <c r="Z1737" s="23" cm="1">
        <f t="array" ref="Z1737">_xlfn.XLOOKUP(tblMatriculas[[#This Row],[Cédula]]&amp;"|"&amp;tblMatriculas[[#This Row],[Código]],tblBase[Documento]&amp;"|"&amp;tblBase[Código grupo],tblBase[Fecha matrícula],"")</f>
        <v>46262</v>
      </c>
    </row>
    <row r="1738" spans="1:26" x14ac:dyDescent="0.2">
      <c r="A1738" t="s">
        <v>3630</v>
      </c>
      <c r="B1738" t="s">
        <v>3631</v>
      </c>
      <c r="C1738" t="s">
        <v>13</v>
      </c>
      <c r="D1738" t="s">
        <v>3626</v>
      </c>
      <c r="E1738" t="s">
        <v>3627</v>
      </c>
      <c r="F1738" t="s">
        <v>1453</v>
      </c>
      <c r="G1738" s="1">
        <v>0.2</v>
      </c>
      <c r="H1738" t="s">
        <v>232</v>
      </c>
      <c r="I1738" t="s">
        <v>3505</v>
      </c>
      <c r="J1738" t="s">
        <v>3242</v>
      </c>
      <c r="K1738" t="s">
        <v>3554</v>
      </c>
      <c r="L1738" s="14">
        <f>IFERROR(VALUE(LEFT(tblMatriculas[[#This Row],[Clases]],FIND("/",tblMatriculas[[#This Row],[Clases]])-1)),"")</f>
        <v>6</v>
      </c>
      <c r="M1738" s="14">
        <f>IFERROR(VALUE(MID(tblMatriculas[[#This Row],[Clases]],FIND("/",tblMatriculas[[#This Row],[Clases]])+1,5)),"")</f>
        <v>30</v>
      </c>
      <c r="N17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38" s="14">
        <f>IF(OR(tblMatriculas[[#This Row],[Estado]]&lt;&gt;"activa",tblMatriculas[[#This Row],[Clases dictadas]]=""),"",MAX(0,tblMatriculas[[#This Row],[Clases dictadas]]-tblMatriculas[[#This Row],[Asistidas]]))</f>
        <v>0</v>
      </c>
      <c r="P1738" s="1">
        <f>IF(OR(tblMatriculas[[#This Row],[Estado]]&lt;&gt;"activa",tblMatriculas[[#This Row],[Asistidas]]=""),"",tblMatriculas[[#This Row],[Asistencia]])</f>
        <v>0.2</v>
      </c>
      <c r="Q1738" t="b">
        <f>AND(tblMatriculas[[#This Row],[Estado]]="activa",ISNUMBER(tblMatriculas[[#This Row],[% asistencia]]),NOT(ISNUMBER(SEARCH(pPrueba,tblMatriculas[[#This Row],[Nombre]]))))</f>
        <v>1</v>
      </c>
      <c r="R17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8" s="23" t="str" cm="1">
        <f t="array" ref="S17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8" s="23" t="str" cm="1">
        <f t="array" ref="T17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8" s="14" t="str" cm="1">
        <f t="array" ref="U17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8" t="str" cm="1">
        <f t="array" ref="V17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8" t="str" cm="1">
        <f t="array" ref="W17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8" t="str">
        <f>IF(COUNTIFS('Base Estudiantes'!$C:$C,tblMatriculas[[#This Row],[Cédula]],'Base Estudiantes'!$I:$I,tblMatriculas[[#This Row],[Código]])&gt;0,"Sí","No")</f>
        <v>Sí</v>
      </c>
      <c r="Z1738" s="23" cm="1">
        <f t="array" ref="Z1738">_xlfn.XLOOKUP(tblMatriculas[[#This Row],[Cédula]]&amp;"|"&amp;tblMatriculas[[#This Row],[Código]],tblBase[Documento]&amp;"|"&amp;tblBase[Código grupo],tblBase[Fecha matrícula],"")</f>
        <v>46262</v>
      </c>
    </row>
    <row r="1739" spans="1:26" x14ac:dyDescent="0.2">
      <c r="A1739" t="s">
        <v>3632</v>
      </c>
      <c r="B1739" t="s">
        <v>3633</v>
      </c>
      <c r="C1739" t="s">
        <v>13</v>
      </c>
      <c r="D1739" t="s">
        <v>3626</v>
      </c>
      <c r="E1739" t="s">
        <v>3627</v>
      </c>
      <c r="F1739" t="s">
        <v>1453</v>
      </c>
      <c r="G1739" s="1">
        <v>0.2</v>
      </c>
      <c r="H1739" t="s">
        <v>232</v>
      </c>
      <c r="I1739" t="s">
        <v>3505</v>
      </c>
      <c r="J1739" t="s">
        <v>3242</v>
      </c>
      <c r="K1739" t="s">
        <v>3554</v>
      </c>
      <c r="L1739" s="14">
        <f>IFERROR(VALUE(LEFT(tblMatriculas[[#This Row],[Clases]],FIND("/",tblMatriculas[[#This Row],[Clases]])-1)),"")</f>
        <v>6</v>
      </c>
      <c r="M1739" s="14">
        <f>IFERROR(VALUE(MID(tblMatriculas[[#This Row],[Clases]],FIND("/",tblMatriculas[[#This Row],[Clases]])+1,5)),"")</f>
        <v>30</v>
      </c>
      <c r="N17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39" s="14">
        <f>IF(OR(tblMatriculas[[#This Row],[Estado]]&lt;&gt;"activa",tblMatriculas[[#This Row],[Clases dictadas]]=""),"",MAX(0,tblMatriculas[[#This Row],[Clases dictadas]]-tblMatriculas[[#This Row],[Asistidas]]))</f>
        <v>0</v>
      </c>
      <c r="P1739" s="1">
        <f>IF(OR(tblMatriculas[[#This Row],[Estado]]&lt;&gt;"activa",tblMatriculas[[#This Row],[Asistidas]]=""),"",tblMatriculas[[#This Row],[Asistencia]])</f>
        <v>0.2</v>
      </c>
      <c r="Q1739" t="b">
        <f>AND(tblMatriculas[[#This Row],[Estado]]="activa",ISNUMBER(tblMatriculas[[#This Row],[% asistencia]]),NOT(ISNUMBER(SEARCH(pPrueba,tblMatriculas[[#This Row],[Nombre]]))))</f>
        <v>1</v>
      </c>
      <c r="R17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39" s="23" t="str" cm="1">
        <f t="array" ref="S17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39" s="23" t="str" cm="1">
        <f t="array" ref="T17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39" s="14" t="str" cm="1">
        <f t="array" ref="U17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39" t="str" cm="1">
        <f t="array" ref="V17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39" t="str" cm="1">
        <f t="array" ref="W17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39" t="str">
        <f>IF(COUNTIFS('Base Estudiantes'!$C:$C,tblMatriculas[[#This Row],[Cédula]],'Base Estudiantes'!$I:$I,tblMatriculas[[#This Row],[Código]])&gt;0,"Sí","No")</f>
        <v>Sí</v>
      </c>
      <c r="Z1739" s="23" cm="1">
        <f t="array" ref="Z1739">_xlfn.XLOOKUP(tblMatriculas[[#This Row],[Cédula]]&amp;"|"&amp;tblMatriculas[[#This Row],[Código]],tblBase[Documento]&amp;"|"&amp;tblBase[Código grupo],tblBase[Fecha matrícula],"")</f>
        <v>46262</v>
      </c>
    </row>
    <row r="1740" spans="1:26" x14ac:dyDescent="0.2">
      <c r="A1740" t="s">
        <v>3634</v>
      </c>
      <c r="B1740" t="s">
        <v>3635</v>
      </c>
      <c r="C1740" t="s">
        <v>13</v>
      </c>
      <c r="D1740" t="s">
        <v>3626</v>
      </c>
      <c r="E1740" t="s">
        <v>3627</v>
      </c>
      <c r="F1740" t="s">
        <v>1453</v>
      </c>
      <c r="G1740" s="1">
        <v>0.2</v>
      </c>
      <c r="H1740" t="s">
        <v>232</v>
      </c>
      <c r="I1740" t="s">
        <v>3505</v>
      </c>
      <c r="J1740" t="s">
        <v>3242</v>
      </c>
      <c r="K1740" t="s">
        <v>24</v>
      </c>
      <c r="L1740" s="14">
        <f>IFERROR(VALUE(LEFT(tblMatriculas[[#This Row],[Clases]],FIND("/",tblMatriculas[[#This Row],[Clases]])-1)),"")</f>
        <v>6</v>
      </c>
      <c r="M1740" s="14">
        <f>IFERROR(VALUE(MID(tblMatriculas[[#This Row],[Clases]],FIND("/",tblMatriculas[[#This Row],[Clases]])+1,5)),"")</f>
        <v>30</v>
      </c>
      <c r="N17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0" s="14">
        <f>IF(OR(tblMatriculas[[#This Row],[Estado]]&lt;&gt;"activa",tblMatriculas[[#This Row],[Clases dictadas]]=""),"",MAX(0,tblMatriculas[[#This Row],[Clases dictadas]]-tblMatriculas[[#This Row],[Asistidas]]))</f>
        <v>0</v>
      </c>
      <c r="P1740" s="1">
        <f>IF(OR(tblMatriculas[[#This Row],[Estado]]&lt;&gt;"activa",tblMatriculas[[#This Row],[Asistidas]]=""),"",tblMatriculas[[#This Row],[Asistencia]])</f>
        <v>0.2</v>
      </c>
      <c r="Q1740" t="b">
        <f>AND(tblMatriculas[[#This Row],[Estado]]="activa",ISNUMBER(tblMatriculas[[#This Row],[% asistencia]]),NOT(ISNUMBER(SEARCH(pPrueba,tblMatriculas[[#This Row],[Nombre]]))))</f>
        <v>1</v>
      </c>
      <c r="R17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0" s="23" t="str" cm="1">
        <f t="array" ref="S17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0" s="23" t="str" cm="1">
        <f t="array" ref="T17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0" s="14" t="str" cm="1">
        <f t="array" ref="U17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0" t="str" cm="1">
        <f t="array" ref="V17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0" t="str" cm="1">
        <f t="array" ref="W17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0" t="str">
        <f>IF(COUNTIFS('Base Estudiantes'!$C:$C,tblMatriculas[[#This Row],[Cédula]],'Base Estudiantes'!$I:$I,tblMatriculas[[#This Row],[Código]])&gt;0,"Sí","No")</f>
        <v>Sí</v>
      </c>
      <c r="Z1740" s="23" cm="1">
        <f t="array" ref="Z1740">_xlfn.XLOOKUP(tblMatriculas[[#This Row],[Cédula]]&amp;"|"&amp;tblMatriculas[[#This Row],[Código]],tblBase[Documento]&amp;"|"&amp;tblBase[Código grupo],tblBase[Fecha matrícula],"")</f>
        <v>46262</v>
      </c>
    </row>
    <row r="1741" spans="1:26" x14ac:dyDescent="0.2">
      <c r="A1741" t="s">
        <v>3636</v>
      </c>
      <c r="B1741" t="s">
        <v>3637</v>
      </c>
      <c r="C1741" t="s">
        <v>13</v>
      </c>
      <c r="D1741" t="s">
        <v>3626</v>
      </c>
      <c r="E1741" t="s">
        <v>3627</v>
      </c>
      <c r="F1741" t="s">
        <v>1453</v>
      </c>
      <c r="G1741" s="1">
        <v>0.16699999999999998</v>
      </c>
      <c r="H1741" t="s">
        <v>229</v>
      </c>
      <c r="I1741" t="s">
        <v>3505</v>
      </c>
      <c r="J1741" t="s">
        <v>3242</v>
      </c>
      <c r="K1741" t="s">
        <v>24</v>
      </c>
      <c r="L1741" s="14">
        <f>IFERROR(VALUE(LEFT(tblMatriculas[[#This Row],[Clases]],FIND("/",tblMatriculas[[#This Row],[Clases]])-1)),"")</f>
        <v>5</v>
      </c>
      <c r="M1741" s="14">
        <f>IFERROR(VALUE(MID(tblMatriculas[[#This Row],[Clases]],FIND("/",tblMatriculas[[#This Row],[Clases]])+1,5)),"")</f>
        <v>30</v>
      </c>
      <c r="N17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1" s="14">
        <f>IF(OR(tblMatriculas[[#This Row],[Estado]]&lt;&gt;"activa",tblMatriculas[[#This Row],[Clases dictadas]]=""),"",MAX(0,tblMatriculas[[#This Row],[Clases dictadas]]-tblMatriculas[[#This Row],[Asistidas]]))</f>
        <v>1</v>
      </c>
      <c r="P1741" s="1">
        <f>IF(OR(tblMatriculas[[#This Row],[Estado]]&lt;&gt;"activa",tblMatriculas[[#This Row],[Asistidas]]=""),"",tblMatriculas[[#This Row],[Asistencia]])</f>
        <v>0.16699999999999998</v>
      </c>
      <c r="Q1741" t="b">
        <f>AND(tblMatriculas[[#This Row],[Estado]]="activa",ISNUMBER(tblMatriculas[[#This Row],[% asistencia]]),NOT(ISNUMBER(SEARCH(pPrueba,tblMatriculas[[#This Row],[Nombre]]))))</f>
        <v>1</v>
      </c>
      <c r="R17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1" s="23" t="str" cm="1">
        <f t="array" ref="S17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1" s="23" t="str" cm="1">
        <f t="array" ref="T17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1" s="14" t="str" cm="1">
        <f t="array" ref="U17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1" t="str" cm="1">
        <f t="array" ref="V17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1" t="str" cm="1">
        <f t="array" ref="W17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1" t="str">
        <f>IF(COUNTIFS('Base Estudiantes'!$C:$C,tblMatriculas[[#This Row],[Cédula]],'Base Estudiantes'!$I:$I,tblMatriculas[[#This Row],[Código]])&gt;0,"Sí","No")</f>
        <v>Sí</v>
      </c>
      <c r="Z1741" s="23" cm="1">
        <f t="array" ref="Z1741">_xlfn.XLOOKUP(tblMatriculas[[#This Row],[Cédula]]&amp;"|"&amp;tblMatriculas[[#This Row],[Código]],tblBase[Documento]&amp;"|"&amp;tblBase[Código grupo],tblBase[Fecha matrícula],"")</f>
        <v>46262</v>
      </c>
    </row>
    <row r="1742" spans="1:26" x14ac:dyDescent="0.2">
      <c r="A1742" t="s">
        <v>3638</v>
      </c>
      <c r="B1742" t="s">
        <v>3639</v>
      </c>
      <c r="C1742" t="s">
        <v>13</v>
      </c>
      <c r="D1742" t="s">
        <v>3626</v>
      </c>
      <c r="E1742" t="s">
        <v>3627</v>
      </c>
      <c r="F1742" t="s">
        <v>1453</v>
      </c>
      <c r="G1742" s="1">
        <v>0.2</v>
      </c>
      <c r="H1742" t="s">
        <v>232</v>
      </c>
      <c r="I1742" t="s">
        <v>3505</v>
      </c>
      <c r="J1742" t="s">
        <v>3242</v>
      </c>
      <c r="K1742" t="s">
        <v>24</v>
      </c>
      <c r="L1742" s="14">
        <f>IFERROR(VALUE(LEFT(tblMatriculas[[#This Row],[Clases]],FIND("/",tblMatriculas[[#This Row],[Clases]])-1)),"")</f>
        <v>6</v>
      </c>
      <c r="M1742" s="14">
        <f>IFERROR(VALUE(MID(tblMatriculas[[#This Row],[Clases]],FIND("/",tblMatriculas[[#This Row],[Clases]])+1,5)),"")</f>
        <v>30</v>
      </c>
      <c r="N17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2" s="14">
        <f>IF(OR(tblMatriculas[[#This Row],[Estado]]&lt;&gt;"activa",tblMatriculas[[#This Row],[Clases dictadas]]=""),"",MAX(0,tblMatriculas[[#This Row],[Clases dictadas]]-tblMatriculas[[#This Row],[Asistidas]]))</f>
        <v>0</v>
      </c>
      <c r="P1742" s="1">
        <f>IF(OR(tblMatriculas[[#This Row],[Estado]]&lt;&gt;"activa",tblMatriculas[[#This Row],[Asistidas]]=""),"",tblMatriculas[[#This Row],[Asistencia]])</f>
        <v>0.2</v>
      </c>
      <c r="Q1742" t="b">
        <f>AND(tblMatriculas[[#This Row],[Estado]]="activa",ISNUMBER(tblMatriculas[[#This Row],[% asistencia]]),NOT(ISNUMBER(SEARCH(pPrueba,tblMatriculas[[#This Row],[Nombre]]))))</f>
        <v>1</v>
      </c>
      <c r="R17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2" s="23" t="str" cm="1">
        <f t="array" ref="S17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2" s="23" t="str" cm="1">
        <f t="array" ref="T17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2" s="14" t="str" cm="1">
        <f t="array" ref="U17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2" t="str" cm="1">
        <f t="array" ref="V17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2" t="str" cm="1">
        <f t="array" ref="W17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2" t="str">
        <f>IF(COUNTIFS('Base Estudiantes'!$C:$C,tblMatriculas[[#This Row],[Cédula]],'Base Estudiantes'!$I:$I,tblMatriculas[[#This Row],[Código]])&gt;0,"Sí","No")</f>
        <v>Sí</v>
      </c>
      <c r="Z1742" s="23" cm="1">
        <f t="array" ref="Z1742">_xlfn.XLOOKUP(tblMatriculas[[#This Row],[Cédula]]&amp;"|"&amp;tblMatriculas[[#This Row],[Código]],tblBase[Documento]&amp;"|"&amp;tblBase[Código grupo],tblBase[Fecha matrícula],"")</f>
        <v>46262</v>
      </c>
    </row>
    <row r="1743" spans="1:26" x14ac:dyDescent="0.2">
      <c r="A1743" t="s">
        <v>3640</v>
      </c>
      <c r="B1743" t="s">
        <v>3641</v>
      </c>
      <c r="C1743" t="s">
        <v>13</v>
      </c>
      <c r="D1743" t="s">
        <v>3626</v>
      </c>
      <c r="E1743" t="s">
        <v>3627</v>
      </c>
      <c r="F1743" t="s">
        <v>1453</v>
      </c>
      <c r="G1743" s="1">
        <v>0.16699999999999998</v>
      </c>
      <c r="H1743" t="s">
        <v>229</v>
      </c>
      <c r="I1743" t="s">
        <v>3505</v>
      </c>
      <c r="J1743" t="s">
        <v>3242</v>
      </c>
      <c r="K1743" t="s">
        <v>24</v>
      </c>
      <c r="L1743" s="14">
        <f>IFERROR(VALUE(LEFT(tblMatriculas[[#This Row],[Clases]],FIND("/",tblMatriculas[[#This Row],[Clases]])-1)),"")</f>
        <v>5</v>
      </c>
      <c r="M1743" s="14">
        <f>IFERROR(VALUE(MID(tblMatriculas[[#This Row],[Clases]],FIND("/",tblMatriculas[[#This Row],[Clases]])+1,5)),"")</f>
        <v>30</v>
      </c>
      <c r="N17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3" s="14">
        <f>IF(OR(tblMatriculas[[#This Row],[Estado]]&lt;&gt;"activa",tblMatriculas[[#This Row],[Clases dictadas]]=""),"",MAX(0,tblMatriculas[[#This Row],[Clases dictadas]]-tblMatriculas[[#This Row],[Asistidas]]))</f>
        <v>1</v>
      </c>
      <c r="P1743" s="1">
        <f>IF(OR(tblMatriculas[[#This Row],[Estado]]&lt;&gt;"activa",tblMatriculas[[#This Row],[Asistidas]]=""),"",tblMatriculas[[#This Row],[Asistencia]])</f>
        <v>0.16699999999999998</v>
      </c>
      <c r="Q1743" t="b">
        <f>AND(tblMatriculas[[#This Row],[Estado]]="activa",ISNUMBER(tblMatriculas[[#This Row],[% asistencia]]),NOT(ISNUMBER(SEARCH(pPrueba,tblMatriculas[[#This Row],[Nombre]]))))</f>
        <v>1</v>
      </c>
      <c r="R17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3" s="23" t="str" cm="1">
        <f t="array" ref="S17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3" s="23" t="str" cm="1">
        <f t="array" ref="T17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3" s="14" t="str" cm="1">
        <f t="array" ref="U17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3" t="str" cm="1">
        <f t="array" ref="V17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3" t="str" cm="1">
        <f t="array" ref="W17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3" t="str">
        <f>IF(COUNTIFS('Base Estudiantes'!$C:$C,tblMatriculas[[#This Row],[Cédula]],'Base Estudiantes'!$I:$I,tblMatriculas[[#This Row],[Código]])&gt;0,"Sí","No")</f>
        <v>Sí</v>
      </c>
      <c r="Z1743" s="23" cm="1">
        <f t="array" ref="Z1743">_xlfn.XLOOKUP(tblMatriculas[[#This Row],[Cédula]]&amp;"|"&amp;tblMatriculas[[#This Row],[Código]],tblBase[Documento]&amp;"|"&amp;tblBase[Código grupo],tblBase[Fecha matrícula],"")</f>
        <v>46262</v>
      </c>
    </row>
    <row r="1744" spans="1:26" x14ac:dyDescent="0.2">
      <c r="A1744" t="s">
        <v>3642</v>
      </c>
      <c r="B1744" t="s">
        <v>3643</v>
      </c>
      <c r="C1744" t="s">
        <v>13</v>
      </c>
      <c r="D1744" t="s">
        <v>3626</v>
      </c>
      <c r="E1744" t="s">
        <v>3627</v>
      </c>
      <c r="F1744" t="s">
        <v>1453</v>
      </c>
      <c r="G1744" s="1">
        <v>0.2</v>
      </c>
      <c r="H1744" t="s">
        <v>232</v>
      </c>
      <c r="I1744" t="s">
        <v>3505</v>
      </c>
      <c r="J1744" t="s">
        <v>3242</v>
      </c>
      <c r="K1744" t="s">
        <v>24</v>
      </c>
      <c r="L1744" s="14">
        <f>IFERROR(VALUE(LEFT(tblMatriculas[[#This Row],[Clases]],FIND("/",tblMatriculas[[#This Row],[Clases]])-1)),"")</f>
        <v>6</v>
      </c>
      <c r="M1744" s="14">
        <f>IFERROR(VALUE(MID(tblMatriculas[[#This Row],[Clases]],FIND("/",tblMatriculas[[#This Row],[Clases]])+1,5)),"")</f>
        <v>30</v>
      </c>
      <c r="N17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4" s="14">
        <f>IF(OR(tblMatriculas[[#This Row],[Estado]]&lt;&gt;"activa",tblMatriculas[[#This Row],[Clases dictadas]]=""),"",MAX(0,tblMatriculas[[#This Row],[Clases dictadas]]-tblMatriculas[[#This Row],[Asistidas]]))</f>
        <v>0</v>
      </c>
      <c r="P1744" s="1">
        <f>IF(OR(tblMatriculas[[#This Row],[Estado]]&lt;&gt;"activa",tblMatriculas[[#This Row],[Asistidas]]=""),"",tblMatriculas[[#This Row],[Asistencia]])</f>
        <v>0.2</v>
      </c>
      <c r="Q1744" t="b">
        <f>AND(tblMatriculas[[#This Row],[Estado]]="activa",ISNUMBER(tblMatriculas[[#This Row],[% asistencia]]),NOT(ISNUMBER(SEARCH(pPrueba,tblMatriculas[[#This Row],[Nombre]]))))</f>
        <v>1</v>
      </c>
      <c r="R17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4" s="23" t="str" cm="1">
        <f t="array" ref="S17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4" s="23" t="str" cm="1">
        <f t="array" ref="T17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4" s="14" t="str" cm="1">
        <f t="array" ref="U17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4" t="str" cm="1">
        <f t="array" ref="V17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4" t="str" cm="1">
        <f t="array" ref="W17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4" t="str">
        <f>IF(COUNTIFS('Base Estudiantes'!$C:$C,tblMatriculas[[#This Row],[Cédula]],'Base Estudiantes'!$I:$I,tblMatriculas[[#This Row],[Código]])&gt;0,"Sí","No")</f>
        <v>Sí</v>
      </c>
      <c r="Z1744" s="23" cm="1">
        <f t="array" ref="Z1744">_xlfn.XLOOKUP(tblMatriculas[[#This Row],[Cédula]]&amp;"|"&amp;tblMatriculas[[#This Row],[Código]],tblBase[Documento]&amp;"|"&amp;tblBase[Código grupo],tblBase[Fecha matrícula],"")</f>
        <v>46262</v>
      </c>
    </row>
    <row r="1745" spans="1:26" x14ac:dyDescent="0.2">
      <c r="A1745" t="s">
        <v>3644</v>
      </c>
      <c r="B1745" t="s">
        <v>3645</v>
      </c>
      <c r="C1745" t="s">
        <v>13</v>
      </c>
      <c r="D1745" t="s">
        <v>3626</v>
      </c>
      <c r="E1745" t="s">
        <v>3627</v>
      </c>
      <c r="F1745" t="s">
        <v>1453</v>
      </c>
      <c r="G1745" s="1">
        <v>3.3000000000000002E-2</v>
      </c>
      <c r="H1745" t="s">
        <v>225</v>
      </c>
      <c r="I1745" t="s">
        <v>3505</v>
      </c>
      <c r="J1745" t="s">
        <v>3242</v>
      </c>
      <c r="K1745" t="s">
        <v>24</v>
      </c>
      <c r="L1745" s="14">
        <f>IFERROR(VALUE(LEFT(tblMatriculas[[#This Row],[Clases]],FIND("/",tblMatriculas[[#This Row],[Clases]])-1)),"")</f>
        <v>1</v>
      </c>
      <c r="M1745" s="14">
        <f>IFERROR(VALUE(MID(tblMatriculas[[#This Row],[Clases]],FIND("/",tblMatriculas[[#This Row],[Clases]])+1,5)),"")</f>
        <v>30</v>
      </c>
      <c r="N17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5" s="14">
        <f>IF(OR(tblMatriculas[[#This Row],[Estado]]&lt;&gt;"activa",tblMatriculas[[#This Row],[Clases dictadas]]=""),"",MAX(0,tblMatriculas[[#This Row],[Clases dictadas]]-tblMatriculas[[#This Row],[Asistidas]]))</f>
        <v>5</v>
      </c>
      <c r="P1745" s="1">
        <f>IF(OR(tblMatriculas[[#This Row],[Estado]]&lt;&gt;"activa",tblMatriculas[[#This Row],[Asistidas]]=""),"",tblMatriculas[[#This Row],[Asistencia]])</f>
        <v>3.3000000000000002E-2</v>
      </c>
      <c r="Q1745" t="b">
        <f>AND(tblMatriculas[[#This Row],[Estado]]="activa",ISNUMBER(tblMatriculas[[#This Row],[% asistencia]]),NOT(ISNUMBER(SEARCH(pPrueba,tblMatriculas[[#This Row],[Nombre]]))))</f>
        <v>1</v>
      </c>
      <c r="R17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45" s="23" t="str" cm="1">
        <f t="array" ref="S17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5" s="23" t="str" cm="1">
        <f t="array" ref="T17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5" s="14" t="str" cm="1">
        <f t="array" ref="U17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5" t="str" cm="1">
        <f t="array" ref="V17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5" t="str" cm="1">
        <f t="array" ref="W17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45" t="str">
        <f>IF(COUNTIFS('Base Estudiantes'!$C:$C,tblMatriculas[[#This Row],[Cédula]],'Base Estudiantes'!$I:$I,tblMatriculas[[#This Row],[Código]])&gt;0,"Sí","No")</f>
        <v>Sí</v>
      </c>
      <c r="Z1745" s="23" cm="1">
        <f t="array" ref="Z1745">_xlfn.XLOOKUP(tblMatriculas[[#This Row],[Cédula]]&amp;"|"&amp;tblMatriculas[[#This Row],[Código]],tblBase[Documento]&amp;"|"&amp;tblBase[Código grupo],tblBase[Fecha matrícula],"")</f>
        <v>46262</v>
      </c>
    </row>
    <row r="1746" spans="1:26" x14ac:dyDescent="0.2">
      <c r="A1746" t="s">
        <v>3646</v>
      </c>
      <c r="B1746" t="s">
        <v>3647</v>
      </c>
      <c r="C1746" t="s">
        <v>13</v>
      </c>
      <c r="D1746" t="s">
        <v>3626</v>
      </c>
      <c r="E1746" t="s">
        <v>3627</v>
      </c>
      <c r="F1746" t="s">
        <v>1453</v>
      </c>
      <c r="G1746" s="1">
        <v>0.2</v>
      </c>
      <c r="H1746" t="s">
        <v>232</v>
      </c>
      <c r="I1746" t="s">
        <v>3505</v>
      </c>
      <c r="J1746" t="s">
        <v>3242</v>
      </c>
      <c r="K1746" t="s">
        <v>24</v>
      </c>
      <c r="L1746" s="14">
        <f>IFERROR(VALUE(LEFT(tblMatriculas[[#This Row],[Clases]],FIND("/",tblMatriculas[[#This Row],[Clases]])-1)),"")</f>
        <v>6</v>
      </c>
      <c r="M1746" s="14">
        <f>IFERROR(VALUE(MID(tblMatriculas[[#This Row],[Clases]],FIND("/",tblMatriculas[[#This Row],[Clases]])+1,5)),"")</f>
        <v>30</v>
      </c>
      <c r="N17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6" s="14">
        <f>IF(OR(tblMatriculas[[#This Row],[Estado]]&lt;&gt;"activa",tblMatriculas[[#This Row],[Clases dictadas]]=""),"",MAX(0,tblMatriculas[[#This Row],[Clases dictadas]]-tblMatriculas[[#This Row],[Asistidas]]))</f>
        <v>0</v>
      </c>
      <c r="P1746" s="1">
        <f>IF(OR(tblMatriculas[[#This Row],[Estado]]&lt;&gt;"activa",tblMatriculas[[#This Row],[Asistidas]]=""),"",tblMatriculas[[#This Row],[Asistencia]])</f>
        <v>0.2</v>
      </c>
      <c r="Q1746" t="b">
        <f>AND(tblMatriculas[[#This Row],[Estado]]="activa",ISNUMBER(tblMatriculas[[#This Row],[% asistencia]]),NOT(ISNUMBER(SEARCH(pPrueba,tblMatriculas[[#This Row],[Nombre]]))))</f>
        <v>1</v>
      </c>
      <c r="R17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6" s="23" t="str" cm="1">
        <f t="array" ref="S17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6" s="23" t="str" cm="1">
        <f t="array" ref="T17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6" s="14" t="str" cm="1">
        <f t="array" ref="U17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6" t="str" cm="1">
        <f t="array" ref="V17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6" t="str" cm="1">
        <f t="array" ref="W17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6" t="str">
        <f>IF(COUNTIFS('Base Estudiantes'!$C:$C,tblMatriculas[[#This Row],[Cédula]],'Base Estudiantes'!$I:$I,tblMatriculas[[#This Row],[Código]])&gt;0,"Sí","No")</f>
        <v>Sí</v>
      </c>
      <c r="Z1746" s="23" cm="1">
        <f t="array" ref="Z1746">_xlfn.XLOOKUP(tblMatriculas[[#This Row],[Cédula]]&amp;"|"&amp;tblMatriculas[[#This Row],[Código]],tblBase[Documento]&amp;"|"&amp;tblBase[Código grupo],tblBase[Fecha matrícula],"")</f>
        <v>46262</v>
      </c>
    </row>
    <row r="1747" spans="1:26" x14ac:dyDescent="0.2">
      <c r="A1747" t="s">
        <v>3648</v>
      </c>
      <c r="B1747" t="s">
        <v>3649</v>
      </c>
      <c r="C1747" t="s">
        <v>13</v>
      </c>
      <c r="D1747" t="s">
        <v>3626</v>
      </c>
      <c r="E1747" t="s">
        <v>3627</v>
      </c>
      <c r="F1747" t="s">
        <v>1453</v>
      </c>
      <c r="G1747" s="1">
        <v>0.2</v>
      </c>
      <c r="H1747" t="s">
        <v>232</v>
      </c>
      <c r="I1747" t="s">
        <v>3505</v>
      </c>
      <c r="J1747" t="s">
        <v>3242</v>
      </c>
      <c r="K1747" t="s">
        <v>24</v>
      </c>
      <c r="L1747" s="14">
        <f>IFERROR(VALUE(LEFT(tblMatriculas[[#This Row],[Clases]],FIND("/",tblMatriculas[[#This Row],[Clases]])-1)),"")</f>
        <v>6</v>
      </c>
      <c r="M1747" s="14">
        <f>IFERROR(VALUE(MID(tblMatriculas[[#This Row],[Clases]],FIND("/",tblMatriculas[[#This Row],[Clases]])+1,5)),"")</f>
        <v>30</v>
      </c>
      <c r="N17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7" s="14">
        <f>IF(OR(tblMatriculas[[#This Row],[Estado]]&lt;&gt;"activa",tblMatriculas[[#This Row],[Clases dictadas]]=""),"",MAX(0,tblMatriculas[[#This Row],[Clases dictadas]]-tblMatriculas[[#This Row],[Asistidas]]))</f>
        <v>0</v>
      </c>
      <c r="P1747" s="1">
        <f>IF(OR(tblMatriculas[[#This Row],[Estado]]&lt;&gt;"activa",tblMatriculas[[#This Row],[Asistidas]]=""),"",tblMatriculas[[#This Row],[Asistencia]])</f>
        <v>0.2</v>
      </c>
      <c r="Q1747" t="b">
        <f>AND(tblMatriculas[[#This Row],[Estado]]="activa",ISNUMBER(tblMatriculas[[#This Row],[% asistencia]]),NOT(ISNUMBER(SEARCH(pPrueba,tblMatriculas[[#This Row],[Nombre]]))))</f>
        <v>1</v>
      </c>
      <c r="R17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7" s="23" t="str" cm="1">
        <f t="array" ref="S17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7" s="23" t="str" cm="1">
        <f t="array" ref="T17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7" s="14" t="str" cm="1">
        <f t="array" ref="U17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7" t="str" cm="1">
        <f t="array" ref="V17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7" t="str" cm="1">
        <f t="array" ref="W17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7" t="str">
        <f>IF(COUNTIFS('Base Estudiantes'!$C:$C,tblMatriculas[[#This Row],[Cédula]],'Base Estudiantes'!$I:$I,tblMatriculas[[#This Row],[Código]])&gt;0,"Sí","No")</f>
        <v>Sí</v>
      </c>
      <c r="Z1747" s="23" cm="1">
        <f t="array" ref="Z1747">_xlfn.XLOOKUP(tblMatriculas[[#This Row],[Cédula]]&amp;"|"&amp;tblMatriculas[[#This Row],[Código]],tblBase[Documento]&amp;"|"&amp;tblBase[Código grupo],tblBase[Fecha matrícula],"")</f>
        <v>46262</v>
      </c>
    </row>
    <row r="1748" spans="1:26" x14ac:dyDescent="0.2">
      <c r="A1748" t="s">
        <v>3650</v>
      </c>
      <c r="B1748" t="s">
        <v>3651</v>
      </c>
      <c r="C1748" t="s">
        <v>13</v>
      </c>
      <c r="D1748" t="s">
        <v>3626</v>
      </c>
      <c r="E1748" t="s">
        <v>3627</v>
      </c>
      <c r="F1748" t="s">
        <v>1453</v>
      </c>
      <c r="G1748" s="1">
        <v>0.13300000000000001</v>
      </c>
      <c r="H1748" t="s">
        <v>112</v>
      </c>
      <c r="I1748" t="s">
        <v>3505</v>
      </c>
      <c r="J1748" t="s">
        <v>3242</v>
      </c>
      <c r="K1748" t="s">
        <v>24</v>
      </c>
      <c r="L1748" s="14">
        <f>IFERROR(VALUE(LEFT(tblMatriculas[[#This Row],[Clases]],FIND("/",tblMatriculas[[#This Row],[Clases]])-1)),"")</f>
        <v>4</v>
      </c>
      <c r="M1748" s="14">
        <f>IFERROR(VALUE(MID(tblMatriculas[[#This Row],[Clases]],FIND("/",tblMatriculas[[#This Row],[Clases]])+1,5)),"")</f>
        <v>30</v>
      </c>
      <c r="N17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8" s="14">
        <f>IF(OR(tblMatriculas[[#This Row],[Estado]]&lt;&gt;"activa",tblMatriculas[[#This Row],[Clases dictadas]]=""),"",MAX(0,tblMatriculas[[#This Row],[Clases dictadas]]-tblMatriculas[[#This Row],[Asistidas]]))</f>
        <v>2</v>
      </c>
      <c r="P1748" s="1">
        <f>IF(OR(tblMatriculas[[#This Row],[Estado]]&lt;&gt;"activa",tblMatriculas[[#This Row],[Asistidas]]=""),"",tblMatriculas[[#This Row],[Asistencia]])</f>
        <v>0.13300000000000001</v>
      </c>
      <c r="Q1748" t="b">
        <f>AND(tblMatriculas[[#This Row],[Estado]]="activa",ISNUMBER(tblMatriculas[[#This Row],[% asistencia]]),NOT(ISNUMBER(SEARCH(pPrueba,tblMatriculas[[#This Row],[Nombre]]))))</f>
        <v>1</v>
      </c>
      <c r="R17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8" s="23" t="str" cm="1">
        <f t="array" ref="S17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8" s="23" t="str" cm="1">
        <f t="array" ref="T17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8" s="14" t="str" cm="1">
        <f t="array" ref="U17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8" t="str" cm="1">
        <f t="array" ref="V17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8" t="str" cm="1">
        <f t="array" ref="W17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8" t="str">
        <f>IF(COUNTIFS('Base Estudiantes'!$C:$C,tblMatriculas[[#This Row],[Cédula]],'Base Estudiantes'!$I:$I,tblMatriculas[[#This Row],[Código]])&gt;0,"Sí","No")</f>
        <v>Sí</v>
      </c>
      <c r="Z1748" s="23" cm="1">
        <f t="array" ref="Z1748">_xlfn.XLOOKUP(tblMatriculas[[#This Row],[Cédula]]&amp;"|"&amp;tblMatriculas[[#This Row],[Código]],tblBase[Documento]&amp;"|"&amp;tblBase[Código grupo],tblBase[Fecha matrícula],"")</f>
        <v>46262</v>
      </c>
    </row>
    <row r="1749" spans="1:26" x14ac:dyDescent="0.2">
      <c r="A1749" t="s">
        <v>3652</v>
      </c>
      <c r="B1749" t="s">
        <v>3653</v>
      </c>
      <c r="C1749" t="s">
        <v>13</v>
      </c>
      <c r="D1749" t="s">
        <v>3626</v>
      </c>
      <c r="E1749" t="s">
        <v>3627</v>
      </c>
      <c r="F1749" t="s">
        <v>1453</v>
      </c>
      <c r="G1749" s="1">
        <v>0.2</v>
      </c>
      <c r="H1749" t="s">
        <v>232</v>
      </c>
      <c r="I1749" t="s">
        <v>3505</v>
      </c>
      <c r="J1749" t="s">
        <v>3242</v>
      </c>
      <c r="K1749" t="s">
        <v>24</v>
      </c>
      <c r="L1749" s="14">
        <f>IFERROR(VALUE(LEFT(tblMatriculas[[#This Row],[Clases]],FIND("/",tblMatriculas[[#This Row],[Clases]])-1)),"")</f>
        <v>6</v>
      </c>
      <c r="M1749" s="14">
        <f>IFERROR(VALUE(MID(tblMatriculas[[#This Row],[Clases]],FIND("/",tblMatriculas[[#This Row],[Clases]])+1,5)),"")</f>
        <v>30</v>
      </c>
      <c r="N17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49" s="14">
        <f>IF(OR(tblMatriculas[[#This Row],[Estado]]&lt;&gt;"activa",tblMatriculas[[#This Row],[Clases dictadas]]=""),"",MAX(0,tblMatriculas[[#This Row],[Clases dictadas]]-tblMatriculas[[#This Row],[Asistidas]]))</f>
        <v>0</v>
      </c>
      <c r="P1749" s="1">
        <f>IF(OR(tblMatriculas[[#This Row],[Estado]]&lt;&gt;"activa",tblMatriculas[[#This Row],[Asistidas]]=""),"",tblMatriculas[[#This Row],[Asistencia]])</f>
        <v>0.2</v>
      </c>
      <c r="Q1749" t="b">
        <f>AND(tblMatriculas[[#This Row],[Estado]]="activa",ISNUMBER(tblMatriculas[[#This Row],[% asistencia]]),NOT(ISNUMBER(SEARCH(pPrueba,tblMatriculas[[#This Row],[Nombre]]))))</f>
        <v>1</v>
      </c>
      <c r="R17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49" s="23" t="str" cm="1">
        <f t="array" ref="S17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49" s="23" t="str" cm="1">
        <f t="array" ref="T17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49" s="14" t="str" cm="1">
        <f t="array" ref="U17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49" t="str" cm="1">
        <f t="array" ref="V17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49" t="str" cm="1">
        <f t="array" ref="W17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49" t="str">
        <f>IF(COUNTIFS('Base Estudiantes'!$C:$C,tblMatriculas[[#This Row],[Cédula]],'Base Estudiantes'!$I:$I,tblMatriculas[[#This Row],[Código]])&gt;0,"Sí","No")</f>
        <v>Sí</v>
      </c>
      <c r="Z1749" s="23" cm="1">
        <f t="array" ref="Z1749">_xlfn.XLOOKUP(tblMatriculas[[#This Row],[Cédula]]&amp;"|"&amp;tblMatriculas[[#This Row],[Código]],tblBase[Documento]&amp;"|"&amp;tblBase[Código grupo],tblBase[Fecha matrícula],"")</f>
        <v>46262</v>
      </c>
    </row>
    <row r="1750" spans="1:26" x14ac:dyDescent="0.2">
      <c r="A1750" t="s">
        <v>3654</v>
      </c>
      <c r="B1750" t="s">
        <v>3655</v>
      </c>
      <c r="C1750" t="s">
        <v>13</v>
      </c>
      <c r="D1750" t="s">
        <v>3626</v>
      </c>
      <c r="E1750" t="s">
        <v>3627</v>
      </c>
      <c r="F1750" t="s">
        <v>1453</v>
      </c>
      <c r="G1750" s="1">
        <v>3.3000000000000002E-2</v>
      </c>
      <c r="H1750" t="s">
        <v>225</v>
      </c>
      <c r="I1750" t="s">
        <v>3505</v>
      </c>
      <c r="J1750" t="s">
        <v>3242</v>
      </c>
      <c r="K1750" t="s">
        <v>24</v>
      </c>
      <c r="L1750" s="14">
        <f>IFERROR(VALUE(LEFT(tblMatriculas[[#This Row],[Clases]],FIND("/",tblMatriculas[[#This Row],[Clases]])-1)),"")</f>
        <v>1</v>
      </c>
      <c r="M1750" s="14">
        <f>IFERROR(VALUE(MID(tblMatriculas[[#This Row],[Clases]],FIND("/",tblMatriculas[[#This Row],[Clases]])+1,5)),"")</f>
        <v>30</v>
      </c>
      <c r="N17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0" s="14">
        <f>IF(OR(tblMatriculas[[#This Row],[Estado]]&lt;&gt;"activa",tblMatriculas[[#This Row],[Clases dictadas]]=""),"",MAX(0,tblMatriculas[[#This Row],[Clases dictadas]]-tblMatriculas[[#This Row],[Asistidas]]))</f>
        <v>5</v>
      </c>
      <c r="P1750" s="1">
        <f>IF(OR(tblMatriculas[[#This Row],[Estado]]&lt;&gt;"activa",tblMatriculas[[#This Row],[Asistidas]]=""),"",tblMatriculas[[#This Row],[Asistencia]])</f>
        <v>3.3000000000000002E-2</v>
      </c>
      <c r="Q1750" t="b">
        <f>AND(tblMatriculas[[#This Row],[Estado]]="activa",ISNUMBER(tblMatriculas[[#This Row],[% asistencia]]),NOT(ISNUMBER(SEARCH(pPrueba,tblMatriculas[[#This Row],[Nombre]]))))</f>
        <v>1</v>
      </c>
      <c r="R17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50" s="23" t="str" cm="1">
        <f t="array" ref="S17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0" s="23" t="str" cm="1">
        <f t="array" ref="T17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0" s="14" t="str" cm="1">
        <f t="array" ref="U17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0" t="str" cm="1">
        <f t="array" ref="V17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0" t="str" cm="1">
        <f t="array" ref="W17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50" t="str">
        <f>IF(COUNTIFS('Base Estudiantes'!$C:$C,tblMatriculas[[#This Row],[Cédula]],'Base Estudiantes'!$I:$I,tblMatriculas[[#This Row],[Código]])&gt;0,"Sí","No")</f>
        <v>Sí</v>
      </c>
      <c r="Z1750" s="23" cm="1">
        <f t="array" ref="Z1750">_xlfn.XLOOKUP(tblMatriculas[[#This Row],[Cédula]]&amp;"|"&amp;tblMatriculas[[#This Row],[Código]],tblBase[Documento]&amp;"|"&amp;tblBase[Código grupo],tblBase[Fecha matrícula],"")</f>
        <v>46262</v>
      </c>
    </row>
    <row r="1751" spans="1:26" x14ac:dyDescent="0.2">
      <c r="A1751" t="s">
        <v>3656</v>
      </c>
      <c r="B1751" t="s">
        <v>3657</v>
      </c>
      <c r="C1751" t="s">
        <v>13</v>
      </c>
      <c r="D1751" t="s">
        <v>3626</v>
      </c>
      <c r="E1751" t="s">
        <v>3627</v>
      </c>
      <c r="F1751" t="s">
        <v>1453</v>
      </c>
      <c r="G1751" s="1">
        <v>0.1</v>
      </c>
      <c r="H1751" t="s">
        <v>117</v>
      </c>
      <c r="I1751" t="s">
        <v>3505</v>
      </c>
      <c r="J1751" t="s">
        <v>3242</v>
      </c>
      <c r="K1751" t="s">
        <v>24</v>
      </c>
      <c r="L1751" s="14">
        <f>IFERROR(VALUE(LEFT(tblMatriculas[[#This Row],[Clases]],FIND("/",tblMatriculas[[#This Row],[Clases]])-1)),"")</f>
        <v>3</v>
      </c>
      <c r="M1751" s="14">
        <f>IFERROR(VALUE(MID(tblMatriculas[[#This Row],[Clases]],FIND("/",tblMatriculas[[#This Row],[Clases]])+1,5)),"")</f>
        <v>30</v>
      </c>
      <c r="N17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1" s="14">
        <f>IF(OR(tblMatriculas[[#This Row],[Estado]]&lt;&gt;"activa",tblMatriculas[[#This Row],[Clases dictadas]]=""),"",MAX(0,tblMatriculas[[#This Row],[Clases dictadas]]-tblMatriculas[[#This Row],[Asistidas]]))</f>
        <v>3</v>
      </c>
      <c r="P1751" s="1">
        <f>IF(OR(tblMatriculas[[#This Row],[Estado]]&lt;&gt;"activa",tblMatriculas[[#This Row],[Asistidas]]=""),"",tblMatriculas[[#This Row],[Asistencia]])</f>
        <v>0.1</v>
      </c>
      <c r="Q1751" t="b">
        <f>AND(tblMatriculas[[#This Row],[Estado]]="activa",ISNUMBER(tblMatriculas[[#This Row],[% asistencia]]),NOT(ISNUMBER(SEARCH(pPrueba,tblMatriculas[[#This Row],[Nombre]]))))</f>
        <v>1</v>
      </c>
      <c r="R17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1" s="23" t="str" cm="1">
        <f t="array" ref="S17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1" s="23" t="str" cm="1">
        <f t="array" ref="T17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1" s="14" t="str" cm="1">
        <f t="array" ref="U17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1" t="str" cm="1">
        <f t="array" ref="V17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1" t="str" cm="1">
        <f t="array" ref="W17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1" t="str">
        <f>IF(COUNTIFS('Base Estudiantes'!$C:$C,tblMatriculas[[#This Row],[Cédula]],'Base Estudiantes'!$I:$I,tblMatriculas[[#This Row],[Código]])&gt;0,"Sí","No")</f>
        <v>Sí</v>
      </c>
      <c r="Z1751" s="23" cm="1">
        <f t="array" ref="Z1751">_xlfn.XLOOKUP(tblMatriculas[[#This Row],[Cédula]]&amp;"|"&amp;tblMatriculas[[#This Row],[Código]],tblBase[Documento]&amp;"|"&amp;tblBase[Código grupo],tblBase[Fecha matrícula],"")</f>
        <v>46262</v>
      </c>
    </row>
    <row r="1752" spans="1:26" x14ac:dyDescent="0.2">
      <c r="A1752" t="s">
        <v>3658</v>
      </c>
      <c r="B1752" t="s">
        <v>3659</v>
      </c>
      <c r="C1752" t="s">
        <v>13</v>
      </c>
      <c r="D1752" t="s">
        <v>3626</v>
      </c>
      <c r="E1752" t="s">
        <v>3627</v>
      </c>
      <c r="F1752" t="s">
        <v>1453</v>
      </c>
      <c r="G1752" s="1">
        <v>0.2</v>
      </c>
      <c r="H1752" t="s">
        <v>232</v>
      </c>
      <c r="I1752" t="s">
        <v>3505</v>
      </c>
      <c r="J1752" t="s">
        <v>3242</v>
      </c>
      <c r="K1752" t="s">
        <v>24</v>
      </c>
      <c r="L1752" s="14">
        <f>IFERROR(VALUE(LEFT(tblMatriculas[[#This Row],[Clases]],FIND("/",tblMatriculas[[#This Row],[Clases]])-1)),"")</f>
        <v>6</v>
      </c>
      <c r="M1752" s="14">
        <f>IFERROR(VALUE(MID(tblMatriculas[[#This Row],[Clases]],FIND("/",tblMatriculas[[#This Row],[Clases]])+1,5)),"")</f>
        <v>30</v>
      </c>
      <c r="N17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2" s="14">
        <f>IF(OR(tblMatriculas[[#This Row],[Estado]]&lt;&gt;"activa",tblMatriculas[[#This Row],[Clases dictadas]]=""),"",MAX(0,tblMatriculas[[#This Row],[Clases dictadas]]-tblMatriculas[[#This Row],[Asistidas]]))</f>
        <v>0</v>
      </c>
      <c r="P1752" s="1">
        <f>IF(OR(tblMatriculas[[#This Row],[Estado]]&lt;&gt;"activa",tblMatriculas[[#This Row],[Asistidas]]=""),"",tblMatriculas[[#This Row],[Asistencia]])</f>
        <v>0.2</v>
      </c>
      <c r="Q1752" t="b">
        <f>AND(tblMatriculas[[#This Row],[Estado]]="activa",ISNUMBER(tblMatriculas[[#This Row],[% asistencia]]),NOT(ISNUMBER(SEARCH(pPrueba,tblMatriculas[[#This Row],[Nombre]]))))</f>
        <v>1</v>
      </c>
      <c r="R17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2" s="23" t="str" cm="1">
        <f t="array" ref="S17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2" s="23" t="str" cm="1">
        <f t="array" ref="T17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2" s="14" t="str" cm="1">
        <f t="array" ref="U17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2" t="str" cm="1">
        <f t="array" ref="V17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2" t="str" cm="1">
        <f t="array" ref="W17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2" t="str">
        <f>IF(COUNTIFS('Base Estudiantes'!$C:$C,tblMatriculas[[#This Row],[Cédula]],'Base Estudiantes'!$I:$I,tblMatriculas[[#This Row],[Código]])&gt;0,"Sí","No")</f>
        <v>Sí</v>
      </c>
      <c r="Z1752" s="23" cm="1">
        <f t="array" ref="Z1752">_xlfn.XLOOKUP(tblMatriculas[[#This Row],[Cédula]]&amp;"|"&amp;tblMatriculas[[#This Row],[Código]],tblBase[Documento]&amp;"|"&amp;tblBase[Código grupo],tblBase[Fecha matrícula],"")</f>
        <v>46262</v>
      </c>
    </row>
    <row r="1753" spans="1:26" x14ac:dyDescent="0.2">
      <c r="A1753" t="s">
        <v>3660</v>
      </c>
      <c r="B1753" t="s">
        <v>3661</v>
      </c>
      <c r="C1753" t="s">
        <v>13</v>
      </c>
      <c r="D1753" t="s">
        <v>3626</v>
      </c>
      <c r="E1753" t="s">
        <v>3627</v>
      </c>
      <c r="F1753" t="s">
        <v>1453</v>
      </c>
      <c r="G1753" s="1">
        <v>0.16699999999999998</v>
      </c>
      <c r="H1753" t="s">
        <v>229</v>
      </c>
      <c r="I1753" t="s">
        <v>3505</v>
      </c>
      <c r="J1753" t="s">
        <v>3242</v>
      </c>
      <c r="K1753" t="s">
        <v>24</v>
      </c>
      <c r="L1753" s="14">
        <f>IFERROR(VALUE(LEFT(tblMatriculas[[#This Row],[Clases]],FIND("/",tblMatriculas[[#This Row],[Clases]])-1)),"")</f>
        <v>5</v>
      </c>
      <c r="M1753" s="14">
        <f>IFERROR(VALUE(MID(tblMatriculas[[#This Row],[Clases]],FIND("/",tblMatriculas[[#This Row],[Clases]])+1,5)),"")</f>
        <v>30</v>
      </c>
      <c r="N17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3" s="14">
        <f>IF(OR(tblMatriculas[[#This Row],[Estado]]&lt;&gt;"activa",tblMatriculas[[#This Row],[Clases dictadas]]=""),"",MAX(0,tblMatriculas[[#This Row],[Clases dictadas]]-tblMatriculas[[#This Row],[Asistidas]]))</f>
        <v>1</v>
      </c>
      <c r="P1753" s="1">
        <f>IF(OR(tblMatriculas[[#This Row],[Estado]]&lt;&gt;"activa",tblMatriculas[[#This Row],[Asistidas]]=""),"",tblMatriculas[[#This Row],[Asistencia]])</f>
        <v>0.16699999999999998</v>
      </c>
      <c r="Q1753" t="b">
        <f>AND(tblMatriculas[[#This Row],[Estado]]="activa",ISNUMBER(tblMatriculas[[#This Row],[% asistencia]]),NOT(ISNUMBER(SEARCH(pPrueba,tblMatriculas[[#This Row],[Nombre]]))))</f>
        <v>1</v>
      </c>
      <c r="R17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3" s="23" t="str" cm="1">
        <f t="array" ref="S17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3" s="23" t="str" cm="1">
        <f t="array" ref="T17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3" s="14" t="str" cm="1">
        <f t="array" ref="U17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3" t="str" cm="1">
        <f t="array" ref="V17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3" t="str" cm="1">
        <f t="array" ref="W17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3" t="str">
        <f>IF(COUNTIFS('Base Estudiantes'!$C:$C,tblMatriculas[[#This Row],[Cédula]],'Base Estudiantes'!$I:$I,tblMatriculas[[#This Row],[Código]])&gt;0,"Sí","No")</f>
        <v>Sí</v>
      </c>
      <c r="Z1753" s="23" cm="1">
        <f t="array" ref="Z1753">_xlfn.XLOOKUP(tblMatriculas[[#This Row],[Cédula]]&amp;"|"&amp;tblMatriculas[[#This Row],[Código]],tblBase[Documento]&amp;"|"&amp;tblBase[Código grupo],tblBase[Fecha matrícula],"")</f>
        <v>46262</v>
      </c>
    </row>
    <row r="1754" spans="1:26" x14ac:dyDescent="0.2">
      <c r="A1754" t="s">
        <v>3662</v>
      </c>
      <c r="B1754" t="s">
        <v>3663</v>
      </c>
      <c r="C1754" t="s">
        <v>13</v>
      </c>
      <c r="D1754" t="s">
        <v>3626</v>
      </c>
      <c r="E1754" t="s">
        <v>3627</v>
      </c>
      <c r="F1754" t="s">
        <v>1453</v>
      </c>
      <c r="G1754" s="1">
        <v>0.2</v>
      </c>
      <c r="H1754" t="s">
        <v>232</v>
      </c>
      <c r="I1754" t="s">
        <v>3505</v>
      </c>
      <c r="J1754" t="s">
        <v>3242</v>
      </c>
      <c r="K1754" t="s">
        <v>24</v>
      </c>
      <c r="L1754" s="14">
        <f>IFERROR(VALUE(LEFT(tblMatriculas[[#This Row],[Clases]],FIND("/",tblMatriculas[[#This Row],[Clases]])-1)),"")</f>
        <v>6</v>
      </c>
      <c r="M1754" s="14">
        <f>IFERROR(VALUE(MID(tblMatriculas[[#This Row],[Clases]],FIND("/",tblMatriculas[[#This Row],[Clases]])+1,5)),"")</f>
        <v>30</v>
      </c>
      <c r="N17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4" s="14">
        <f>IF(OR(tblMatriculas[[#This Row],[Estado]]&lt;&gt;"activa",tblMatriculas[[#This Row],[Clases dictadas]]=""),"",MAX(0,tblMatriculas[[#This Row],[Clases dictadas]]-tblMatriculas[[#This Row],[Asistidas]]))</f>
        <v>0</v>
      </c>
      <c r="P1754" s="1">
        <f>IF(OR(tblMatriculas[[#This Row],[Estado]]&lt;&gt;"activa",tblMatriculas[[#This Row],[Asistidas]]=""),"",tblMatriculas[[#This Row],[Asistencia]])</f>
        <v>0.2</v>
      </c>
      <c r="Q1754" t="b">
        <f>AND(tblMatriculas[[#This Row],[Estado]]="activa",ISNUMBER(tblMatriculas[[#This Row],[% asistencia]]),NOT(ISNUMBER(SEARCH(pPrueba,tblMatriculas[[#This Row],[Nombre]]))))</f>
        <v>1</v>
      </c>
      <c r="R17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4" s="23" t="str" cm="1">
        <f t="array" ref="S17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4" s="23" t="str" cm="1">
        <f t="array" ref="T17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4" s="14" t="str" cm="1">
        <f t="array" ref="U17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4" t="str" cm="1">
        <f t="array" ref="V17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4" t="str" cm="1">
        <f t="array" ref="W17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4" t="str">
        <f>IF(COUNTIFS('Base Estudiantes'!$C:$C,tblMatriculas[[#This Row],[Cédula]],'Base Estudiantes'!$I:$I,tblMatriculas[[#This Row],[Código]])&gt;0,"Sí","No")</f>
        <v>Sí</v>
      </c>
      <c r="Z1754" s="23" cm="1">
        <f t="array" ref="Z1754">_xlfn.XLOOKUP(tblMatriculas[[#This Row],[Cédula]]&amp;"|"&amp;tblMatriculas[[#This Row],[Código]],tblBase[Documento]&amp;"|"&amp;tblBase[Código grupo],tblBase[Fecha matrícula],"")</f>
        <v>46262</v>
      </c>
    </row>
    <row r="1755" spans="1:26" x14ac:dyDescent="0.2">
      <c r="A1755" t="s">
        <v>3664</v>
      </c>
      <c r="B1755" t="s">
        <v>3665</v>
      </c>
      <c r="C1755" t="s">
        <v>13</v>
      </c>
      <c r="D1755" t="s">
        <v>3626</v>
      </c>
      <c r="E1755" t="s">
        <v>3627</v>
      </c>
      <c r="F1755" t="s">
        <v>1453</v>
      </c>
      <c r="G1755" s="1">
        <v>3.3000000000000002E-2</v>
      </c>
      <c r="H1755" t="s">
        <v>225</v>
      </c>
      <c r="I1755" t="s">
        <v>3505</v>
      </c>
      <c r="J1755" t="s">
        <v>3242</v>
      </c>
      <c r="K1755" t="s">
        <v>24</v>
      </c>
      <c r="L1755" s="14">
        <f>IFERROR(VALUE(LEFT(tblMatriculas[[#This Row],[Clases]],FIND("/",tblMatriculas[[#This Row],[Clases]])-1)),"")</f>
        <v>1</v>
      </c>
      <c r="M1755" s="14">
        <f>IFERROR(VALUE(MID(tblMatriculas[[#This Row],[Clases]],FIND("/",tblMatriculas[[#This Row],[Clases]])+1,5)),"")</f>
        <v>30</v>
      </c>
      <c r="N17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5" s="14">
        <f>IF(OR(tblMatriculas[[#This Row],[Estado]]&lt;&gt;"activa",tblMatriculas[[#This Row],[Clases dictadas]]=""),"",MAX(0,tblMatriculas[[#This Row],[Clases dictadas]]-tblMatriculas[[#This Row],[Asistidas]]))</f>
        <v>5</v>
      </c>
      <c r="P1755" s="1">
        <f>IF(OR(tblMatriculas[[#This Row],[Estado]]&lt;&gt;"activa",tblMatriculas[[#This Row],[Asistidas]]=""),"",tblMatriculas[[#This Row],[Asistencia]])</f>
        <v>3.3000000000000002E-2</v>
      </c>
      <c r="Q1755" t="b">
        <f>AND(tblMatriculas[[#This Row],[Estado]]="activa",ISNUMBER(tblMatriculas[[#This Row],[% asistencia]]),NOT(ISNUMBER(SEARCH(pPrueba,tblMatriculas[[#This Row],[Nombre]]))))</f>
        <v>1</v>
      </c>
      <c r="R17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55" s="23" t="str" cm="1">
        <f t="array" ref="S17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5" s="23" t="str" cm="1">
        <f t="array" ref="T17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5" s="14" t="str" cm="1">
        <f t="array" ref="U17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5" t="str" cm="1">
        <f t="array" ref="V17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5" t="str" cm="1">
        <f t="array" ref="W17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55" t="str">
        <f>IF(COUNTIFS('Base Estudiantes'!$C:$C,tblMatriculas[[#This Row],[Cédula]],'Base Estudiantes'!$I:$I,tblMatriculas[[#This Row],[Código]])&gt;0,"Sí","No")</f>
        <v>Sí</v>
      </c>
      <c r="Z1755" s="23" cm="1">
        <f t="array" ref="Z1755">_xlfn.XLOOKUP(tblMatriculas[[#This Row],[Cédula]]&amp;"|"&amp;tblMatriculas[[#This Row],[Código]],tblBase[Documento]&amp;"|"&amp;tblBase[Código grupo],tblBase[Fecha matrícula],"")</f>
        <v>46262</v>
      </c>
    </row>
    <row r="1756" spans="1:26" x14ac:dyDescent="0.2">
      <c r="A1756" t="s">
        <v>3666</v>
      </c>
      <c r="B1756" t="s">
        <v>3667</v>
      </c>
      <c r="C1756" t="s">
        <v>13</v>
      </c>
      <c r="D1756" t="s">
        <v>3626</v>
      </c>
      <c r="E1756" t="s">
        <v>3627</v>
      </c>
      <c r="F1756" t="s">
        <v>1453</v>
      </c>
      <c r="G1756" s="1">
        <v>6.7000000000000004E-2</v>
      </c>
      <c r="H1756" t="s">
        <v>166</v>
      </c>
      <c r="I1756" t="s">
        <v>3505</v>
      </c>
      <c r="J1756" t="s">
        <v>3242</v>
      </c>
      <c r="K1756" t="s">
        <v>24</v>
      </c>
      <c r="L1756" s="14">
        <f>IFERROR(VALUE(LEFT(tblMatriculas[[#This Row],[Clases]],FIND("/",tblMatriculas[[#This Row],[Clases]])-1)),"")</f>
        <v>2</v>
      </c>
      <c r="M1756" s="14">
        <f>IFERROR(VALUE(MID(tblMatriculas[[#This Row],[Clases]],FIND("/",tblMatriculas[[#This Row],[Clases]])+1,5)),"")</f>
        <v>30</v>
      </c>
      <c r="N17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6" s="14">
        <f>IF(OR(tblMatriculas[[#This Row],[Estado]]&lt;&gt;"activa",tblMatriculas[[#This Row],[Clases dictadas]]=""),"",MAX(0,tblMatriculas[[#This Row],[Clases dictadas]]-tblMatriculas[[#This Row],[Asistidas]]))</f>
        <v>4</v>
      </c>
      <c r="P1756" s="1">
        <f>IF(OR(tblMatriculas[[#This Row],[Estado]]&lt;&gt;"activa",tblMatriculas[[#This Row],[Asistidas]]=""),"",tblMatriculas[[#This Row],[Asistencia]])</f>
        <v>6.7000000000000004E-2</v>
      </c>
      <c r="Q1756" t="b">
        <f>AND(tblMatriculas[[#This Row],[Estado]]="activa",ISNUMBER(tblMatriculas[[#This Row],[% asistencia]]),NOT(ISNUMBER(SEARCH(pPrueba,tblMatriculas[[#This Row],[Nombre]]))))</f>
        <v>1</v>
      </c>
      <c r="R17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756" s="23" t="str" cm="1">
        <f t="array" ref="S17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6" s="23" t="str" cm="1">
        <f t="array" ref="T17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6" s="14" t="str" cm="1">
        <f t="array" ref="U17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6" t="str" cm="1">
        <f t="array" ref="V17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6" t="str" cm="1">
        <f t="array" ref="W17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7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756" t="str">
        <f>IF(COUNTIFS('Base Estudiantes'!$C:$C,tblMatriculas[[#This Row],[Cédula]],'Base Estudiantes'!$I:$I,tblMatriculas[[#This Row],[Código]])&gt;0,"Sí","No")</f>
        <v>Sí</v>
      </c>
      <c r="Z1756" s="23" cm="1">
        <f t="array" ref="Z1756">_xlfn.XLOOKUP(tblMatriculas[[#This Row],[Cédula]]&amp;"|"&amp;tblMatriculas[[#This Row],[Código]],tblBase[Documento]&amp;"|"&amp;tblBase[Código grupo],tblBase[Fecha matrícula],"")</f>
        <v>46262</v>
      </c>
    </row>
    <row r="1757" spans="1:26" x14ac:dyDescent="0.2">
      <c r="A1757" t="s">
        <v>3668</v>
      </c>
      <c r="B1757" t="s">
        <v>3669</v>
      </c>
      <c r="C1757" t="s">
        <v>13</v>
      </c>
      <c r="D1757" t="s">
        <v>3626</v>
      </c>
      <c r="E1757" t="s">
        <v>3627</v>
      </c>
      <c r="F1757" t="s">
        <v>1453</v>
      </c>
      <c r="G1757" s="1">
        <v>0.13300000000000001</v>
      </c>
      <c r="H1757" t="s">
        <v>112</v>
      </c>
      <c r="I1757" t="s">
        <v>3505</v>
      </c>
      <c r="J1757" t="s">
        <v>3242</v>
      </c>
      <c r="K1757" t="s">
        <v>24</v>
      </c>
      <c r="L1757" s="14">
        <f>IFERROR(VALUE(LEFT(tblMatriculas[[#This Row],[Clases]],FIND("/",tblMatriculas[[#This Row],[Clases]])-1)),"")</f>
        <v>4</v>
      </c>
      <c r="M1757" s="14">
        <f>IFERROR(VALUE(MID(tblMatriculas[[#This Row],[Clases]],FIND("/",tblMatriculas[[#This Row],[Clases]])+1,5)),"")</f>
        <v>30</v>
      </c>
      <c r="N17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7" s="14">
        <f>IF(OR(tblMatriculas[[#This Row],[Estado]]&lt;&gt;"activa",tblMatriculas[[#This Row],[Clases dictadas]]=""),"",MAX(0,tblMatriculas[[#This Row],[Clases dictadas]]-tblMatriculas[[#This Row],[Asistidas]]))</f>
        <v>2</v>
      </c>
      <c r="P1757" s="1">
        <f>IF(OR(tblMatriculas[[#This Row],[Estado]]&lt;&gt;"activa",tblMatriculas[[#This Row],[Asistidas]]=""),"",tblMatriculas[[#This Row],[Asistencia]])</f>
        <v>0.13300000000000001</v>
      </c>
      <c r="Q1757" t="b">
        <f>AND(tblMatriculas[[#This Row],[Estado]]="activa",ISNUMBER(tblMatriculas[[#This Row],[% asistencia]]),NOT(ISNUMBER(SEARCH(pPrueba,tblMatriculas[[#This Row],[Nombre]]))))</f>
        <v>1</v>
      </c>
      <c r="R17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7" s="23" t="str" cm="1">
        <f t="array" ref="S17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7" s="23" t="str" cm="1">
        <f t="array" ref="T17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7" s="14" t="str" cm="1">
        <f t="array" ref="U17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7" t="str" cm="1">
        <f t="array" ref="V17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7" t="str" cm="1">
        <f t="array" ref="W17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7" t="str">
        <f>IF(COUNTIFS('Base Estudiantes'!$C:$C,tblMatriculas[[#This Row],[Cédula]],'Base Estudiantes'!$I:$I,tblMatriculas[[#This Row],[Código]])&gt;0,"Sí","No")</f>
        <v>Sí</v>
      </c>
      <c r="Z1757" s="23" cm="1">
        <f t="array" ref="Z1757">_xlfn.XLOOKUP(tblMatriculas[[#This Row],[Cédula]]&amp;"|"&amp;tblMatriculas[[#This Row],[Código]],tblBase[Documento]&amp;"|"&amp;tblBase[Código grupo],tblBase[Fecha matrícula],"")</f>
        <v>46262</v>
      </c>
    </row>
    <row r="1758" spans="1:26" x14ac:dyDescent="0.2">
      <c r="A1758" t="s">
        <v>3670</v>
      </c>
      <c r="B1758" t="s">
        <v>3671</v>
      </c>
      <c r="C1758" t="s">
        <v>13</v>
      </c>
      <c r="D1758" t="s">
        <v>3626</v>
      </c>
      <c r="E1758" t="s">
        <v>3627</v>
      </c>
      <c r="F1758" t="s">
        <v>1453</v>
      </c>
      <c r="G1758" s="1">
        <v>0.13300000000000001</v>
      </c>
      <c r="H1758" t="s">
        <v>112</v>
      </c>
      <c r="I1758" t="s">
        <v>3505</v>
      </c>
      <c r="J1758" t="s">
        <v>3242</v>
      </c>
      <c r="K1758" t="s">
        <v>24</v>
      </c>
      <c r="L1758" s="14">
        <f>IFERROR(VALUE(LEFT(tblMatriculas[[#This Row],[Clases]],FIND("/",tblMatriculas[[#This Row],[Clases]])-1)),"")</f>
        <v>4</v>
      </c>
      <c r="M1758" s="14">
        <f>IFERROR(VALUE(MID(tblMatriculas[[#This Row],[Clases]],FIND("/",tblMatriculas[[#This Row],[Clases]])+1,5)),"")</f>
        <v>30</v>
      </c>
      <c r="N17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8" s="14">
        <f>IF(OR(tblMatriculas[[#This Row],[Estado]]&lt;&gt;"activa",tblMatriculas[[#This Row],[Clases dictadas]]=""),"",MAX(0,tblMatriculas[[#This Row],[Clases dictadas]]-tblMatriculas[[#This Row],[Asistidas]]))</f>
        <v>2</v>
      </c>
      <c r="P1758" s="1">
        <f>IF(OR(tblMatriculas[[#This Row],[Estado]]&lt;&gt;"activa",tblMatriculas[[#This Row],[Asistidas]]=""),"",tblMatriculas[[#This Row],[Asistencia]])</f>
        <v>0.13300000000000001</v>
      </c>
      <c r="Q1758" t="b">
        <f>AND(tblMatriculas[[#This Row],[Estado]]="activa",ISNUMBER(tblMatriculas[[#This Row],[% asistencia]]),NOT(ISNUMBER(SEARCH(pPrueba,tblMatriculas[[#This Row],[Nombre]]))))</f>
        <v>1</v>
      </c>
      <c r="R17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8" s="23" t="str" cm="1">
        <f t="array" ref="S17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8" s="23" t="str" cm="1">
        <f t="array" ref="T17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8" s="14" t="str" cm="1">
        <f t="array" ref="U17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8" t="str" cm="1">
        <f t="array" ref="V17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8" t="str" cm="1">
        <f t="array" ref="W17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8" t="str">
        <f>IF(COUNTIFS('Base Estudiantes'!$C:$C,tblMatriculas[[#This Row],[Cédula]],'Base Estudiantes'!$I:$I,tblMatriculas[[#This Row],[Código]])&gt;0,"Sí","No")</f>
        <v>Sí</v>
      </c>
      <c r="Z1758" s="23" cm="1">
        <f t="array" ref="Z1758">_xlfn.XLOOKUP(tblMatriculas[[#This Row],[Cédula]]&amp;"|"&amp;tblMatriculas[[#This Row],[Código]],tblBase[Documento]&amp;"|"&amp;tblBase[Código grupo],tblBase[Fecha matrícula],"")</f>
        <v>46262</v>
      </c>
    </row>
    <row r="1759" spans="1:26" x14ac:dyDescent="0.2">
      <c r="A1759" t="s">
        <v>3672</v>
      </c>
      <c r="B1759" t="s">
        <v>3673</v>
      </c>
      <c r="C1759" t="s">
        <v>13</v>
      </c>
      <c r="D1759" t="s">
        <v>3626</v>
      </c>
      <c r="E1759" t="s">
        <v>3627</v>
      </c>
      <c r="F1759" t="s">
        <v>1453</v>
      </c>
      <c r="G1759" s="1">
        <v>0.13300000000000001</v>
      </c>
      <c r="H1759" t="s">
        <v>112</v>
      </c>
      <c r="I1759" t="s">
        <v>3505</v>
      </c>
      <c r="J1759" t="s">
        <v>3242</v>
      </c>
      <c r="K1759" t="s">
        <v>24</v>
      </c>
      <c r="L1759" s="14">
        <f>IFERROR(VALUE(LEFT(tblMatriculas[[#This Row],[Clases]],FIND("/",tblMatriculas[[#This Row],[Clases]])-1)),"")</f>
        <v>4</v>
      </c>
      <c r="M1759" s="14">
        <f>IFERROR(VALUE(MID(tblMatriculas[[#This Row],[Clases]],FIND("/",tblMatriculas[[#This Row],[Clases]])+1,5)),"")</f>
        <v>30</v>
      </c>
      <c r="N17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59" s="14">
        <f>IF(OR(tblMatriculas[[#This Row],[Estado]]&lt;&gt;"activa",tblMatriculas[[#This Row],[Clases dictadas]]=""),"",MAX(0,tblMatriculas[[#This Row],[Clases dictadas]]-tblMatriculas[[#This Row],[Asistidas]]))</f>
        <v>2</v>
      </c>
      <c r="P1759" s="1">
        <f>IF(OR(tblMatriculas[[#This Row],[Estado]]&lt;&gt;"activa",tblMatriculas[[#This Row],[Asistidas]]=""),"",tblMatriculas[[#This Row],[Asistencia]])</f>
        <v>0.13300000000000001</v>
      </c>
      <c r="Q1759" t="b">
        <f>AND(tblMatriculas[[#This Row],[Estado]]="activa",ISNUMBER(tblMatriculas[[#This Row],[% asistencia]]),NOT(ISNUMBER(SEARCH(pPrueba,tblMatriculas[[#This Row],[Nombre]]))))</f>
        <v>1</v>
      </c>
      <c r="R17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59" s="23" t="str" cm="1">
        <f t="array" ref="S17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59" s="23" t="str" cm="1">
        <f t="array" ref="T17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59" s="14" t="str" cm="1">
        <f t="array" ref="U17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59" t="str" cm="1">
        <f t="array" ref="V17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59" t="str" cm="1">
        <f t="array" ref="W17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59" t="str">
        <f>IF(COUNTIFS('Base Estudiantes'!$C:$C,tblMatriculas[[#This Row],[Cédula]],'Base Estudiantes'!$I:$I,tblMatriculas[[#This Row],[Código]])&gt;0,"Sí","No")</f>
        <v>Sí</v>
      </c>
      <c r="Z1759" s="23" cm="1">
        <f t="array" ref="Z1759">_xlfn.XLOOKUP(tblMatriculas[[#This Row],[Cédula]]&amp;"|"&amp;tblMatriculas[[#This Row],[Código]],tblBase[Documento]&amp;"|"&amp;tblBase[Código grupo],tblBase[Fecha matrícula],"")</f>
        <v>46262</v>
      </c>
    </row>
    <row r="1760" spans="1:26" x14ac:dyDescent="0.2">
      <c r="A1760" t="s">
        <v>3674</v>
      </c>
      <c r="B1760" t="s">
        <v>3675</v>
      </c>
      <c r="C1760" t="s">
        <v>13</v>
      </c>
      <c r="D1760" t="s">
        <v>3626</v>
      </c>
      <c r="E1760" t="s">
        <v>3627</v>
      </c>
      <c r="F1760" t="s">
        <v>1453</v>
      </c>
      <c r="G1760" s="1">
        <v>0.16699999999999998</v>
      </c>
      <c r="H1760" t="s">
        <v>229</v>
      </c>
      <c r="I1760" t="s">
        <v>3505</v>
      </c>
      <c r="J1760" t="s">
        <v>3242</v>
      </c>
      <c r="K1760" t="s">
        <v>24</v>
      </c>
      <c r="L1760" s="14">
        <f>IFERROR(VALUE(LEFT(tblMatriculas[[#This Row],[Clases]],FIND("/",tblMatriculas[[#This Row],[Clases]])-1)),"")</f>
        <v>5</v>
      </c>
      <c r="M1760" s="14">
        <f>IFERROR(VALUE(MID(tblMatriculas[[#This Row],[Clases]],FIND("/",tblMatriculas[[#This Row],[Clases]])+1,5)),"")</f>
        <v>30</v>
      </c>
      <c r="N17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0" s="14">
        <f>IF(OR(tblMatriculas[[#This Row],[Estado]]&lt;&gt;"activa",tblMatriculas[[#This Row],[Clases dictadas]]=""),"",MAX(0,tblMatriculas[[#This Row],[Clases dictadas]]-tblMatriculas[[#This Row],[Asistidas]]))</f>
        <v>1</v>
      </c>
      <c r="P1760" s="1">
        <f>IF(OR(tblMatriculas[[#This Row],[Estado]]&lt;&gt;"activa",tblMatriculas[[#This Row],[Asistidas]]=""),"",tblMatriculas[[#This Row],[Asistencia]])</f>
        <v>0.16699999999999998</v>
      </c>
      <c r="Q1760" t="b">
        <f>AND(tblMatriculas[[#This Row],[Estado]]="activa",ISNUMBER(tblMatriculas[[#This Row],[% asistencia]]),NOT(ISNUMBER(SEARCH(pPrueba,tblMatriculas[[#This Row],[Nombre]]))))</f>
        <v>1</v>
      </c>
      <c r="R17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0" s="23" t="str" cm="1">
        <f t="array" ref="S17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0" s="23" t="str" cm="1">
        <f t="array" ref="T17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0" s="14" t="str" cm="1">
        <f t="array" ref="U17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0" t="str" cm="1">
        <f t="array" ref="V17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0" t="str" cm="1">
        <f t="array" ref="W17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0" t="str">
        <f>IF(COUNTIFS('Base Estudiantes'!$C:$C,tblMatriculas[[#This Row],[Cédula]],'Base Estudiantes'!$I:$I,tblMatriculas[[#This Row],[Código]])&gt;0,"Sí","No")</f>
        <v>Sí</v>
      </c>
      <c r="Z1760" s="23" cm="1">
        <f t="array" ref="Z1760">_xlfn.XLOOKUP(tblMatriculas[[#This Row],[Cédula]]&amp;"|"&amp;tblMatriculas[[#This Row],[Código]],tblBase[Documento]&amp;"|"&amp;tblBase[Código grupo],tblBase[Fecha matrícula],"")</f>
        <v>46262</v>
      </c>
    </row>
    <row r="1761" spans="1:26" x14ac:dyDescent="0.2">
      <c r="A1761" t="s">
        <v>3676</v>
      </c>
      <c r="B1761" t="s">
        <v>3677</v>
      </c>
      <c r="C1761" t="s">
        <v>13</v>
      </c>
      <c r="D1761" t="s">
        <v>3626</v>
      </c>
      <c r="E1761" t="s">
        <v>3627</v>
      </c>
      <c r="F1761" t="s">
        <v>1453</v>
      </c>
      <c r="G1761" s="1">
        <v>0.2</v>
      </c>
      <c r="H1761" t="s">
        <v>232</v>
      </c>
      <c r="I1761" t="s">
        <v>3505</v>
      </c>
      <c r="J1761" t="s">
        <v>3242</v>
      </c>
      <c r="K1761" t="s">
        <v>24</v>
      </c>
      <c r="L1761" s="14">
        <f>IFERROR(VALUE(LEFT(tblMatriculas[[#This Row],[Clases]],FIND("/",tblMatriculas[[#This Row],[Clases]])-1)),"")</f>
        <v>6</v>
      </c>
      <c r="M1761" s="14">
        <f>IFERROR(VALUE(MID(tblMatriculas[[#This Row],[Clases]],FIND("/",tblMatriculas[[#This Row],[Clases]])+1,5)),"")</f>
        <v>30</v>
      </c>
      <c r="N17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1" s="14">
        <f>IF(OR(tblMatriculas[[#This Row],[Estado]]&lt;&gt;"activa",tblMatriculas[[#This Row],[Clases dictadas]]=""),"",MAX(0,tblMatriculas[[#This Row],[Clases dictadas]]-tblMatriculas[[#This Row],[Asistidas]]))</f>
        <v>0</v>
      </c>
      <c r="P1761" s="1">
        <f>IF(OR(tblMatriculas[[#This Row],[Estado]]&lt;&gt;"activa",tblMatriculas[[#This Row],[Asistidas]]=""),"",tblMatriculas[[#This Row],[Asistencia]])</f>
        <v>0.2</v>
      </c>
      <c r="Q1761" t="b">
        <f>AND(tblMatriculas[[#This Row],[Estado]]="activa",ISNUMBER(tblMatriculas[[#This Row],[% asistencia]]),NOT(ISNUMBER(SEARCH(pPrueba,tblMatriculas[[#This Row],[Nombre]]))))</f>
        <v>1</v>
      </c>
      <c r="R17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1" s="23" t="str" cm="1">
        <f t="array" ref="S17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1" s="23" t="str" cm="1">
        <f t="array" ref="T17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1" s="14" t="str" cm="1">
        <f t="array" ref="U17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1" t="str" cm="1">
        <f t="array" ref="V17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1" t="str" cm="1">
        <f t="array" ref="W17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1" t="str">
        <f>IF(COUNTIFS('Base Estudiantes'!$C:$C,tblMatriculas[[#This Row],[Cédula]],'Base Estudiantes'!$I:$I,tblMatriculas[[#This Row],[Código]])&gt;0,"Sí","No")</f>
        <v>Sí</v>
      </c>
      <c r="Z1761" s="23" cm="1">
        <f t="array" ref="Z1761">_xlfn.XLOOKUP(tblMatriculas[[#This Row],[Cédula]]&amp;"|"&amp;tblMatriculas[[#This Row],[Código]],tblBase[Documento]&amp;"|"&amp;tblBase[Código grupo],tblBase[Fecha matrícula],"")</f>
        <v>46262</v>
      </c>
    </row>
    <row r="1762" spans="1:26" x14ac:dyDescent="0.2">
      <c r="A1762" t="s">
        <v>3678</v>
      </c>
      <c r="B1762" t="s">
        <v>3679</v>
      </c>
      <c r="C1762" t="s">
        <v>13</v>
      </c>
      <c r="D1762" t="s">
        <v>3626</v>
      </c>
      <c r="E1762" t="s">
        <v>3627</v>
      </c>
      <c r="F1762" t="s">
        <v>1453</v>
      </c>
      <c r="G1762" s="1">
        <v>0.16699999999999998</v>
      </c>
      <c r="H1762" t="s">
        <v>229</v>
      </c>
      <c r="I1762" t="s">
        <v>3505</v>
      </c>
      <c r="J1762" t="s">
        <v>3242</v>
      </c>
      <c r="K1762" t="s">
        <v>24</v>
      </c>
      <c r="L1762" s="14">
        <f>IFERROR(VALUE(LEFT(tblMatriculas[[#This Row],[Clases]],FIND("/",tblMatriculas[[#This Row],[Clases]])-1)),"")</f>
        <v>5</v>
      </c>
      <c r="M1762" s="14">
        <f>IFERROR(VALUE(MID(tblMatriculas[[#This Row],[Clases]],FIND("/",tblMatriculas[[#This Row],[Clases]])+1,5)),"")</f>
        <v>30</v>
      </c>
      <c r="N17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2" s="14">
        <f>IF(OR(tblMatriculas[[#This Row],[Estado]]&lt;&gt;"activa",tblMatriculas[[#This Row],[Clases dictadas]]=""),"",MAX(0,tblMatriculas[[#This Row],[Clases dictadas]]-tblMatriculas[[#This Row],[Asistidas]]))</f>
        <v>1</v>
      </c>
      <c r="P1762" s="1">
        <f>IF(OR(tblMatriculas[[#This Row],[Estado]]&lt;&gt;"activa",tblMatriculas[[#This Row],[Asistidas]]=""),"",tblMatriculas[[#This Row],[Asistencia]])</f>
        <v>0.16699999999999998</v>
      </c>
      <c r="Q1762" t="b">
        <f>AND(tblMatriculas[[#This Row],[Estado]]="activa",ISNUMBER(tblMatriculas[[#This Row],[% asistencia]]),NOT(ISNUMBER(SEARCH(pPrueba,tblMatriculas[[#This Row],[Nombre]]))))</f>
        <v>1</v>
      </c>
      <c r="R17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2" s="23" t="str" cm="1">
        <f t="array" ref="S17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2" s="23" t="str" cm="1">
        <f t="array" ref="T17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2" s="14" t="str" cm="1">
        <f t="array" ref="U17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2" t="str" cm="1">
        <f t="array" ref="V17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2" t="str" cm="1">
        <f t="array" ref="W17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2" t="str">
        <f>IF(COUNTIFS('Base Estudiantes'!$C:$C,tblMatriculas[[#This Row],[Cédula]],'Base Estudiantes'!$I:$I,tblMatriculas[[#This Row],[Código]])&gt;0,"Sí","No")</f>
        <v>Sí</v>
      </c>
      <c r="Z1762" s="23" cm="1">
        <f t="array" ref="Z1762">_xlfn.XLOOKUP(tblMatriculas[[#This Row],[Cédula]]&amp;"|"&amp;tblMatriculas[[#This Row],[Código]],tblBase[Documento]&amp;"|"&amp;tblBase[Código grupo],tblBase[Fecha matrícula],"")</f>
        <v>46262</v>
      </c>
    </row>
    <row r="1763" spans="1:26" x14ac:dyDescent="0.2">
      <c r="A1763" t="s">
        <v>3680</v>
      </c>
      <c r="B1763" t="s">
        <v>3681</v>
      </c>
      <c r="C1763" t="s">
        <v>13</v>
      </c>
      <c r="D1763" t="s">
        <v>3626</v>
      </c>
      <c r="E1763" t="s">
        <v>3627</v>
      </c>
      <c r="F1763" t="s">
        <v>1453</v>
      </c>
      <c r="G1763" s="1">
        <v>0.16699999999999998</v>
      </c>
      <c r="H1763" t="s">
        <v>229</v>
      </c>
      <c r="I1763" t="s">
        <v>3505</v>
      </c>
      <c r="J1763" t="s">
        <v>3242</v>
      </c>
      <c r="K1763" t="s">
        <v>24</v>
      </c>
      <c r="L1763" s="14">
        <f>IFERROR(VALUE(LEFT(tblMatriculas[[#This Row],[Clases]],FIND("/",tblMatriculas[[#This Row],[Clases]])-1)),"")</f>
        <v>5</v>
      </c>
      <c r="M1763" s="14">
        <f>IFERROR(VALUE(MID(tblMatriculas[[#This Row],[Clases]],FIND("/",tblMatriculas[[#This Row],[Clases]])+1,5)),"")</f>
        <v>30</v>
      </c>
      <c r="N17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3" s="14">
        <f>IF(OR(tblMatriculas[[#This Row],[Estado]]&lt;&gt;"activa",tblMatriculas[[#This Row],[Clases dictadas]]=""),"",MAX(0,tblMatriculas[[#This Row],[Clases dictadas]]-tblMatriculas[[#This Row],[Asistidas]]))</f>
        <v>1</v>
      </c>
      <c r="P1763" s="1">
        <f>IF(OR(tblMatriculas[[#This Row],[Estado]]&lt;&gt;"activa",tblMatriculas[[#This Row],[Asistidas]]=""),"",tblMatriculas[[#This Row],[Asistencia]])</f>
        <v>0.16699999999999998</v>
      </c>
      <c r="Q1763" t="b">
        <f>AND(tblMatriculas[[#This Row],[Estado]]="activa",ISNUMBER(tblMatriculas[[#This Row],[% asistencia]]),NOT(ISNUMBER(SEARCH(pPrueba,tblMatriculas[[#This Row],[Nombre]]))))</f>
        <v>1</v>
      </c>
      <c r="R17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3" s="23" t="str" cm="1">
        <f t="array" ref="S17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3" s="23" t="str" cm="1">
        <f t="array" ref="T17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3" s="14" t="str" cm="1">
        <f t="array" ref="U17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3" t="str" cm="1">
        <f t="array" ref="V17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3" t="str" cm="1">
        <f t="array" ref="W17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3" t="str">
        <f>IF(COUNTIFS('Base Estudiantes'!$C:$C,tblMatriculas[[#This Row],[Cédula]],'Base Estudiantes'!$I:$I,tblMatriculas[[#This Row],[Código]])&gt;0,"Sí","No")</f>
        <v>Sí</v>
      </c>
      <c r="Z1763" s="23" cm="1">
        <f t="array" ref="Z1763">_xlfn.XLOOKUP(tblMatriculas[[#This Row],[Cédula]]&amp;"|"&amp;tblMatriculas[[#This Row],[Código]],tblBase[Documento]&amp;"|"&amp;tblBase[Código grupo],tblBase[Fecha matrícula],"")</f>
        <v>46262</v>
      </c>
    </row>
    <row r="1764" spans="1:26" x14ac:dyDescent="0.2">
      <c r="A1764" t="s">
        <v>3682</v>
      </c>
      <c r="B1764" t="s">
        <v>3683</v>
      </c>
      <c r="C1764" t="s">
        <v>13</v>
      </c>
      <c r="D1764" t="s">
        <v>3626</v>
      </c>
      <c r="E1764" t="s">
        <v>3627</v>
      </c>
      <c r="F1764" t="s">
        <v>1453</v>
      </c>
      <c r="G1764" s="1">
        <v>0.2</v>
      </c>
      <c r="H1764" t="s">
        <v>232</v>
      </c>
      <c r="I1764" t="s">
        <v>3505</v>
      </c>
      <c r="J1764" t="s">
        <v>3242</v>
      </c>
      <c r="K1764" t="s">
        <v>3684</v>
      </c>
      <c r="L1764" s="14">
        <f>IFERROR(VALUE(LEFT(tblMatriculas[[#This Row],[Clases]],FIND("/",tblMatriculas[[#This Row],[Clases]])-1)),"")</f>
        <v>6</v>
      </c>
      <c r="M1764" s="14">
        <f>IFERROR(VALUE(MID(tblMatriculas[[#This Row],[Clases]],FIND("/",tblMatriculas[[#This Row],[Clases]])+1,5)),"")</f>
        <v>30</v>
      </c>
      <c r="N17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4" s="14">
        <f>IF(OR(tblMatriculas[[#This Row],[Estado]]&lt;&gt;"activa",tblMatriculas[[#This Row],[Clases dictadas]]=""),"",MAX(0,tblMatriculas[[#This Row],[Clases dictadas]]-tblMatriculas[[#This Row],[Asistidas]]))</f>
        <v>0</v>
      </c>
      <c r="P1764" s="1">
        <f>IF(OR(tblMatriculas[[#This Row],[Estado]]&lt;&gt;"activa",tblMatriculas[[#This Row],[Asistidas]]=""),"",tblMatriculas[[#This Row],[Asistencia]])</f>
        <v>0.2</v>
      </c>
      <c r="Q1764" t="b">
        <f>AND(tblMatriculas[[#This Row],[Estado]]="activa",ISNUMBER(tblMatriculas[[#This Row],[% asistencia]]),NOT(ISNUMBER(SEARCH(pPrueba,tblMatriculas[[#This Row],[Nombre]]))))</f>
        <v>1</v>
      </c>
      <c r="R17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4" s="23" t="str" cm="1">
        <f t="array" ref="S17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4" s="23" t="str" cm="1">
        <f t="array" ref="T17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4" s="14" t="str" cm="1">
        <f t="array" ref="U17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4" t="str" cm="1">
        <f t="array" ref="V17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4" t="str" cm="1">
        <f t="array" ref="W17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4" t="str">
        <f>IF(COUNTIFS('Base Estudiantes'!$C:$C,tblMatriculas[[#This Row],[Cédula]],'Base Estudiantes'!$I:$I,tblMatriculas[[#This Row],[Código]])&gt;0,"Sí","No")</f>
        <v>Sí</v>
      </c>
      <c r="Z1764" s="23" cm="1">
        <f t="array" ref="Z1764">_xlfn.XLOOKUP(tblMatriculas[[#This Row],[Cédula]]&amp;"|"&amp;tblMatriculas[[#This Row],[Código]],tblBase[Documento]&amp;"|"&amp;tblBase[Código grupo],tblBase[Fecha matrícula],"")</f>
        <v>46262</v>
      </c>
    </row>
    <row r="1765" spans="1:26" x14ac:dyDescent="0.2">
      <c r="A1765" t="s">
        <v>3685</v>
      </c>
      <c r="B1765" t="s">
        <v>3686</v>
      </c>
      <c r="C1765" t="s">
        <v>13</v>
      </c>
      <c r="D1765" t="s">
        <v>3626</v>
      </c>
      <c r="E1765" t="s">
        <v>3627</v>
      </c>
      <c r="F1765" t="s">
        <v>1453</v>
      </c>
      <c r="G1765" s="1">
        <v>0.2</v>
      </c>
      <c r="H1765" t="s">
        <v>232</v>
      </c>
      <c r="I1765" t="s">
        <v>3505</v>
      </c>
      <c r="J1765" t="s">
        <v>3242</v>
      </c>
      <c r="K1765" t="s">
        <v>3684</v>
      </c>
      <c r="L1765" s="14">
        <f>IFERROR(VALUE(LEFT(tblMatriculas[[#This Row],[Clases]],FIND("/",tblMatriculas[[#This Row],[Clases]])-1)),"")</f>
        <v>6</v>
      </c>
      <c r="M1765" s="14">
        <f>IFERROR(VALUE(MID(tblMatriculas[[#This Row],[Clases]],FIND("/",tblMatriculas[[#This Row],[Clases]])+1,5)),"")</f>
        <v>30</v>
      </c>
      <c r="N17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5" s="14">
        <f>IF(OR(tblMatriculas[[#This Row],[Estado]]&lt;&gt;"activa",tblMatriculas[[#This Row],[Clases dictadas]]=""),"",MAX(0,tblMatriculas[[#This Row],[Clases dictadas]]-tblMatriculas[[#This Row],[Asistidas]]))</f>
        <v>0</v>
      </c>
      <c r="P1765" s="1">
        <f>IF(OR(tblMatriculas[[#This Row],[Estado]]&lt;&gt;"activa",tblMatriculas[[#This Row],[Asistidas]]=""),"",tblMatriculas[[#This Row],[Asistencia]])</f>
        <v>0.2</v>
      </c>
      <c r="Q1765" t="b">
        <f>AND(tblMatriculas[[#This Row],[Estado]]="activa",ISNUMBER(tblMatriculas[[#This Row],[% asistencia]]),NOT(ISNUMBER(SEARCH(pPrueba,tblMatriculas[[#This Row],[Nombre]]))))</f>
        <v>1</v>
      </c>
      <c r="R17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5" s="23" t="str" cm="1">
        <f t="array" ref="S17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5" s="23" t="str" cm="1">
        <f t="array" ref="T17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5" s="14" t="str" cm="1">
        <f t="array" ref="U17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5" t="str" cm="1">
        <f t="array" ref="V17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5" t="str" cm="1">
        <f t="array" ref="W17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5" t="str">
        <f>IF(COUNTIFS('Base Estudiantes'!$C:$C,tblMatriculas[[#This Row],[Cédula]],'Base Estudiantes'!$I:$I,tblMatriculas[[#This Row],[Código]])&gt;0,"Sí","No")</f>
        <v>Sí</v>
      </c>
      <c r="Z1765" s="23" cm="1">
        <f t="array" ref="Z1765">_xlfn.XLOOKUP(tblMatriculas[[#This Row],[Cédula]]&amp;"|"&amp;tblMatriculas[[#This Row],[Código]],tblBase[Documento]&amp;"|"&amp;tblBase[Código grupo],tblBase[Fecha matrícula],"")</f>
        <v>46262</v>
      </c>
    </row>
    <row r="1766" spans="1:26" x14ac:dyDescent="0.2">
      <c r="A1766" t="s">
        <v>3687</v>
      </c>
      <c r="B1766" t="s">
        <v>3688</v>
      </c>
      <c r="C1766" t="s">
        <v>13</v>
      </c>
      <c r="D1766" t="s">
        <v>3626</v>
      </c>
      <c r="E1766" t="s">
        <v>3627</v>
      </c>
      <c r="F1766" t="s">
        <v>1453</v>
      </c>
      <c r="G1766" s="1">
        <v>0.2</v>
      </c>
      <c r="H1766" t="s">
        <v>232</v>
      </c>
      <c r="I1766" t="s">
        <v>3505</v>
      </c>
      <c r="J1766" t="s">
        <v>3242</v>
      </c>
      <c r="K1766" t="s">
        <v>3689</v>
      </c>
      <c r="L1766" s="14">
        <f>IFERROR(VALUE(LEFT(tblMatriculas[[#This Row],[Clases]],FIND("/",tblMatriculas[[#This Row],[Clases]])-1)),"")</f>
        <v>6</v>
      </c>
      <c r="M1766" s="14">
        <f>IFERROR(VALUE(MID(tblMatriculas[[#This Row],[Clases]],FIND("/",tblMatriculas[[#This Row],[Clases]])+1,5)),"")</f>
        <v>30</v>
      </c>
      <c r="N17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6" s="14">
        <f>IF(OR(tblMatriculas[[#This Row],[Estado]]&lt;&gt;"activa",tblMatriculas[[#This Row],[Clases dictadas]]=""),"",MAX(0,tblMatriculas[[#This Row],[Clases dictadas]]-tblMatriculas[[#This Row],[Asistidas]]))</f>
        <v>0</v>
      </c>
      <c r="P1766" s="1">
        <f>IF(OR(tblMatriculas[[#This Row],[Estado]]&lt;&gt;"activa",tblMatriculas[[#This Row],[Asistidas]]=""),"",tblMatriculas[[#This Row],[Asistencia]])</f>
        <v>0.2</v>
      </c>
      <c r="Q1766" t="b">
        <f>AND(tblMatriculas[[#This Row],[Estado]]="activa",ISNUMBER(tblMatriculas[[#This Row],[% asistencia]]),NOT(ISNUMBER(SEARCH(pPrueba,tblMatriculas[[#This Row],[Nombre]]))))</f>
        <v>1</v>
      </c>
      <c r="R17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6" s="23" t="str" cm="1">
        <f t="array" ref="S17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6" s="23" t="str" cm="1">
        <f t="array" ref="T17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6" s="14" t="str" cm="1">
        <f t="array" ref="U17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6" t="str" cm="1">
        <f t="array" ref="V17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6" t="str" cm="1">
        <f t="array" ref="W17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6" t="str">
        <f>IF(COUNTIFS('Base Estudiantes'!$C:$C,tblMatriculas[[#This Row],[Cédula]],'Base Estudiantes'!$I:$I,tblMatriculas[[#This Row],[Código]])&gt;0,"Sí","No")</f>
        <v>Sí</v>
      </c>
      <c r="Z1766" s="23" cm="1">
        <f t="array" ref="Z1766">_xlfn.XLOOKUP(tblMatriculas[[#This Row],[Cédula]]&amp;"|"&amp;tblMatriculas[[#This Row],[Código]],tblBase[Documento]&amp;"|"&amp;tblBase[Código grupo],tblBase[Fecha matrícula],"")</f>
        <v>46262</v>
      </c>
    </row>
    <row r="1767" spans="1:26" x14ac:dyDescent="0.2">
      <c r="A1767" t="s">
        <v>3690</v>
      </c>
      <c r="B1767" t="s">
        <v>3691</v>
      </c>
      <c r="C1767" t="s">
        <v>13</v>
      </c>
      <c r="D1767" t="s">
        <v>3626</v>
      </c>
      <c r="E1767" t="s">
        <v>3627</v>
      </c>
      <c r="F1767" t="s">
        <v>1453</v>
      </c>
      <c r="G1767" s="1">
        <v>0</v>
      </c>
      <c r="H1767" t="s">
        <v>254</v>
      </c>
      <c r="I1767" t="s">
        <v>3505</v>
      </c>
      <c r="J1767" t="s">
        <v>3242</v>
      </c>
      <c r="K1767" t="s">
        <v>24</v>
      </c>
      <c r="L1767" s="14">
        <f>IFERROR(VALUE(LEFT(tblMatriculas[[#This Row],[Clases]],FIND("/",tblMatriculas[[#This Row],[Clases]])-1)),"")</f>
        <v>0</v>
      </c>
      <c r="M1767" s="14">
        <f>IFERROR(VALUE(MID(tblMatriculas[[#This Row],[Clases]],FIND("/",tblMatriculas[[#This Row],[Clases]])+1,5)),"")</f>
        <v>30</v>
      </c>
      <c r="N17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7" s="14">
        <f>IF(OR(tblMatriculas[[#This Row],[Estado]]&lt;&gt;"activa",tblMatriculas[[#This Row],[Clases dictadas]]=""),"",MAX(0,tblMatriculas[[#This Row],[Clases dictadas]]-tblMatriculas[[#This Row],[Asistidas]]))</f>
        <v>6</v>
      </c>
      <c r="P1767" s="1">
        <f>IF(OR(tblMatriculas[[#This Row],[Estado]]&lt;&gt;"activa",tblMatriculas[[#This Row],[Asistidas]]=""),"",tblMatriculas[[#This Row],[Asistencia]])</f>
        <v>0</v>
      </c>
      <c r="Q1767" t="b">
        <f>AND(tblMatriculas[[#This Row],[Estado]]="activa",ISNUMBER(tblMatriculas[[#This Row],[% asistencia]]),NOT(ISNUMBER(SEARCH(pPrueba,tblMatriculas[[#This Row],[Nombre]]))))</f>
        <v>1</v>
      </c>
      <c r="R17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767" s="23" t="str" cm="1">
        <f t="array" ref="S17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7" s="23" t="str" cm="1">
        <f t="array" ref="T17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7" s="14" t="str" cm="1">
        <f t="array" ref="U17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7" t="str" cm="1">
        <f t="array" ref="V17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7" t="str" cm="1">
        <f t="array" ref="W17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7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767" t="str">
        <f>IF(COUNTIFS('Base Estudiantes'!$C:$C,tblMatriculas[[#This Row],[Cédula]],'Base Estudiantes'!$I:$I,tblMatriculas[[#This Row],[Código]])&gt;0,"Sí","No")</f>
        <v>Sí</v>
      </c>
      <c r="Z1767" s="23" cm="1">
        <f t="array" ref="Z1767">_xlfn.XLOOKUP(tblMatriculas[[#This Row],[Cédula]]&amp;"|"&amp;tblMatriculas[[#This Row],[Código]],tblBase[Documento]&amp;"|"&amp;tblBase[Código grupo],tblBase[Fecha matrícula],"")</f>
        <v>46263</v>
      </c>
    </row>
    <row r="1768" spans="1:26" x14ac:dyDescent="0.2">
      <c r="A1768" t="s">
        <v>3692</v>
      </c>
      <c r="B1768" t="s">
        <v>3693</v>
      </c>
      <c r="C1768" t="s">
        <v>13</v>
      </c>
      <c r="D1768" t="s">
        <v>3626</v>
      </c>
      <c r="E1768" t="s">
        <v>3627</v>
      </c>
      <c r="F1768" t="s">
        <v>1453</v>
      </c>
      <c r="G1768" s="1">
        <v>0.16699999999999998</v>
      </c>
      <c r="H1768" t="s">
        <v>229</v>
      </c>
      <c r="I1768" t="s">
        <v>3505</v>
      </c>
      <c r="J1768" t="s">
        <v>3242</v>
      </c>
      <c r="K1768" t="s">
        <v>24</v>
      </c>
      <c r="L1768" s="14">
        <f>IFERROR(VALUE(LEFT(tblMatriculas[[#This Row],[Clases]],FIND("/",tblMatriculas[[#This Row],[Clases]])-1)),"")</f>
        <v>5</v>
      </c>
      <c r="M1768" s="14">
        <f>IFERROR(VALUE(MID(tblMatriculas[[#This Row],[Clases]],FIND("/",tblMatriculas[[#This Row],[Clases]])+1,5)),"")</f>
        <v>30</v>
      </c>
      <c r="N17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8" s="14">
        <f>IF(OR(tblMatriculas[[#This Row],[Estado]]&lt;&gt;"activa",tblMatriculas[[#This Row],[Clases dictadas]]=""),"",MAX(0,tblMatriculas[[#This Row],[Clases dictadas]]-tblMatriculas[[#This Row],[Asistidas]]))</f>
        <v>1</v>
      </c>
      <c r="P1768" s="1">
        <f>IF(OR(tblMatriculas[[#This Row],[Estado]]&lt;&gt;"activa",tblMatriculas[[#This Row],[Asistidas]]=""),"",tblMatriculas[[#This Row],[Asistencia]])</f>
        <v>0.16699999999999998</v>
      </c>
      <c r="Q1768" t="b">
        <f>AND(tblMatriculas[[#This Row],[Estado]]="activa",ISNUMBER(tblMatriculas[[#This Row],[% asistencia]]),NOT(ISNUMBER(SEARCH(pPrueba,tblMatriculas[[#This Row],[Nombre]]))))</f>
        <v>1</v>
      </c>
      <c r="R17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68" s="23" t="str" cm="1">
        <f t="array" ref="S17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8" s="23" t="str" cm="1">
        <f t="array" ref="T17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8" s="14" t="str" cm="1">
        <f t="array" ref="U17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8" t="str" cm="1">
        <f t="array" ref="V17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8" t="str" cm="1">
        <f t="array" ref="W17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68" t="str">
        <f>IF(COUNTIFS('Base Estudiantes'!$C:$C,tblMatriculas[[#This Row],[Cédula]],'Base Estudiantes'!$I:$I,tblMatriculas[[#This Row],[Código]])&gt;0,"Sí","No")</f>
        <v>Sí</v>
      </c>
      <c r="Z1768" s="23" cm="1">
        <f t="array" ref="Z1768">_xlfn.XLOOKUP(tblMatriculas[[#This Row],[Cédula]]&amp;"|"&amp;tblMatriculas[[#This Row],[Código]],tblBase[Documento]&amp;"|"&amp;tblBase[Código grupo],tblBase[Fecha matrícula],"")</f>
        <v>46265</v>
      </c>
    </row>
    <row r="1769" spans="1:26" x14ac:dyDescent="0.2">
      <c r="A1769" t="s">
        <v>3694</v>
      </c>
      <c r="B1769" t="s">
        <v>3695</v>
      </c>
      <c r="C1769" t="s">
        <v>13</v>
      </c>
      <c r="D1769" t="s">
        <v>3626</v>
      </c>
      <c r="E1769" t="s">
        <v>3627</v>
      </c>
      <c r="F1769" t="s">
        <v>1453</v>
      </c>
      <c r="G1769" s="1">
        <v>3.3000000000000002E-2</v>
      </c>
      <c r="H1769" t="s">
        <v>225</v>
      </c>
      <c r="I1769" t="s">
        <v>3505</v>
      </c>
      <c r="J1769" t="s">
        <v>3242</v>
      </c>
      <c r="K1769" t="s">
        <v>3689</v>
      </c>
      <c r="L1769" s="14">
        <f>IFERROR(VALUE(LEFT(tblMatriculas[[#This Row],[Clases]],FIND("/",tblMatriculas[[#This Row],[Clases]])-1)),"")</f>
        <v>1</v>
      </c>
      <c r="M1769" s="14">
        <f>IFERROR(VALUE(MID(tblMatriculas[[#This Row],[Clases]],FIND("/",tblMatriculas[[#This Row],[Clases]])+1,5)),"")</f>
        <v>30</v>
      </c>
      <c r="N17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69" s="14">
        <f>IF(OR(tblMatriculas[[#This Row],[Estado]]&lt;&gt;"activa",tblMatriculas[[#This Row],[Clases dictadas]]=""),"",MAX(0,tblMatriculas[[#This Row],[Clases dictadas]]-tblMatriculas[[#This Row],[Asistidas]]))</f>
        <v>5</v>
      </c>
      <c r="P1769" s="1">
        <f>IF(OR(tblMatriculas[[#This Row],[Estado]]&lt;&gt;"activa",tblMatriculas[[#This Row],[Asistidas]]=""),"",tblMatriculas[[#This Row],[Asistencia]])</f>
        <v>3.3000000000000002E-2</v>
      </c>
      <c r="Q1769" t="b">
        <f>AND(tblMatriculas[[#This Row],[Estado]]="activa",ISNUMBER(tblMatriculas[[#This Row],[% asistencia]]),NOT(ISNUMBER(SEARCH(pPrueba,tblMatriculas[[#This Row],[Nombre]]))))</f>
        <v>1</v>
      </c>
      <c r="R17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69" s="23" t="str" cm="1">
        <f t="array" ref="S17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69" s="23" t="str" cm="1">
        <f t="array" ref="T17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69" s="14" t="str" cm="1">
        <f t="array" ref="U17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69" t="str" cm="1">
        <f t="array" ref="V17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69" t="str" cm="1">
        <f t="array" ref="W17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69" t="str">
        <f>IF(COUNTIFS('Base Estudiantes'!$C:$C,tblMatriculas[[#This Row],[Cédula]],'Base Estudiantes'!$I:$I,tblMatriculas[[#This Row],[Código]])&gt;0,"Sí","No")</f>
        <v>Sí</v>
      </c>
      <c r="Z1769" s="23" cm="1">
        <f t="array" ref="Z1769">_xlfn.XLOOKUP(tblMatriculas[[#This Row],[Cédula]]&amp;"|"&amp;tblMatriculas[[#This Row],[Código]],tblBase[Documento]&amp;"|"&amp;tblBase[Código grupo],tblBase[Fecha matrícula],"")</f>
        <v>46265</v>
      </c>
    </row>
    <row r="1770" spans="1:26" x14ac:dyDescent="0.2">
      <c r="A1770" t="s">
        <v>3230</v>
      </c>
      <c r="B1770" t="s">
        <v>3231</v>
      </c>
      <c r="C1770" t="s">
        <v>13</v>
      </c>
      <c r="D1770" t="s">
        <v>3626</v>
      </c>
      <c r="E1770" t="s">
        <v>3627</v>
      </c>
      <c r="F1770" t="s">
        <v>1453</v>
      </c>
      <c r="G1770" s="1">
        <v>3.3000000000000002E-2</v>
      </c>
      <c r="H1770" t="s">
        <v>225</v>
      </c>
      <c r="I1770" t="s">
        <v>3505</v>
      </c>
      <c r="J1770" t="s">
        <v>3242</v>
      </c>
      <c r="K1770" t="s">
        <v>24</v>
      </c>
      <c r="L1770" s="14">
        <f>IFERROR(VALUE(LEFT(tblMatriculas[[#This Row],[Clases]],FIND("/",tblMatriculas[[#This Row],[Clases]])-1)),"")</f>
        <v>1</v>
      </c>
      <c r="M1770" s="14">
        <f>IFERROR(VALUE(MID(tblMatriculas[[#This Row],[Clases]],FIND("/",tblMatriculas[[#This Row],[Clases]])+1,5)),"")</f>
        <v>30</v>
      </c>
      <c r="N17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770" s="14">
        <f>IF(OR(tblMatriculas[[#This Row],[Estado]]&lt;&gt;"activa",tblMatriculas[[#This Row],[Clases dictadas]]=""),"",MAX(0,tblMatriculas[[#This Row],[Clases dictadas]]-tblMatriculas[[#This Row],[Asistidas]]))</f>
        <v>5</v>
      </c>
      <c r="P1770" s="1">
        <f>IF(OR(tblMatriculas[[#This Row],[Estado]]&lt;&gt;"activa",tblMatriculas[[#This Row],[Asistidas]]=""),"",tblMatriculas[[#This Row],[Asistencia]])</f>
        <v>3.3000000000000002E-2</v>
      </c>
      <c r="Q1770" t="b">
        <f>AND(tblMatriculas[[#This Row],[Estado]]="activa",ISNUMBER(tblMatriculas[[#This Row],[% asistencia]]),NOT(ISNUMBER(SEARCH(pPrueba,tblMatriculas[[#This Row],[Nombre]]))))</f>
        <v>1</v>
      </c>
      <c r="R17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70" s="23" t="str" cm="1">
        <f t="array" ref="S17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0" s="23" t="str" cm="1">
        <f t="array" ref="T17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0" s="14" t="str" cm="1">
        <f t="array" ref="U17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0" t="str" cm="1">
        <f t="array" ref="V17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0" t="str" cm="1">
        <f t="array" ref="W17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70" t="str">
        <f>IF(COUNTIFS('Base Estudiantes'!$C:$C,tblMatriculas[[#This Row],[Cédula]],'Base Estudiantes'!$I:$I,tblMatriculas[[#This Row],[Código]])&gt;0,"Sí","No")</f>
        <v>Sí</v>
      </c>
      <c r="Z1770" s="23" cm="1">
        <f t="array" ref="Z1770">_xlfn.XLOOKUP(tblMatriculas[[#This Row],[Cédula]]&amp;"|"&amp;tblMatriculas[[#This Row],[Código]],tblBase[Documento]&amp;"|"&amp;tblBase[Código grupo],tblBase[Fecha matrícula],"")</f>
        <v>46273</v>
      </c>
    </row>
    <row r="1771" spans="1:26" x14ac:dyDescent="0.2">
      <c r="A1771" t="s">
        <v>3696</v>
      </c>
      <c r="B1771" t="s">
        <v>3697</v>
      </c>
      <c r="C1771" t="s">
        <v>13</v>
      </c>
      <c r="D1771" t="s">
        <v>3698</v>
      </c>
      <c r="E1771" t="s">
        <v>3699</v>
      </c>
      <c r="F1771" t="s">
        <v>111</v>
      </c>
      <c r="G1771" s="1">
        <v>0.16699999999999998</v>
      </c>
      <c r="H1771" t="s">
        <v>229</v>
      </c>
      <c r="I1771" t="s">
        <v>3505</v>
      </c>
      <c r="J1771" t="s">
        <v>3242</v>
      </c>
      <c r="K1771" t="s">
        <v>3507</v>
      </c>
      <c r="L1771" s="14">
        <f>IFERROR(VALUE(LEFT(tblMatriculas[[#This Row],[Clases]],FIND("/",tblMatriculas[[#This Row],[Clases]])-1)),"")</f>
        <v>5</v>
      </c>
      <c r="M1771" s="14">
        <f>IFERROR(VALUE(MID(tblMatriculas[[#This Row],[Clases]],FIND("/",tblMatriculas[[#This Row],[Clases]])+1,5)),"")</f>
        <v>30</v>
      </c>
      <c r="N17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1" s="14">
        <f>IF(OR(tblMatriculas[[#This Row],[Estado]]&lt;&gt;"activa",tblMatriculas[[#This Row],[Clases dictadas]]=""),"",MAX(0,tblMatriculas[[#This Row],[Clases dictadas]]-tblMatriculas[[#This Row],[Asistidas]]))</f>
        <v>0</v>
      </c>
      <c r="P1771" s="1">
        <f>IF(OR(tblMatriculas[[#This Row],[Estado]]&lt;&gt;"activa",tblMatriculas[[#This Row],[Asistidas]]=""),"",tblMatriculas[[#This Row],[Asistencia]])</f>
        <v>0.16699999999999998</v>
      </c>
      <c r="Q1771" t="b">
        <f>AND(tblMatriculas[[#This Row],[Estado]]="activa",ISNUMBER(tblMatriculas[[#This Row],[% asistencia]]),NOT(ISNUMBER(SEARCH(pPrueba,tblMatriculas[[#This Row],[Nombre]]))))</f>
        <v>1</v>
      </c>
      <c r="R17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1" s="23" t="str" cm="1">
        <f t="array" ref="S17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1" s="23" t="str" cm="1">
        <f t="array" ref="T17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1" s="14" t="str" cm="1">
        <f t="array" ref="U17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1" t="str" cm="1">
        <f t="array" ref="V17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1" t="str" cm="1">
        <f t="array" ref="W17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1" t="str">
        <f>IF(COUNTIFS('Base Estudiantes'!$C:$C,tblMatriculas[[#This Row],[Cédula]],'Base Estudiantes'!$I:$I,tblMatriculas[[#This Row],[Código]])&gt;0,"Sí","No")</f>
        <v>Sí</v>
      </c>
      <c r="Z1771" s="23" cm="1">
        <f t="array" ref="Z1771">_xlfn.XLOOKUP(tblMatriculas[[#This Row],[Cédula]]&amp;"|"&amp;tblMatriculas[[#This Row],[Código]],tblBase[Documento]&amp;"|"&amp;tblBase[Código grupo],tblBase[Fecha matrícula],"")</f>
        <v>46262</v>
      </c>
    </row>
    <row r="1772" spans="1:26" x14ac:dyDescent="0.2">
      <c r="A1772" t="s">
        <v>3700</v>
      </c>
      <c r="B1772" t="s">
        <v>3701</v>
      </c>
      <c r="C1772" t="s">
        <v>13</v>
      </c>
      <c r="D1772" t="s">
        <v>3698</v>
      </c>
      <c r="E1772" t="s">
        <v>3699</v>
      </c>
      <c r="F1772" t="s">
        <v>111</v>
      </c>
      <c r="G1772" s="1">
        <v>0.1</v>
      </c>
      <c r="H1772" t="s">
        <v>117</v>
      </c>
      <c r="I1772" t="s">
        <v>3505</v>
      </c>
      <c r="J1772" t="s">
        <v>3242</v>
      </c>
      <c r="K1772" t="s">
        <v>24</v>
      </c>
      <c r="L1772" s="14">
        <f>IFERROR(VALUE(LEFT(tblMatriculas[[#This Row],[Clases]],FIND("/",tblMatriculas[[#This Row],[Clases]])-1)),"")</f>
        <v>3</v>
      </c>
      <c r="M1772" s="14">
        <f>IFERROR(VALUE(MID(tblMatriculas[[#This Row],[Clases]],FIND("/",tblMatriculas[[#This Row],[Clases]])+1,5)),"")</f>
        <v>30</v>
      </c>
      <c r="N17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2" s="14">
        <f>IF(OR(tblMatriculas[[#This Row],[Estado]]&lt;&gt;"activa",tblMatriculas[[#This Row],[Clases dictadas]]=""),"",MAX(0,tblMatriculas[[#This Row],[Clases dictadas]]-tblMatriculas[[#This Row],[Asistidas]]))</f>
        <v>2</v>
      </c>
      <c r="P1772" s="1">
        <f>IF(OR(tblMatriculas[[#This Row],[Estado]]&lt;&gt;"activa",tblMatriculas[[#This Row],[Asistidas]]=""),"",tblMatriculas[[#This Row],[Asistencia]])</f>
        <v>0.1</v>
      </c>
      <c r="Q1772" t="b">
        <f>AND(tblMatriculas[[#This Row],[Estado]]="activa",ISNUMBER(tblMatriculas[[#This Row],[% asistencia]]),NOT(ISNUMBER(SEARCH(pPrueba,tblMatriculas[[#This Row],[Nombre]]))))</f>
        <v>1</v>
      </c>
      <c r="R17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2" s="23" t="str" cm="1">
        <f t="array" ref="S17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2" s="23" t="str" cm="1">
        <f t="array" ref="T17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2" s="14" t="str" cm="1">
        <f t="array" ref="U17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2" t="str" cm="1">
        <f t="array" ref="V17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2" t="str" cm="1">
        <f t="array" ref="W17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2" t="str">
        <f>IF(COUNTIFS('Base Estudiantes'!$C:$C,tblMatriculas[[#This Row],[Cédula]],'Base Estudiantes'!$I:$I,tblMatriculas[[#This Row],[Código]])&gt;0,"Sí","No")</f>
        <v>Sí</v>
      </c>
      <c r="Z1772" s="23" cm="1">
        <f t="array" ref="Z1772">_xlfn.XLOOKUP(tblMatriculas[[#This Row],[Cédula]]&amp;"|"&amp;tblMatriculas[[#This Row],[Código]],tblBase[Documento]&amp;"|"&amp;tblBase[Código grupo],tblBase[Fecha matrícula],"")</f>
        <v>46262</v>
      </c>
    </row>
    <row r="1773" spans="1:26" x14ac:dyDescent="0.2">
      <c r="A1773" t="s">
        <v>3702</v>
      </c>
      <c r="B1773" t="s">
        <v>3703</v>
      </c>
      <c r="C1773" t="s">
        <v>13</v>
      </c>
      <c r="D1773" t="s">
        <v>3698</v>
      </c>
      <c r="E1773" t="s">
        <v>3699</v>
      </c>
      <c r="F1773" t="s">
        <v>111</v>
      </c>
      <c r="G1773" s="1">
        <v>0.16699999999999998</v>
      </c>
      <c r="H1773" t="s">
        <v>229</v>
      </c>
      <c r="I1773" t="s">
        <v>3505</v>
      </c>
      <c r="J1773" t="s">
        <v>3242</v>
      </c>
      <c r="K1773" t="s">
        <v>24</v>
      </c>
      <c r="L1773" s="14">
        <f>IFERROR(VALUE(LEFT(tblMatriculas[[#This Row],[Clases]],FIND("/",tblMatriculas[[#This Row],[Clases]])-1)),"")</f>
        <v>5</v>
      </c>
      <c r="M1773" s="14">
        <f>IFERROR(VALUE(MID(tblMatriculas[[#This Row],[Clases]],FIND("/",tblMatriculas[[#This Row],[Clases]])+1,5)),"")</f>
        <v>30</v>
      </c>
      <c r="N17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3" s="14">
        <f>IF(OR(tblMatriculas[[#This Row],[Estado]]&lt;&gt;"activa",tblMatriculas[[#This Row],[Clases dictadas]]=""),"",MAX(0,tblMatriculas[[#This Row],[Clases dictadas]]-tblMatriculas[[#This Row],[Asistidas]]))</f>
        <v>0</v>
      </c>
      <c r="P1773" s="1">
        <f>IF(OR(tblMatriculas[[#This Row],[Estado]]&lt;&gt;"activa",tblMatriculas[[#This Row],[Asistidas]]=""),"",tblMatriculas[[#This Row],[Asistencia]])</f>
        <v>0.16699999999999998</v>
      </c>
      <c r="Q1773" t="b">
        <f>AND(tblMatriculas[[#This Row],[Estado]]="activa",ISNUMBER(tblMatriculas[[#This Row],[% asistencia]]),NOT(ISNUMBER(SEARCH(pPrueba,tblMatriculas[[#This Row],[Nombre]]))))</f>
        <v>1</v>
      </c>
      <c r="R17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3" s="23" t="str" cm="1">
        <f t="array" ref="S17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3" s="23" t="str" cm="1">
        <f t="array" ref="T17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3" s="14" t="str" cm="1">
        <f t="array" ref="U17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3" t="str" cm="1">
        <f t="array" ref="V17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3" t="str" cm="1">
        <f t="array" ref="W17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3" t="str">
        <f>IF(COUNTIFS('Base Estudiantes'!$C:$C,tblMatriculas[[#This Row],[Cédula]],'Base Estudiantes'!$I:$I,tblMatriculas[[#This Row],[Código]])&gt;0,"Sí","No")</f>
        <v>Sí</v>
      </c>
      <c r="Z1773" s="23" cm="1">
        <f t="array" ref="Z1773">_xlfn.XLOOKUP(tblMatriculas[[#This Row],[Cédula]]&amp;"|"&amp;tblMatriculas[[#This Row],[Código]],tblBase[Documento]&amp;"|"&amp;tblBase[Código grupo],tblBase[Fecha matrícula],"")</f>
        <v>46262</v>
      </c>
    </row>
    <row r="1774" spans="1:26" x14ac:dyDescent="0.2">
      <c r="A1774" t="s">
        <v>3704</v>
      </c>
      <c r="B1774" t="s">
        <v>3705</v>
      </c>
      <c r="C1774" t="s">
        <v>13</v>
      </c>
      <c r="D1774" t="s">
        <v>3698</v>
      </c>
      <c r="E1774" t="s">
        <v>3699</v>
      </c>
      <c r="F1774" t="s">
        <v>111</v>
      </c>
      <c r="G1774" s="1">
        <v>0.13300000000000001</v>
      </c>
      <c r="H1774" t="s">
        <v>112</v>
      </c>
      <c r="I1774" t="s">
        <v>3505</v>
      </c>
      <c r="J1774" t="s">
        <v>3242</v>
      </c>
      <c r="K1774" t="s">
        <v>24</v>
      </c>
      <c r="L1774" s="14">
        <f>IFERROR(VALUE(LEFT(tblMatriculas[[#This Row],[Clases]],FIND("/",tblMatriculas[[#This Row],[Clases]])-1)),"")</f>
        <v>4</v>
      </c>
      <c r="M1774" s="14">
        <f>IFERROR(VALUE(MID(tblMatriculas[[#This Row],[Clases]],FIND("/",tblMatriculas[[#This Row],[Clases]])+1,5)),"")</f>
        <v>30</v>
      </c>
      <c r="N17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4" s="14">
        <f>IF(OR(tblMatriculas[[#This Row],[Estado]]&lt;&gt;"activa",tblMatriculas[[#This Row],[Clases dictadas]]=""),"",MAX(0,tblMatriculas[[#This Row],[Clases dictadas]]-tblMatriculas[[#This Row],[Asistidas]]))</f>
        <v>1</v>
      </c>
      <c r="P1774" s="1">
        <f>IF(OR(tblMatriculas[[#This Row],[Estado]]&lt;&gt;"activa",tblMatriculas[[#This Row],[Asistidas]]=""),"",tblMatriculas[[#This Row],[Asistencia]])</f>
        <v>0.13300000000000001</v>
      </c>
      <c r="Q1774" t="b">
        <f>AND(tblMatriculas[[#This Row],[Estado]]="activa",ISNUMBER(tblMatriculas[[#This Row],[% asistencia]]),NOT(ISNUMBER(SEARCH(pPrueba,tblMatriculas[[#This Row],[Nombre]]))))</f>
        <v>1</v>
      </c>
      <c r="R17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4" s="23" t="str" cm="1">
        <f t="array" ref="S17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4" s="23" t="str" cm="1">
        <f t="array" ref="T17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4" s="14" t="str" cm="1">
        <f t="array" ref="U17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4" t="str" cm="1">
        <f t="array" ref="V17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4" t="str" cm="1">
        <f t="array" ref="W17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4" t="str">
        <f>IF(COUNTIFS('Base Estudiantes'!$C:$C,tblMatriculas[[#This Row],[Cédula]],'Base Estudiantes'!$I:$I,tblMatriculas[[#This Row],[Código]])&gt;0,"Sí","No")</f>
        <v>Sí</v>
      </c>
      <c r="Z1774" s="23" cm="1">
        <f t="array" ref="Z1774">_xlfn.XLOOKUP(tblMatriculas[[#This Row],[Cédula]]&amp;"|"&amp;tblMatriculas[[#This Row],[Código]],tblBase[Documento]&amp;"|"&amp;tblBase[Código grupo],tblBase[Fecha matrícula],"")</f>
        <v>46262</v>
      </c>
    </row>
    <row r="1775" spans="1:26" x14ac:dyDescent="0.2">
      <c r="A1775" t="s">
        <v>3706</v>
      </c>
      <c r="B1775" t="s">
        <v>3707</v>
      </c>
      <c r="C1775" t="s">
        <v>13</v>
      </c>
      <c r="D1775" t="s">
        <v>3698</v>
      </c>
      <c r="E1775" t="s">
        <v>3699</v>
      </c>
      <c r="F1775" t="s">
        <v>111</v>
      </c>
      <c r="G1775" s="1">
        <v>3.3000000000000002E-2</v>
      </c>
      <c r="H1775" t="s">
        <v>225</v>
      </c>
      <c r="I1775" t="s">
        <v>3505</v>
      </c>
      <c r="J1775" t="s">
        <v>3242</v>
      </c>
      <c r="K1775" t="s">
        <v>24</v>
      </c>
      <c r="L1775" s="14">
        <f>IFERROR(VALUE(LEFT(tblMatriculas[[#This Row],[Clases]],FIND("/",tblMatriculas[[#This Row],[Clases]])-1)),"")</f>
        <v>1</v>
      </c>
      <c r="M1775" s="14">
        <f>IFERROR(VALUE(MID(tblMatriculas[[#This Row],[Clases]],FIND("/",tblMatriculas[[#This Row],[Clases]])+1,5)),"")</f>
        <v>30</v>
      </c>
      <c r="N17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5" s="14">
        <f>IF(OR(tblMatriculas[[#This Row],[Estado]]&lt;&gt;"activa",tblMatriculas[[#This Row],[Clases dictadas]]=""),"",MAX(0,tblMatriculas[[#This Row],[Clases dictadas]]-tblMatriculas[[#This Row],[Asistidas]]))</f>
        <v>4</v>
      </c>
      <c r="P1775" s="1">
        <f>IF(OR(tblMatriculas[[#This Row],[Estado]]&lt;&gt;"activa",tblMatriculas[[#This Row],[Asistidas]]=""),"",tblMatriculas[[#This Row],[Asistencia]])</f>
        <v>3.3000000000000002E-2</v>
      </c>
      <c r="Q1775" t="b">
        <f>AND(tblMatriculas[[#This Row],[Estado]]="activa",ISNUMBER(tblMatriculas[[#This Row],[% asistencia]]),NOT(ISNUMBER(SEARCH(pPrueba,tblMatriculas[[#This Row],[Nombre]]))))</f>
        <v>1</v>
      </c>
      <c r="R17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775" s="23" t="str" cm="1">
        <f t="array" ref="S17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5" s="23" t="str" cm="1">
        <f t="array" ref="T17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5" s="14" t="str" cm="1">
        <f t="array" ref="U17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5" t="str" cm="1">
        <f t="array" ref="V17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5" t="str" cm="1">
        <f t="array" ref="W17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7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775" t="str">
        <f>IF(COUNTIFS('Base Estudiantes'!$C:$C,tblMatriculas[[#This Row],[Cédula]],'Base Estudiantes'!$I:$I,tblMatriculas[[#This Row],[Código]])&gt;0,"Sí","No")</f>
        <v>Sí</v>
      </c>
      <c r="Z1775" s="23" cm="1">
        <f t="array" ref="Z1775">_xlfn.XLOOKUP(tblMatriculas[[#This Row],[Cédula]]&amp;"|"&amp;tblMatriculas[[#This Row],[Código]],tblBase[Documento]&amp;"|"&amp;tblBase[Código grupo],tblBase[Fecha matrícula],"")</f>
        <v>46262</v>
      </c>
    </row>
    <row r="1776" spans="1:26" x14ac:dyDescent="0.2">
      <c r="A1776" t="s">
        <v>2161</v>
      </c>
      <c r="B1776" t="s">
        <v>2162</v>
      </c>
      <c r="C1776" t="s">
        <v>49</v>
      </c>
      <c r="D1776" t="s">
        <v>3698</v>
      </c>
      <c r="E1776" t="s">
        <v>3699</v>
      </c>
      <c r="F1776" t="s">
        <v>111</v>
      </c>
      <c r="G1776" s="1">
        <v>0</v>
      </c>
      <c r="H1776" t="s">
        <v>254</v>
      </c>
      <c r="I1776" t="s">
        <v>3505</v>
      </c>
      <c r="J1776" t="s">
        <v>3242</v>
      </c>
      <c r="K1776" t="s">
        <v>24</v>
      </c>
      <c r="L1776" s="14">
        <f>IFERROR(VALUE(LEFT(tblMatriculas[[#This Row],[Clases]],FIND("/",tblMatriculas[[#This Row],[Clases]])-1)),"")</f>
        <v>0</v>
      </c>
      <c r="M1776" s="14">
        <f>IFERROR(VALUE(MID(tblMatriculas[[#This Row],[Clases]],FIND("/",tblMatriculas[[#This Row],[Clases]])+1,5)),"")</f>
        <v>30</v>
      </c>
      <c r="N17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6" s="14" t="str">
        <f>IF(OR(tblMatriculas[[#This Row],[Estado]]&lt;&gt;"activa",tblMatriculas[[#This Row],[Clases dictadas]]=""),"",MAX(0,tblMatriculas[[#This Row],[Clases dictadas]]-tblMatriculas[[#This Row],[Asistidas]]))</f>
        <v/>
      </c>
      <c r="P1776" s="1" t="str">
        <f>IF(OR(tblMatriculas[[#This Row],[Estado]]&lt;&gt;"activa",tblMatriculas[[#This Row],[Asistidas]]=""),"",tblMatriculas[[#This Row],[Asistencia]])</f>
        <v/>
      </c>
      <c r="Q1776" t="b">
        <f>AND(tblMatriculas[[#This Row],[Estado]]="activa",ISNUMBER(tblMatriculas[[#This Row],[% asistencia]]),NOT(ISNUMBER(SEARCH(pPrueba,tblMatriculas[[#This Row],[Nombre]]))))</f>
        <v>0</v>
      </c>
      <c r="R17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776" s="23" t="str" cm="1">
        <f t="array" ref="S17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6" s="23" t="str" cm="1">
        <f t="array" ref="T17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6" s="14" t="str" cm="1">
        <f t="array" ref="U17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6" t="str" cm="1">
        <f t="array" ref="V17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6" t="str" cm="1">
        <f t="array" ref="W17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6" t="str">
        <f>IF(COUNTIFS('Base Estudiantes'!$C:$C,tblMatriculas[[#This Row],[Cédula]],'Base Estudiantes'!$I:$I,tblMatriculas[[#This Row],[Código]])&gt;0,"Sí","No")</f>
        <v>No</v>
      </c>
      <c r="Z1776" s="23" t="str" cm="1">
        <f t="array" ref="Z1776">_xlfn.XLOOKUP(tblMatriculas[[#This Row],[Cédula]]&amp;"|"&amp;tblMatriculas[[#This Row],[Código]],tblBase[Documento]&amp;"|"&amp;tblBase[Código grupo],tblBase[Fecha matrícula],"")</f>
        <v/>
      </c>
    </row>
    <row r="1777" spans="1:26" x14ac:dyDescent="0.2">
      <c r="A1777" t="s">
        <v>3708</v>
      </c>
      <c r="B1777" t="s">
        <v>3709</v>
      </c>
      <c r="C1777" t="s">
        <v>13</v>
      </c>
      <c r="D1777" t="s">
        <v>3698</v>
      </c>
      <c r="E1777" t="s">
        <v>3699</v>
      </c>
      <c r="F1777" t="s">
        <v>111</v>
      </c>
      <c r="G1777" s="1">
        <v>0.13300000000000001</v>
      </c>
      <c r="H1777" t="s">
        <v>112</v>
      </c>
      <c r="I1777" t="s">
        <v>3505</v>
      </c>
      <c r="J1777" t="s">
        <v>3242</v>
      </c>
      <c r="K1777" t="s">
        <v>24</v>
      </c>
      <c r="L1777" s="14">
        <f>IFERROR(VALUE(LEFT(tblMatriculas[[#This Row],[Clases]],FIND("/",tblMatriculas[[#This Row],[Clases]])-1)),"")</f>
        <v>4</v>
      </c>
      <c r="M1777" s="14">
        <f>IFERROR(VALUE(MID(tblMatriculas[[#This Row],[Clases]],FIND("/",tblMatriculas[[#This Row],[Clases]])+1,5)),"")</f>
        <v>30</v>
      </c>
      <c r="N17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7" s="14">
        <f>IF(OR(tblMatriculas[[#This Row],[Estado]]&lt;&gt;"activa",tblMatriculas[[#This Row],[Clases dictadas]]=""),"",MAX(0,tblMatriculas[[#This Row],[Clases dictadas]]-tblMatriculas[[#This Row],[Asistidas]]))</f>
        <v>1</v>
      </c>
      <c r="P1777" s="1">
        <f>IF(OR(tblMatriculas[[#This Row],[Estado]]&lt;&gt;"activa",tblMatriculas[[#This Row],[Asistidas]]=""),"",tblMatriculas[[#This Row],[Asistencia]])</f>
        <v>0.13300000000000001</v>
      </c>
      <c r="Q1777" t="b">
        <f>AND(tblMatriculas[[#This Row],[Estado]]="activa",ISNUMBER(tblMatriculas[[#This Row],[% asistencia]]),NOT(ISNUMBER(SEARCH(pPrueba,tblMatriculas[[#This Row],[Nombre]]))))</f>
        <v>1</v>
      </c>
      <c r="R17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7" s="23" t="str" cm="1">
        <f t="array" ref="S17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7" s="23" t="str" cm="1">
        <f t="array" ref="T17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7" s="14" t="str" cm="1">
        <f t="array" ref="U17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7" t="str" cm="1">
        <f t="array" ref="V17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7" t="str" cm="1">
        <f t="array" ref="W17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7" t="str">
        <f>IF(COUNTIFS('Base Estudiantes'!$C:$C,tblMatriculas[[#This Row],[Cédula]],'Base Estudiantes'!$I:$I,tblMatriculas[[#This Row],[Código]])&gt;0,"Sí","No")</f>
        <v>Sí</v>
      </c>
      <c r="Z1777" s="23" cm="1">
        <f t="array" ref="Z1777">_xlfn.XLOOKUP(tblMatriculas[[#This Row],[Cédula]]&amp;"|"&amp;tblMatriculas[[#This Row],[Código]],tblBase[Documento]&amp;"|"&amp;tblBase[Código grupo],tblBase[Fecha matrícula],"")</f>
        <v>46262</v>
      </c>
    </row>
    <row r="1778" spans="1:26" x14ac:dyDescent="0.2">
      <c r="A1778" t="s">
        <v>3710</v>
      </c>
      <c r="B1778" t="s">
        <v>3711</v>
      </c>
      <c r="C1778" t="s">
        <v>13</v>
      </c>
      <c r="D1778" t="s">
        <v>3698</v>
      </c>
      <c r="E1778" t="s">
        <v>3699</v>
      </c>
      <c r="F1778" t="s">
        <v>111</v>
      </c>
      <c r="G1778" s="1">
        <v>0.16699999999999998</v>
      </c>
      <c r="H1778" t="s">
        <v>229</v>
      </c>
      <c r="I1778" t="s">
        <v>3505</v>
      </c>
      <c r="J1778" t="s">
        <v>3242</v>
      </c>
      <c r="K1778" t="s">
        <v>24</v>
      </c>
      <c r="L1778" s="14">
        <f>IFERROR(VALUE(LEFT(tblMatriculas[[#This Row],[Clases]],FIND("/",tblMatriculas[[#This Row],[Clases]])-1)),"")</f>
        <v>5</v>
      </c>
      <c r="M1778" s="14">
        <f>IFERROR(VALUE(MID(tblMatriculas[[#This Row],[Clases]],FIND("/",tblMatriculas[[#This Row],[Clases]])+1,5)),"")</f>
        <v>30</v>
      </c>
      <c r="N17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8" s="14">
        <f>IF(OR(tblMatriculas[[#This Row],[Estado]]&lt;&gt;"activa",tblMatriculas[[#This Row],[Clases dictadas]]=""),"",MAX(0,tblMatriculas[[#This Row],[Clases dictadas]]-tblMatriculas[[#This Row],[Asistidas]]))</f>
        <v>0</v>
      </c>
      <c r="P1778" s="1">
        <f>IF(OR(tblMatriculas[[#This Row],[Estado]]&lt;&gt;"activa",tblMatriculas[[#This Row],[Asistidas]]=""),"",tblMatriculas[[#This Row],[Asistencia]])</f>
        <v>0.16699999999999998</v>
      </c>
      <c r="Q1778" t="b">
        <f>AND(tblMatriculas[[#This Row],[Estado]]="activa",ISNUMBER(tblMatriculas[[#This Row],[% asistencia]]),NOT(ISNUMBER(SEARCH(pPrueba,tblMatriculas[[#This Row],[Nombre]]))))</f>
        <v>1</v>
      </c>
      <c r="R17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8" s="23" t="str" cm="1">
        <f t="array" ref="S17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8" s="23" t="str" cm="1">
        <f t="array" ref="T17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8" s="14" t="str" cm="1">
        <f t="array" ref="U17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8" t="str" cm="1">
        <f t="array" ref="V17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8" t="str" cm="1">
        <f t="array" ref="W17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8" t="str">
        <f>IF(COUNTIFS('Base Estudiantes'!$C:$C,tblMatriculas[[#This Row],[Cédula]],'Base Estudiantes'!$I:$I,tblMatriculas[[#This Row],[Código]])&gt;0,"Sí","No")</f>
        <v>Sí</v>
      </c>
      <c r="Z1778" s="23" cm="1">
        <f t="array" ref="Z1778">_xlfn.XLOOKUP(tblMatriculas[[#This Row],[Cédula]]&amp;"|"&amp;tblMatriculas[[#This Row],[Código]],tblBase[Documento]&amp;"|"&amp;tblBase[Código grupo],tblBase[Fecha matrícula],"")</f>
        <v>46262</v>
      </c>
    </row>
    <row r="1779" spans="1:26" x14ac:dyDescent="0.2">
      <c r="A1779" t="s">
        <v>3712</v>
      </c>
      <c r="B1779" t="s">
        <v>3713</v>
      </c>
      <c r="C1779" t="s">
        <v>13</v>
      </c>
      <c r="D1779" t="s">
        <v>3698</v>
      </c>
      <c r="E1779" t="s">
        <v>3699</v>
      </c>
      <c r="F1779" t="s">
        <v>111</v>
      </c>
      <c r="G1779" s="1">
        <v>0.1</v>
      </c>
      <c r="H1779" t="s">
        <v>117</v>
      </c>
      <c r="I1779" t="s">
        <v>3505</v>
      </c>
      <c r="J1779" t="s">
        <v>3242</v>
      </c>
      <c r="K1779" t="s">
        <v>24</v>
      </c>
      <c r="L1779" s="14">
        <f>IFERROR(VALUE(LEFT(tblMatriculas[[#This Row],[Clases]],FIND("/",tblMatriculas[[#This Row],[Clases]])-1)),"")</f>
        <v>3</v>
      </c>
      <c r="M1779" s="14">
        <f>IFERROR(VALUE(MID(tblMatriculas[[#This Row],[Clases]],FIND("/",tblMatriculas[[#This Row],[Clases]])+1,5)),"")</f>
        <v>30</v>
      </c>
      <c r="N17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79" s="14">
        <f>IF(OR(tblMatriculas[[#This Row],[Estado]]&lt;&gt;"activa",tblMatriculas[[#This Row],[Clases dictadas]]=""),"",MAX(0,tblMatriculas[[#This Row],[Clases dictadas]]-tblMatriculas[[#This Row],[Asistidas]]))</f>
        <v>2</v>
      </c>
      <c r="P1779" s="1">
        <f>IF(OR(tblMatriculas[[#This Row],[Estado]]&lt;&gt;"activa",tblMatriculas[[#This Row],[Asistidas]]=""),"",tblMatriculas[[#This Row],[Asistencia]])</f>
        <v>0.1</v>
      </c>
      <c r="Q1779" t="b">
        <f>AND(tblMatriculas[[#This Row],[Estado]]="activa",ISNUMBER(tblMatriculas[[#This Row],[% asistencia]]),NOT(ISNUMBER(SEARCH(pPrueba,tblMatriculas[[#This Row],[Nombre]]))))</f>
        <v>1</v>
      </c>
      <c r="R17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79" s="23" t="str" cm="1">
        <f t="array" ref="S17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79" s="23" t="str" cm="1">
        <f t="array" ref="T17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79" s="14" t="str" cm="1">
        <f t="array" ref="U17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79" t="str" cm="1">
        <f t="array" ref="V17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79" t="str" cm="1">
        <f t="array" ref="W17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79" t="str">
        <f>IF(COUNTIFS('Base Estudiantes'!$C:$C,tblMatriculas[[#This Row],[Cédula]],'Base Estudiantes'!$I:$I,tblMatriculas[[#This Row],[Código]])&gt;0,"Sí","No")</f>
        <v>Sí</v>
      </c>
      <c r="Z1779" s="23" cm="1">
        <f t="array" ref="Z1779">_xlfn.XLOOKUP(tblMatriculas[[#This Row],[Cédula]]&amp;"|"&amp;tblMatriculas[[#This Row],[Código]],tblBase[Documento]&amp;"|"&amp;tblBase[Código grupo],tblBase[Fecha matrícula],"")</f>
        <v>46262</v>
      </c>
    </row>
    <row r="1780" spans="1:26" x14ac:dyDescent="0.2">
      <c r="A1780" t="s">
        <v>3714</v>
      </c>
      <c r="B1780" t="s">
        <v>3715</v>
      </c>
      <c r="C1780" t="s">
        <v>13</v>
      </c>
      <c r="D1780" t="s">
        <v>3698</v>
      </c>
      <c r="E1780" t="s">
        <v>3699</v>
      </c>
      <c r="F1780" t="s">
        <v>111</v>
      </c>
      <c r="G1780" s="1">
        <v>0.16699999999999998</v>
      </c>
      <c r="H1780" t="s">
        <v>229</v>
      </c>
      <c r="I1780" t="s">
        <v>3505</v>
      </c>
      <c r="J1780" t="s">
        <v>3242</v>
      </c>
      <c r="K1780" t="s">
        <v>24</v>
      </c>
      <c r="L1780" s="14">
        <f>IFERROR(VALUE(LEFT(tblMatriculas[[#This Row],[Clases]],FIND("/",tblMatriculas[[#This Row],[Clases]])-1)),"")</f>
        <v>5</v>
      </c>
      <c r="M1780" s="14">
        <f>IFERROR(VALUE(MID(tblMatriculas[[#This Row],[Clases]],FIND("/",tblMatriculas[[#This Row],[Clases]])+1,5)),"")</f>
        <v>30</v>
      </c>
      <c r="N17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0" s="14">
        <f>IF(OR(tblMatriculas[[#This Row],[Estado]]&lt;&gt;"activa",tblMatriculas[[#This Row],[Clases dictadas]]=""),"",MAX(0,tblMatriculas[[#This Row],[Clases dictadas]]-tblMatriculas[[#This Row],[Asistidas]]))</f>
        <v>0</v>
      </c>
      <c r="P1780" s="1">
        <f>IF(OR(tblMatriculas[[#This Row],[Estado]]&lt;&gt;"activa",tblMatriculas[[#This Row],[Asistidas]]=""),"",tblMatriculas[[#This Row],[Asistencia]])</f>
        <v>0.16699999999999998</v>
      </c>
      <c r="Q1780" t="b">
        <f>AND(tblMatriculas[[#This Row],[Estado]]="activa",ISNUMBER(tblMatriculas[[#This Row],[% asistencia]]),NOT(ISNUMBER(SEARCH(pPrueba,tblMatriculas[[#This Row],[Nombre]]))))</f>
        <v>1</v>
      </c>
      <c r="R17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0" s="23" t="str" cm="1">
        <f t="array" ref="S17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0" s="23" t="str" cm="1">
        <f t="array" ref="T17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0" s="14" t="str" cm="1">
        <f t="array" ref="U17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0" t="str" cm="1">
        <f t="array" ref="V17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0" t="str" cm="1">
        <f t="array" ref="W17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0" t="str">
        <f>IF(COUNTIFS('Base Estudiantes'!$C:$C,tblMatriculas[[#This Row],[Cédula]],'Base Estudiantes'!$I:$I,tblMatriculas[[#This Row],[Código]])&gt;0,"Sí","No")</f>
        <v>Sí</v>
      </c>
      <c r="Z1780" s="23" cm="1">
        <f t="array" ref="Z1780">_xlfn.XLOOKUP(tblMatriculas[[#This Row],[Cédula]]&amp;"|"&amp;tblMatriculas[[#This Row],[Código]],tblBase[Documento]&amp;"|"&amp;tblBase[Código grupo],tblBase[Fecha matrícula],"")</f>
        <v>46262</v>
      </c>
    </row>
    <row r="1781" spans="1:26" x14ac:dyDescent="0.2">
      <c r="A1781" t="s">
        <v>3716</v>
      </c>
      <c r="B1781" t="s">
        <v>3717</v>
      </c>
      <c r="C1781" t="s">
        <v>13</v>
      </c>
      <c r="D1781" t="s">
        <v>3698</v>
      </c>
      <c r="E1781" t="s">
        <v>3699</v>
      </c>
      <c r="F1781" t="s">
        <v>111</v>
      </c>
      <c r="G1781" s="1">
        <v>0.13300000000000001</v>
      </c>
      <c r="H1781" t="s">
        <v>112</v>
      </c>
      <c r="I1781" t="s">
        <v>3505</v>
      </c>
      <c r="J1781" t="s">
        <v>3242</v>
      </c>
      <c r="K1781" t="s">
        <v>24</v>
      </c>
      <c r="L1781" s="14">
        <f>IFERROR(VALUE(LEFT(tblMatriculas[[#This Row],[Clases]],FIND("/",tblMatriculas[[#This Row],[Clases]])-1)),"")</f>
        <v>4</v>
      </c>
      <c r="M1781" s="14">
        <f>IFERROR(VALUE(MID(tblMatriculas[[#This Row],[Clases]],FIND("/",tblMatriculas[[#This Row],[Clases]])+1,5)),"")</f>
        <v>30</v>
      </c>
      <c r="N17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1" s="14">
        <f>IF(OR(tblMatriculas[[#This Row],[Estado]]&lt;&gt;"activa",tblMatriculas[[#This Row],[Clases dictadas]]=""),"",MAX(0,tblMatriculas[[#This Row],[Clases dictadas]]-tblMatriculas[[#This Row],[Asistidas]]))</f>
        <v>1</v>
      </c>
      <c r="P1781" s="1">
        <f>IF(OR(tblMatriculas[[#This Row],[Estado]]&lt;&gt;"activa",tblMatriculas[[#This Row],[Asistidas]]=""),"",tblMatriculas[[#This Row],[Asistencia]])</f>
        <v>0.13300000000000001</v>
      </c>
      <c r="Q1781" t="b">
        <f>AND(tblMatriculas[[#This Row],[Estado]]="activa",ISNUMBER(tblMatriculas[[#This Row],[% asistencia]]),NOT(ISNUMBER(SEARCH(pPrueba,tblMatriculas[[#This Row],[Nombre]]))))</f>
        <v>1</v>
      </c>
      <c r="R17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1" s="23" t="str" cm="1">
        <f t="array" ref="S17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1" s="23" t="str" cm="1">
        <f t="array" ref="T17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1" s="14" t="str" cm="1">
        <f t="array" ref="U17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1" t="str" cm="1">
        <f t="array" ref="V17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1" t="str" cm="1">
        <f t="array" ref="W17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1" t="str">
        <f>IF(COUNTIFS('Base Estudiantes'!$C:$C,tblMatriculas[[#This Row],[Cédula]],'Base Estudiantes'!$I:$I,tblMatriculas[[#This Row],[Código]])&gt;0,"Sí","No")</f>
        <v>Sí</v>
      </c>
      <c r="Z1781" s="23" cm="1">
        <f t="array" ref="Z1781">_xlfn.XLOOKUP(tblMatriculas[[#This Row],[Cédula]]&amp;"|"&amp;tblMatriculas[[#This Row],[Código]],tblBase[Documento]&amp;"|"&amp;tblBase[Código grupo],tblBase[Fecha matrícula],"")</f>
        <v>46262</v>
      </c>
    </row>
    <row r="1782" spans="1:26" x14ac:dyDescent="0.2">
      <c r="A1782" t="s">
        <v>3718</v>
      </c>
      <c r="B1782" t="s">
        <v>3719</v>
      </c>
      <c r="C1782" t="s">
        <v>13</v>
      </c>
      <c r="D1782" t="s">
        <v>3698</v>
      </c>
      <c r="E1782" t="s">
        <v>3699</v>
      </c>
      <c r="F1782" t="s">
        <v>111</v>
      </c>
      <c r="G1782" s="1">
        <v>0.16699999999999998</v>
      </c>
      <c r="H1782" t="s">
        <v>229</v>
      </c>
      <c r="I1782" t="s">
        <v>3505</v>
      </c>
      <c r="J1782" t="s">
        <v>3242</v>
      </c>
      <c r="K1782" t="s">
        <v>24</v>
      </c>
      <c r="L1782" s="14">
        <f>IFERROR(VALUE(LEFT(tblMatriculas[[#This Row],[Clases]],FIND("/",tblMatriculas[[#This Row],[Clases]])-1)),"")</f>
        <v>5</v>
      </c>
      <c r="M1782" s="14">
        <f>IFERROR(VALUE(MID(tblMatriculas[[#This Row],[Clases]],FIND("/",tblMatriculas[[#This Row],[Clases]])+1,5)),"")</f>
        <v>30</v>
      </c>
      <c r="N17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2" s="14">
        <f>IF(OR(tblMatriculas[[#This Row],[Estado]]&lt;&gt;"activa",tblMatriculas[[#This Row],[Clases dictadas]]=""),"",MAX(0,tblMatriculas[[#This Row],[Clases dictadas]]-tblMatriculas[[#This Row],[Asistidas]]))</f>
        <v>0</v>
      </c>
      <c r="P1782" s="1">
        <f>IF(OR(tblMatriculas[[#This Row],[Estado]]&lt;&gt;"activa",tblMatriculas[[#This Row],[Asistidas]]=""),"",tblMatriculas[[#This Row],[Asistencia]])</f>
        <v>0.16699999999999998</v>
      </c>
      <c r="Q1782" t="b">
        <f>AND(tblMatriculas[[#This Row],[Estado]]="activa",ISNUMBER(tblMatriculas[[#This Row],[% asistencia]]),NOT(ISNUMBER(SEARCH(pPrueba,tblMatriculas[[#This Row],[Nombre]]))))</f>
        <v>1</v>
      </c>
      <c r="R17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2" s="23" t="str" cm="1">
        <f t="array" ref="S17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2" s="23" t="str" cm="1">
        <f t="array" ref="T17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2" s="14" t="str" cm="1">
        <f t="array" ref="U17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2" t="str" cm="1">
        <f t="array" ref="V17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2" t="str" cm="1">
        <f t="array" ref="W17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2" t="str">
        <f>IF(COUNTIFS('Base Estudiantes'!$C:$C,tblMatriculas[[#This Row],[Cédula]],'Base Estudiantes'!$I:$I,tblMatriculas[[#This Row],[Código]])&gt;0,"Sí","No")</f>
        <v>Sí</v>
      </c>
      <c r="Z1782" s="23" cm="1">
        <f t="array" ref="Z1782">_xlfn.XLOOKUP(tblMatriculas[[#This Row],[Cédula]]&amp;"|"&amp;tblMatriculas[[#This Row],[Código]],tblBase[Documento]&amp;"|"&amp;tblBase[Código grupo],tblBase[Fecha matrícula],"")</f>
        <v>46262</v>
      </c>
    </row>
    <row r="1783" spans="1:26" x14ac:dyDescent="0.2">
      <c r="A1783" t="s">
        <v>3720</v>
      </c>
      <c r="B1783" t="s">
        <v>3721</v>
      </c>
      <c r="C1783" t="s">
        <v>13</v>
      </c>
      <c r="D1783" t="s">
        <v>3698</v>
      </c>
      <c r="E1783" t="s">
        <v>3699</v>
      </c>
      <c r="F1783" t="s">
        <v>111</v>
      </c>
      <c r="G1783" s="1">
        <v>0.13300000000000001</v>
      </c>
      <c r="H1783" t="s">
        <v>112</v>
      </c>
      <c r="I1783" t="s">
        <v>3505</v>
      </c>
      <c r="J1783" t="s">
        <v>3242</v>
      </c>
      <c r="K1783" t="s">
        <v>24</v>
      </c>
      <c r="L1783" s="14">
        <f>IFERROR(VALUE(LEFT(tblMatriculas[[#This Row],[Clases]],FIND("/",tblMatriculas[[#This Row],[Clases]])-1)),"")</f>
        <v>4</v>
      </c>
      <c r="M1783" s="14">
        <f>IFERROR(VALUE(MID(tblMatriculas[[#This Row],[Clases]],FIND("/",tblMatriculas[[#This Row],[Clases]])+1,5)),"")</f>
        <v>30</v>
      </c>
      <c r="N17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3" s="14">
        <f>IF(OR(tblMatriculas[[#This Row],[Estado]]&lt;&gt;"activa",tblMatriculas[[#This Row],[Clases dictadas]]=""),"",MAX(0,tblMatriculas[[#This Row],[Clases dictadas]]-tblMatriculas[[#This Row],[Asistidas]]))</f>
        <v>1</v>
      </c>
      <c r="P1783" s="1">
        <f>IF(OR(tblMatriculas[[#This Row],[Estado]]&lt;&gt;"activa",tblMatriculas[[#This Row],[Asistidas]]=""),"",tblMatriculas[[#This Row],[Asistencia]])</f>
        <v>0.13300000000000001</v>
      </c>
      <c r="Q1783" t="b">
        <f>AND(tblMatriculas[[#This Row],[Estado]]="activa",ISNUMBER(tblMatriculas[[#This Row],[% asistencia]]),NOT(ISNUMBER(SEARCH(pPrueba,tblMatriculas[[#This Row],[Nombre]]))))</f>
        <v>1</v>
      </c>
      <c r="R17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3" s="23" t="str" cm="1">
        <f t="array" ref="S17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3" s="23" t="str" cm="1">
        <f t="array" ref="T17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3" s="14" t="str" cm="1">
        <f t="array" ref="U17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3" t="str" cm="1">
        <f t="array" ref="V17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3" t="str" cm="1">
        <f t="array" ref="W17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3" t="str">
        <f>IF(COUNTIFS('Base Estudiantes'!$C:$C,tblMatriculas[[#This Row],[Cédula]],'Base Estudiantes'!$I:$I,tblMatriculas[[#This Row],[Código]])&gt;0,"Sí","No")</f>
        <v>Sí</v>
      </c>
      <c r="Z1783" s="23" cm="1">
        <f t="array" ref="Z1783">_xlfn.XLOOKUP(tblMatriculas[[#This Row],[Cédula]]&amp;"|"&amp;tblMatriculas[[#This Row],[Código]],tblBase[Documento]&amp;"|"&amp;tblBase[Código grupo],tblBase[Fecha matrícula],"")</f>
        <v>46262</v>
      </c>
    </row>
    <row r="1784" spans="1:26" x14ac:dyDescent="0.2">
      <c r="A1784" t="s">
        <v>3722</v>
      </c>
      <c r="B1784" t="s">
        <v>3723</v>
      </c>
      <c r="C1784" t="s">
        <v>13</v>
      </c>
      <c r="D1784" t="s">
        <v>3698</v>
      </c>
      <c r="E1784" t="s">
        <v>3699</v>
      </c>
      <c r="F1784" t="s">
        <v>111</v>
      </c>
      <c r="G1784" s="1">
        <v>0.1</v>
      </c>
      <c r="H1784" t="s">
        <v>117</v>
      </c>
      <c r="I1784" t="s">
        <v>3505</v>
      </c>
      <c r="J1784" t="s">
        <v>3242</v>
      </c>
      <c r="K1784" t="s">
        <v>24</v>
      </c>
      <c r="L1784" s="14">
        <f>IFERROR(VALUE(LEFT(tblMatriculas[[#This Row],[Clases]],FIND("/",tblMatriculas[[#This Row],[Clases]])-1)),"")</f>
        <v>3</v>
      </c>
      <c r="M1784" s="14">
        <f>IFERROR(VALUE(MID(tblMatriculas[[#This Row],[Clases]],FIND("/",tblMatriculas[[#This Row],[Clases]])+1,5)),"")</f>
        <v>30</v>
      </c>
      <c r="N17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4" s="14">
        <f>IF(OR(tblMatriculas[[#This Row],[Estado]]&lt;&gt;"activa",tblMatriculas[[#This Row],[Clases dictadas]]=""),"",MAX(0,tblMatriculas[[#This Row],[Clases dictadas]]-tblMatriculas[[#This Row],[Asistidas]]))</f>
        <v>2</v>
      </c>
      <c r="P1784" s="1">
        <f>IF(OR(tblMatriculas[[#This Row],[Estado]]&lt;&gt;"activa",tblMatriculas[[#This Row],[Asistidas]]=""),"",tblMatriculas[[#This Row],[Asistencia]])</f>
        <v>0.1</v>
      </c>
      <c r="Q1784" t="b">
        <f>AND(tblMatriculas[[#This Row],[Estado]]="activa",ISNUMBER(tblMatriculas[[#This Row],[% asistencia]]),NOT(ISNUMBER(SEARCH(pPrueba,tblMatriculas[[#This Row],[Nombre]]))))</f>
        <v>1</v>
      </c>
      <c r="R17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4" s="23" t="str" cm="1">
        <f t="array" ref="S17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4" s="23" t="str" cm="1">
        <f t="array" ref="T17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4" s="14" t="str" cm="1">
        <f t="array" ref="U17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4" t="str" cm="1">
        <f t="array" ref="V17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4" t="str" cm="1">
        <f t="array" ref="W17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4" t="str">
        <f>IF(COUNTIFS('Base Estudiantes'!$C:$C,tblMatriculas[[#This Row],[Cédula]],'Base Estudiantes'!$I:$I,tblMatriculas[[#This Row],[Código]])&gt;0,"Sí","No")</f>
        <v>Sí</v>
      </c>
      <c r="Z1784" s="23" cm="1">
        <f t="array" ref="Z1784">_xlfn.XLOOKUP(tblMatriculas[[#This Row],[Cédula]]&amp;"|"&amp;tblMatriculas[[#This Row],[Código]],tblBase[Documento]&amp;"|"&amp;tblBase[Código grupo],tblBase[Fecha matrícula],"")</f>
        <v>46262</v>
      </c>
    </row>
    <row r="1785" spans="1:26" x14ac:dyDescent="0.2">
      <c r="A1785" t="s">
        <v>3724</v>
      </c>
      <c r="B1785" t="s">
        <v>3725</v>
      </c>
      <c r="C1785" t="s">
        <v>13</v>
      </c>
      <c r="D1785" t="s">
        <v>3698</v>
      </c>
      <c r="E1785" t="s">
        <v>3699</v>
      </c>
      <c r="F1785" t="s">
        <v>111</v>
      </c>
      <c r="G1785" s="1">
        <v>0</v>
      </c>
      <c r="H1785" t="s">
        <v>254</v>
      </c>
      <c r="I1785" t="s">
        <v>3505</v>
      </c>
      <c r="J1785" t="s">
        <v>3242</v>
      </c>
      <c r="K1785" t="s">
        <v>24</v>
      </c>
      <c r="L1785" s="14">
        <f>IFERROR(VALUE(LEFT(tblMatriculas[[#This Row],[Clases]],FIND("/",tblMatriculas[[#This Row],[Clases]])-1)),"")</f>
        <v>0</v>
      </c>
      <c r="M1785" s="14">
        <f>IFERROR(VALUE(MID(tblMatriculas[[#This Row],[Clases]],FIND("/",tblMatriculas[[#This Row],[Clases]])+1,5)),"")</f>
        <v>30</v>
      </c>
      <c r="N17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5" s="14">
        <f>IF(OR(tblMatriculas[[#This Row],[Estado]]&lt;&gt;"activa",tblMatriculas[[#This Row],[Clases dictadas]]=""),"",MAX(0,tblMatriculas[[#This Row],[Clases dictadas]]-tblMatriculas[[#This Row],[Asistidas]]))</f>
        <v>5</v>
      </c>
      <c r="P1785" s="1">
        <f>IF(OR(tblMatriculas[[#This Row],[Estado]]&lt;&gt;"activa",tblMatriculas[[#This Row],[Asistidas]]=""),"",tblMatriculas[[#This Row],[Asistencia]])</f>
        <v>0</v>
      </c>
      <c r="Q1785" t="b">
        <f>AND(tblMatriculas[[#This Row],[Estado]]="activa",ISNUMBER(tblMatriculas[[#This Row],[% asistencia]]),NOT(ISNUMBER(SEARCH(pPrueba,tblMatriculas[[#This Row],[Nombre]]))))</f>
        <v>1</v>
      </c>
      <c r="R17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785" s="23" t="str" cm="1">
        <f t="array" ref="S17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5" s="23" t="str" cm="1">
        <f t="array" ref="T17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5" s="14" t="str" cm="1">
        <f t="array" ref="U17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5" t="str" cm="1">
        <f t="array" ref="V17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5" t="str" cm="1">
        <f t="array" ref="W17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7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785" t="str">
        <f>IF(COUNTIFS('Base Estudiantes'!$C:$C,tblMatriculas[[#This Row],[Cédula]],'Base Estudiantes'!$I:$I,tblMatriculas[[#This Row],[Código]])&gt;0,"Sí","No")</f>
        <v>Sí</v>
      </c>
      <c r="Z1785" s="23" cm="1">
        <f t="array" ref="Z1785">_xlfn.XLOOKUP(tblMatriculas[[#This Row],[Cédula]]&amp;"|"&amp;tblMatriculas[[#This Row],[Código]],tblBase[Documento]&amp;"|"&amp;tblBase[Código grupo],tblBase[Fecha matrícula],"")</f>
        <v>46262</v>
      </c>
    </row>
    <row r="1786" spans="1:26" x14ac:dyDescent="0.2">
      <c r="A1786" t="s">
        <v>3726</v>
      </c>
      <c r="B1786" t="s">
        <v>3727</v>
      </c>
      <c r="C1786" t="s">
        <v>13</v>
      </c>
      <c r="D1786" t="s">
        <v>3698</v>
      </c>
      <c r="E1786" t="s">
        <v>3699</v>
      </c>
      <c r="F1786" t="s">
        <v>111</v>
      </c>
      <c r="G1786" s="1">
        <v>0.16699999999999998</v>
      </c>
      <c r="H1786" t="s">
        <v>229</v>
      </c>
      <c r="I1786" t="s">
        <v>3505</v>
      </c>
      <c r="J1786" t="s">
        <v>3242</v>
      </c>
      <c r="K1786" t="s">
        <v>24</v>
      </c>
      <c r="L1786" s="14">
        <f>IFERROR(VALUE(LEFT(tblMatriculas[[#This Row],[Clases]],FIND("/",tblMatriculas[[#This Row],[Clases]])-1)),"")</f>
        <v>5</v>
      </c>
      <c r="M1786" s="14">
        <f>IFERROR(VALUE(MID(tblMatriculas[[#This Row],[Clases]],FIND("/",tblMatriculas[[#This Row],[Clases]])+1,5)),"")</f>
        <v>30</v>
      </c>
      <c r="N17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6" s="14">
        <f>IF(OR(tblMatriculas[[#This Row],[Estado]]&lt;&gt;"activa",tblMatriculas[[#This Row],[Clases dictadas]]=""),"",MAX(0,tblMatriculas[[#This Row],[Clases dictadas]]-tblMatriculas[[#This Row],[Asistidas]]))</f>
        <v>0</v>
      </c>
      <c r="P1786" s="1">
        <f>IF(OR(tblMatriculas[[#This Row],[Estado]]&lt;&gt;"activa",tblMatriculas[[#This Row],[Asistidas]]=""),"",tblMatriculas[[#This Row],[Asistencia]])</f>
        <v>0.16699999999999998</v>
      </c>
      <c r="Q1786" t="b">
        <f>AND(tblMatriculas[[#This Row],[Estado]]="activa",ISNUMBER(tblMatriculas[[#This Row],[% asistencia]]),NOT(ISNUMBER(SEARCH(pPrueba,tblMatriculas[[#This Row],[Nombre]]))))</f>
        <v>1</v>
      </c>
      <c r="R17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6" s="23" t="str" cm="1">
        <f t="array" ref="S17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6" s="23" t="str" cm="1">
        <f t="array" ref="T17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6" s="14" t="str" cm="1">
        <f t="array" ref="U17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6" t="str" cm="1">
        <f t="array" ref="V17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6" t="str" cm="1">
        <f t="array" ref="W17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6" t="str">
        <f>IF(COUNTIFS('Base Estudiantes'!$C:$C,tblMatriculas[[#This Row],[Cédula]],'Base Estudiantes'!$I:$I,tblMatriculas[[#This Row],[Código]])&gt;0,"Sí","No")</f>
        <v>Sí</v>
      </c>
      <c r="Z1786" s="23" cm="1">
        <f t="array" ref="Z1786">_xlfn.XLOOKUP(tblMatriculas[[#This Row],[Cédula]]&amp;"|"&amp;tblMatriculas[[#This Row],[Código]],tblBase[Documento]&amp;"|"&amp;tblBase[Código grupo],tblBase[Fecha matrícula],"")</f>
        <v>46262</v>
      </c>
    </row>
    <row r="1787" spans="1:26" x14ac:dyDescent="0.2">
      <c r="A1787" t="s">
        <v>3728</v>
      </c>
      <c r="B1787" t="s">
        <v>3729</v>
      </c>
      <c r="C1787" t="s">
        <v>13</v>
      </c>
      <c r="D1787" t="s">
        <v>3698</v>
      </c>
      <c r="E1787" t="s">
        <v>3699</v>
      </c>
      <c r="F1787" t="s">
        <v>111</v>
      </c>
      <c r="G1787" s="1">
        <v>0.16699999999999998</v>
      </c>
      <c r="H1787" t="s">
        <v>229</v>
      </c>
      <c r="I1787" t="s">
        <v>3505</v>
      </c>
      <c r="J1787" t="s">
        <v>3242</v>
      </c>
      <c r="K1787" t="s">
        <v>24</v>
      </c>
      <c r="L1787" s="14">
        <f>IFERROR(VALUE(LEFT(tblMatriculas[[#This Row],[Clases]],FIND("/",tblMatriculas[[#This Row],[Clases]])-1)),"")</f>
        <v>5</v>
      </c>
      <c r="M1787" s="14">
        <f>IFERROR(VALUE(MID(tblMatriculas[[#This Row],[Clases]],FIND("/",tblMatriculas[[#This Row],[Clases]])+1,5)),"")</f>
        <v>30</v>
      </c>
      <c r="N17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7" s="14">
        <f>IF(OR(tblMatriculas[[#This Row],[Estado]]&lt;&gt;"activa",tblMatriculas[[#This Row],[Clases dictadas]]=""),"",MAX(0,tblMatriculas[[#This Row],[Clases dictadas]]-tblMatriculas[[#This Row],[Asistidas]]))</f>
        <v>0</v>
      </c>
      <c r="P1787" s="1">
        <f>IF(OR(tblMatriculas[[#This Row],[Estado]]&lt;&gt;"activa",tblMatriculas[[#This Row],[Asistidas]]=""),"",tblMatriculas[[#This Row],[Asistencia]])</f>
        <v>0.16699999999999998</v>
      </c>
      <c r="Q1787" t="b">
        <f>AND(tblMatriculas[[#This Row],[Estado]]="activa",ISNUMBER(tblMatriculas[[#This Row],[% asistencia]]),NOT(ISNUMBER(SEARCH(pPrueba,tblMatriculas[[#This Row],[Nombre]]))))</f>
        <v>1</v>
      </c>
      <c r="R17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7" s="23" t="str" cm="1">
        <f t="array" ref="S17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7" s="23" t="str" cm="1">
        <f t="array" ref="T17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7" s="14" t="str" cm="1">
        <f t="array" ref="U17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7" t="str" cm="1">
        <f t="array" ref="V17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7" t="str" cm="1">
        <f t="array" ref="W17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7" t="str">
        <f>IF(COUNTIFS('Base Estudiantes'!$C:$C,tblMatriculas[[#This Row],[Cédula]],'Base Estudiantes'!$I:$I,tblMatriculas[[#This Row],[Código]])&gt;0,"Sí","No")</f>
        <v>Sí</v>
      </c>
      <c r="Z1787" s="23" cm="1">
        <f t="array" ref="Z1787">_xlfn.XLOOKUP(tblMatriculas[[#This Row],[Cédula]]&amp;"|"&amp;tblMatriculas[[#This Row],[Código]],tblBase[Documento]&amp;"|"&amp;tblBase[Código grupo],tblBase[Fecha matrícula],"")</f>
        <v>46262</v>
      </c>
    </row>
    <row r="1788" spans="1:26" x14ac:dyDescent="0.2">
      <c r="A1788" t="s">
        <v>3730</v>
      </c>
      <c r="B1788" t="s">
        <v>3731</v>
      </c>
      <c r="C1788" t="s">
        <v>13</v>
      </c>
      <c r="D1788" t="s">
        <v>3698</v>
      </c>
      <c r="E1788" t="s">
        <v>3699</v>
      </c>
      <c r="F1788" t="s">
        <v>111</v>
      </c>
      <c r="G1788" s="1">
        <v>0.13300000000000001</v>
      </c>
      <c r="H1788" t="s">
        <v>112</v>
      </c>
      <c r="I1788" t="s">
        <v>3505</v>
      </c>
      <c r="J1788" t="s">
        <v>3242</v>
      </c>
      <c r="K1788" t="s">
        <v>24</v>
      </c>
      <c r="L1788" s="14">
        <f>IFERROR(VALUE(LEFT(tblMatriculas[[#This Row],[Clases]],FIND("/",tblMatriculas[[#This Row],[Clases]])-1)),"")</f>
        <v>4</v>
      </c>
      <c r="M1788" s="14">
        <f>IFERROR(VALUE(MID(tblMatriculas[[#This Row],[Clases]],FIND("/",tblMatriculas[[#This Row],[Clases]])+1,5)),"")</f>
        <v>30</v>
      </c>
      <c r="N17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8" s="14">
        <f>IF(OR(tblMatriculas[[#This Row],[Estado]]&lt;&gt;"activa",tblMatriculas[[#This Row],[Clases dictadas]]=""),"",MAX(0,tblMatriculas[[#This Row],[Clases dictadas]]-tblMatriculas[[#This Row],[Asistidas]]))</f>
        <v>1</v>
      </c>
      <c r="P1788" s="1">
        <f>IF(OR(tblMatriculas[[#This Row],[Estado]]&lt;&gt;"activa",tblMatriculas[[#This Row],[Asistidas]]=""),"",tblMatriculas[[#This Row],[Asistencia]])</f>
        <v>0.13300000000000001</v>
      </c>
      <c r="Q1788" t="b">
        <f>AND(tblMatriculas[[#This Row],[Estado]]="activa",ISNUMBER(tblMatriculas[[#This Row],[% asistencia]]),NOT(ISNUMBER(SEARCH(pPrueba,tblMatriculas[[#This Row],[Nombre]]))))</f>
        <v>1</v>
      </c>
      <c r="R17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8" s="23" t="str" cm="1">
        <f t="array" ref="S17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8" s="23" t="str" cm="1">
        <f t="array" ref="T17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8" s="14" t="str" cm="1">
        <f t="array" ref="U17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8" t="str" cm="1">
        <f t="array" ref="V17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8" t="str" cm="1">
        <f t="array" ref="W17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8" t="str">
        <f>IF(COUNTIFS('Base Estudiantes'!$C:$C,tblMatriculas[[#This Row],[Cédula]],'Base Estudiantes'!$I:$I,tblMatriculas[[#This Row],[Código]])&gt;0,"Sí","No")</f>
        <v>Sí</v>
      </c>
      <c r="Z1788" s="23" cm="1">
        <f t="array" ref="Z1788">_xlfn.XLOOKUP(tblMatriculas[[#This Row],[Cédula]]&amp;"|"&amp;tblMatriculas[[#This Row],[Código]],tblBase[Documento]&amp;"|"&amp;tblBase[Código grupo],tblBase[Fecha matrícula],"")</f>
        <v>46262</v>
      </c>
    </row>
    <row r="1789" spans="1:26" x14ac:dyDescent="0.2">
      <c r="A1789" t="s">
        <v>3732</v>
      </c>
      <c r="B1789" t="s">
        <v>3733</v>
      </c>
      <c r="C1789" t="s">
        <v>13</v>
      </c>
      <c r="D1789" t="s">
        <v>3698</v>
      </c>
      <c r="E1789" t="s">
        <v>3699</v>
      </c>
      <c r="F1789" t="s">
        <v>111</v>
      </c>
      <c r="G1789" s="1">
        <v>0.16699999999999998</v>
      </c>
      <c r="H1789" t="s">
        <v>229</v>
      </c>
      <c r="I1789" t="s">
        <v>3505</v>
      </c>
      <c r="J1789" t="s">
        <v>3242</v>
      </c>
      <c r="K1789" t="s">
        <v>24</v>
      </c>
      <c r="L1789" s="14">
        <f>IFERROR(VALUE(LEFT(tblMatriculas[[#This Row],[Clases]],FIND("/",tblMatriculas[[#This Row],[Clases]])-1)),"")</f>
        <v>5</v>
      </c>
      <c r="M1789" s="14">
        <f>IFERROR(VALUE(MID(tblMatriculas[[#This Row],[Clases]],FIND("/",tblMatriculas[[#This Row],[Clases]])+1,5)),"")</f>
        <v>30</v>
      </c>
      <c r="N17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89" s="14">
        <f>IF(OR(tblMatriculas[[#This Row],[Estado]]&lt;&gt;"activa",tblMatriculas[[#This Row],[Clases dictadas]]=""),"",MAX(0,tblMatriculas[[#This Row],[Clases dictadas]]-tblMatriculas[[#This Row],[Asistidas]]))</f>
        <v>0</v>
      </c>
      <c r="P1789" s="1">
        <f>IF(OR(tblMatriculas[[#This Row],[Estado]]&lt;&gt;"activa",tblMatriculas[[#This Row],[Asistidas]]=""),"",tblMatriculas[[#This Row],[Asistencia]])</f>
        <v>0.16699999999999998</v>
      </c>
      <c r="Q1789" t="b">
        <f>AND(tblMatriculas[[#This Row],[Estado]]="activa",ISNUMBER(tblMatriculas[[#This Row],[% asistencia]]),NOT(ISNUMBER(SEARCH(pPrueba,tblMatriculas[[#This Row],[Nombre]]))))</f>
        <v>1</v>
      </c>
      <c r="R17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89" s="23" t="str" cm="1">
        <f t="array" ref="S17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89" s="23" t="str" cm="1">
        <f t="array" ref="T17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89" s="14" t="str" cm="1">
        <f t="array" ref="U17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89" t="str" cm="1">
        <f t="array" ref="V17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89" t="str" cm="1">
        <f t="array" ref="W17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89" t="str">
        <f>IF(COUNTIFS('Base Estudiantes'!$C:$C,tblMatriculas[[#This Row],[Cédula]],'Base Estudiantes'!$I:$I,tblMatriculas[[#This Row],[Código]])&gt;0,"Sí","No")</f>
        <v>Sí</v>
      </c>
      <c r="Z1789" s="23" cm="1">
        <f t="array" ref="Z1789">_xlfn.XLOOKUP(tblMatriculas[[#This Row],[Cédula]]&amp;"|"&amp;tblMatriculas[[#This Row],[Código]],tblBase[Documento]&amp;"|"&amp;tblBase[Código grupo],tblBase[Fecha matrícula],"")</f>
        <v>46262</v>
      </c>
    </row>
    <row r="1790" spans="1:26" x14ac:dyDescent="0.2">
      <c r="A1790" t="s">
        <v>3734</v>
      </c>
      <c r="B1790" t="s">
        <v>3735</v>
      </c>
      <c r="C1790" t="s">
        <v>13</v>
      </c>
      <c r="D1790" t="s">
        <v>3698</v>
      </c>
      <c r="E1790" t="s">
        <v>3699</v>
      </c>
      <c r="F1790" t="s">
        <v>111</v>
      </c>
      <c r="G1790" s="1">
        <v>0.16699999999999998</v>
      </c>
      <c r="H1790" t="s">
        <v>229</v>
      </c>
      <c r="I1790" t="s">
        <v>3505</v>
      </c>
      <c r="J1790" t="s">
        <v>3242</v>
      </c>
      <c r="K1790" t="s">
        <v>24</v>
      </c>
      <c r="L1790" s="14">
        <f>IFERROR(VALUE(LEFT(tblMatriculas[[#This Row],[Clases]],FIND("/",tblMatriculas[[#This Row],[Clases]])-1)),"")</f>
        <v>5</v>
      </c>
      <c r="M1790" s="14">
        <f>IFERROR(VALUE(MID(tblMatriculas[[#This Row],[Clases]],FIND("/",tblMatriculas[[#This Row],[Clases]])+1,5)),"")</f>
        <v>30</v>
      </c>
      <c r="N17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0" s="14">
        <f>IF(OR(tblMatriculas[[#This Row],[Estado]]&lt;&gt;"activa",tblMatriculas[[#This Row],[Clases dictadas]]=""),"",MAX(0,tblMatriculas[[#This Row],[Clases dictadas]]-tblMatriculas[[#This Row],[Asistidas]]))</f>
        <v>0</v>
      </c>
      <c r="P1790" s="1">
        <f>IF(OR(tblMatriculas[[#This Row],[Estado]]&lt;&gt;"activa",tblMatriculas[[#This Row],[Asistidas]]=""),"",tblMatriculas[[#This Row],[Asistencia]])</f>
        <v>0.16699999999999998</v>
      </c>
      <c r="Q1790" t="b">
        <f>AND(tblMatriculas[[#This Row],[Estado]]="activa",ISNUMBER(tblMatriculas[[#This Row],[% asistencia]]),NOT(ISNUMBER(SEARCH(pPrueba,tblMatriculas[[#This Row],[Nombre]]))))</f>
        <v>1</v>
      </c>
      <c r="R17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0" s="23" t="str" cm="1">
        <f t="array" ref="S17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0" s="23" t="str" cm="1">
        <f t="array" ref="T17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0" s="14" t="str" cm="1">
        <f t="array" ref="U17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0" t="str" cm="1">
        <f t="array" ref="V17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0" t="str" cm="1">
        <f t="array" ref="W17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0" t="str">
        <f>IF(COUNTIFS('Base Estudiantes'!$C:$C,tblMatriculas[[#This Row],[Cédula]],'Base Estudiantes'!$I:$I,tblMatriculas[[#This Row],[Código]])&gt;0,"Sí","No")</f>
        <v>Sí</v>
      </c>
      <c r="Z1790" s="23" cm="1">
        <f t="array" ref="Z1790">_xlfn.XLOOKUP(tblMatriculas[[#This Row],[Cédula]]&amp;"|"&amp;tblMatriculas[[#This Row],[Código]],tblBase[Documento]&amp;"|"&amp;tblBase[Código grupo],tblBase[Fecha matrícula],"")</f>
        <v>46262</v>
      </c>
    </row>
    <row r="1791" spans="1:26" x14ac:dyDescent="0.2">
      <c r="A1791" t="s">
        <v>3736</v>
      </c>
      <c r="B1791" t="s">
        <v>3737</v>
      </c>
      <c r="C1791" t="s">
        <v>13</v>
      </c>
      <c r="D1791" t="s">
        <v>3698</v>
      </c>
      <c r="E1791" t="s">
        <v>3699</v>
      </c>
      <c r="F1791" t="s">
        <v>111</v>
      </c>
      <c r="G1791" s="1">
        <v>0.16699999999999998</v>
      </c>
      <c r="H1791" t="s">
        <v>229</v>
      </c>
      <c r="I1791" t="s">
        <v>3505</v>
      </c>
      <c r="J1791" t="s">
        <v>3242</v>
      </c>
      <c r="K1791" t="s">
        <v>24</v>
      </c>
      <c r="L1791" s="14">
        <f>IFERROR(VALUE(LEFT(tblMatriculas[[#This Row],[Clases]],FIND("/",tblMatriculas[[#This Row],[Clases]])-1)),"")</f>
        <v>5</v>
      </c>
      <c r="M1791" s="14">
        <f>IFERROR(VALUE(MID(tblMatriculas[[#This Row],[Clases]],FIND("/",tblMatriculas[[#This Row],[Clases]])+1,5)),"")</f>
        <v>30</v>
      </c>
      <c r="N17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1" s="14">
        <f>IF(OR(tblMatriculas[[#This Row],[Estado]]&lt;&gt;"activa",tblMatriculas[[#This Row],[Clases dictadas]]=""),"",MAX(0,tblMatriculas[[#This Row],[Clases dictadas]]-tblMatriculas[[#This Row],[Asistidas]]))</f>
        <v>0</v>
      </c>
      <c r="P1791" s="1">
        <f>IF(OR(tblMatriculas[[#This Row],[Estado]]&lt;&gt;"activa",tblMatriculas[[#This Row],[Asistidas]]=""),"",tblMatriculas[[#This Row],[Asistencia]])</f>
        <v>0.16699999999999998</v>
      </c>
      <c r="Q1791" t="b">
        <f>AND(tblMatriculas[[#This Row],[Estado]]="activa",ISNUMBER(tblMatriculas[[#This Row],[% asistencia]]),NOT(ISNUMBER(SEARCH(pPrueba,tblMatriculas[[#This Row],[Nombre]]))))</f>
        <v>1</v>
      </c>
      <c r="R17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1" s="23" t="str" cm="1">
        <f t="array" ref="S17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1" s="23" t="str" cm="1">
        <f t="array" ref="T17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1" s="14" t="str" cm="1">
        <f t="array" ref="U17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1" t="str" cm="1">
        <f t="array" ref="V17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1" t="str" cm="1">
        <f t="array" ref="W17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1" t="str">
        <f>IF(COUNTIFS('Base Estudiantes'!$C:$C,tblMatriculas[[#This Row],[Cédula]],'Base Estudiantes'!$I:$I,tblMatriculas[[#This Row],[Código]])&gt;0,"Sí","No")</f>
        <v>Sí</v>
      </c>
      <c r="Z1791" s="23" cm="1">
        <f t="array" ref="Z1791">_xlfn.XLOOKUP(tblMatriculas[[#This Row],[Cédula]]&amp;"|"&amp;tblMatriculas[[#This Row],[Código]],tblBase[Documento]&amp;"|"&amp;tblBase[Código grupo],tblBase[Fecha matrícula],"")</f>
        <v>46262</v>
      </c>
    </row>
    <row r="1792" spans="1:26" x14ac:dyDescent="0.2">
      <c r="A1792" t="s">
        <v>3738</v>
      </c>
      <c r="B1792" t="s">
        <v>3739</v>
      </c>
      <c r="C1792" t="s">
        <v>13</v>
      </c>
      <c r="D1792" t="s">
        <v>3698</v>
      </c>
      <c r="E1792" t="s">
        <v>3699</v>
      </c>
      <c r="F1792" t="s">
        <v>111</v>
      </c>
      <c r="G1792" s="1">
        <v>0.13300000000000001</v>
      </c>
      <c r="H1792" t="s">
        <v>112</v>
      </c>
      <c r="I1792" t="s">
        <v>3505</v>
      </c>
      <c r="J1792" t="s">
        <v>3242</v>
      </c>
      <c r="K1792" t="s">
        <v>24</v>
      </c>
      <c r="L1792" s="14">
        <f>IFERROR(VALUE(LEFT(tblMatriculas[[#This Row],[Clases]],FIND("/",tblMatriculas[[#This Row],[Clases]])-1)),"")</f>
        <v>4</v>
      </c>
      <c r="M1792" s="14">
        <f>IFERROR(VALUE(MID(tblMatriculas[[#This Row],[Clases]],FIND("/",tblMatriculas[[#This Row],[Clases]])+1,5)),"")</f>
        <v>30</v>
      </c>
      <c r="N17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2" s="14">
        <f>IF(OR(tblMatriculas[[#This Row],[Estado]]&lt;&gt;"activa",tblMatriculas[[#This Row],[Clases dictadas]]=""),"",MAX(0,tblMatriculas[[#This Row],[Clases dictadas]]-tblMatriculas[[#This Row],[Asistidas]]))</f>
        <v>1</v>
      </c>
      <c r="P1792" s="1">
        <f>IF(OR(tblMatriculas[[#This Row],[Estado]]&lt;&gt;"activa",tblMatriculas[[#This Row],[Asistidas]]=""),"",tblMatriculas[[#This Row],[Asistencia]])</f>
        <v>0.13300000000000001</v>
      </c>
      <c r="Q1792" t="b">
        <f>AND(tblMatriculas[[#This Row],[Estado]]="activa",ISNUMBER(tblMatriculas[[#This Row],[% asistencia]]),NOT(ISNUMBER(SEARCH(pPrueba,tblMatriculas[[#This Row],[Nombre]]))))</f>
        <v>1</v>
      </c>
      <c r="R17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2" s="23" t="str" cm="1">
        <f t="array" ref="S17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2" s="23" t="str" cm="1">
        <f t="array" ref="T17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2" s="14" t="str" cm="1">
        <f t="array" ref="U17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2" t="str" cm="1">
        <f t="array" ref="V17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2" t="str" cm="1">
        <f t="array" ref="W17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2" t="str">
        <f>IF(COUNTIFS('Base Estudiantes'!$C:$C,tblMatriculas[[#This Row],[Cédula]],'Base Estudiantes'!$I:$I,tblMatriculas[[#This Row],[Código]])&gt;0,"Sí","No")</f>
        <v>Sí</v>
      </c>
      <c r="Z1792" s="23" cm="1">
        <f t="array" ref="Z1792">_xlfn.XLOOKUP(tblMatriculas[[#This Row],[Cédula]]&amp;"|"&amp;tblMatriculas[[#This Row],[Código]],tblBase[Documento]&amp;"|"&amp;tblBase[Código grupo],tblBase[Fecha matrícula],"")</f>
        <v>46262</v>
      </c>
    </row>
    <row r="1793" spans="1:26" x14ac:dyDescent="0.2">
      <c r="A1793" t="s">
        <v>3740</v>
      </c>
      <c r="B1793" t="s">
        <v>3741</v>
      </c>
      <c r="C1793" t="s">
        <v>13</v>
      </c>
      <c r="D1793" t="s">
        <v>3698</v>
      </c>
      <c r="E1793" t="s">
        <v>3699</v>
      </c>
      <c r="F1793" t="s">
        <v>111</v>
      </c>
      <c r="G1793" s="1">
        <v>0.16699999999999998</v>
      </c>
      <c r="H1793" t="s">
        <v>229</v>
      </c>
      <c r="I1793" t="s">
        <v>3505</v>
      </c>
      <c r="J1793" t="s">
        <v>3242</v>
      </c>
      <c r="K1793" t="s">
        <v>24</v>
      </c>
      <c r="L1793" s="14">
        <f>IFERROR(VALUE(LEFT(tblMatriculas[[#This Row],[Clases]],FIND("/",tblMatriculas[[#This Row],[Clases]])-1)),"")</f>
        <v>5</v>
      </c>
      <c r="M1793" s="14">
        <f>IFERROR(VALUE(MID(tblMatriculas[[#This Row],[Clases]],FIND("/",tblMatriculas[[#This Row],[Clases]])+1,5)),"")</f>
        <v>30</v>
      </c>
      <c r="N17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3" s="14">
        <f>IF(OR(tblMatriculas[[#This Row],[Estado]]&lt;&gt;"activa",tblMatriculas[[#This Row],[Clases dictadas]]=""),"",MAX(0,tblMatriculas[[#This Row],[Clases dictadas]]-tblMatriculas[[#This Row],[Asistidas]]))</f>
        <v>0</v>
      </c>
      <c r="P1793" s="1">
        <f>IF(OR(tblMatriculas[[#This Row],[Estado]]&lt;&gt;"activa",tblMatriculas[[#This Row],[Asistidas]]=""),"",tblMatriculas[[#This Row],[Asistencia]])</f>
        <v>0.16699999999999998</v>
      </c>
      <c r="Q1793" t="b">
        <f>AND(tblMatriculas[[#This Row],[Estado]]="activa",ISNUMBER(tblMatriculas[[#This Row],[% asistencia]]),NOT(ISNUMBER(SEARCH(pPrueba,tblMatriculas[[#This Row],[Nombre]]))))</f>
        <v>1</v>
      </c>
      <c r="R17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3" s="23" t="str" cm="1">
        <f t="array" ref="S17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3" s="23" t="str" cm="1">
        <f t="array" ref="T17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3" s="14" t="str" cm="1">
        <f t="array" ref="U17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3" t="str" cm="1">
        <f t="array" ref="V17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3" t="str" cm="1">
        <f t="array" ref="W17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3" t="str">
        <f>IF(COUNTIFS('Base Estudiantes'!$C:$C,tblMatriculas[[#This Row],[Cédula]],'Base Estudiantes'!$I:$I,tblMatriculas[[#This Row],[Código]])&gt;0,"Sí","No")</f>
        <v>Sí</v>
      </c>
      <c r="Z1793" s="23" cm="1">
        <f t="array" ref="Z1793">_xlfn.XLOOKUP(tblMatriculas[[#This Row],[Cédula]]&amp;"|"&amp;tblMatriculas[[#This Row],[Código]],tblBase[Documento]&amp;"|"&amp;tblBase[Código grupo],tblBase[Fecha matrícula],"")</f>
        <v>46262</v>
      </c>
    </row>
    <row r="1794" spans="1:26" x14ac:dyDescent="0.2">
      <c r="A1794" t="s">
        <v>3742</v>
      </c>
      <c r="B1794" t="s">
        <v>3743</v>
      </c>
      <c r="C1794" t="s">
        <v>13</v>
      </c>
      <c r="D1794" t="s">
        <v>3698</v>
      </c>
      <c r="E1794" t="s">
        <v>3699</v>
      </c>
      <c r="F1794" t="s">
        <v>111</v>
      </c>
      <c r="G1794" s="1">
        <v>0.16699999999999998</v>
      </c>
      <c r="H1794" t="s">
        <v>229</v>
      </c>
      <c r="I1794" t="s">
        <v>3505</v>
      </c>
      <c r="J1794" t="s">
        <v>3242</v>
      </c>
      <c r="K1794" t="s">
        <v>24</v>
      </c>
      <c r="L1794" s="14">
        <f>IFERROR(VALUE(LEFT(tblMatriculas[[#This Row],[Clases]],FIND("/",tblMatriculas[[#This Row],[Clases]])-1)),"")</f>
        <v>5</v>
      </c>
      <c r="M1794" s="14">
        <f>IFERROR(VALUE(MID(tblMatriculas[[#This Row],[Clases]],FIND("/",tblMatriculas[[#This Row],[Clases]])+1,5)),"")</f>
        <v>30</v>
      </c>
      <c r="N17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4" s="14">
        <f>IF(OR(tblMatriculas[[#This Row],[Estado]]&lt;&gt;"activa",tblMatriculas[[#This Row],[Clases dictadas]]=""),"",MAX(0,tblMatriculas[[#This Row],[Clases dictadas]]-tblMatriculas[[#This Row],[Asistidas]]))</f>
        <v>0</v>
      </c>
      <c r="P1794" s="1">
        <f>IF(OR(tblMatriculas[[#This Row],[Estado]]&lt;&gt;"activa",tblMatriculas[[#This Row],[Asistidas]]=""),"",tblMatriculas[[#This Row],[Asistencia]])</f>
        <v>0.16699999999999998</v>
      </c>
      <c r="Q1794" t="b">
        <f>AND(tblMatriculas[[#This Row],[Estado]]="activa",ISNUMBER(tblMatriculas[[#This Row],[% asistencia]]),NOT(ISNUMBER(SEARCH(pPrueba,tblMatriculas[[#This Row],[Nombre]]))))</f>
        <v>1</v>
      </c>
      <c r="R17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4" s="23" t="str" cm="1">
        <f t="array" ref="S17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4" s="23" t="str" cm="1">
        <f t="array" ref="T17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4" s="14" t="str" cm="1">
        <f t="array" ref="U17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4" t="str" cm="1">
        <f t="array" ref="V17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4" t="str" cm="1">
        <f t="array" ref="W17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4" t="str">
        <f>IF(COUNTIFS('Base Estudiantes'!$C:$C,tblMatriculas[[#This Row],[Cédula]],'Base Estudiantes'!$I:$I,tblMatriculas[[#This Row],[Código]])&gt;0,"Sí","No")</f>
        <v>Sí</v>
      </c>
      <c r="Z1794" s="23" cm="1">
        <f t="array" ref="Z1794">_xlfn.XLOOKUP(tblMatriculas[[#This Row],[Cédula]]&amp;"|"&amp;tblMatriculas[[#This Row],[Código]],tblBase[Documento]&amp;"|"&amp;tblBase[Código grupo],tblBase[Fecha matrícula],"")</f>
        <v>46262</v>
      </c>
    </row>
    <row r="1795" spans="1:26" x14ac:dyDescent="0.2">
      <c r="A1795" t="s">
        <v>3744</v>
      </c>
      <c r="B1795" t="s">
        <v>3745</v>
      </c>
      <c r="C1795" t="s">
        <v>13</v>
      </c>
      <c r="D1795" t="s">
        <v>3698</v>
      </c>
      <c r="E1795" t="s">
        <v>3699</v>
      </c>
      <c r="F1795" t="s">
        <v>111</v>
      </c>
      <c r="G1795" s="1">
        <v>0.16699999999999998</v>
      </c>
      <c r="H1795" t="s">
        <v>229</v>
      </c>
      <c r="I1795" t="s">
        <v>3505</v>
      </c>
      <c r="J1795" t="s">
        <v>3242</v>
      </c>
      <c r="K1795" t="s">
        <v>24</v>
      </c>
      <c r="L1795" s="14">
        <f>IFERROR(VALUE(LEFT(tblMatriculas[[#This Row],[Clases]],FIND("/",tblMatriculas[[#This Row],[Clases]])-1)),"")</f>
        <v>5</v>
      </c>
      <c r="M1795" s="14">
        <f>IFERROR(VALUE(MID(tblMatriculas[[#This Row],[Clases]],FIND("/",tblMatriculas[[#This Row],[Clases]])+1,5)),"")</f>
        <v>30</v>
      </c>
      <c r="N17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5" s="14">
        <f>IF(OR(tblMatriculas[[#This Row],[Estado]]&lt;&gt;"activa",tblMatriculas[[#This Row],[Clases dictadas]]=""),"",MAX(0,tblMatriculas[[#This Row],[Clases dictadas]]-tblMatriculas[[#This Row],[Asistidas]]))</f>
        <v>0</v>
      </c>
      <c r="P1795" s="1">
        <f>IF(OR(tblMatriculas[[#This Row],[Estado]]&lt;&gt;"activa",tblMatriculas[[#This Row],[Asistidas]]=""),"",tblMatriculas[[#This Row],[Asistencia]])</f>
        <v>0.16699999999999998</v>
      </c>
      <c r="Q1795" t="b">
        <f>AND(tblMatriculas[[#This Row],[Estado]]="activa",ISNUMBER(tblMatriculas[[#This Row],[% asistencia]]),NOT(ISNUMBER(SEARCH(pPrueba,tblMatriculas[[#This Row],[Nombre]]))))</f>
        <v>1</v>
      </c>
      <c r="R17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5" s="23" t="str" cm="1">
        <f t="array" ref="S17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5" s="23" t="str" cm="1">
        <f t="array" ref="T17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5" s="14" t="str" cm="1">
        <f t="array" ref="U17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5" t="str" cm="1">
        <f t="array" ref="V17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5" t="str" cm="1">
        <f t="array" ref="W17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5" t="str">
        <f>IF(COUNTIFS('Base Estudiantes'!$C:$C,tblMatriculas[[#This Row],[Cédula]],'Base Estudiantes'!$I:$I,tblMatriculas[[#This Row],[Código]])&gt;0,"Sí","No")</f>
        <v>Sí</v>
      </c>
      <c r="Z1795" s="23" cm="1">
        <f t="array" ref="Z1795">_xlfn.XLOOKUP(tblMatriculas[[#This Row],[Cédula]]&amp;"|"&amp;tblMatriculas[[#This Row],[Código]],tblBase[Documento]&amp;"|"&amp;tblBase[Código grupo],tblBase[Fecha matrícula],"")</f>
        <v>46262</v>
      </c>
    </row>
    <row r="1796" spans="1:26" x14ac:dyDescent="0.2">
      <c r="A1796" t="s">
        <v>3746</v>
      </c>
      <c r="B1796" t="s">
        <v>3747</v>
      </c>
      <c r="C1796" t="s">
        <v>13</v>
      </c>
      <c r="D1796" t="s">
        <v>3698</v>
      </c>
      <c r="E1796" t="s">
        <v>3699</v>
      </c>
      <c r="F1796" t="s">
        <v>111</v>
      </c>
      <c r="G1796" s="1">
        <v>0.16699999999999998</v>
      </c>
      <c r="H1796" t="s">
        <v>229</v>
      </c>
      <c r="I1796" t="s">
        <v>3505</v>
      </c>
      <c r="J1796" t="s">
        <v>3242</v>
      </c>
      <c r="K1796" t="s">
        <v>24</v>
      </c>
      <c r="L1796" s="14">
        <f>IFERROR(VALUE(LEFT(tblMatriculas[[#This Row],[Clases]],FIND("/",tblMatriculas[[#This Row],[Clases]])-1)),"")</f>
        <v>5</v>
      </c>
      <c r="M1796" s="14">
        <f>IFERROR(VALUE(MID(tblMatriculas[[#This Row],[Clases]],FIND("/",tblMatriculas[[#This Row],[Clases]])+1,5)),"")</f>
        <v>30</v>
      </c>
      <c r="N17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6" s="14">
        <f>IF(OR(tblMatriculas[[#This Row],[Estado]]&lt;&gt;"activa",tblMatriculas[[#This Row],[Clases dictadas]]=""),"",MAX(0,tblMatriculas[[#This Row],[Clases dictadas]]-tblMatriculas[[#This Row],[Asistidas]]))</f>
        <v>0</v>
      </c>
      <c r="P1796" s="1">
        <f>IF(OR(tblMatriculas[[#This Row],[Estado]]&lt;&gt;"activa",tblMatriculas[[#This Row],[Asistidas]]=""),"",tblMatriculas[[#This Row],[Asistencia]])</f>
        <v>0.16699999999999998</v>
      </c>
      <c r="Q1796" t="b">
        <f>AND(tblMatriculas[[#This Row],[Estado]]="activa",ISNUMBER(tblMatriculas[[#This Row],[% asistencia]]),NOT(ISNUMBER(SEARCH(pPrueba,tblMatriculas[[#This Row],[Nombre]]))))</f>
        <v>1</v>
      </c>
      <c r="R17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6" s="23" t="str" cm="1">
        <f t="array" ref="S17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6" s="23" t="str" cm="1">
        <f t="array" ref="T17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6" s="14" t="str" cm="1">
        <f t="array" ref="U17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6" t="str" cm="1">
        <f t="array" ref="V17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6" t="str" cm="1">
        <f t="array" ref="W17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6" t="str">
        <f>IF(COUNTIFS('Base Estudiantes'!$C:$C,tblMatriculas[[#This Row],[Cédula]],'Base Estudiantes'!$I:$I,tblMatriculas[[#This Row],[Código]])&gt;0,"Sí","No")</f>
        <v>Sí</v>
      </c>
      <c r="Z1796" s="23" cm="1">
        <f t="array" ref="Z1796">_xlfn.XLOOKUP(tblMatriculas[[#This Row],[Cédula]]&amp;"|"&amp;tblMatriculas[[#This Row],[Código]],tblBase[Documento]&amp;"|"&amp;tblBase[Código grupo],tblBase[Fecha matrícula],"")</f>
        <v>46262</v>
      </c>
    </row>
    <row r="1797" spans="1:26" x14ac:dyDescent="0.2">
      <c r="A1797" t="s">
        <v>3748</v>
      </c>
      <c r="B1797" t="s">
        <v>3749</v>
      </c>
      <c r="C1797" t="s">
        <v>13</v>
      </c>
      <c r="D1797" t="s">
        <v>3698</v>
      </c>
      <c r="E1797" t="s">
        <v>3699</v>
      </c>
      <c r="F1797" t="s">
        <v>111</v>
      </c>
      <c r="G1797" s="1">
        <v>0.13300000000000001</v>
      </c>
      <c r="H1797" t="s">
        <v>112</v>
      </c>
      <c r="I1797" t="s">
        <v>3505</v>
      </c>
      <c r="J1797" t="s">
        <v>3242</v>
      </c>
      <c r="K1797" t="s">
        <v>24</v>
      </c>
      <c r="L1797" s="14">
        <f>IFERROR(VALUE(LEFT(tblMatriculas[[#This Row],[Clases]],FIND("/",tblMatriculas[[#This Row],[Clases]])-1)),"")</f>
        <v>4</v>
      </c>
      <c r="M1797" s="14">
        <f>IFERROR(VALUE(MID(tblMatriculas[[#This Row],[Clases]],FIND("/",tblMatriculas[[#This Row],[Clases]])+1,5)),"")</f>
        <v>30</v>
      </c>
      <c r="N17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7" s="14">
        <f>IF(OR(tblMatriculas[[#This Row],[Estado]]&lt;&gt;"activa",tblMatriculas[[#This Row],[Clases dictadas]]=""),"",MAX(0,tblMatriculas[[#This Row],[Clases dictadas]]-tblMatriculas[[#This Row],[Asistidas]]))</f>
        <v>1</v>
      </c>
      <c r="P1797" s="1">
        <f>IF(OR(tblMatriculas[[#This Row],[Estado]]&lt;&gt;"activa",tblMatriculas[[#This Row],[Asistidas]]=""),"",tblMatriculas[[#This Row],[Asistencia]])</f>
        <v>0.13300000000000001</v>
      </c>
      <c r="Q1797" t="b">
        <f>AND(tblMatriculas[[#This Row],[Estado]]="activa",ISNUMBER(tblMatriculas[[#This Row],[% asistencia]]),NOT(ISNUMBER(SEARCH(pPrueba,tblMatriculas[[#This Row],[Nombre]]))))</f>
        <v>1</v>
      </c>
      <c r="R17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7" s="23" t="str" cm="1">
        <f t="array" ref="S17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7" s="23" t="str" cm="1">
        <f t="array" ref="T17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7" s="14" t="str" cm="1">
        <f t="array" ref="U17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7" t="str" cm="1">
        <f t="array" ref="V17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7" t="str" cm="1">
        <f t="array" ref="W17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7" t="str">
        <f>IF(COUNTIFS('Base Estudiantes'!$C:$C,tblMatriculas[[#This Row],[Cédula]],'Base Estudiantes'!$I:$I,tblMatriculas[[#This Row],[Código]])&gt;0,"Sí","No")</f>
        <v>Sí</v>
      </c>
      <c r="Z1797" s="23" cm="1">
        <f t="array" ref="Z1797">_xlfn.XLOOKUP(tblMatriculas[[#This Row],[Cédula]]&amp;"|"&amp;tblMatriculas[[#This Row],[Código]],tblBase[Documento]&amp;"|"&amp;tblBase[Código grupo],tblBase[Fecha matrícula],"")</f>
        <v>46262</v>
      </c>
    </row>
    <row r="1798" spans="1:26" x14ac:dyDescent="0.2">
      <c r="A1798" t="s">
        <v>3750</v>
      </c>
      <c r="B1798" t="s">
        <v>3751</v>
      </c>
      <c r="C1798" t="s">
        <v>13</v>
      </c>
      <c r="D1798" t="s">
        <v>3698</v>
      </c>
      <c r="E1798" t="s">
        <v>3699</v>
      </c>
      <c r="F1798" t="s">
        <v>111</v>
      </c>
      <c r="G1798" s="1">
        <v>0.1</v>
      </c>
      <c r="H1798" t="s">
        <v>117</v>
      </c>
      <c r="I1798" t="s">
        <v>3505</v>
      </c>
      <c r="J1798" t="s">
        <v>3242</v>
      </c>
      <c r="K1798" t="s">
        <v>24</v>
      </c>
      <c r="L1798" s="14">
        <f>IFERROR(VALUE(LEFT(tblMatriculas[[#This Row],[Clases]],FIND("/",tblMatriculas[[#This Row],[Clases]])-1)),"")</f>
        <v>3</v>
      </c>
      <c r="M1798" s="14">
        <f>IFERROR(VALUE(MID(tblMatriculas[[#This Row],[Clases]],FIND("/",tblMatriculas[[#This Row],[Clases]])+1,5)),"")</f>
        <v>30</v>
      </c>
      <c r="N17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8" s="14">
        <f>IF(OR(tblMatriculas[[#This Row],[Estado]]&lt;&gt;"activa",tblMatriculas[[#This Row],[Clases dictadas]]=""),"",MAX(0,tblMatriculas[[#This Row],[Clases dictadas]]-tblMatriculas[[#This Row],[Asistidas]]))</f>
        <v>2</v>
      </c>
      <c r="P1798" s="1">
        <f>IF(OR(tblMatriculas[[#This Row],[Estado]]&lt;&gt;"activa",tblMatriculas[[#This Row],[Asistidas]]=""),"",tblMatriculas[[#This Row],[Asistencia]])</f>
        <v>0.1</v>
      </c>
      <c r="Q1798" t="b">
        <f>AND(tblMatriculas[[#This Row],[Estado]]="activa",ISNUMBER(tblMatriculas[[#This Row],[% asistencia]]),NOT(ISNUMBER(SEARCH(pPrueba,tblMatriculas[[#This Row],[Nombre]]))))</f>
        <v>1</v>
      </c>
      <c r="R17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8" s="23" t="str" cm="1">
        <f t="array" ref="S17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8" s="23" t="str" cm="1">
        <f t="array" ref="T17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8" s="14" t="str" cm="1">
        <f t="array" ref="U17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8" t="str" cm="1">
        <f t="array" ref="V17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8" t="str" cm="1">
        <f t="array" ref="W17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8" t="str">
        <f>IF(COUNTIFS('Base Estudiantes'!$C:$C,tblMatriculas[[#This Row],[Cédula]],'Base Estudiantes'!$I:$I,tblMatriculas[[#This Row],[Código]])&gt;0,"Sí","No")</f>
        <v>Sí</v>
      </c>
      <c r="Z1798" s="23" cm="1">
        <f t="array" ref="Z1798">_xlfn.XLOOKUP(tblMatriculas[[#This Row],[Cédula]]&amp;"|"&amp;tblMatriculas[[#This Row],[Código]],tblBase[Documento]&amp;"|"&amp;tblBase[Código grupo],tblBase[Fecha matrícula],"")</f>
        <v>46262</v>
      </c>
    </row>
    <row r="1799" spans="1:26" x14ac:dyDescent="0.2">
      <c r="A1799" t="s">
        <v>3752</v>
      </c>
      <c r="B1799" t="s">
        <v>3753</v>
      </c>
      <c r="C1799" t="s">
        <v>13</v>
      </c>
      <c r="D1799" t="s">
        <v>3698</v>
      </c>
      <c r="E1799" t="s">
        <v>3699</v>
      </c>
      <c r="F1799" t="s">
        <v>111</v>
      </c>
      <c r="G1799" s="1">
        <v>0.16699999999999998</v>
      </c>
      <c r="H1799" t="s">
        <v>229</v>
      </c>
      <c r="I1799" t="s">
        <v>3505</v>
      </c>
      <c r="J1799" t="s">
        <v>3242</v>
      </c>
      <c r="K1799" t="s">
        <v>3567</v>
      </c>
      <c r="L1799" s="14">
        <f>IFERROR(VALUE(LEFT(tblMatriculas[[#This Row],[Clases]],FIND("/",tblMatriculas[[#This Row],[Clases]])-1)),"")</f>
        <v>5</v>
      </c>
      <c r="M1799" s="14">
        <f>IFERROR(VALUE(MID(tblMatriculas[[#This Row],[Clases]],FIND("/",tblMatriculas[[#This Row],[Clases]])+1,5)),"")</f>
        <v>30</v>
      </c>
      <c r="N17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799" s="14">
        <f>IF(OR(tblMatriculas[[#This Row],[Estado]]&lt;&gt;"activa",tblMatriculas[[#This Row],[Clases dictadas]]=""),"",MAX(0,tblMatriculas[[#This Row],[Clases dictadas]]-tblMatriculas[[#This Row],[Asistidas]]))</f>
        <v>0</v>
      </c>
      <c r="P1799" s="1">
        <f>IF(OR(tblMatriculas[[#This Row],[Estado]]&lt;&gt;"activa",tblMatriculas[[#This Row],[Asistidas]]=""),"",tblMatriculas[[#This Row],[Asistencia]])</f>
        <v>0.16699999999999998</v>
      </c>
      <c r="Q1799" t="b">
        <f>AND(tblMatriculas[[#This Row],[Estado]]="activa",ISNUMBER(tblMatriculas[[#This Row],[% asistencia]]),NOT(ISNUMBER(SEARCH(pPrueba,tblMatriculas[[#This Row],[Nombre]]))))</f>
        <v>1</v>
      </c>
      <c r="R17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799" s="23" t="str" cm="1">
        <f t="array" ref="S17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799" s="23" t="str" cm="1">
        <f t="array" ref="T17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799" s="14" t="str" cm="1">
        <f t="array" ref="U17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799" t="str" cm="1">
        <f t="array" ref="V17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799" t="str" cm="1">
        <f t="array" ref="W17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7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799" t="str">
        <f>IF(COUNTIFS('Base Estudiantes'!$C:$C,tblMatriculas[[#This Row],[Cédula]],'Base Estudiantes'!$I:$I,tblMatriculas[[#This Row],[Código]])&gt;0,"Sí","No")</f>
        <v>Sí</v>
      </c>
      <c r="Z1799" s="23" cm="1">
        <f t="array" ref="Z1799">_xlfn.XLOOKUP(tblMatriculas[[#This Row],[Cédula]]&amp;"|"&amp;tblMatriculas[[#This Row],[Código]],tblBase[Documento]&amp;"|"&amp;tblBase[Código grupo],tblBase[Fecha matrícula],"")</f>
        <v>46262</v>
      </c>
    </row>
    <row r="1800" spans="1:26" x14ac:dyDescent="0.2">
      <c r="A1800" t="s">
        <v>3754</v>
      </c>
      <c r="B1800" t="s">
        <v>3755</v>
      </c>
      <c r="C1800" t="s">
        <v>13</v>
      </c>
      <c r="D1800" t="s">
        <v>3698</v>
      </c>
      <c r="E1800" t="s">
        <v>3699</v>
      </c>
      <c r="F1800" t="s">
        <v>111</v>
      </c>
      <c r="G1800" s="1">
        <v>0.16699999999999998</v>
      </c>
      <c r="H1800" t="s">
        <v>229</v>
      </c>
      <c r="I1800" t="s">
        <v>3505</v>
      </c>
      <c r="J1800" t="s">
        <v>3242</v>
      </c>
      <c r="K1800" t="s">
        <v>3567</v>
      </c>
      <c r="L1800" s="14">
        <f>IFERROR(VALUE(LEFT(tblMatriculas[[#This Row],[Clases]],FIND("/",tblMatriculas[[#This Row],[Clases]])-1)),"")</f>
        <v>5</v>
      </c>
      <c r="M1800" s="14">
        <f>IFERROR(VALUE(MID(tblMatriculas[[#This Row],[Clases]],FIND("/",tblMatriculas[[#This Row],[Clases]])+1,5)),"")</f>
        <v>30</v>
      </c>
      <c r="N18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0" s="14">
        <f>IF(OR(tblMatriculas[[#This Row],[Estado]]&lt;&gt;"activa",tblMatriculas[[#This Row],[Clases dictadas]]=""),"",MAX(0,tblMatriculas[[#This Row],[Clases dictadas]]-tblMatriculas[[#This Row],[Asistidas]]))</f>
        <v>0</v>
      </c>
      <c r="P1800" s="1">
        <f>IF(OR(tblMatriculas[[#This Row],[Estado]]&lt;&gt;"activa",tblMatriculas[[#This Row],[Asistidas]]=""),"",tblMatriculas[[#This Row],[Asistencia]])</f>
        <v>0.16699999999999998</v>
      </c>
      <c r="Q1800" t="b">
        <f>AND(tblMatriculas[[#This Row],[Estado]]="activa",ISNUMBER(tblMatriculas[[#This Row],[% asistencia]]),NOT(ISNUMBER(SEARCH(pPrueba,tblMatriculas[[#This Row],[Nombre]]))))</f>
        <v>1</v>
      </c>
      <c r="R18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0" s="23" t="str" cm="1">
        <f t="array" ref="S18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0" s="23" t="str" cm="1">
        <f t="array" ref="T18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0" s="14" t="str" cm="1">
        <f t="array" ref="U18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0" t="str" cm="1">
        <f t="array" ref="V18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0" t="str" cm="1">
        <f t="array" ref="W18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0" t="str">
        <f>IF(COUNTIFS('Base Estudiantes'!$C:$C,tblMatriculas[[#This Row],[Cédula]],'Base Estudiantes'!$I:$I,tblMatriculas[[#This Row],[Código]])&gt;0,"Sí","No")</f>
        <v>Sí</v>
      </c>
      <c r="Z1800" s="23" cm="1">
        <f t="array" ref="Z1800">_xlfn.XLOOKUP(tblMatriculas[[#This Row],[Cédula]]&amp;"|"&amp;tblMatriculas[[#This Row],[Código]],tblBase[Documento]&amp;"|"&amp;tblBase[Código grupo],tblBase[Fecha matrícula],"")</f>
        <v>46262</v>
      </c>
    </row>
    <row r="1801" spans="1:26" x14ac:dyDescent="0.2">
      <c r="A1801" t="s">
        <v>3756</v>
      </c>
      <c r="B1801" t="s">
        <v>3757</v>
      </c>
      <c r="C1801" t="s">
        <v>13</v>
      </c>
      <c r="D1801" t="s">
        <v>3698</v>
      </c>
      <c r="E1801" t="s">
        <v>3699</v>
      </c>
      <c r="F1801" t="s">
        <v>111</v>
      </c>
      <c r="G1801" s="1">
        <v>0.1</v>
      </c>
      <c r="H1801" t="s">
        <v>117</v>
      </c>
      <c r="I1801" t="s">
        <v>3505</v>
      </c>
      <c r="J1801" t="s">
        <v>3242</v>
      </c>
      <c r="K1801" t="s">
        <v>3684</v>
      </c>
      <c r="L1801" s="14">
        <f>IFERROR(VALUE(LEFT(tblMatriculas[[#This Row],[Clases]],FIND("/",tblMatriculas[[#This Row],[Clases]])-1)),"")</f>
        <v>3</v>
      </c>
      <c r="M1801" s="14">
        <f>IFERROR(VALUE(MID(tblMatriculas[[#This Row],[Clases]],FIND("/",tblMatriculas[[#This Row],[Clases]])+1,5)),"")</f>
        <v>30</v>
      </c>
      <c r="N18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1" s="14">
        <f>IF(OR(tblMatriculas[[#This Row],[Estado]]&lt;&gt;"activa",tblMatriculas[[#This Row],[Clases dictadas]]=""),"",MAX(0,tblMatriculas[[#This Row],[Clases dictadas]]-tblMatriculas[[#This Row],[Asistidas]]))</f>
        <v>2</v>
      </c>
      <c r="P1801" s="1">
        <f>IF(OR(tblMatriculas[[#This Row],[Estado]]&lt;&gt;"activa",tblMatriculas[[#This Row],[Asistidas]]=""),"",tblMatriculas[[#This Row],[Asistencia]])</f>
        <v>0.1</v>
      </c>
      <c r="Q1801" t="b">
        <f>AND(tblMatriculas[[#This Row],[Estado]]="activa",ISNUMBER(tblMatriculas[[#This Row],[% asistencia]]),NOT(ISNUMBER(SEARCH(pPrueba,tblMatriculas[[#This Row],[Nombre]]))))</f>
        <v>1</v>
      </c>
      <c r="R18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1" s="23" t="str" cm="1">
        <f t="array" ref="S18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1" s="23" t="str" cm="1">
        <f t="array" ref="T18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1" s="14" t="str" cm="1">
        <f t="array" ref="U18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1" t="str" cm="1">
        <f t="array" ref="V18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1" t="str" cm="1">
        <f t="array" ref="W18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1" t="str">
        <f>IF(COUNTIFS('Base Estudiantes'!$C:$C,tblMatriculas[[#This Row],[Cédula]],'Base Estudiantes'!$I:$I,tblMatriculas[[#This Row],[Código]])&gt;0,"Sí","No")</f>
        <v>Sí</v>
      </c>
      <c r="Z1801" s="23" cm="1">
        <f t="array" ref="Z1801">_xlfn.XLOOKUP(tblMatriculas[[#This Row],[Cédula]]&amp;"|"&amp;tblMatriculas[[#This Row],[Código]],tblBase[Documento]&amp;"|"&amp;tblBase[Código grupo],tblBase[Fecha matrícula],"")</f>
        <v>46262</v>
      </c>
    </row>
    <row r="1802" spans="1:26" x14ac:dyDescent="0.2">
      <c r="A1802" t="s">
        <v>3758</v>
      </c>
      <c r="B1802" t="s">
        <v>3759</v>
      </c>
      <c r="C1802" t="s">
        <v>13</v>
      </c>
      <c r="D1802" t="s">
        <v>3698</v>
      </c>
      <c r="E1802" t="s">
        <v>3699</v>
      </c>
      <c r="F1802" t="s">
        <v>111</v>
      </c>
      <c r="G1802" s="1">
        <v>0.16699999999999998</v>
      </c>
      <c r="H1802" t="s">
        <v>229</v>
      </c>
      <c r="I1802" t="s">
        <v>3505</v>
      </c>
      <c r="J1802" t="s">
        <v>3242</v>
      </c>
      <c r="K1802" t="s">
        <v>3684</v>
      </c>
      <c r="L1802" s="14">
        <f>IFERROR(VALUE(LEFT(tblMatriculas[[#This Row],[Clases]],FIND("/",tblMatriculas[[#This Row],[Clases]])-1)),"")</f>
        <v>5</v>
      </c>
      <c r="M1802" s="14">
        <f>IFERROR(VALUE(MID(tblMatriculas[[#This Row],[Clases]],FIND("/",tblMatriculas[[#This Row],[Clases]])+1,5)),"")</f>
        <v>30</v>
      </c>
      <c r="N18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2" s="14">
        <f>IF(OR(tblMatriculas[[#This Row],[Estado]]&lt;&gt;"activa",tblMatriculas[[#This Row],[Clases dictadas]]=""),"",MAX(0,tblMatriculas[[#This Row],[Clases dictadas]]-tblMatriculas[[#This Row],[Asistidas]]))</f>
        <v>0</v>
      </c>
      <c r="P1802" s="1">
        <f>IF(OR(tblMatriculas[[#This Row],[Estado]]&lt;&gt;"activa",tblMatriculas[[#This Row],[Asistidas]]=""),"",tblMatriculas[[#This Row],[Asistencia]])</f>
        <v>0.16699999999999998</v>
      </c>
      <c r="Q1802" t="b">
        <f>AND(tblMatriculas[[#This Row],[Estado]]="activa",ISNUMBER(tblMatriculas[[#This Row],[% asistencia]]),NOT(ISNUMBER(SEARCH(pPrueba,tblMatriculas[[#This Row],[Nombre]]))))</f>
        <v>1</v>
      </c>
      <c r="R18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2" s="23" t="str" cm="1">
        <f t="array" ref="S18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2" s="23" t="str" cm="1">
        <f t="array" ref="T18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2" s="14" t="str" cm="1">
        <f t="array" ref="U18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2" t="str" cm="1">
        <f t="array" ref="V18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2" t="str" cm="1">
        <f t="array" ref="W18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2" t="str">
        <f>IF(COUNTIFS('Base Estudiantes'!$C:$C,tblMatriculas[[#This Row],[Cédula]],'Base Estudiantes'!$I:$I,tblMatriculas[[#This Row],[Código]])&gt;0,"Sí","No")</f>
        <v>Sí</v>
      </c>
      <c r="Z1802" s="23" cm="1">
        <f t="array" ref="Z1802">_xlfn.XLOOKUP(tblMatriculas[[#This Row],[Cédula]]&amp;"|"&amp;tblMatriculas[[#This Row],[Código]],tblBase[Documento]&amp;"|"&amp;tblBase[Código grupo],tblBase[Fecha matrícula],"")</f>
        <v>46262</v>
      </c>
    </row>
    <row r="1803" spans="1:26" x14ac:dyDescent="0.2">
      <c r="A1803" t="s">
        <v>3624</v>
      </c>
      <c r="B1803" t="s">
        <v>3625</v>
      </c>
      <c r="C1803" t="s">
        <v>49</v>
      </c>
      <c r="D1803" t="s">
        <v>3698</v>
      </c>
      <c r="E1803" t="s">
        <v>3699</v>
      </c>
      <c r="F1803" t="s">
        <v>111</v>
      </c>
      <c r="G1803" s="1">
        <v>0.13300000000000001</v>
      </c>
      <c r="H1803" t="s">
        <v>112</v>
      </c>
      <c r="I1803" t="s">
        <v>3505</v>
      </c>
      <c r="J1803" t="s">
        <v>3242</v>
      </c>
      <c r="K1803" t="s">
        <v>3684</v>
      </c>
      <c r="L1803" s="14">
        <f>IFERROR(VALUE(LEFT(tblMatriculas[[#This Row],[Clases]],FIND("/",tblMatriculas[[#This Row],[Clases]])-1)),"")</f>
        <v>4</v>
      </c>
      <c r="M1803" s="14">
        <f>IFERROR(VALUE(MID(tblMatriculas[[#This Row],[Clases]],FIND("/",tblMatriculas[[#This Row],[Clases]])+1,5)),"")</f>
        <v>30</v>
      </c>
      <c r="N18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3" s="14" t="str">
        <f>IF(OR(tblMatriculas[[#This Row],[Estado]]&lt;&gt;"activa",tblMatriculas[[#This Row],[Clases dictadas]]=""),"",MAX(0,tblMatriculas[[#This Row],[Clases dictadas]]-tblMatriculas[[#This Row],[Asistidas]]))</f>
        <v/>
      </c>
      <c r="P1803" s="1" t="str">
        <f>IF(OR(tblMatriculas[[#This Row],[Estado]]&lt;&gt;"activa",tblMatriculas[[#This Row],[Asistidas]]=""),"",tblMatriculas[[#This Row],[Asistencia]])</f>
        <v/>
      </c>
      <c r="Q1803" t="b">
        <f>AND(tblMatriculas[[#This Row],[Estado]]="activa",ISNUMBER(tblMatriculas[[#This Row],[% asistencia]]),NOT(ISNUMBER(SEARCH(pPrueba,tblMatriculas[[#This Row],[Nombre]]))))</f>
        <v>0</v>
      </c>
      <c r="R18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803" s="23" t="str" cm="1">
        <f t="array" ref="S18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3" s="23" t="str" cm="1">
        <f t="array" ref="T18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3" s="14" t="str" cm="1">
        <f t="array" ref="U18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3" t="str" cm="1">
        <f t="array" ref="V18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3" t="str" cm="1">
        <f t="array" ref="W18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3" t="str">
        <f>IF(COUNTIFS('Base Estudiantes'!$C:$C,tblMatriculas[[#This Row],[Cédula]],'Base Estudiantes'!$I:$I,tblMatriculas[[#This Row],[Código]])&gt;0,"Sí","No")</f>
        <v>Sí</v>
      </c>
      <c r="Z1803" s="23" cm="1">
        <f t="array" ref="Z1803">_xlfn.XLOOKUP(tblMatriculas[[#This Row],[Cédula]]&amp;"|"&amp;tblMatriculas[[#This Row],[Código]],tblBase[Documento]&amp;"|"&amp;tblBase[Código grupo],tblBase[Fecha matrícula],"")</f>
        <v>46262</v>
      </c>
    </row>
    <row r="1804" spans="1:26" x14ac:dyDescent="0.2">
      <c r="A1804" t="s">
        <v>3760</v>
      </c>
      <c r="B1804" t="s">
        <v>3761</v>
      </c>
      <c r="C1804" t="s">
        <v>13</v>
      </c>
      <c r="D1804" t="s">
        <v>3698</v>
      </c>
      <c r="E1804" t="s">
        <v>3699</v>
      </c>
      <c r="F1804" t="s">
        <v>111</v>
      </c>
      <c r="G1804" s="1">
        <v>0.16699999999999998</v>
      </c>
      <c r="H1804" t="s">
        <v>229</v>
      </c>
      <c r="I1804" t="s">
        <v>3505</v>
      </c>
      <c r="J1804" t="s">
        <v>3242</v>
      </c>
      <c r="K1804" t="s">
        <v>3684</v>
      </c>
      <c r="L1804" s="14">
        <f>IFERROR(VALUE(LEFT(tblMatriculas[[#This Row],[Clases]],FIND("/",tblMatriculas[[#This Row],[Clases]])-1)),"")</f>
        <v>5</v>
      </c>
      <c r="M1804" s="14">
        <f>IFERROR(VALUE(MID(tblMatriculas[[#This Row],[Clases]],FIND("/",tblMatriculas[[#This Row],[Clases]])+1,5)),"")</f>
        <v>30</v>
      </c>
      <c r="N18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4" s="14">
        <f>IF(OR(tblMatriculas[[#This Row],[Estado]]&lt;&gt;"activa",tblMatriculas[[#This Row],[Clases dictadas]]=""),"",MAX(0,tblMatriculas[[#This Row],[Clases dictadas]]-tblMatriculas[[#This Row],[Asistidas]]))</f>
        <v>0</v>
      </c>
      <c r="P1804" s="1">
        <f>IF(OR(tblMatriculas[[#This Row],[Estado]]&lt;&gt;"activa",tblMatriculas[[#This Row],[Asistidas]]=""),"",tblMatriculas[[#This Row],[Asistencia]])</f>
        <v>0.16699999999999998</v>
      </c>
      <c r="Q1804" t="b">
        <f>AND(tblMatriculas[[#This Row],[Estado]]="activa",ISNUMBER(tblMatriculas[[#This Row],[% asistencia]]),NOT(ISNUMBER(SEARCH(pPrueba,tblMatriculas[[#This Row],[Nombre]]))))</f>
        <v>1</v>
      </c>
      <c r="R18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4" s="23" t="str" cm="1">
        <f t="array" ref="S18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4" s="23" t="str" cm="1">
        <f t="array" ref="T18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4" s="14" t="str" cm="1">
        <f t="array" ref="U18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4" t="str" cm="1">
        <f t="array" ref="V18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4" t="str" cm="1">
        <f t="array" ref="W18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4" t="str">
        <f>IF(COUNTIFS('Base Estudiantes'!$C:$C,tblMatriculas[[#This Row],[Cédula]],'Base Estudiantes'!$I:$I,tblMatriculas[[#This Row],[Código]])&gt;0,"Sí","No")</f>
        <v>Sí</v>
      </c>
      <c r="Z1804" s="23" cm="1">
        <f t="array" ref="Z1804">_xlfn.XLOOKUP(tblMatriculas[[#This Row],[Cédula]]&amp;"|"&amp;tblMatriculas[[#This Row],[Código]],tblBase[Documento]&amp;"|"&amp;tblBase[Código grupo],tblBase[Fecha matrícula],"")</f>
        <v>46262</v>
      </c>
    </row>
    <row r="1805" spans="1:26" x14ac:dyDescent="0.2">
      <c r="A1805" t="s">
        <v>3762</v>
      </c>
      <c r="B1805" t="s">
        <v>3763</v>
      </c>
      <c r="C1805" t="s">
        <v>13</v>
      </c>
      <c r="D1805" t="s">
        <v>3698</v>
      </c>
      <c r="E1805" t="s">
        <v>3699</v>
      </c>
      <c r="F1805" t="s">
        <v>111</v>
      </c>
      <c r="G1805" s="1">
        <v>0.1</v>
      </c>
      <c r="H1805" t="s">
        <v>117</v>
      </c>
      <c r="I1805" t="s">
        <v>3505</v>
      </c>
      <c r="J1805" t="s">
        <v>3242</v>
      </c>
      <c r="K1805" t="s">
        <v>3684</v>
      </c>
      <c r="L1805" s="14">
        <f>IFERROR(VALUE(LEFT(tblMatriculas[[#This Row],[Clases]],FIND("/",tblMatriculas[[#This Row],[Clases]])-1)),"")</f>
        <v>3</v>
      </c>
      <c r="M1805" s="14">
        <f>IFERROR(VALUE(MID(tblMatriculas[[#This Row],[Clases]],FIND("/",tblMatriculas[[#This Row],[Clases]])+1,5)),"")</f>
        <v>30</v>
      </c>
      <c r="N18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5" s="14">
        <f>IF(OR(tblMatriculas[[#This Row],[Estado]]&lt;&gt;"activa",tblMatriculas[[#This Row],[Clases dictadas]]=""),"",MAX(0,tblMatriculas[[#This Row],[Clases dictadas]]-tblMatriculas[[#This Row],[Asistidas]]))</f>
        <v>2</v>
      </c>
      <c r="P1805" s="1">
        <f>IF(OR(tblMatriculas[[#This Row],[Estado]]&lt;&gt;"activa",tblMatriculas[[#This Row],[Asistidas]]=""),"",tblMatriculas[[#This Row],[Asistencia]])</f>
        <v>0.1</v>
      </c>
      <c r="Q1805" t="b">
        <f>AND(tblMatriculas[[#This Row],[Estado]]="activa",ISNUMBER(tblMatriculas[[#This Row],[% asistencia]]),NOT(ISNUMBER(SEARCH(pPrueba,tblMatriculas[[#This Row],[Nombre]]))))</f>
        <v>1</v>
      </c>
      <c r="R18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5" s="23" t="str" cm="1">
        <f t="array" ref="S18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5" s="23" t="str" cm="1">
        <f t="array" ref="T18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5" s="14" t="str" cm="1">
        <f t="array" ref="U18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5" t="str" cm="1">
        <f t="array" ref="V18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5" t="str" cm="1">
        <f t="array" ref="W18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5" t="str">
        <f>IF(COUNTIFS('Base Estudiantes'!$C:$C,tblMatriculas[[#This Row],[Cédula]],'Base Estudiantes'!$I:$I,tblMatriculas[[#This Row],[Código]])&gt;0,"Sí","No")</f>
        <v>Sí</v>
      </c>
      <c r="Z1805" s="23" cm="1">
        <f t="array" ref="Z1805">_xlfn.XLOOKUP(tblMatriculas[[#This Row],[Cédula]]&amp;"|"&amp;tblMatriculas[[#This Row],[Código]],tblBase[Documento]&amp;"|"&amp;tblBase[Código grupo],tblBase[Fecha matrícula],"")</f>
        <v>46262</v>
      </c>
    </row>
    <row r="1806" spans="1:26" x14ac:dyDescent="0.2">
      <c r="A1806" t="s">
        <v>3764</v>
      </c>
      <c r="B1806" t="s">
        <v>3765</v>
      </c>
      <c r="C1806" t="s">
        <v>13</v>
      </c>
      <c r="D1806" t="s">
        <v>3698</v>
      </c>
      <c r="E1806" t="s">
        <v>3699</v>
      </c>
      <c r="F1806" t="s">
        <v>111</v>
      </c>
      <c r="G1806" s="1">
        <v>0.16699999999999998</v>
      </c>
      <c r="H1806" t="s">
        <v>229</v>
      </c>
      <c r="I1806" t="s">
        <v>3505</v>
      </c>
      <c r="J1806" t="s">
        <v>3242</v>
      </c>
      <c r="K1806" t="s">
        <v>3684</v>
      </c>
      <c r="L1806" s="14">
        <f>IFERROR(VALUE(LEFT(tblMatriculas[[#This Row],[Clases]],FIND("/",tblMatriculas[[#This Row],[Clases]])-1)),"")</f>
        <v>5</v>
      </c>
      <c r="M1806" s="14">
        <f>IFERROR(VALUE(MID(tblMatriculas[[#This Row],[Clases]],FIND("/",tblMatriculas[[#This Row],[Clases]])+1,5)),"")</f>
        <v>30</v>
      </c>
      <c r="N18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6" s="14">
        <f>IF(OR(tblMatriculas[[#This Row],[Estado]]&lt;&gt;"activa",tblMatriculas[[#This Row],[Clases dictadas]]=""),"",MAX(0,tblMatriculas[[#This Row],[Clases dictadas]]-tblMatriculas[[#This Row],[Asistidas]]))</f>
        <v>0</v>
      </c>
      <c r="P1806" s="1">
        <f>IF(OR(tblMatriculas[[#This Row],[Estado]]&lt;&gt;"activa",tblMatriculas[[#This Row],[Asistidas]]=""),"",tblMatriculas[[#This Row],[Asistencia]])</f>
        <v>0.16699999999999998</v>
      </c>
      <c r="Q1806" t="b">
        <f>AND(tblMatriculas[[#This Row],[Estado]]="activa",ISNUMBER(tblMatriculas[[#This Row],[% asistencia]]),NOT(ISNUMBER(SEARCH(pPrueba,tblMatriculas[[#This Row],[Nombre]]))))</f>
        <v>1</v>
      </c>
      <c r="R18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6" s="23" t="str" cm="1">
        <f t="array" ref="S18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6" s="23" t="str" cm="1">
        <f t="array" ref="T18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6" s="14" t="str" cm="1">
        <f t="array" ref="U18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6" t="str" cm="1">
        <f t="array" ref="V18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6" t="str" cm="1">
        <f t="array" ref="W18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6" t="str">
        <f>IF(COUNTIFS('Base Estudiantes'!$C:$C,tblMatriculas[[#This Row],[Cédula]],'Base Estudiantes'!$I:$I,tblMatriculas[[#This Row],[Código]])&gt;0,"Sí","No")</f>
        <v>Sí</v>
      </c>
      <c r="Z1806" s="23" cm="1">
        <f t="array" ref="Z1806">_xlfn.XLOOKUP(tblMatriculas[[#This Row],[Cédula]]&amp;"|"&amp;tblMatriculas[[#This Row],[Código]],tblBase[Documento]&amp;"|"&amp;tblBase[Código grupo],tblBase[Fecha matrícula],"")</f>
        <v>46262</v>
      </c>
    </row>
    <row r="1807" spans="1:26" x14ac:dyDescent="0.2">
      <c r="A1807" t="s">
        <v>3766</v>
      </c>
      <c r="B1807" t="s">
        <v>3767</v>
      </c>
      <c r="C1807" t="s">
        <v>13</v>
      </c>
      <c r="D1807" t="s">
        <v>3698</v>
      </c>
      <c r="E1807" t="s">
        <v>3699</v>
      </c>
      <c r="F1807" t="s">
        <v>111</v>
      </c>
      <c r="G1807" s="1">
        <v>0.04</v>
      </c>
      <c r="H1807" t="s">
        <v>1374</v>
      </c>
      <c r="I1807" t="s">
        <v>3505</v>
      </c>
      <c r="J1807" t="s">
        <v>3242</v>
      </c>
      <c r="K1807" t="s">
        <v>3689</v>
      </c>
      <c r="L1807" s="14">
        <f>IFERROR(VALUE(LEFT(tblMatriculas[[#This Row],[Clases]],FIND("/",tblMatriculas[[#This Row],[Clases]])-1)),"")</f>
        <v>3</v>
      </c>
      <c r="M1807" s="14">
        <f>IFERROR(VALUE(MID(tblMatriculas[[#This Row],[Clases]],FIND("/",tblMatriculas[[#This Row],[Clases]])+1,5)),"")</f>
        <v>75</v>
      </c>
      <c r="N18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807" s="14">
        <f>IF(OR(tblMatriculas[[#This Row],[Estado]]&lt;&gt;"activa",tblMatriculas[[#This Row],[Clases dictadas]]=""),"",MAX(0,tblMatriculas[[#This Row],[Clases dictadas]]-tblMatriculas[[#This Row],[Asistidas]]))</f>
        <v>8</v>
      </c>
      <c r="P1807" s="1">
        <f>IF(OR(tblMatriculas[[#This Row],[Estado]]&lt;&gt;"activa",tblMatriculas[[#This Row],[Asistidas]]=""),"",tblMatriculas[[#This Row],[Asistencia]])</f>
        <v>0.04</v>
      </c>
      <c r="Q1807" t="b">
        <f>AND(tblMatriculas[[#This Row],[Estado]]="activa",ISNUMBER(tblMatriculas[[#This Row],[% asistencia]]),NOT(ISNUMBER(SEARCH(pPrueba,tblMatriculas[[#This Row],[Nombre]]))))</f>
        <v>1</v>
      </c>
      <c r="R18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07" s="23" t="str" cm="1">
        <f t="array" ref="S18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7" s="23" t="str" cm="1">
        <f t="array" ref="T18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7" s="14" t="str" cm="1">
        <f t="array" ref="U18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7" t="str" cm="1">
        <f t="array" ref="V18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7" t="str" cm="1">
        <f t="array" ref="W18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07" t="str">
        <f>IF(COUNTIFS('Base Estudiantes'!$C:$C,tblMatriculas[[#This Row],[Cédula]],'Base Estudiantes'!$I:$I,tblMatriculas[[#This Row],[Código]])&gt;0,"Sí","No")</f>
        <v>Sí</v>
      </c>
      <c r="Z1807" s="23" cm="1">
        <f t="array" ref="Z1807">_xlfn.XLOOKUP(tblMatriculas[[#This Row],[Cédula]]&amp;"|"&amp;tblMatriculas[[#This Row],[Código]],tblBase[Documento]&amp;"|"&amp;tblBase[Código grupo],tblBase[Fecha matrícula],"")</f>
        <v>46262</v>
      </c>
    </row>
    <row r="1808" spans="1:26" x14ac:dyDescent="0.2">
      <c r="A1808" t="s">
        <v>3768</v>
      </c>
      <c r="B1808" t="s">
        <v>3769</v>
      </c>
      <c r="C1808" t="s">
        <v>13</v>
      </c>
      <c r="D1808" t="s">
        <v>3698</v>
      </c>
      <c r="E1808" t="s">
        <v>3699</v>
      </c>
      <c r="F1808" t="s">
        <v>111</v>
      </c>
      <c r="G1808" s="1">
        <v>0.13300000000000001</v>
      </c>
      <c r="H1808" t="s">
        <v>112</v>
      </c>
      <c r="I1808" t="s">
        <v>3505</v>
      </c>
      <c r="J1808" t="s">
        <v>3242</v>
      </c>
      <c r="K1808" t="s">
        <v>3689</v>
      </c>
      <c r="L1808" s="14">
        <f>IFERROR(VALUE(LEFT(tblMatriculas[[#This Row],[Clases]],FIND("/",tblMatriculas[[#This Row],[Clases]])-1)),"")</f>
        <v>4</v>
      </c>
      <c r="M1808" s="14">
        <f>IFERROR(VALUE(MID(tblMatriculas[[#This Row],[Clases]],FIND("/",tblMatriculas[[#This Row],[Clases]])+1,5)),"")</f>
        <v>30</v>
      </c>
      <c r="N18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808" s="14">
        <f>IF(OR(tblMatriculas[[#This Row],[Estado]]&lt;&gt;"activa",tblMatriculas[[#This Row],[Clases dictadas]]=""),"",MAX(0,tblMatriculas[[#This Row],[Clases dictadas]]-tblMatriculas[[#This Row],[Asistidas]]))</f>
        <v>1</v>
      </c>
      <c r="P1808" s="1">
        <f>IF(OR(tblMatriculas[[#This Row],[Estado]]&lt;&gt;"activa",tblMatriculas[[#This Row],[Asistidas]]=""),"",tblMatriculas[[#This Row],[Asistencia]])</f>
        <v>0.13300000000000001</v>
      </c>
      <c r="Q1808" t="b">
        <f>AND(tblMatriculas[[#This Row],[Estado]]="activa",ISNUMBER(tblMatriculas[[#This Row],[% asistencia]]),NOT(ISNUMBER(SEARCH(pPrueba,tblMatriculas[[#This Row],[Nombre]]))))</f>
        <v>1</v>
      </c>
      <c r="R18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8" s="23" t="str" cm="1">
        <f t="array" ref="S18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8" s="23" t="str" cm="1">
        <f t="array" ref="T18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8" s="14" t="str" cm="1">
        <f t="array" ref="U18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8" t="str" cm="1">
        <f t="array" ref="V18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8" t="str" cm="1">
        <f t="array" ref="W18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8" t="str">
        <f>IF(COUNTIFS('Base Estudiantes'!$C:$C,tblMatriculas[[#This Row],[Cédula]],'Base Estudiantes'!$I:$I,tblMatriculas[[#This Row],[Código]])&gt;0,"Sí","No")</f>
        <v>Sí</v>
      </c>
      <c r="Z1808" s="23" cm="1">
        <f t="array" ref="Z1808">_xlfn.XLOOKUP(tblMatriculas[[#This Row],[Cédula]]&amp;"|"&amp;tblMatriculas[[#This Row],[Código]],tblBase[Documento]&amp;"|"&amp;tblBase[Código grupo],tblBase[Fecha matrícula],"")</f>
        <v>46262</v>
      </c>
    </row>
    <row r="1809" spans="1:26" x14ac:dyDescent="0.2">
      <c r="A1809" t="s">
        <v>3770</v>
      </c>
      <c r="B1809" t="s">
        <v>3771</v>
      </c>
      <c r="C1809" t="s">
        <v>13</v>
      </c>
      <c r="D1809" t="s">
        <v>3772</v>
      </c>
      <c r="E1809" t="s">
        <v>3773</v>
      </c>
      <c r="F1809" t="s">
        <v>807</v>
      </c>
      <c r="G1809" s="1">
        <v>0.1</v>
      </c>
      <c r="H1809" t="s">
        <v>117</v>
      </c>
      <c r="I1809" t="s">
        <v>3505</v>
      </c>
      <c r="J1809" t="s">
        <v>3774</v>
      </c>
      <c r="K1809" t="s">
        <v>24</v>
      </c>
      <c r="L1809" s="14">
        <f>IFERROR(VALUE(LEFT(tblMatriculas[[#This Row],[Clases]],FIND("/",tblMatriculas[[#This Row],[Clases]])-1)),"")</f>
        <v>3</v>
      </c>
      <c r="M1809" s="14">
        <f>IFERROR(VALUE(MID(tblMatriculas[[#This Row],[Clases]],FIND("/",tblMatriculas[[#This Row],[Clases]])+1,5)),"")</f>
        <v>30</v>
      </c>
      <c r="N18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09" s="14">
        <f>IF(OR(tblMatriculas[[#This Row],[Estado]]&lt;&gt;"activa",tblMatriculas[[#This Row],[Clases dictadas]]=""),"",MAX(0,tblMatriculas[[#This Row],[Clases dictadas]]-tblMatriculas[[#This Row],[Asistidas]]))</f>
        <v>1</v>
      </c>
      <c r="P1809" s="1">
        <f>IF(OR(tblMatriculas[[#This Row],[Estado]]&lt;&gt;"activa",tblMatriculas[[#This Row],[Asistidas]]=""),"",tblMatriculas[[#This Row],[Asistencia]])</f>
        <v>0.1</v>
      </c>
      <c r="Q1809" t="b">
        <f>AND(tblMatriculas[[#This Row],[Estado]]="activa",ISNUMBER(tblMatriculas[[#This Row],[% asistencia]]),NOT(ISNUMBER(SEARCH(pPrueba,tblMatriculas[[#This Row],[Nombre]]))))</f>
        <v>1</v>
      </c>
      <c r="R18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09" s="23" t="str" cm="1">
        <f t="array" ref="S18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09" s="23" t="str" cm="1">
        <f t="array" ref="T18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09" s="14" t="str" cm="1">
        <f t="array" ref="U18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09" t="str" cm="1">
        <f t="array" ref="V18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09" t="str" cm="1">
        <f t="array" ref="W18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09" t="str">
        <f>IF(COUNTIFS('Base Estudiantes'!$C:$C,tblMatriculas[[#This Row],[Cédula]],'Base Estudiantes'!$I:$I,tblMatriculas[[#This Row],[Código]])&gt;0,"Sí","No")</f>
        <v>Sí</v>
      </c>
      <c r="Z1809" s="23" cm="1">
        <f t="array" ref="Z1809">_xlfn.XLOOKUP(tblMatriculas[[#This Row],[Cédula]]&amp;"|"&amp;tblMatriculas[[#This Row],[Código]],tblBase[Documento]&amp;"|"&amp;tblBase[Código grupo],tblBase[Fecha matrícula],"")</f>
        <v>46262</v>
      </c>
    </row>
    <row r="1810" spans="1:26" x14ac:dyDescent="0.2">
      <c r="A1810" t="s">
        <v>3775</v>
      </c>
      <c r="B1810" t="s">
        <v>3776</v>
      </c>
      <c r="C1810" t="s">
        <v>13</v>
      </c>
      <c r="D1810" t="s">
        <v>3772</v>
      </c>
      <c r="E1810" t="s">
        <v>3773</v>
      </c>
      <c r="F1810" t="s">
        <v>807</v>
      </c>
      <c r="G1810" s="1">
        <v>6.7000000000000004E-2</v>
      </c>
      <c r="H1810" t="s">
        <v>166</v>
      </c>
      <c r="I1810" t="s">
        <v>3505</v>
      </c>
      <c r="J1810" t="s">
        <v>3774</v>
      </c>
      <c r="K1810" t="s">
        <v>24</v>
      </c>
      <c r="L1810" s="14">
        <f>IFERROR(VALUE(LEFT(tblMatriculas[[#This Row],[Clases]],FIND("/",tblMatriculas[[#This Row],[Clases]])-1)),"")</f>
        <v>2</v>
      </c>
      <c r="M1810" s="14">
        <f>IFERROR(VALUE(MID(tblMatriculas[[#This Row],[Clases]],FIND("/",tblMatriculas[[#This Row],[Clases]])+1,5)),"")</f>
        <v>30</v>
      </c>
      <c r="N18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0" s="14">
        <f>IF(OR(tblMatriculas[[#This Row],[Estado]]&lt;&gt;"activa",tblMatriculas[[#This Row],[Clases dictadas]]=""),"",MAX(0,tblMatriculas[[#This Row],[Clases dictadas]]-tblMatriculas[[#This Row],[Asistidas]]))</f>
        <v>2</v>
      </c>
      <c r="P1810" s="1">
        <f>IF(OR(tblMatriculas[[#This Row],[Estado]]&lt;&gt;"activa",tblMatriculas[[#This Row],[Asistidas]]=""),"",tblMatriculas[[#This Row],[Asistencia]])</f>
        <v>6.7000000000000004E-2</v>
      </c>
      <c r="Q1810" t="b">
        <f>AND(tblMatriculas[[#This Row],[Estado]]="activa",ISNUMBER(tblMatriculas[[#This Row],[% asistencia]]),NOT(ISNUMBER(SEARCH(pPrueba,tblMatriculas[[#This Row],[Nombre]]))))</f>
        <v>1</v>
      </c>
      <c r="R18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10" s="23" t="str" cm="1">
        <f t="array" ref="S18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0" s="23" t="str" cm="1">
        <f t="array" ref="T18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0" s="14" t="str" cm="1">
        <f t="array" ref="U18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0" t="str" cm="1">
        <f t="array" ref="V18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0" t="str" cm="1">
        <f t="array" ref="W18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10" t="str">
        <f>IF(COUNTIFS('Base Estudiantes'!$C:$C,tblMatriculas[[#This Row],[Cédula]],'Base Estudiantes'!$I:$I,tblMatriculas[[#This Row],[Código]])&gt;0,"Sí","No")</f>
        <v>Sí</v>
      </c>
      <c r="Z1810" s="23" cm="1">
        <f t="array" ref="Z1810">_xlfn.XLOOKUP(tblMatriculas[[#This Row],[Cédula]]&amp;"|"&amp;tblMatriculas[[#This Row],[Código]],tblBase[Documento]&amp;"|"&amp;tblBase[Código grupo],tblBase[Fecha matrícula],"")</f>
        <v>46262</v>
      </c>
    </row>
    <row r="1811" spans="1:26" x14ac:dyDescent="0.2">
      <c r="A1811" t="s">
        <v>3777</v>
      </c>
      <c r="B1811" t="s">
        <v>3778</v>
      </c>
      <c r="C1811" t="s">
        <v>13</v>
      </c>
      <c r="D1811" t="s">
        <v>3772</v>
      </c>
      <c r="E1811" t="s">
        <v>3773</v>
      </c>
      <c r="F1811" t="s">
        <v>807</v>
      </c>
      <c r="G1811" s="1">
        <v>0.13300000000000001</v>
      </c>
      <c r="H1811" t="s">
        <v>112</v>
      </c>
      <c r="I1811" t="s">
        <v>3505</v>
      </c>
      <c r="J1811" t="s">
        <v>3774</v>
      </c>
      <c r="K1811" t="s">
        <v>24</v>
      </c>
      <c r="L1811" s="14">
        <f>IFERROR(VALUE(LEFT(tblMatriculas[[#This Row],[Clases]],FIND("/",tblMatriculas[[#This Row],[Clases]])-1)),"")</f>
        <v>4</v>
      </c>
      <c r="M1811" s="14">
        <f>IFERROR(VALUE(MID(tblMatriculas[[#This Row],[Clases]],FIND("/",tblMatriculas[[#This Row],[Clases]])+1,5)),"")</f>
        <v>30</v>
      </c>
      <c r="N18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1" s="14">
        <f>IF(OR(tblMatriculas[[#This Row],[Estado]]&lt;&gt;"activa",tblMatriculas[[#This Row],[Clases dictadas]]=""),"",MAX(0,tblMatriculas[[#This Row],[Clases dictadas]]-tblMatriculas[[#This Row],[Asistidas]]))</f>
        <v>0</v>
      </c>
      <c r="P1811" s="1">
        <f>IF(OR(tblMatriculas[[#This Row],[Estado]]&lt;&gt;"activa",tblMatriculas[[#This Row],[Asistidas]]=""),"",tblMatriculas[[#This Row],[Asistencia]])</f>
        <v>0.13300000000000001</v>
      </c>
      <c r="Q1811" t="b">
        <f>AND(tblMatriculas[[#This Row],[Estado]]="activa",ISNUMBER(tblMatriculas[[#This Row],[% asistencia]]),NOT(ISNUMBER(SEARCH(pPrueba,tblMatriculas[[#This Row],[Nombre]]))))</f>
        <v>1</v>
      </c>
      <c r="R18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1" s="23" t="str" cm="1">
        <f t="array" ref="S18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1" s="23" t="str" cm="1">
        <f t="array" ref="T18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1" s="14" t="str" cm="1">
        <f t="array" ref="U18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1" t="str" cm="1">
        <f t="array" ref="V18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1" t="str" cm="1">
        <f t="array" ref="W18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1" t="str">
        <f>IF(COUNTIFS('Base Estudiantes'!$C:$C,tblMatriculas[[#This Row],[Cédula]],'Base Estudiantes'!$I:$I,tblMatriculas[[#This Row],[Código]])&gt;0,"Sí","No")</f>
        <v>Sí</v>
      </c>
      <c r="Z1811" s="23" cm="1">
        <f t="array" ref="Z1811">_xlfn.XLOOKUP(tblMatriculas[[#This Row],[Cédula]]&amp;"|"&amp;tblMatriculas[[#This Row],[Código]],tblBase[Documento]&amp;"|"&amp;tblBase[Código grupo],tblBase[Fecha matrícula],"")</f>
        <v>46262</v>
      </c>
    </row>
    <row r="1812" spans="1:26" x14ac:dyDescent="0.2">
      <c r="A1812" t="s">
        <v>3779</v>
      </c>
      <c r="B1812" t="s">
        <v>3780</v>
      </c>
      <c r="C1812" t="s">
        <v>13</v>
      </c>
      <c r="D1812" t="s">
        <v>3772</v>
      </c>
      <c r="E1812" t="s">
        <v>3773</v>
      </c>
      <c r="F1812" t="s">
        <v>807</v>
      </c>
      <c r="G1812" s="1">
        <v>0.1</v>
      </c>
      <c r="H1812" t="s">
        <v>117</v>
      </c>
      <c r="I1812" t="s">
        <v>3505</v>
      </c>
      <c r="J1812" t="s">
        <v>3774</v>
      </c>
      <c r="K1812" t="s">
        <v>24</v>
      </c>
      <c r="L1812" s="14">
        <f>IFERROR(VALUE(LEFT(tblMatriculas[[#This Row],[Clases]],FIND("/",tblMatriculas[[#This Row],[Clases]])-1)),"")</f>
        <v>3</v>
      </c>
      <c r="M1812" s="14">
        <f>IFERROR(VALUE(MID(tblMatriculas[[#This Row],[Clases]],FIND("/",tblMatriculas[[#This Row],[Clases]])+1,5)),"")</f>
        <v>30</v>
      </c>
      <c r="N18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2" s="14">
        <f>IF(OR(tblMatriculas[[#This Row],[Estado]]&lt;&gt;"activa",tblMatriculas[[#This Row],[Clases dictadas]]=""),"",MAX(0,tblMatriculas[[#This Row],[Clases dictadas]]-tblMatriculas[[#This Row],[Asistidas]]))</f>
        <v>1</v>
      </c>
      <c r="P1812" s="1">
        <f>IF(OR(tblMatriculas[[#This Row],[Estado]]&lt;&gt;"activa",tblMatriculas[[#This Row],[Asistidas]]=""),"",tblMatriculas[[#This Row],[Asistencia]])</f>
        <v>0.1</v>
      </c>
      <c r="Q1812" t="b">
        <f>AND(tblMatriculas[[#This Row],[Estado]]="activa",ISNUMBER(tblMatriculas[[#This Row],[% asistencia]]),NOT(ISNUMBER(SEARCH(pPrueba,tblMatriculas[[#This Row],[Nombre]]))))</f>
        <v>1</v>
      </c>
      <c r="R18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2" s="23" t="str" cm="1">
        <f t="array" ref="S18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2" s="23" t="str" cm="1">
        <f t="array" ref="T18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2" s="14" t="str" cm="1">
        <f t="array" ref="U18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2" t="str" cm="1">
        <f t="array" ref="V18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2" t="str" cm="1">
        <f t="array" ref="W18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2" t="str">
        <f>IF(COUNTIFS('Base Estudiantes'!$C:$C,tblMatriculas[[#This Row],[Cédula]],'Base Estudiantes'!$I:$I,tblMatriculas[[#This Row],[Código]])&gt;0,"Sí","No")</f>
        <v>Sí</v>
      </c>
      <c r="Z1812" s="23" cm="1">
        <f t="array" ref="Z1812">_xlfn.XLOOKUP(tblMatriculas[[#This Row],[Cédula]]&amp;"|"&amp;tblMatriculas[[#This Row],[Código]],tblBase[Documento]&amp;"|"&amp;tblBase[Código grupo],tblBase[Fecha matrícula],"")</f>
        <v>46262</v>
      </c>
    </row>
    <row r="1813" spans="1:26" x14ac:dyDescent="0.2">
      <c r="A1813" t="s">
        <v>3781</v>
      </c>
      <c r="B1813" t="s">
        <v>3782</v>
      </c>
      <c r="C1813" t="s">
        <v>13</v>
      </c>
      <c r="D1813" t="s">
        <v>3772</v>
      </c>
      <c r="E1813" t="s">
        <v>3773</v>
      </c>
      <c r="F1813" t="s">
        <v>807</v>
      </c>
      <c r="G1813" s="1">
        <v>6.7000000000000004E-2</v>
      </c>
      <c r="H1813" t="s">
        <v>166</v>
      </c>
      <c r="I1813" t="s">
        <v>3505</v>
      </c>
      <c r="J1813" t="s">
        <v>3774</v>
      </c>
      <c r="K1813" t="s">
        <v>24</v>
      </c>
      <c r="L1813" s="14">
        <f>IFERROR(VALUE(LEFT(tblMatriculas[[#This Row],[Clases]],FIND("/",tblMatriculas[[#This Row],[Clases]])-1)),"")</f>
        <v>2</v>
      </c>
      <c r="M1813" s="14">
        <f>IFERROR(VALUE(MID(tblMatriculas[[#This Row],[Clases]],FIND("/",tblMatriculas[[#This Row],[Clases]])+1,5)),"")</f>
        <v>30</v>
      </c>
      <c r="N18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3" s="14">
        <f>IF(OR(tblMatriculas[[#This Row],[Estado]]&lt;&gt;"activa",tblMatriculas[[#This Row],[Clases dictadas]]=""),"",MAX(0,tblMatriculas[[#This Row],[Clases dictadas]]-tblMatriculas[[#This Row],[Asistidas]]))</f>
        <v>2</v>
      </c>
      <c r="P1813" s="1">
        <f>IF(OR(tblMatriculas[[#This Row],[Estado]]&lt;&gt;"activa",tblMatriculas[[#This Row],[Asistidas]]=""),"",tblMatriculas[[#This Row],[Asistencia]])</f>
        <v>6.7000000000000004E-2</v>
      </c>
      <c r="Q1813" t="b">
        <f>AND(tblMatriculas[[#This Row],[Estado]]="activa",ISNUMBER(tblMatriculas[[#This Row],[% asistencia]]),NOT(ISNUMBER(SEARCH(pPrueba,tblMatriculas[[#This Row],[Nombre]]))))</f>
        <v>1</v>
      </c>
      <c r="R18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13" s="23" t="str" cm="1">
        <f t="array" ref="S18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3" s="23" t="str" cm="1">
        <f t="array" ref="T18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3" s="14" t="str" cm="1">
        <f t="array" ref="U18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3" t="str" cm="1">
        <f t="array" ref="V18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3" t="str" cm="1">
        <f t="array" ref="W18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1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13" t="str">
        <f>IF(COUNTIFS('Base Estudiantes'!$C:$C,tblMatriculas[[#This Row],[Cédula]],'Base Estudiantes'!$I:$I,tblMatriculas[[#This Row],[Código]])&gt;0,"Sí","No")</f>
        <v>Sí</v>
      </c>
      <c r="Z1813" s="23" cm="1">
        <f t="array" ref="Z1813">_xlfn.XLOOKUP(tblMatriculas[[#This Row],[Cédula]]&amp;"|"&amp;tblMatriculas[[#This Row],[Código]],tblBase[Documento]&amp;"|"&amp;tblBase[Código grupo],tblBase[Fecha matrícula],"")</f>
        <v>46262</v>
      </c>
    </row>
    <row r="1814" spans="1:26" x14ac:dyDescent="0.2">
      <c r="A1814" t="s">
        <v>3783</v>
      </c>
      <c r="B1814" t="s">
        <v>3784</v>
      </c>
      <c r="C1814" t="s">
        <v>13</v>
      </c>
      <c r="D1814" t="s">
        <v>3772</v>
      </c>
      <c r="E1814" t="s">
        <v>3773</v>
      </c>
      <c r="F1814" t="s">
        <v>807</v>
      </c>
      <c r="G1814" s="1">
        <v>0</v>
      </c>
      <c r="H1814" t="s">
        <v>254</v>
      </c>
      <c r="I1814" t="s">
        <v>3505</v>
      </c>
      <c r="J1814" t="s">
        <v>3774</v>
      </c>
      <c r="K1814" t="s">
        <v>24</v>
      </c>
      <c r="L1814" s="14">
        <f>IFERROR(VALUE(LEFT(tblMatriculas[[#This Row],[Clases]],FIND("/",tblMatriculas[[#This Row],[Clases]])-1)),"")</f>
        <v>0</v>
      </c>
      <c r="M1814" s="14">
        <f>IFERROR(VALUE(MID(tblMatriculas[[#This Row],[Clases]],FIND("/",tblMatriculas[[#This Row],[Clases]])+1,5)),"")</f>
        <v>30</v>
      </c>
      <c r="N18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4" s="14">
        <f>IF(OR(tblMatriculas[[#This Row],[Estado]]&lt;&gt;"activa",tblMatriculas[[#This Row],[Clases dictadas]]=""),"",MAX(0,tblMatriculas[[#This Row],[Clases dictadas]]-tblMatriculas[[#This Row],[Asistidas]]))</f>
        <v>4</v>
      </c>
      <c r="P1814" s="1">
        <f>IF(OR(tblMatriculas[[#This Row],[Estado]]&lt;&gt;"activa",tblMatriculas[[#This Row],[Asistidas]]=""),"",tblMatriculas[[#This Row],[Asistencia]])</f>
        <v>0</v>
      </c>
      <c r="Q1814" t="b">
        <f>AND(tblMatriculas[[#This Row],[Estado]]="activa",ISNUMBER(tblMatriculas[[#This Row],[% asistencia]]),NOT(ISNUMBER(SEARCH(pPrueba,tblMatriculas[[#This Row],[Nombre]]))))</f>
        <v>1</v>
      </c>
      <c r="R18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14" s="23" t="str" cm="1">
        <f t="array" ref="S18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4" s="23" t="str" cm="1">
        <f t="array" ref="T18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4" s="14" t="str" cm="1">
        <f t="array" ref="U18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4" t="str" cm="1">
        <f t="array" ref="V18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4" t="str" cm="1">
        <f t="array" ref="W18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14" t="str">
        <f>IF(COUNTIFS('Base Estudiantes'!$C:$C,tblMatriculas[[#This Row],[Cédula]],'Base Estudiantes'!$I:$I,tblMatriculas[[#This Row],[Código]])&gt;0,"Sí","No")</f>
        <v>Sí</v>
      </c>
      <c r="Z1814" s="23" cm="1">
        <f t="array" ref="Z1814">_xlfn.XLOOKUP(tblMatriculas[[#This Row],[Cédula]]&amp;"|"&amp;tblMatriculas[[#This Row],[Código]],tblBase[Documento]&amp;"|"&amp;tblBase[Código grupo],tblBase[Fecha matrícula],"")</f>
        <v>46262</v>
      </c>
    </row>
    <row r="1815" spans="1:26" x14ac:dyDescent="0.2">
      <c r="A1815" t="s">
        <v>3785</v>
      </c>
      <c r="B1815" t="s">
        <v>3786</v>
      </c>
      <c r="C1815" t="s">
        <v>13</v>
      </c>
      <c r="D1815" t="s">
        <v>3772</v>
      </c>
      <c r="E1815" t="s">
        <v>3773</v>
      </c>
      <c r="F1815" t="s">
        <v>807</v>
      </c>
      <c r="G1815" s="1">
        <v>0.1</v>
      </c>
      <c r="H1815" t="s">
        <v>117</v>
      </c>
      <c r="I1815" t="s">
        <v>3505</v>
      </c>
      <c r="J1815" t="s">
        <v>3774</v>
      </c>
      <c r="K1815" t="s">
        <v>24</v>
      </c>
      <c r="L1815" s="14">
        <f>IFERROR(VALUE(LEFT(tblMatriculas[[#This Row],[Clases]],FIND("/",tblMatriculas[[#This Row],[Clases]])-1)),"")</f>
        <v>3</v>
      </c>
      <c r="M1815" s="14">
        <f>IFERROR(VALUE(MID(tblMatriculas[[#This Row],[Clases]],FIND("/",tblMatriculas[[#This Row],[Clases]])+1,5)),"")</f>
        <v>30</v>
      </c>
      <c r="N18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5" s="14">
        <f>IF(OR(tblMatriculas[[#This Row],[Estado]]&lt;&gt;"activa",tblMatriculas[[#This Row],[Clases dictadas]]=""),"",MAX(0,tblMatriculas[[#This Row],[Clases dictadas]]-tblMatriculas[[#This Row],[Asistidas]]))</f>
        <v>1</v>
      </c>
      <c r="P1815" s="1">
        <f>IF(OR(tblMatriculas[[#This Row],[Estado]]&lt;&gt;"activa",tblMatriculas[[#This Row],[Asistidas]]=""),"",tblMatriculas[[#This Row],[Asistencia]])</f>
        <v>0.1</v>
      </c>
      <c r="Q1815" t="b">
        <f>AND(tblMatriculas[[#This Row],[Estado]]="activa",ISNUMBER(tblMatriculas[[#This Row],[% asistencia]]),NOT(ISNUMBER(SEARCH(pPrueba,tblMatriculas[[#This Row],[Nombre]]))))</f>
        <v>1</v>
      </c>
      <c r="R18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5" s="23" t="str" cm="1">
        <f t="array" ref="S18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5" s="23" t="str" cm="1">
        <f t="array" ref="T18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5" s="14" t="str" cm="1">
        <f t="array" ref="U18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5" t="str" cm="1">
        <f t="array" ref="V18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5" t="str" cm="1">
        <f t="array" ref="W18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5" t="str">
        <f>IF(COUNTIFS('Base Estudiantes'!$C:$C,tblMatriculas[[#This Row],[Cédula]],'Base Estudiantes'!$I:$I,tblMatriculas[[#This Row],[Código]])&gt;0,"Sí","No")</f>
        <v>Sí</v>
      </c>
      <c r="Z1815" s="23" cm="1">
        <f t="array" ref="Z1815">_xlfn.XLOOKUP(tblMatriculas[[#This Row],[Cédula]]&amp;"|"&amp;tblMatriculas[[#This Row],[Código]],tblBase[Documento]&amp;"|"&amp;tblBase[Código grupo],tblBase[Fecha matrícula],"")</f>
        <v>46262</v>
      </c>
    </row>
    <row r="1816" spans="1:26" x14ac:dyDescent="0.2">
      <c r="A1816" t="s">
        <v>3787</v>
      </c>
      <c r="B1816" t="s">
        <v>3788</v>
      </c>
      <c r="C1816" t="s">
        <v>13</v>
      </c>
      <c r="D1816" t="s">
        <v>3772</v>
      </c>
      <c r="E1816" t="s">
        <v>3773</v>
      </c>
      <c r="F1816" t="s">
        <v>807</v>
      </c>
      <c r="G1816" s="1">
        <v>6.7000000000000004E-2</v>
      </c>
      <c r="H1816" t="s">
        <v>166</v>
      </c>
      <c r="I1816" t="s">
        <v>3505</v>
      </c>
      <c r="J1816" t="s">
        <v>3774</v>
      </c>
      <c r="K1816" t="s">
        <v>24</v>
      </c>
      <c r="L1816" s="14">
        <f>IFERROR(VALUE(LEFT(tblMatriculas[[#This Row],[Clases]],FIND("/",tblMatriculas[[#This Row],[Clases]])-1)),"")</f>
        <v>2</v>
      </c>
      <c r="M1816" s="14">
        <f>IFERROR(VALUE(MID(tblMatriculas[[#This Row],[Clases]],FIND("/",tblMatriculas[[#This Row],[Clases]])+1,5)),"")</f>
        <v>30</v>
      </c>
      <c r="N18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6" s="14">
        <f>IF(OR(tblMatriculas[[#This Row],[Estado]]&lt;&gt;"activa",tblMatriculas[[#This Row],[Clases dictadas]]=""),"",MAX(0,tblMatriculas[[#This Row],[Clases dictadas]]-tblMatriculas[[#This Row],[Asistidas]]))</f>
        <v>2</v>
      </c>
      <c r="P1816" s="1">
        <f>IF(OR(tblMatriculas[[#This Row],[Estado]]&lt;&gt;"activa",tblMatriculas[[#This Row],[Asistidas]]=""),"",tblMatriculas[[#This Row],[Asistencia]])</f>
        <v>6.7000000000000004E-2</v>
      </c>
      <c r="Q1816" t="b">
        <f>AND(tblMatriculas[[#This Row],[Estado]]="activa",ISNUMBER(tblMatriculas[[#This Row],[% asistencia]]),NOT(ISNUMBER(SEARCH(pPrueba,tblMatriculas[[#This Row],[Nombre]]))))</f>
        <v>1</v>
      </c>
      <c r="R18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16" s="23" t="str" cm="1">
        <f t="array" ref="S18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6" s="23" t="str" cm="1">
        <f t="array" ref="T18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6" s="14" t="str" cm="1">
        <f t="array" ref="U18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6" t="str" cm="1">
        <f t="array" ref="V18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6" t="str" cm="1">
        <f t="array" ref="W18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16" t="str">
        <f>IF(COUNTIFS('Base Estudiantes'!$C:$C,tblMatriculas[[#This Row],[Cédula]],'Base Estudiantes'!$I:$I,tblMatriculas[[#This Row],[Código]])&gt;0,"Sí","No")</f>
        <v>Sí</v>
      </c>
      <c r="Z1816" s="23" cm="1">
        <f t="array" ref="Z1816">_xlfn.XLOOKUP(tblMatriculas[[#This Row],[Cédula]]&amp;"|"&amp;tblMatriculas[[#This Row],[Código]],tblBase[Documento]&amp;"|"&amp;tblBase[Código grupo],tblBase[Fecha matrícula],"")</f>
        <v>46262</v>
      </c>
    </row>
    <row r="1817" spans="1:26" x14ac:dyDescent="0.2">
      <c r="A1817" t="s">
        <v>3789</v>
      </c>
      <c r="B1817" t="s">
        <v>3790</v>
      </c>
      <c r="C1817" t="s">
        <v>13</v>
      </c>
      <c r="D1817" t="s">
        <v>3772</v>
      </c>
      <c r="E1817" t="s">
        <v>3773</v>
      </c>
      <c r="F1817" t="s">
        <v>807</v>
      </c>
      <c r="G1817" s="1">
        <v>0.13300000000000001</v>
      </c>
      <c r="H1817" t="s">
        <v>112</v>
      </c>
      <c r="I1817" t="s">
        <v>3505</v>
      </c>
      <c r="J1817" t="s">
        <v>3774</v>
      </c>
      <c r="K1817" t="s">
        <v>24</v>
      </c>
      <c r="L1817" s="14">
        <f>IFERROR(VALUE(LEFT(tblMatriculas[[#This Row],[Clases]],FIND("/",tblMatriculas[[#This Row],[Clases]])-1)),"")</f>
        <v>4</v>
      </c>
      <c r="M1817" s="14">
        <f>IFERROR(VALUE(MID(tblMatriculas[[#This Row],[Clases]],FIND("/",tblMatriculas[[#This Row],[Clases]])+1,5)),"")</f>
        <v>30</v>
      </c>
      <c r="N18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7" s="14">
        <f>IF(OR(tblMatriculas[[#This Row],[Estado]]&lt;&gt;"activa",tblMatriculas[[#This Row],[Clases dictadas]]=""),"",MAX(0,tblMatriculas[[#This Row],[Clases dictadas]]-tblMatriculas[[#This Row],[Asistidas]]))</f>
        <v>0</v>
      </c>
      <c r="P1817" s="1">
        <f>IF(OR(tblMatriculas[[#This Row],[Estado]]&lt;&gt;"activa",tblMatriculas[[#This Row],[Asistidas]]=""),"",tblMatriculas[[#This Row],[Asistencia]])</f>
        <v>0.13300000000000001</v>
      </c>
      <c r="Q1817" t="b">
        <f>AND(tblMatriculas[[#This Row],[Estado]]="activa",ISNUMBER(tblMatriculas[[#This Row],[% asistencia]]),NOT(ISNUMBER(SEARCH(pPrueba,tblMatriculas[[#This Row],[Nombre]]))))</f>
        <v>1</v>
      </c>
      <c r="R18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7" s="23" t="str" cm="1">
        <f t="array" ref="S18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7" s="23" t="str" cm="1">
        <f t="array" ref="T18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7" s="14" t="str" cm="1">
        <f t="array" ref="U18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7" t="str" cm="1">
        <f t="array" ref="V18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7" t="str" cm="1">
        <f t="array" ref="W18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7" t="str">
        <f>IF(COUNTIFS('Base Estudiantes'!$C:$C,tblMatriculas[[#This Row],[Cédula]],'Base Estudiantes'!$I:$I,tblMatriculas[[#This Row],[Código]])&gt;0,"Sí","No")</f>
        <v>Sí</v>
      </c>
      <c r="Z1817" s="23" cm="1">
        <f t="array" ref="Z1817">_xlfn.XLOOKUP(tblMatriculas[[#This Row],[Cédula]]&amp;"|"&amp;tblMatriculas[[#This Row],[Código]],tblBase[Documento]&amp;"|"&amp;tblBase[Código grupo],tblBase[Fecha matrícula],"")</f>
        <v>46262</v>
      </c>
    </row>
    <row r="1818" spans="1:26" x14ac:dyDescent="0.2">
      <c r="A1818" t="s">
        <v>3791</v>
      </c>
      <c r="B1818" t="s">
        <v>3792</v>
      </c>
      <c r="C1818" t="s">
        <v>13</v>
      </c>
      <c r="D1818" t="s">
        <v>3772</v>
      </c>
      <c r="E1818" t="s">
        <v>3773</v>
      </c>
      <c r="F1818" t="s">
        <v>807</v>
      </c>
      <c r="G1818" s="1">
        <v>0.13300000000000001</v>
      </c>
      <c r="H1818" t="s">
        <v>112</v>
      </c>
      <c r="I1818" t="s">
        <v>3505</v>
      </c>
      <c r="J1818" t="s">
        <v>3774</v>
      </c>
      <c r="K1818" t="s">
        <v>24</v>
      </c>
      <c r="L1818" s="14">
        <f>IFERROR(VALUE(LEFT(tblMatriculas[[#This Row],[Clases]],FIND("/",tblMatriculas[[#This Row],[Clases]])-1)),"")</f>
        <v>4</v>
      </c>
      <c r="M1818" s="14">
        <f>IFERROR(VALUE(MID(tblMatriculas[[#This Row],[Clases]],FIND("/",tblMatriculas[[#This Row],[Clases]])+1,5)),"")</f>
        <v>30</v>
      </c>
      <c r="N18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8" s="14">
        <f>IF(OR(tblMatriculas[[#This Row],[Estado]]&lt;&gt;"activa",tblMatriculas[[#This Row],[Clases dictadas]]=""),"",MAX(0,tblMatriculas[[#This Row],[Clases dictadas]]-tblMatriculas[[#This Row],[Asistidas]]))</f>
        <v>0</v>
      </c>
      <c r="P1818" s="1">
        <f>IF(OR(tblMatriculas[[#This Row],[Estado]]&lt;&gt;"activa",tblMatriculas[[#This Row],[Asistidas]]=""),"",tblMatriculas[[#This Row],[Asistencia]])</f>
        <v>0.13300000000000001</v>
      </c>
      <c r="Q1818" t="b">
        <f>AND(tblMatriculas[[#This Row],[Estado]]="activa",ISNUMBER(tblMatriculas[[#This Row],[% asistencia]]),NOT(ISNUMBER(SEARCH(pPrueba,tblMatriculas[[#This Row],[Nombre]]))))</f>
        <v>1</v>
      </c>
      <c r="R18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8" s="23" t="str" cm="1">
        <f t="array" ref="S18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8" s="23" t="str" cm="1">
        <f t="array" ref="T18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8" s="14" t="str" cm="1">
        <f t="array" ref="U18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8" t="str" cm="1">
        <f t="array" ref="V18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8" t="str" cm="1">
        <f t="array" ref="W18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8" t="str">
        <f>IF(COUNTIFS('Base Estudiantes'!$C:$C,tblMatriculas[[#This Row],[Cédula]],'Base Estudiantes'!$I:$I,tblMatriculas[[#This Row],[Código]])&gt;0,"Sí","No")</f>
        <v>Sí</v>
      </c>
      <c r="Z1818" s="23" cm="1">
        <f t="array" ref="Z1818">_xlfn.XLOOKUP(tblMatriculas[[#This Row],[Cédula]]&amp;"|"&amp;tblMatriculas[[#This Row],[Código]],tblBase[Documento]&amp;"|"&amp;tblBase[Código grupo],tblBase[Fecha matrícula],"")</f>
        <v>46262</v>
      </c>
    </row>
    <row r="1819" spans="1:26" x14ac:dyDescent="0.2">
      <c r="A1819" t="s">
        <v>3793</v>
      </c>
      <c r="B1819" t="s">
        <v>3794</v>
      </c>
      <c r="C1819" t="s">
        <v>13</v>
      </c>
      <c r="D1819" t="s">
        <v>3772</v>
      </c>
      <c r="E1819" t="s">
        <v>3773</v>
      </c>
      <c r="F1819" t="s">
        <v>807</v>
      </c>
      <c r="G1819" s="1">
        <v>0.13300000000000001</v>
      </c>
      <c r="H1819" t="s">
        <v>112</v>
      </c>
      <c r="I1819" t="s">
        <v>3505</v>
      </c>
      <c r="J1819" t="s">
        <v>3774</v>
      </c>
      <c r="K1819" t="s">
        <v>24</v>
      </c>
      <c r="L1819" s="14">
        <f>IFERROR(VALUE(LEFT(tblMatriculas[[#This Row],[Clases]],FIND("/",tblMatriculas[[#This Row],[Clases]])-1)),"")</f>
        <v>4</v>
      </c>
      <c r="M1819" s="14">
        <f>IFERROR(VALUE(MID(tblMatriculas[[#This Row],[Clases]],FIND("/",tblMatriculas[[#This Row],[Clases]])+1,5)),"")</f>
        <v>30</v>
      </c>
      <c r="N18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19" s="14">
        <f>IF(OR(tblMatriculas[[#This Row],[Estado]]&lt;&gt;"activa",tblMatriculas[[#This Row],[Clases dictadas]]=""),"",MAX(0,tblMatriculas[[#This Row],[Clases dictadas]]-tblMatriculas[[#This Row],[Asistidas]]))</f>
        <v>0</v>
      </c>
      <c r="P1819" s="1">
        <f>IF(OR(tblMatriculas[[#This Row],[Estado]]&lt;&gt;"activa",tblMatriculas[[#This Row],[Asistidas]]=""),"",tblMatriculas[[#This Row],[Asistencia]])</f>
        <v>0.13300000000000001</v>
      </c>
      <c r="Q1819" t="b">
        <f>AND(tblMatriculas[[#This Row],[Estado]]="activa",ISNUMBER(tblMatriculas[[#This Row],[% asistencia]]),NOT(ISNUMBER(SEARCH(pPrueba,tblMatriculas[[#This Row],[Nombre]]))))</f>
        <v>1</v>
      </c>
      <c r="R18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19" s="23" t="str" cm="1">
        <f t="array" ref="S18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19" s="23" t="str" cm="1">
        <f t="array" ref="T18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19" s="14" t="str" cm="1">
        <f t="array" ref="U18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19" t="str" cm="1">
        <f t="array" ref="V18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19" t="str" cm="1">
        <f t="array" ref="W18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19" t="str">
        <f>IF(COUNTIFS('Base Estudiantes'!$C:$C,tblMatriculas[[#This Row],[Cédula]],'Base Estudiantes'!$I:$I,tblMatriculas[[#This Row],[Código]])&gt;0,"Sí","No")</f>
        <v>Sí</v>
      </c>
      <c r="Z1819" s="23" cm="1">
        <f t="array" ref="Z1819">_xlfn.XLOOKUP(tblMatriculas[[#This Row],[Cédula]]&amp;"|"&amp;tblMatriculas[[#This Row],[Código]],tblBase[Documento]&amp;"|"&amp;tblBase[Código grupo],tblBase[Fecha matrícula],"")</f>
        <v>46262</v>
      </c>
    </row>
    <row r="1820" spans="1:26" x14ac:dyDescent="0.2">
      <c r="A1820" t="s">
        <v>3795</v>
      </c>
      <c r="B1820" t="s">
        <v>3796</v>
      </c>
      <c r="C1820" t="s">
        <v>13</v>
      </c>
      <c r="D1820" t="s">
        <v>3772</v>
      </c>
      <c r="E1820" t="s">
        <v>3773</v>
      </c>
      <c r="F1820" t="s">
        <v>807</v>
      </c>
      <c r="G1820" s="1">
        <v>0</v>
      </c>
      <c r="H1820" t="s">
        <v>254</v>
      </c>
      <c r="I1820" t="s">
        <v>3505</v>
      </c>
      <c r="J1820" t="s">
        <v>3774</v>
      </c>
      <c r="K1820" t="s">
        <v>24</v>
      </c>
      <c r="L1820" s="14">
        <f>IFERROR(VALUE(LEFT(tblMatriculas[[#This Row],[Clases]],FIND("/",tblMatriculas[[#This Row],[Clases]])-1)),"")</f>
        <v>0</v>
      </c>
      <c r="M1820" s="14">
        <f>IFERROR(VALUE(MID(tblMatriculas[[#This Row],[Clases]],FIND("/",tblMatriculas[[#This Row],[Clases]])+1,5)),"")</f>
        <v>30</v>
      </c>
      <c r="N18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0" s="14">
        <f>IF(OR(tblMatriculas[[#This Row],[Estado]]&lt;&gt;"activa",tblMatriculas[[#This Row],[Clases dictadas]]=""),"",MAX(0,tblMatriculas[[#This Row],[Clases dictadas]]-tblMatriculas[[#This Row],[Asistidas]]))</f>
        <v>4</v>
      </c>
      <c r="P1820" s="1">
        <f>IF(OR(tblMatriculas[[#This Row],[Estado]]&lt;&gt;"activa",tblMatriculas[[#This Row],[Asistidas]]=""),"",tblMatriculas[[#This Row],[Asistencia]])</f>
        <v>0</v>
      </c>
      <c r="Q1820" t="b">
        <f>AND(tblMatriculas[[#This Row],[Estado]]="activa",ISNUMBER(tblMatriculas[[#This Row],[% asistencia]]),NOT(ISNUMBER(SEARCH(pPrueba,tblMatriculas[[#This Row],[Nombre]]))))</f>
        <v>1</v>
      </c>
      <c r="R18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20" s="23" t="str" cm="1">
        <f t="array" ref="S18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0" s="23" t="str" cm="1">
        <f t="array" ref="T18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0" s="14" t="str" cm="1">
        <f t="array" ref="U18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0" t="str" cm="1">
        <f t="array" ref="V18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0" t="str" cm="1">
        <f t="array" ref="W18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2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20" t="str">
        <f>IF(COUNTIFS('Base Estudiantes'!$C:$C,tblMatriculas[[#This Row],[Cédula]],'Base Estudiantes'!$I:$I,tblMatriculas[[#This Row],[Código]])&gt;0,"Sí","No")</f>
        <v>Sí</v>
      </c>
      <c r="Z1820" s="23" cm="1">
        <f t="array" ref="Z1820">_xlfn.XLOOKUP(tblMatriculas[[#This Row],[Cédula]]&amp;"|"&amp;tblMatriculas[[#This Row],[Código]],tblBase[Documento]&amp;"|"&amp;tblBase[Código grupo],tblBase[Fecha matrícula],"")</f>
        <v>46262</v>
      </c>
    </row>
    <row r="1821" spans="1:26" x14ac:dyDescent="0.2">
      <c r="A1821" t="s">
        <v>3797</v>
      </c>
      <c r="B1821" t="s">
        <v>3798</v>
      </c>
      <c r="C1821" t="s">
        <v>13</v>
      </c>
      <c r="D1821" t="s">
        <v>3772</v>
      </c>
      <c r="E1821" t="s">
        <v>3773</v>
      </c>
      <c r="F1821" t="s">
        <v>807</v>
      </c>
      <c r="G1821" s="1">
        <v>6.7000000000000004E-2</v>
      </c>
      <c r="H1821" t="s">
        <v>166</v>
      </c>
      <c r="I1821" t="s">
        <v>3505</v>
      </c>
      <c r="J1821" t="s">
        <v>3774</v>
      </c>
      <c r="K1821" t="s">
        <v>24</v>
      </c>
      <c r="L1821" s="14">
        <f>IFERROR(VALUE(LEFT(tblMatriculas[[#This Row],[Clases]],FIND("/",tblMatriculas[[#This Row],[Clases]])-1)),"")</f>
        <v>2</v>
      </c>
      <c r="M1821" s="14">
        <f>IFERROR(VALUE(MID(tblMatriculas[[#This Row],[Clases]],FIND("/",tblMatriculas[[#This Row],[Clases]])+1,5)),"")</f>
        <v>30</v>
      </c>
      <c r="N18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1" s="14">
        <f>IF(OR(tblMatriculas[[#This Row],[Estado]]&lt;&gt;"activa",tblMatriculas[[#This Row],[Clases dictadas]]=""),"",MAX(0,tblMatriculas[[#This Row],[Clases dictadas]]-tblMatriculas[[#This Row],[Asistidas]]))</f>
        <v>2</v>
      </c>
      <c r="P1821" s="1">
        <f>IF(OR(tblMatriculas[[#This Row],[Estado]]&lt;&gt;"activa",tblMatriculas[[#This Row],[Asistidas]]=""),"",tblMatriculas[[#This Row],[Asistencia]])</f>
        <v>6.7000000000000004E-2</v>
      </c>
      <c r="Q1821" t="b">
        <f>AND(tblMatriculas[[#This Row],[Estado]]="activa",ISNUMBER(tblMatriculas[[#This Row],[% asistencia]]),NOT(ISNUMBER(SEARCH(pPrueba,tblMatriculas[[#This Row],[Nombre]]))))</f>
        <v>1</v>
      </c>
      <c r="R18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21" s="23" t="str" cm="1">
        <f t="array" ref="S18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1" s="23" t="str" cm="1">
        <f t="array" ref="T18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1" s="14" t="str" cm="1">
        <f t="array" ref="U18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1" t="str" cm="1">
        <f t="array" ref="V18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1" t="str" cm="1">
        <f t="array" ref="W18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2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21" t="str">
        <f>IF(COUNTIFS('Base Estudiantes'!$C:$C,tblMatriculas[[#This Row],[Cédula]],'Base Estudiantes'!$I:$I,tblMatriculas[[#This Row],[Código]])&gt;0,"Sí","No")</f>
        <v>Sí</v>
      </c>
      <c r="Z1821" s="23" cm="1">
        <f t="array" ref="Z1821">_xlfn.XLOOKUP(tblMatriculas[[#This Row],[Cédula]]&amp;"|"&amp;tblMatriculas[[#This Row],[Código]],tblBase[Documento]&amp;"|"&amp;tblBase[Código grupo],tblBase[Fecha matrícula],"")</f>
        <v>46262</v>
      </c>
    </row>
    <row r="1822" spans="1:26" x14ac:dyDescent="0.2">
      <c r="A1822" t="s">
        <v>3799</v>
      </c>
      <c r="B1822" t="s">
        <v>3800</v>
      </c>
      <c r="C1822" t="s">
        <v>13</v>
      </c>
      <c r="D1822" t="s">
        <v>3772</v>
      </c>
      <c r="E1822" t="s">
        <v>3773</v>
      </c>
      <c r="F1822" t="s">
        <v>807</v>
      </c>
      <c r="G1822" s="1">
        <v>0.13300000000000001</v>
      </c>
      <c r="H1822" t="s">
        <v>112</v>
      </c>
      <c r="I1822" t="s">
        <v>3505</v>
      </c>
      <c r="J1822" t="s">
        <v>3774</v>
      </c>
      <c r="K1822" t="s">
        <v>24</v>
      </c>
      <c r="L1822" s="14">
        <f>IFERROR(VALUE(LEFT(tblMatriculas[[#This Row],[Clases]],FIND("/",tblMatriculas[[#This Row],[Clases]])-1)),"")</f>
        <v>4</v>
      </c>
      <c r="M1822" s="14">
        <f>IFERROR(VALUE(MID(tblMatriculas[[#This Row],[Clases]],FIND("/",tblMatriculas[[#This Row],[Clases]])+1,5)),"")</f>
        <v>30</v>
      </c>
      <c r="N18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2" s="14">
        <f>IF(OR(tblMatriculas[[#This Row],[Estado]]&lt;&gt;"activa",tblMatriculas[[#This Row],[Clases dictadas]]=""),"",MAX(0,tblMatriculas[[#This Row],[Clases dictadas]]-tblMatriculas[[#This Row],[Asistidas]]))</f>
        <v>0</v>
      </c>
      <c r="P1822" s="1">
        <f>IF(OR(tblMatriculas[[#This Row],[Estado]]&lt;&gt;"activa",tblMatriculas[[#This Row],[Asistidas]]=""),"",tblMatriculas[[#This Row],[Asistencia]])</f>
        <v>0.13300000000000001</v>
      </c>
      <c r="Q1822" t="b">
        <f>AND(tblMatriculas[[#This Row],[Estado]]="activa",ISNUMBER(tblMatriculas[[#This Row],[% asistencia]]),NOT(ISNUMBER(SEARCH(pPrueba,tblMatriculas[[#This Row],[Nombre]]))))</f>
        <v>1</v>
      </c>
      <c r="R18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2" s="23" t="str" cm="1">
        <f t="array" ref="S18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2" s="23" t="str" cm="1">
        <f t="array" ref="T18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2" s="14" t="str" cm="1">
        <f t="array" ref="U18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2" t="str" cm="1">
        <f t="array" ref="V18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2" t="str" cm="1">
        <f t="array" ref="W18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2" t="str">
        <f>IF(COUNTIFS('Base Estudiantes'!$C:$C,tblMatriculas[[#This Row],[Cédula]],'Base Estudiantes'!$I:$I,tblMatriculas[[#This Row],[Código]])&gt;0,"Sí","No")</f>
        <v>Sí</v>
      </c>
      <c r="Z1822" s="23" cm="1">
        <f t="array" ref="Z1822">_xlfn.XLOOKUP(tblMatriculas[[#This Row],[Cédula]]&amp;"|"&amp;tblMatriculas[[#This Row],[Código]],tblBase[Documento]&amp;"|"&amp;tblBase[Código grupo],tblBase[Fecha matrícula],"")</f>
        <v>46262</v>
      </c>
    </row>
    <row r="1823" spans="1:26" x14ac:dyDescent="0.2">
      <c r="A1823" t="s">
        <v>3801</v>
      </c>
      <c r="B1823" t="s">
        <v>3802</v>
      </c>
      <c r="C1823" t="s">
        <v>13</v>
      </c>
      <c r="D1823" t="s">
        <v>3772</v>
      </c>
      <c r="E1823" t="s">
        <v>3773</v>
      </c>
      <c r="F1823" t="s">
        <v>807</v>
      </c>
      <c r="G1823" s="1">
        <v>0.1</v>
      </c>
      <c r="H1823" t="s">
        <v>117</v>
      </c>
      <c r="I1823" t="s">
        <v>3505</v>
      </c>
      <c r="J1823" t="s">
        <v>3774</v>
      </c>
      <c r="K1823" t="s">
        <v>24</v>
      </c>
      <c r="L1823" s="14">
        <f>IFERROR(VALUE(LEFT(tblMatriculas[[#This Row],[Clases]],FIND("/",tblMatriculas[[#This Row],[Clases]])-1)),"")</f>
        <v>3</v>
      </c>
      <c r="M1823" s="14">
        <f>IFERROR(VALUE(MID(tblMatriculas[[#This Row],[Clases]],FIND("/",tblMatriculas[[#This Row],[Clases]])+1,5)),"")</f>
        <v>30</v>
      </c>
      <c r="N18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3" s="14">
        <f>IF(OR(tblMatriculas[[#This Row],[Estado]]&lt;&gt;"activa",tblMatriculas[[#This Row],[Clases dictadas]]=""),"",MAX(0,tblMatriculas[[#This Row],[Clases dictadas]]-tblMatriculas[[#This Row],[Asistidas]]))</f>
        <v>1</v>
      </c>
      <c r="P1823" s="1">
        <f>IF(OR(tblMatriculas[[#This Row],[Estado]]&lt;&gt;"activa",tblMatriculas[[#This Row],[Asistidas]]=""),"",tblMatriculas[[#This Row],[Asistencia]])</f>
        <v>0.1</v>
      </c>
      <c r="Q1823" t="b">
        <f>AND(tblMatriculas[[#This Row],[Estado]]="activa",ISNUMBER(tblMatriculas[[#This Row],[% asistencia]]),NOT(ISNUMBER(SEARCH(pPrueba,tblMatriculas[[#This Row],[Nombre]]))))</f>
        <v>1</v>
      </c>
      <c r="R18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3" s="23" t="str" cm="1">
        <f t="array" ref="S18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3" s="23" t="str" cm="1">
        <f t="array" ref="T18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3" s="14" t="str" cm="1">
        <f t="array" ref="U18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3" t="str" cm="1">
        <f t="array" ref="V18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3" t="str" cm="1">
        <f t="array" ref="W18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3" t="str">
        <f>IF(COUNTIFS('Base Estudiantes'!$C:$C,tblMatriculas[[#This Row],[Cédula]],'Base Estudiantes'!$I:$I,tblMatriculas[[#This Row],[Código]])&gt;0,"Sí","No")</f>
        <v>Sí</v>
      </c>
      <c r="Z1823" s="23" cm="1">
        <f t="array" ref="Z1823">_xlfn.XLOOKUP(tblMatriculas[[#This Row],[Cédula]]&amp;"|"&amp;tblMatriculas[[#This Row],[Código]],tblBase[Documento]&amp;"|"&amp;tblBase[Código grupo],tblBase[Fecha matrícula],"")</f>
        <v>46262</v>
      </c>
    </row>
    <row r="1824" spans="1:26" x14ac:dyDescent="0.2">
      <c r="A1824" t="s">
        <v>3803</v>
      </c>
      <c r="B1824" t="s">
        <v>3804</v>
      </c>
      <c r="C1824" t="s">
        <v>13</v>
      </c>
      <c r="D1824" t="s">
        <v>3772</v>
      </c>
      <c r="E1824" t="s">
        <v>3773</v>
      </c>
      <c r="F1824" t="s">
        <v>807</v>
      </c>
      <c r="G1824" s="1">
        <v>0.13300000000000001</v>
      </c>
      <c r="H1824" t="s">
        <v>112</v>
      </c>
      <c r="I1824" t="s">
        <v>3505</v>
      </c>
      <c r="J1824" t="s">
        <v>3774</v>
      </c>
      <c r="K1824" t="s">
        <v>24</v>
      </c>
      <c r="L1824" s="14">
        <f>IFERROR(VALUE(LEFT(tblMatriculas[[#This Row],[Clases]],FIND("/",tblMatriculas[[#This Row],[Clases]])-1)),"")</f>
        <v>4</v>
      </c>
      <c r="M1824" s="14">
        <f>IFERROR(VALUE(MID(tblMatriculas[[#This Row],[Clases]],FIND("/",tblMatriculas[[#This Row],[Clases]])+1,5)),"")</f>
        <v>30</v>
      </c>
      <c r="N18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4" s="14">
        <f>IF(OR(tblMatriculas[[#This Row],[Estado]]&lt;&gt;"activa",tblMatriculas[[#This Row],[Clases dictadas]]=""),"",MAX(0,tblMatriculas[[#This Row],[Clases dictadas]]-tblMatriculas[[#This Row],[Asistidas]]))</f>
        <v>0</v>
      </c>
      <c r="P1824" s="1">
        <f>IF(OR(tblMatriculas[[#This Row],[Estado]]&lt;&gt;"activa",tblMatriculas[[#This Row],[Asistidas]]=""),"",tblMatriculas[[#This Row],[Asistencia]])</f>
        <v>0.13300000000000001</v>
      </c>
      <c r="Q1824" t="b">
        <f>AND(tblMatriculas[[#This Row],[Estado]]="activa",ISNUMBER(tblMatriculas[[#This Row],[% asistencia]]),NOT(ISNUMBER(SEARCH(pPrueba,tblMatriculas[[#This Row],[Nombre]]))))</f>
        <v>1</v>
      </c>
      <c r="R18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4" s="23" t="str" cm="1">
        <f t="array" ref="S18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4" s="23" t="str" cm="1">
        <f t="array" ref="T18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4" s="14" t="str" cm="1">
        <f t="array" ref="U18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4" t="str" cm="1">
        <f t="array" ref="V18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4" t="str" cm="1">
        <f t="array" ref="W18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4" t="str">
        <f>IF(COUNTIFS('Base Estudiantes'!$C:$C,tblMatriculas[[#This Row],[Cédula]],'Base Estudiantes'!$I:$I,tblMatriculas[[#This Row],[Código]])&gt;0,"Sí","No")</f>
        <v>Sí</v>
      </c>
      <c r="Z1824" s="23" cm="1">
        <f t="array" ref="Z1824">_xlfn.XLOOKUP(tblMatriculas[[#This Row],[Cédula]]&amp;"|"&amp;tblMatriculas[[#This Row],[Código]],tblBase[Documento]&amp;"|"&amp;tblBase[Código grupo],tblBase[Fecha matrícula],"")</f>
        <v>46262</v>
      </c>
    </row>
    <row r="1825" spans="1:26" x14ac:dyDescent="0.2">
      <c r="A1825" t="s">
        <v>3805</v>
      </c>
      <c r="B1825" t="s">
        <v>3806</v>
      </c>
      <c r="C1825" t="s">
        <v>13</v>
      </c>
      <c r="D1825" t="s">
        <v>3772</v>
      </c>
      <c r="E1825" t="s">
        <v>3773</v>
      </c>
      <c r="F1825" t="s">
        <v>807</v>
      </c>
      <c r="G1825" s="1">
        <v>0.13300000000000001</v>
      </c>
      <c r="H1825" t="s">
        <v>112</v>
      </c>
      <c r="I1825" t="s">
        <v>3505</v>
      </c>
      <c r="J1825" t="s">
        <v>3774</v>
      </c>
      <c r="K1825" t="s">
        <v>24</v>
      </c>
      <c r="L1825" s="14">
        <f>IFERROR(VALUE(LEFT(tblMatriculas[[#This Row],[Clases]],FIND("/",tblMatriculas[[#This Row],[Clases]])-1)),"")</f>
        <v>4</v>
      </c>
      <c r="M1825" s="14">
        <f>IFERROR(VALUE(MID(tblMatriculas[[#This Row],[Clases]],FIND("/",tblMatriculas[[#This Row],[Clases]])+1,5)),"")</f>
        <v>30</v>
      </c>
      <c r="N18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5" s="14">
        <f>IF(OR(tblMatriculas[[#This Row],[Estado]]&lt;&gt;"activa",tblMatriculas[[#This Row],[Clases dictadas]]=""),"",MAX(0,tblMatriculas[[#This Row],[Clases dictadas]]-tblMatriculas[[#This Row],[Asistidas]]))</f>
        <v>0</v>
      </c>
      <c r="P1825" s="1">
        <f>IF(OR(tblMatriculas[[#This Row],[Estado]]&lt;&gt;"activa",tblMatriculas[[#This Row],[Asistidas]]=""),"",tblMatriculas[[#This Row],[Asistencia]])</f>
        <v>0.13300000000000001</v>
      </c>
      <c r="Q1825" t="b">
        <f>AND(tblMatriculas[[#This Row],[Estado]]="activa",ISNUMBER(tblMatriculas[[#This Row],[% asistencia]]),NOT(ISNUMBER(SEARCH(pPrueba,tblMatriculas[[#This Row],[Nombre]]))))</f>
        <v>1</v>
      </c>
      <c r="R18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5" s="23" t="str" cm="1">
        <f t="array" ref="S18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5" s="23" t="str" cm="1">
        <f t="array" ref="T18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5" s="14" t="str" cm="1">
        <f t="array" ref="U18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5" t="str" cm="1">
        <f t="array" ref="V18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5" t="str" cm="1">
        <f t="array" ref="W18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5" t="str">
        <f>IF(COUNTIFS('Base Estudiantes'!$C:$C,tblMatriculas[[#This Row],[Cédula]],'Base Estudiantes'!$I:$I,tblMatriculas[[#This Row],[Código]])&gt;0,"Sí","No")</f>
        <v>Sí</v>
      </c>
      <c r="Z1825" s="23" cm="1">
        <f t="array" ref="Z1825">_xlfn.XLOOKUP(tblMatriculas[[#This Row],[Cédula]]&amp;"|"&amp;tblMatriculas[[#This Row],[Código]],tblBase[Documento]&amp;"|"&amp;tblBase[Código grupo],tblBase[Fecha matrícula],"")</f>
        <v>46262</v>
      </c>
    </row>
    <row r="1826" spans="1:26" x14ac:dyDescent="0.2">
      <c r="A1826" t="s">
        <v>3807</v>
      </c>
      <c r="B1826" t="s">
        <v>3808</v>
      </c>
      <c r="C1826" t="s">
        <v>13</v>
      </c>
      <c r="D1826" t="s">
        <v>3772</v>
      </c>
      <c r="E1826" t="s">
        <v>3773</v>
      </c>
      <c r="F1826" t="s">
        <v>807</v>
      </c>
      <c r="G1826" s="1">
        <v>0.13300000000000001</v>
      </c>
      <c r="H1826" t="s">
        <v>112</v>
      </c>
      <c r="I1826" t="s">
        <v>3505</v>
      </c>
      <c r="J1826" t="s">
        <v>3774</v>
      </c>
      <c r="K1826" t="s">
        <v>24</v>
      </c>
      <c r="L1826" s="14">
        <f>IFERROR(VALUE(LEFT(tblMatriculas[[#This Row],[Clases]],FIND("/",tblMatriculas[[#This Row],[Clases]])-1)),"")</f>
        <v>4</v>
      </c>
      <c r="M1826" s="14">
        <f>IFERROR(VALUE(MID(tblMatriculas[[#This Row],[Clases]],FIND("/",tblMatriculas[[#This Row],[Clases]])+1,5)),"")</f>
        <v>30</v>
      </c>
      <c r="N18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6" s="14">
        <f>IF(OR(tblMatriculas[[#This Row],[Estado]]&lt;&gt;"activa",tblMatriculas[[#This Row],[Clases dictadas]]=""),"",MAX(0,tblMatriculas[[#This Row],[Clases dictadas]]-tblMatriculas[[#This Row],[Asistidas]]))</f>
        <v>0</v>
      </c>
      <c r="P1826" s="1">
        <f>IF(OR(tblMatriculas[[#This Row],[Estado]]&lt;&gt;"activa",tblMatriculas[[#This Row],[Asistidas]]=""),"",tblMatriculas[[#This Row],[Asistencia]])</f>
        <v>0.13300000000000001</v>
      </c>
      <c r="Q1826" t="b">
        <f>AND(tblMatriculas[[#This Row],[Estado]]="activa",ISNUMBER(tblMatriculas[[#This Row],[% asistencia]]),NOT(ISNUMBER(SEARCH(pPrueba,tblMatriculas[[#This Row],[Nombre]]))))</f>
        <v>1</v>
      </c>
      <c r="R18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6" s="23" t="str" cm="1">
        <f t="array" ref="S18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6" s="23" t="str" cm="1">
        <f t="array" ref="T18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6" s="14" t="str" cm="1">
        <f t="array" ref="U18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6" t="str" cm="1">
        <f t="array" ref="V18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6" t="str" cm="1">
        <f t="array" ref="W18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6" t="str">
        <f>IF(COUNTIFS('Base Estudiantes'!$C:$C,tblMatriculas[[#This Row],[Cédula]],'Base Estudiantes'!$I:$I,tblMatriculas[[#This Row],[Código]])&gt;0,"Sí","No")</f>
        <v>Sí</v>
      </c>
      <c r="Z1826" s="23" cm="1">
        <f t="array" ref="Z1826">_xlfn.XLOOKUP(tblMatriculas[[#This Row],[Cédula]]&amp;"|"&amp;tblMatriculas[[#This Row],[Código]],tblBase[Documento]&amp;"|"&amp;tblBase[Código grupo],tblBase[Fecha matrícula],"")</f>
        <v>46262</v>
      </c>
    </row>
    <row r="1827" spans="1:26" x14ac:dyDescent="0.2">
      <c r="A1827" t="s">
        <v>3809</v>
      </c>
      <c r="B1827" t="s">
        <v>3810</v>
      </c>
      <c r="C1827" t="s">
        <v>13</v>
      </c>
      <c r="D1827" t="s">
        <v>3772</v>
      </c>
      <c r="E1827" t="s">
        <v>3773</v>
      </c>
      <c r="F1827" t="s">
        <v>807</v>
      </c>
      <c r="G1827" s="1">
        <v>0.13300000000000001</v>
      </c>
      <c r="H1827" t="s">
        <v>112</v>
      </c>
      <c r="I1827" t="s">
        <v>3505</v>
      </c>
      <c r="J1827" t="s">
        <v>3774</v>
      </c>
      <c r="K1827" t="s">
        <v>24</v>
      </c>
      <c r="L1827" s="14">
        <f>IFERROR(VALUE(LEFT(tblMatriculas[[#This Row],[Clases]],FIND("/",tblMatriculas[[#This Row],[Clases]])-1)),"")</f>
        <v>4</v>
      </c>
      <c r="M1827" s="14">
        <f>IFERROR(VALUE(MID(tblMatriculas[[#This Row],[Clases]],FIND("/",tblMatriculas[[#This Row],[Clases]])+1,5)),"")</f>
        <v>30</v>
      </c>
      <c r="N18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7" s="14">
        <f>IF(OR(tblMatriculas[[#This Row],[Estado]]&lt;&gt;"activa",tblMatriculas[[#This Row],[Clases dictadas]]=""),"",MAX(0,tblMatriculas[[#This Row],[Clases dictadas]]-tblMatriculas[[#This Row],[Asistidas]]))</f>
        <v>0</v>
      </c>
      <c r="P1827" s="1">
        <f>IF(OR(tblMatriculas[[#This Row],[Estado]]&lt;&gt;"activa",tblMatriculas[[#This Row],[Asistidas]]=""),"",tblMatriculas[[#This Row],[Asistencia]])</f>
        <v>0.13300000000000001</v>
      </c>
      <c r="Q1827" t="b">
        <f>AND(tblMatriculas[[#This Row],[Estado]]="activa",ISNUMBER(tblMatriculas[[#This Row],[% asistencia]]),NOT(ISNUMBER(SEARCH(pPrueba,tblMatriculas[[#This Row],[Nombre]]))))</f>
        <v>1</v>
      </c>
      <c r="R18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27" s="23" t="str" cm="1">
        <f t="array" ref="S18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7" s="23" t="str" cm="1">
        <f t="array" ref="T18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7" s="14" t="str" cm="1">
        <f t="array" ref="U18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7" t="str" cm="1">
        <f t="array" ref="V18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7" t="str" cm="1">
        <f t="array" ref="W18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27" t="str">
        <f>IF(COUNTIFS('Base Estudiantes'!$C:$C,tblMatriculas[[#This Row],[Cédula]],'Base Estudiantes'!$I:$I,tblMatriculas[[#This Row],[Código]])&gt;0,"Sí","No")</f>
        <v>Sí</v>
      </c>
      <c r="Z1827" s="23" cm="1">
        <f t="array" ref="Z1827">_xlfn.XLOOKUP(tblMatriculas[[#This Row],[Cédula]]&amp;"|"&amp;tblMatriculas[[#This Row],[Código]],tblBase[Documento]&amp;"|"&amp;tblBase[Código grupo],tblBase[Fecha matrícula],"")</f>
        <v>46262</v>
      </c>
    </row>
    <row r="1828" spans="1:26" x14ac:dyDescent="0.2">
      <c r="A1828" t="s">
        <v>3811</v>
      </c>
      <c r="B1828" t="s">
        <v>3812</v>
      </c>
      <c r="C1828" t="s">
        <v>13</v>
      </c>
      <c r="D1828" t="s">
        <v>3772</v>
      </c>
      <c r="E1828" t="s">
        <v>3773</v>
      </c>
      <c r="F1828" t="s">
        <v>807</v>
      </c>
      <c r="G1828" s="1">
        <v>0</v>
      </c>
      <c r="H1828" t="s">
        <v>254</v>
      </c>
      <c r="I1828" t="s">
        <v>3505</v>
      </c>
      <c r="J1828" t="s">
        <v>3774</v>
      </c>
      <c r="K1828" t="s">
        <v>24</v>
      </c>
      <c r="L1828" s="14">
        <f>IFERROR(VALUE(LEFT(tblMatriculas[[#This Row],[Clases]],FIND("/",tblMatriculas[[#This Row],[Clases]])-1)),"")</f>
        <v>0</v>
      </c>
      <c r="M1828" s="14">
        <f>IFERROR(VALUE(MID(tblMatriculas[[#This Row],[Clases]],FIND("/",tblMatriculas[[#This Row],[Clases]])+1,5)),"")</f>
        <v>30</v>
      </c>
      <c r="N18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8" s="14">
        <f>IF(OR(tblMatriculas[[#This Row],[Estado]]&lt;&gt;"activa",tblMatriculas[[#This Row],[Clases dictadas]]=""),"",MAX(0,tblMatriculas[[#This Row],[Clases dictadas]]-tblMatriculas[[#This Row],[Asistidas]]))</f>
        <v>4</v>
      </c>
      <c r="P1828" s="1">
        <f>IF(OR(tblMatriculas[[#This Row],[Estado]]&lt;&gt;"activa",tblMatriculas[[#This Row],[Asistidas]]=""),"",tblMatriculas[[#This Row],[Asistencia]])</f>
        <v>0</v>
      </c>
      <c r="Q1828" t="b">
        <f>AND(tblMatriculas[[#This Row],[Estado]]="activa",ISNUMBER(tblMatriculas[[#This Row],[% asistencia]]),NOT(ISNUMBER(SEARCH(pPrueba,tblMatriculas[[#This Row],[Nombre]]))))</f>
        <v>1</v>
      </c>
      <c r="R18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28" s="23" t="str" cm="1">
        <f t="array" ref="S18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8" s="23" t="str" cm="1">
        <f t="array" ref="T18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8" s="14" t="str" cm="1">
        <f t="array" ref="U18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8" t="str" cm="1">
        <f t="array" ref="V18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8" t="str" cm="1">
        <f t="array" ref="W18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28" t="str">
        <f>IF(COUNTIFS('Base Estudiantes'!$C:$C,tblMatriculas[[#This Row],[Cédula]],'Base Estudiantes'!$I:$I,tblMatriculas[[#This Row],[Código]])&gt;0,"Sí","No")</f>
        <v>Sí</v>
      </c>
      <c r="Z1828" s="23" cm="1">
        <f t="array" ref="Z1828">_xlfn.XLOOKUP(tblMatriculas[[#This Row],[Cédula]]&amp;"|"&amp;tblMatriculas[[#This Row],[Código]],tblBase[Documento]&amp;"|"&amp;tblBase[Código grupo],tblBase[Fecha matrícula],"")</f>
        <v>46262</v>
      </c>
    </row>
    <row r="1829" spans="1:26" x14ac:dyDescent="0.2">
      <c r="A1829" t="s">
        <v>3813</v>
      </c>
      <c r="B1829" t="s">
        <v>3814</v>
      </c>
      <c r="C1829" t="s">
        <v>13</v>
      </c>
      <c r="D1829" t="s">
        <v>3772</v>
      </c>
      <c r="E1829" t="s">
        <v>3773</v>
      </c>
      <c r="F1829" t="s">
        <v>807</v>
      </c>
      <c r="G1829" s="1">
        <v>0</v>
      </c>
      <c r="H1829" t="s">
        <v>254</v>
      </c>
      <c r="I1829" t="s">
        <v>3505</v>
      </c>
      <c r="J1829" t="s">
        <v>3774</v>
      </c>
      <c r="K1829" t="s">
        <v>24</v>
      </c>
      <c r="L1829" s="14">
        <f>IFERROR(VALUE(LEFT(tblMatriculas[[#This Row],[Clases]],FIND("/",tblMatriculas[[#This Row],[Clases]])-1)),"")</f>
        <v>0</v>
      </c>
      <c r="M1829" s="14">
        <f>IFERROR(VALUE(MID(tblMatriculas[[#This Row],[Clases]],FIND("/",tblMatriculas[[#This Row],[Clases]])+1,5)),"")</f>
        <v>30</v>
      </c>
      <c r="N18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29" s="14">
        <f>IF(OR(tblMatriculas[[#This Row],[Estado]]&lt;&gt;"activa",tblMatriculas[[#This Row],[Clases dictadas]]=""),"",MAX(0,tblMatriculas[[#This Row],[Clases dictadas]]-tblMatriculas[[#This Row],[Asistidas]]))</f>
        <v>4</v>
      </c>
      <c r="P1829" s="1">
        <f>IF(OR(tblMatriculas[[#This Row],[Estado]]&lt;&gt;"activa",tblMatriculas[[#This Row],[Asistidas]]=""),"",tblMatriculas[[#This Row],[Asistencia]])</f>
        <v>0</v>
      </c>
      <c r="Q1829" t="b">
        <f>AND(tblMatriculas[[#This Row],[Estado]]="activa",ISNUMBER(tblMatriculas[[#This Row],[% asistencia]]),NOT(ISNUMBER(SEARCH(pPrueba,tblMatriculas[[#This Row],[Nombre]]))))</f>
        <v>1</v>
      </c>
      <c r="R18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29" s="23" t="str" cm="1">
        <f t="array" ref="S18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29" s="23" t="str" cm="1">
        <f t="array" ref="T18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29" s="14" t="str" cm="1">
        <f t="array" ref="U18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29" t="str" cm="1">
        <f t="array" ref="V18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29" t="str" cm="1">
        <f t="array" ref="W18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2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29" t="str">
        <f>IF(COUNTIFS('Base Estudiantes'!$C:$C,tblMatriculas[[#This Row],[Cédula]],'Base Estudiantes'!$I:$I,tblMatriculas[[#This Row],[Código]])&gt;0,"Sí","No")</f>
        <v>Sí</v>
      </c>
      <c r="Z1829" s="23" cm="1">
        <f t="array" ref="Z1829">_xlfn.XLOOKUP(tblMatriculas[[#This Row],[Cédula]]&amp;"|"&amp;tblMatriculas[[#This Row],[Código]],tblBase[Documento]&amp;"|"&amp;tblBase[Código grupo],tblBase[Fecha matrícula],"")</f>
        <v>46262</v>
      </c>
    </row>
    <row r="1830" spans="1:26" x14ac:dyDescent="0.2">
      <c r="A1830" t="s">
        <v>3815</v>
      </c>
      <c r="B1830" t="s">
        <v>3816</v>
      </c>
      <c r="C1830" t="s">
        <v>13</v>
      </c>
      <c r="D1830" t="s">
        <v>3772</v>
      </c>
      <c r="E1830" t="s">
        <v>3773</v>
      </c>
      <c r="F1830" t="s">
        <v>807</v>
      </c>
      <c r="G1830" s="1">
        <v>0.13300000000000001</v>
      </c>
      <c r="H1830" t="s">
        <v>112</v>
      </c>
      <c r="I1830" t="s">
        <v>3505</v>
      </c>
      <c r="J1830" t="s">
        <v>3774</v>
      </c>
      <c r="K1830" t="s">
        <v>24</v>
      </c>
      <c r="L1830" s="14">
        <f>IFERROR(VALUE(LEFT(tblMatriculas[[#This Row],[Clases]],FIND("/",tblMatriculas[[#This Row],[Clases]])-1)),"")</f>
        <v>4</v>
      </c>
      <c r="M1830" s="14">
        <f>IFERROR(VALUE(MID(tblMatriculas[[#This Row],[Clases]],FIND("/",tblMatriculas[[#This Row],[Clases]])+1,5)),"")</f>
        <v>30</v>
      </c>
      <c r="N18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0" s="14">
        <f>IF(OR(tblMatriculas[[#This Row],[Estado]]&lt;&gt;"activa",tblMatriculas[[#This Row],[Clases dictadas]]=""),"",MAX(0,tblMatriculas[[#This Row],[Clases dictadas]]-tblMatriculas[[#This Row],[Asistidas]]))</f>
        <v>0</v>
      </c>
      <c r="P1830" s="1">
        <f>IF(OR(tblMatriculas[[#This Row],[Estado]]&lt;&gt;"activa",tblMatriculas[[#This Row],[Asistidas]]=""),"",tblMatriculas[[#This Row],[Asistencia]])</f>
        <v>0.13300000000000001</v>
      </c>
      <c r="Q1830" t="b">
        <f>AND(tblMatriculas[[#This Row],[Estado]]="activa",ISNUMBER(tblMatriculas[[#This Row],[% asistencia]]),NOT(ISNUMBER(SEARCH(pPrueba,tblMatriculas[[#This Row],[Nombre]]))))</f>
        <v>1</v>
      </c>
      <c r="R18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0" s="23" t="str" cm="1">
        <f t="array" ref="S18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0" s="23" t="str" cm="1">
        <f t="array" ref="T18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0" s="14" t="str" cm="1">
        <f t="array" ref="U18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0" t="str" cm="1">
        <f t="array" ref="V18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0" t="str" cm="1">
        <f t="array" ref="W18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0" t="str">
        <f>IF(COUNTIFS('Base Estudiantes'!$C:$C,tblMatriculas[[#This Row],[Cédula]],'Base Estudiantes'!$I:$I,tblMatriculas[[#This Row],[Código]])&gt;0,"Sí","No")</f>
        <v>Sí</v>
      </c>
      <c r="Z1830" s="23" cm="1">
        <f t="array" ref="Z1830">_xlfn.XLOOKUP(tblMatriculas[[#This Row],[Cédula]]&amp;"|"&amp;tblMatriculas[[#This Row],[Código]],tblBase[Documento]&amp;"|"&amp;tblBase[Código grupo],tblBase[Fecha matrícula],"")</f>
        <v>46262</v>
      </c>
    </row>
    <row r="1831" spans="1:26" x14ac:dyDescent="0.2">
      <c r="A1831" t="s">
        <v>3817</v>
      </c>
      <c r="B1831" t="s">
        <v>3818</v>
      </c>
      <c r="C1831" t="s">
        <v>13</v>
      </c>
      <c r="D1831" t="s">
        <v>3772</v>
      </c>
      <c r="E1831" t="s">
        <v>3773</v>
      </c>
      <c r="F1831" t="s">
        <v>807</v>
      </c>
      <c r="G1831" s="1">
        <v>0.13300000000000001</v>
      </c>
      <c r="H1831" t="s">
        <v>112</v>
      </c>
      <c r="I1831" t="s">
        <v>3505</v>
      </c>
      <c r="J1831" t="s">
        <v>3774</v>
      </c>
      <c r="K1831" t="s">
        <v>24</v>
      </c>
      <c r="L1831" s="14">
        <f>IFERROR(VALUE(LEFT(tblMatriculas[[#This Row],[Clases]],FIND("/",tblMatriculas[[#This Row],[Clases]])-1)),"")</f>
        <v>4</v>
      </c>
      <c r="M1831" s="14">
        <f>IFERROR(VALUE(MID(tblMatriculas[[#This Row],[Clases]],FIND("/",tblMatriculas[[#This Row],[Clases]])+1,5)),"")</f>
        <v>30</v>
      </c>
      <c r="N18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1" s="14">
        <f>IF(OR(tblMatriculas[[#This Row],[Estado]]&lt;&gt;"activa",tblMatriculas[[#This Row],[Clases dictadas]]=""),"",MAX(0,tblMatriculas[[#This Row],[Clases dictadas]]-tblMatriculas[[#This Row],[Asistidas]]))</f>
        <v>0</v>
      </c>
      <c r="P1831" s="1">
        <f>IF(OR(tblMatriculas[[#This Row],[Estado]]&lt;&gt;"activa",tblMatriculas[[#This Row],[Asistidas]]=""),"",tblMatriculas[[#This Row],[Asistencia]])</f>
        <v>0.13300000000000001</v>
      </c>
      <c r="Q1831" t="b">
        <f>AND(tblMatriculas[[#This Row],[Estado]]="activa",ISNUMBER(tblMatriculas[[#This Row],[% asistencia]]),NOT(ISNUMBER(SEARCH(pPrueba,tblMatriculas[[#This Row],[Nombre]]))))</f>
        <v>1</v>
      </c>
      <c r="R18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1" s="23" t="str" cm="1">
        <f t="array" ref="S18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1" s="23" t="str" cm="1">
        <f t="array" ref="T18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1" s="14" t="str" cm="1">
        <f t="array" ref="U18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1" t="str" cm="1">
        <f t="array" ref="V18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1" t="str" cm="1">
        <f t="array" ref="W18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1" t="str">
        <f>IF(COUNTIFS('Base Estudiantes'!$C:$C,tblMatriculas[[#This Row],[Cédula]],'Base Estudiantes'!$I:$I,tblMatriculas[[#This Row],[Código]])&gt;0,"Sí","No")</f>
        <v>Sí</v>
      </c>
      <c r="Z1831" s="23" cm="1">
        <f t="array" ref="Z1831">_xlfn.XLOOKUP(tblMatriculas[[#This Row],[Cédula]]&amp;"|"&amp;tblMatriculas[[#This Row],[Código]],tblBase[Documento]&amp;"|"&amp;tblBase[Código grupo],tblBase[Fecha matrícula],"")</f>
        <v>46262</v>
      </c>
    </row>
    <row r="1832" spans="1:26" x14ac:dyDescent="0.2">
      <c r="A1832" t="s">
        <v>3819</v>
      </c>
      <c r="B1832" t="s">
        <v>3820</v>
      </c>
      <c r="C1832" t="s">
        <v>13</v>
      </c>
      <c r="D1832" t="s">
        <v>3772</v>
      </c>
      <c r="E1832" t="s">
        <v>3773</v>
      </c>
      <c r="F1832" t="s">
        <v>807</v>
      </c>
      <c r="G1832" s="1">
        <v>0.13300000000000001</v>
      </c>
      <c r="H1832" t="s">
        <v>112</v>
      </c>
      <c r="I1832" t="s">
        <v>3505</v>
      </c>
      <c r="J1832" t="s">
        <v>3774</v>
      </c>
      <c r="K1832" t="s">
        <v>24</v>
      </c>
      <c r="L1832" s="14">
        <f>IFERROR(VALUE(LEFT(tblMatriculas[[#This Row],[Clases]],FIND("/",tblMatriculas[[#This Row],[Clases]])-1)),"")</f>
        <v>4</v>
      </c>
      <c r="M1832" s="14">
        <f>IFERROR(VALUE(MID(tblMatriculas[[#This Row],[Clases]],FIND("/",tblMatriculas[[#This Row],[Clases]])+1,5)),"")</f>
        <v>30</v>
      </c>
      <c r="N18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2" s="14">
        <f>IF(OR(tblMatriculas[[#This Row],[Estado]]&lt;&gt;"activa",tblMatriculas[[#This Row],[Clases dictadas]]=""),"",MAX(0,tblMatriculas[[#This Row],[Clases dictadas]]-tblMatriculas[[#This Row],[Asistidas]]))</f>
        <v>0</v>
      </c>
      <c r="P1832" s="1">
        <f>IF(OR(tblMatriculas[[#This Row],[Estado]]&lt;&gt;"activa",tblMatriculas[[#This Row],[Asistidas]]=""),"",tblMatriculas[[#This Row],[Asistencia]])</f>
        <v>0.13300000000000001</v>
      </c>
      <c r="Q1832" t="b">
        <f>AND(tblMatriculas[[#This Row],[Estado]]="activa",ISNUMBER(tblMatriculas[[#This Row],[% asistencia]]),NOT(ISNUMBER(SEARCH(pPrueba,tblMatriculas[[#This Row],[Nombre]]))))</f>
        <v>1</v>
      </c>
      <c r="R18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2" s="23" t="str" cm="1">
        <f t="array" ref="S18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2" s="23" t="str" cm="1">
        <f t="array" ref="T18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2" s="14" t="str" cm="1">
        <f t="array" ref="U18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2" t="str" cm="1">
        <f t="array" ref="V18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2" t="str" cm="1">
        <f t="array" ref="W18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2" t="str">
        <f>IF(COUNTIFS('Base Estudiantes'!$C:$C,tblMatriculas[[#This Row],[Cédula]],'Base Estudiantes'!$I:$I,tblMatriculas[[#This Row],[Código]])&gt;0,"Sí","No")</f>
        <v>Sí</v>
      </c>
      <c r="Z1832" s="23" cm="1">
        <f t="array" ref="Z1832">_xlfn.XLOOKUP(tblMatriculas[[#This Row],[Cédula]]&amp;"|"&amp;tblMatriculas[[#This Row],[Código]],tblBase[Documento]&amp;"|"&amp;tblBase[Código grupo],tblBase[Fecha matrícula],"")</f>
        <v>46262</v>
      </c>
    </row>
    <row r="1833" spans="1:26" x14ac:dyDescent="0.2">
      <c r="A1833" t="s">
        <v>3821</v>
      </c>
      <c r="B1833" t="s">
        <v>3822</v>
      </c>
      <c r="C1833" t="s">
        <v>13</v>
      </c>
      <c r="D1833" t="s">
        <v>3772</v>
      </c>
      <c r="E1833" t="s">
        <v>3773</v>
      </c>
      <c r="F1833" t="s">
        <v>807</v>
      </c>
      <c r="G1833" s="1">
        <v>0.13300000000000001</v>
      </c>
      <c r="H1833" t="s">
        <v>112</v>
      </c>
      <c r="I1833" t="s">
        <v>3505</v>
      </c>
      <c r="J1833" t="s">
        <v>3774</v>
      </c>
      <c r="K1833" t="s">
        <v>3567</v>
      </c>
      <c r="L1833" s="14">
        <f>IFERROR(VALUE(LEFT(tblMatriculas[[#This Row],[Clases]],FIND("/",tblMatriculas[[#This Row],[Clases]])-1)),"")</f>
        <v>4</v>
      </c>
      <c r="M1833" s="14">
        <f>IFERROR(VALUE(MID(tblMatriculas[[#This Row],[Clases]],FIND("/",tblMatriculas[[#This Row],[Clases]])+1,5)),"")</f>
        <v>30</v>
      </c>
      <c r="N18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3" s="14">
        <f>IF(OR(tblMatriculas[[#This Row],[Estado]]&lt;&gt;"activa",tblMatriculas[[#This Row],[Clases dictadas]]=""),"",MAX(0,tblMatriculas[[#This Row],[Clases dictadas]]-tblMatriculas[[#This Row],[Asistidas]]))</f>
        <v>0</v>
      </c>
      <c r="P1833" s="1">
        <f>IF(OR(tblMatriculas[[#This Row],[Estado]]&lt;&gt;"activa",tblMatriculas[[#This Row],[Asistidas]]=""),"",tblMatriculas[[#This Row],[Asistencia]])</f>
        <v>0.13300000000000001</v>
      </c>
      <c r="Q1833" t="b">
        <f>AND(tblMatriculas[[#This Row],[Estado]]="activa",ISNUMBER(tblMatriculas[[#This Row],[% asistencia]]),NOT(ISNUMBER(SEARCH(pPrueba,tblMatriculas[[#This Row],[Nombre]]))))</f>
        <v>1</v>
      </c>
      <c r="R18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3" s="23" t="str" cm="1">
        <f t="array" ref="S18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3" s="23" t="str" cm="1">
        <f t="array" ref="T18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3" s="14" t="str" cm="1">
        <f t="array" ref="U18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3" t="str" cm="1">
        <f t="array" ref="V18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3" t="str" cm="1">
        <f t="array" ref="W18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3" t="str">
        <f>IF(COUNTIFS('Base Estudiantes'!$C:$C,tblMatriculas[[#This Row],[Cédula]],'Base Estudiantes'!$I:$I,tblMatriculas[[#This Row],[Código]])&gt;0,"Sí","No")</f>
        <v>Sí</v>
      </c>
      <c r="Z1833" s="23" cm="1">
        <f t="array" ref="Z1833">_xlfn.XLOOKUP(tblMatriculas[[#This Row],[Cédula]]&amp;"|"&amp;tblMatriculas[[#This Row],[Código]],tblBase[Documento]&amp;"|"&amp;tblBase[Código grupo],tblBase[Fecha matrícula],"")</f>
        <v>46262</v>
      </c>
    </row>
    <row r="1834" spans="1:26" x14ac:dyDescent="0.2">
      <c r="A1834" t="s">
        <v>3823</v>
      </c>
      <c r="B1834" t="s">
        <v>3824</v>
      </c>
      <c r="C1834" t="s">
        <v>13</v>
      </c>
      <c r="D1834" t="s">
        <v>3772</v>
      </c>
      <c r="E1834" t="s">
        <v>3773</v>
      </c>
      <c r="F1834" t="s">
        <v>807</v>
      </c>
      <c r="G1834" s="1">
        <v>0.13300000000000001</v>
      </c>
      <c r="H1834" t="s">
        <v>112</v>
      </c>
      <c r="I1834" t="s">
        <v>3505</v>
      </c>
      <c r="J1834" t="s">
        <v>3774</v>
      </c>
      <c r="K1834" t="s">
        <v>24</v>
      </c>
      <c r="L1834" s="14">
        <f>IFERROR(VALUE(LEFT(tblMatriculas[[#This Row],[Clases]],FIND("/",tblMatriculas[[#This Row],[Clases]])-1)),"")</f>
        <v>4</v>
      </c>
      <c r="M1834" s="14">
        <f>IFERROR(VALUE(MID(tblMatriculas[[#This Row],[Clases]],FIND("/",tblMatriculas[[#This Row],[Clases]])+1,5)),"")</f>
        <v>30</v>
      </c>
      <c r="N18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4" s="14">
        <f>IF(OR(tblMatriculas[[#This Row],[Estado]]&lt;&gt;"activa",tblMatriculas[[#This Row],[Clases dictadas]]=""),"",MAX(0,tblMatriculas[[#This Row],[Clases dictadas]]-tblMatriculas[[#This Row],[Asistidas]]))</f>
        <v>0</v>
      </c>
      <c r="P1834" s="1">
        <f>IF(OR(tblMatriculas[[#This Row],[Estado]]&lt;&gt;"activa",tblMatriculas[[#This Row],[Asistidas]]=""),"",tblMatriculas[[#This Row],[Asistencia]])</f>
        <v>0.13300000000000001</v>
      </c>
      <c r="Q1834" t="b">
        <f>AND(tblMatriculas[[#This Row],[Estado]]="activa",ISNUMBER(tblMatriculas[[#This Row],[% asistencia]]),NOT(ISNUMBER(SEARCH(pPrueba,tblMatriculas[[#This Row],[Nombre]]))))</f>
        <v>1</v>
      </c>
      <c r="R18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4" s="23" t="str" cm="1">
        <f t="array" ref="S18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4" s="23" t="str" cm="1">
        <f t="array" ref="T18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4" s="14" t="str" cm="1">
        <f t="array" ref="U18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4" t="str" cm="1">
        <f t="array" ref="V18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4" t="str" cm="1">
        <f t="array" ref="W18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4" t="str">
        <f>IF(COUNTIFS('Base Estudiantes'!$C:$C,tblMatriculas[[#This Row],[Cédula]],'Base Estudiantes'!$I:$I,tblMatriculas[[#This Row],[Código]])&gt;0,"Sí","No")</f>
        <v>Sí</v>
      </c>
      <c r="Z1834" s="23" cm="1">
        <f t="array" ref="Z1834">_xlfn.XLOOKUP(tblMatriculas[[#This Row],[Cédula]]&amp;"|"&amp;tblMatriculas[[#This Row],[Código]],tblBase[Documento]&amp;"|"&amp;tblBase[Código grupo],tblBase[Fecha matrícula],"")</f>
        <v>46263</v>
      </c>
    </row>
    <row r="1835" spans="1:26" x14ac:dyDescent="0.2">
      <c r="A1835" t="s">
        <v>3825</v>
      </c>
      <c r="B1835" t="s">
        <v>3826</v>
      </c>
      <c r="C1835" t="s">
        <v>13</v>
      </c>
      <c r="D1835" t="s">
        <v>3772</v>
      </c>
      <c r="E1835" t="s">
        <v>3773</v>
      </c>
      <c r="F1835" t="s">
        <v>807</v>
      </c>
      <c r="G1835" s="1">
        <v>0.13300000000000001</v>
      </c>
      <c r="H1835" t="s">
        <v>112</v>
      </c>
      <c r="I1835" t="s">
        <v>3505</v>
      </c>
      <c r="J1835" t="s">
        <v>3774</v>
      </c>
      <c r="K1835" t="s">
        <v>24</v>
      </c>
      <c r="L1835" s="14">
        <f>IFERROR(VALUE(LEFT(tblMatriculas[[#This Row],[Clases]],FIND("/",tblMatriculas[[#This Row],[Clases]])-1)),"")</f>
        <v>4</v>
      </c>
      <c r="M1835" s="14">
        <f>IFERROR(VALUE(MID(tblMatriculas[[#This Row],[Clases]],FIND("/",tblMatriculas[[#This Row],[Clases]])+1,5)),"")</f>
        <v>30</v>
      </c>
      <c r="N18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5" s="14">
        <f>IF(OR(tblMatriculas[[#This Row],[Estado]]&lt;&gt;"activa",tblMatriculas[[#This Row],[Clases dictadas]]=""),"",MAX(0,tblMatriculas[[#This Row],[Clases dictadas]]-tblMatriculas[[#This Row],[Asistidas]]))</f>
        <v>0</v>
      </c>
      <c r="P1835" s="1">
        <f>IF(OR(tblMatriculas[[#This Row],[Estado]]&lt;&gt;"activa",tblMatriculas[[#This Row],[Asistidas]]=""),"",tblMatriculas[[#This Row],[Asistencia]])</f>
        <v>0.13300000000000001</v>
      </c>
      <c r="Q1835" t="b">
        <f>AND(tblMatriculas[[#This Row],[Estado]]="activa",ISNUMBER(tblMatriculas[[#This Row],[% asistencia]]),NOT(ISNUMBER(SEARCH(pPrueba,tblMatriculas[[#This Row],[Nombre]]))))</f>
        <v>1</v>
      </c>
      <c r="R18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5" s="23" t="str" cm="1">
        <f t="array" ref="S18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5" s="23" t="str" cm="1">
        <f t="array" ref="T18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5" s="14" t="str" cm="1">
        <f t="array" ref="U18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5" t="str" cm="1">
        <f t="array" ref="V18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5" t="str" cm="1">
        <f t="array" ref="W18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5" t="str">
        <f>IF(COUNTIFS('Base Estudiantes'!$C:$C,tblMatriculas[[#This Row],[Cédula]],'Base Estudiantes'!$I:$I,tblMatriculas[[#This Row],[Código]])&gt;0,"Sí","No")</f>
        <v>Sí</v>
      </c>
      <c r="Z1835" s="23" cm="1">
        <f t="array" ref="Z1835">_xlfn.XLOOKUP(tblMatriculas[[#This Row],[Cédula]]&amp;"|"&amp;tblMatriculas[[#This Row],[Código]],tblBase[Documento]&amp;"|"&amp;tblBase[Código grupo],tblBase[Fecha matrícula],"")</f>
        <v>46265</v>
      </c>
    </row>
    <row r="1836" spans="1:26" x14ac:dyDescent="0.2">
      <c r="A1836" t="s">
        <v>3827</v>
      </c>
      <c r="B1836" t="s">
        <v>3828</v>
      </c>
      <c r="C1836" t="s">
        <v>13</v>
      </c>
      <c r="D1836" t="s">
        <v>3772</v>
      </c>
      <c r="E1836" t="s">
        <v>3773</v>
      </c>
      <c r="F1836" t="s">
        <v>807</v>
      </c>
      <c r="G1836" s="1">
        <v>3.3000000000000002E-2</v>
      </c>
      <c r="H1836" t="s">
        <v>225</v>
      </c>
      <c r="I1836" t="s">
        <v>3505</v>
      </c>
      <c r="J1836" t="s">
        <v>3774</v>
      </c>
      <c r="K1836" t="s">
        <v>24</v>
      </c>
      <c r="L1836" s="14">
        <f>IFERROR(VALUE(LEFT(tblMatriculas[[#This Row],[Clases]],FIND("/",tblMatriculas[[#This Row],[Clases]])-1)),"")</f>
        <v>1</v>
      </c>
      <c r="M1836" s="14">
        <f>IFERROR(VALUE(MID(tblMatriculas[[#This Row],[Clases]],FIND("/",tblMatriculas[[#This Row],[Clases]])+1,5)),"")</f>
        <v>30</v>
      </c>
      <c r="N18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1836" s="14">
        <f>IF(OR(tblMatriculas[[#This Row],[Estado]]&lt;&gt;"activa",tblMatriculas[[#This Row],[Clases dictadas]]=""),"",MAX(0,tblMatriculas[[#This Row],[Clases dictadas]]-tblMatriculas[[#This Row],[Asistidas]]))</f>
        <v>3</v>
      </c>
      <c r="P1836" s="1">
        <f>IF(OR(tblMatriculas[[#This Row],[Estado]]&lt;&gt;"activa",tblMatriculas[[#This Row],[Asistidas]]=""),"",tblMatriculas[[#This Row],[Asistencia]])</f>
        <v>3.3000000000000002E-2</v>
      </c>
      <c r="Q1836" t="b">
        <f>AND(tblMatriculas[[#This Row],[Estado]]="activa",ISNUMBER(tblMatriculas[[#This Row],[% asistencia]]),NOT(ISNUMBER(SEARCH(pPrueba,tblMatriculas[[#This Row],[Nombre]]))))</f>
        <v>1</v>
      </c>
      <c r="R18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836" s="23" t="str" cm="1">
        <f t="array" ref="S18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6" s="23" t="str" cm="1">
        <f t="array" ref="T18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6" s="14" t="str" cm="1">
        <f t="array" ref="U18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6" t="str" cm="1">
        <f t="array" ref="V18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6" t="str" cm="1">
        <f t="array" ref="W18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83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836" t="str">
        <f>IF(COUNTIFS('Base Estudiantes'!$C:$C,tblMatriculas[[#This Row],[Cédula]],'Base Estudiantes'!$I:$I,tblMatriculas[[#This Row],[Código]])&gt;0,"Sí","No")</f>
        <v>Sí</v>
      </c>
      <c r="Z1836" s="23" cm="1">
        <f t="array" ref="Z1836">_xlfn.XLOOKUP(tblMatriculas[[#This Row],[Cédula]]&amp;"|"&amp;tblMatriculas[[#This Row],[Código]],tblBase[Documento]&amp;"|"&amp;tblBase[Código grupo],tblBase[Fecha matrícula],"")</f>
        <v>46265</v>
      </c>
    </row>
    <row r="1837" spans="1:26" x14ac:dyDescent="0.2">
      <c r="A1837" t="s">
        <v>3829</v>
      </c>
      <c r="B1837" t="s">
        <v>3830</v>
      </c>
      <c r="C1837" t="s">
        <v>13</v>
      </c>
      <c r="D1837" t="s">
        <v>3831</v>
      </c>
      <c r="E1837" t="s">
        <v>3832</v>
      </c>
      <c r="F1837" t="s">
        <v>1453</v>
      </c>
      <c r="G1837" s="1">
        <v>0.15</v>
      </c>
      <c r="H1837" t="s">
        <v>852</v>
      </c>
      <c r="I1837" t="s">
        <v>3833</v>
      </c>
      <c r="J1837" t="s">
        <v>3834</v>
      </c>
      <c r="K1837" t="s">
        <v>3835</v>
      </c>
      <c r="L1837" s="14">
        <f>IFERROR(VALUE(LEFT(tblMatriculas[[#This Row],[Clases]],FIND("/",tblMatriculas[[#This Row],[Clases]])-1)),"")</f>
        <v>6</v>
      </c>
      <c r="M1837" s="14">
        <f>IFERROR(VALUE(MID(tblMatriculas[[#This Row],[Clases]],FIND("/",tblMatriculas[[#This Row],[Clases]])+1,5)),"")</f>
        <v>40</v>
      </c>
      <c r="N18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37" s="14">
        <f>IF(OR(tblMatriculas[[#This Row],[Estado]]&lt;&gt;"activa",tblMatriculas[[#This Row],[Clases dictadas]]=""),"",MAX(0,tblMatriculas[[#This Row],[Clases dictadas]]-tblMatriculas[[#This Row],[Asistidas]]))</f>
        <v>0</v>
      </c>
      <c r="P1837" s="1">
        <f>IF(OR(tblMatriculas[[#This Row],[Estado]]&lt;&gt;"activa",tblMatriculas[[#This Row],[Asistidas]]=""),"",tblMatriculas[[#This Row],[Asistencia]])</f>
        <v>0.15</v>
      </c>
      <c r="Q1837" t="b">
        <f>AND(tblMatriculas[[#This Row],[Estado]]="activa",ISNUMBER(tblMatriculas[[#This Row],[% asistencia]]),NOT(ISNUMBER(SEARCH(pPrueba,tblMatriculas[[#This Row],[Nombre]]))))</f>
        <v>1</v>
      </c>
      <c r="R18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7" s="23" t="str" cm="1">
        <f t="array" ref="S18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7" s="23" t="str" cm="1">
        <f t="array" ref="T18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7" s="14" t="str" cm="1">
        <f t="array" ref="U18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7" t="str" cm="1">
        <f t="array" ref="V18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7" t="str" cm="1">
        <f t="array" ref="W18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7" t="str">
        <f>IF(COUNTIFS('Base Estudiantes'!$C:$C,tblMatriculas[[#This Row],[Cédula]],'Base Estudiantes'!$I:$I,tblMatriculas[[#This Row],[Código]])&gt;0,"Sí","No")</f>
        <v>Sí</v>
      </c>
      <c r="Z1837" s="23" cm="1">
        <f t="array" ref="Z1837">_xlfn.XLOOKUP(tblMatriculas[[#This Row],[Cédula]]&amp;"|"&amp;tblMatriculas[[#This Row],[Código]],tblBase[Documento]&amp;"|"&amp;tblBase[Código grupo],tblBase[Fecha matrícula],"")</f>
        <v>46262</v>
      </c>
    </row>
    <row r="1838" spans="1:26" x14ac:dyDescent="0.2">
      <c r="A1838" t="s">
        <v>3836</v>
      </c>
      <c r="B1838" t="s">
        <v>3837</v>
      </c>
      <c r="C1838" t="s">
        <v>13</v>
      </c>
      <c r="D1838" t="s">
        <v>3831</v>
      </c>
      <c r="E1838" t="s">
        <v>3832</v>
      </c>
      <c r="F1838" t="s">
        <v>1453</v>
      </c>
      <c r="G1838" s="1">
        <v>7.4999999999999997E-2</v>
      </c>
      <c r="H1838" t="s">
        <v>881</v>
      </c>
      <c r="I1838" t="s">
        <v>3833</v>
      </c>
      <c r="J1838" t="s">
        <v>3834</v>
      </c>
      <c r="K1838" t="s">
        <v>3838</v>
      </c>
      <c r="L1838" s="14">
        <f>IFERROR(VALUE(LEFT(tblMatriculas[[#This Row],[Clases]],FIND("/",tblMatriculas[[#This Row],[Clases]])-1)),"")</f>
        <v>3</v>
      </c>
      <c r="M1838" s="14">
        <f>IFERROR(VALUE(MID(tblMatriculas[[#This Row],[Clases]],FIND("/",tblMatriculas[[#This Row],[Clases]])+1,5)),"")</f>
        <v>40</v>
      </c>
      <c r="N18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38" s="14">
        <f>IF(OR(tblMatriculas[[#This Row],[Estado]]&lt;&gt;"activa",tblMatriculas[[#This Row],[Clases dictadas]]=""),"",MAX(0,tblMatriculas[[#This Row],[Clases dictadas]]-tblMatriculas[[#This Row],[Asistidas]]))</f>
        <v>3</v>
      </c>
      <c r="P1838" s="1">
        <f>IF(OR(tblMatriculas[[#This Row],[Estado]]&lt;&gt;"activa",tblMatriculas[[#This Row],[Asistidas]]=""),"",tblMatriculas[[#This Row],[Asistencia]])</f>
        <v>7.4999999999999997E-2</v>
      </c>
      <c r="Q1838" t="b">
        <f>AND(tblMatriculas[[#This Row],[Estado]]="activa",ISNUMBER(tblMatriculas[[#This Row],[% asistencia]]),NOT(ISNUMBER(SEARCH(pPrueba,tblMatriculas[[#This Row],[Nombre]]))))</f>
        <v>1</v>
      </c>
      <c r="R18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8" s="23" t="str" cm="1">
        <f t="array" ref="S18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8" s="23" t="str" cm="1">
        <f t="array" ref="T18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8" s="14" t="str" cm="1">
        <f t="array" ref="U18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8" t="str" cm="1">
        <f t="array" ref="V18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8" t="str" cm="1">
        <f t="array" ref="W18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8" t="str">
        <f>IF(COUNTIFS('Base Estudiantes'!$C:$C,tblMatriculas[[#This Row],[Cédula]],'Base Estudiantes'!$I:$I,tblMatriculas[[#This Row],[Código]])&gt;0,"Sí","No")</f>
        <v>Sí</v>
      </c>
      <c r="Z1838" s="23" cm="1">
        <f t="array" ref="Z1838">_xlfn.XLOOKUP(tblMatriculas[[#This Row],[Cédula]]&amp;"|"&amp;tblMatriculas[[#This Row],[Código]],tblBase[Documento]&amp;"|"&amp;tblBase[Código grupo],tblBase[Fecha matrícula],"")</f>
        <v>46262</v>
      </c>
    </row>
    <row r="1839" spans="1:26" x14ac:dyDescent="0.2">
      <c r="A1839" t="s">
        <v>3839</v>
      </c>
      <c r="B1839" t="s">
        <v>3840</v>
      </c>
      <c r="C1839" t="s">
        <v>13</v>
      </c>
      <c r="D1839" t="s">
        <v>3831</v>
      </c>
      <c r="E1839" t="s">
        <v>3832</v>
      </c>
      <c r="F1839" t="s">
        <v>1453</v>
      </c>
      <c r="G1839" s="1">
        <v>0.1</v>
      </c>
      <c r="H1839" t="s">
        <v>3841</v>
      </c>
      <c r="I1839" t="s">
        <v>3833</v>
      </c>
      <c r="J1839" t="s">
        <v>3834</v>
      </c>
      <c r="K1839" t="s">
        <v>3842</v>
      </c>
      <c r="L1839" s="14">
        <f>IFERROR(VALUE(LEFT(tblMatriculas[[#This Row],[Clases]],FIND("/",tblMatriculas[[#This Row],[Clases]])-1)),"")</f>
        <v>7</v>
      </c>
      <c r="M1839" s="14">
        <f>IFERROR(VALUE(MID(tblMatriculas[[#This Row],[Clases]],FIND("/",tblMatriculas[[#This Row],[Clases]])+1,5)),"")</f>
        <v>70</v>
      </c>
      <c r="N18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839" s="14">
        <f>IF(OR(tblMatriculas[[#This Row],[Estado]]&lt;&gt;"activa",tblMatriculas[[#This Row],[Clases dictadas]]=""),"",MAX(0,tblMatriculas[[#This Row],[Clases dictadas]]-tblMatriculas[[#This Row],[Asistidas]]))</f>
        <v>4</v>
      </c>
      <c r="P1839" s="1">
        <f>IF(OR(tblMatriculas[[#This Row],[Estado]]&lt;&gt;"activa",tblMatriculas[[#This Row],[Asistidas]]=""),"",tblMatriculas[[#This Row],[Asistencia]])</f>
        <v>0.1</v>
      </c>
      <c r="Q1839" t="b">
        <f>AND(tblMatriculas[[#This Row],[Estado]]="activa",ISNUMBER(tblMatriculas[[#This Row],[% asistencia]]),NOT(ISNUMBER(SEARCH(pPrueba,tblMatriculas[[#This Row],[Nombre]]))))</f>
        <v>1</v>
      </c>
      <c r="R18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39" s="23" t="str" cm="1">
        <f t="array" ref="S18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39" s="23" t="str" cm="1">
        <f t="array" ref="T18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39" s="14" t="str" cm="1">
        <f t="array" ref="U18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39" t="str" cm="1">
        <f t="array" ref="V18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39" t="str" cm="1">
        <f t="array" ref="W18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39" t="str">
        <f>IF(COUNTIFS('Base Estudiantes'!$C:$C,tblMatriculas[[#This Row],[Cédula]],'Base Estudiantes'!$I:$I,tblMatriculas[[#This Row],[Código]])&gt;0,"Sí","No")</f>
        <v>Sí</v>
      </c>
      <c r="Z1839" s="23" cm="1">
        <f t="array" ref="Z1839">_xlfn.XLOOKUP(tblMatriculas[[#This Row],[Cédula]]&amp;"|"&amp;tblMatriculas[[#This Row],[Código]],tblBase[Documento]&amp;"|"&amp;tblBase[Código grupo],tblBase[Fecha matrícula],"")</f>
        <v>46262</v>
      </c>
    </row>
    <row r="1840" spans="1:26" x14ac:dyDescent="0.2">
      <c r="A1840" t="s">
        <v>3843</v>
      </c>
      <c r="B1840" t="s">
        <v>3844</v>
      </c>
      <c r="C1840" t="s">
        <v>13</v>
      </c>
      <c r="D1840" t="s">
        <v>3831</v>
      </c>
      <c r="E1840" t="s">
        <v>3832</v>
      </c>
      <c r="F1840" t="s">
        <v>1453</v>
      </c>
      <c r="G1840" s="1">
        <v>0.15</v>
      </c>
      <c r="H1840" t="s">
        <v>852</v>
      </c>
      <c r="I1840" t="s">
        <v>3833</v>
      </c>
      <c r="J1840" t="s">
        <v>3834</v>
      </c>
      <c r="K1840" t="s">
        <v>3842</v>
      </c>
      <c r="L1840" s="14">
        <f>IFERROR(VALUE(LEFT(tblMatriculas[[#This Row],[Clases]],FIND("/",tblMatriculas[[#This Row],[Clases]])-1)),"")</f>
        <v>6</v>
      </c>
      <c r="M1840" s="14">
        <f>IFERROR(VALUE(MID(tblMatriculas[[#This Row],[Clases]],FIND("/",tblMatriculas[[#This Row],[Clases]])+1,5)),"")</f>
        <v>40</v>
      </c>
      <c r="N18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0" s="14">
        <f>IF(OR(tblMatriculas[[#This Row],[Estado]]&lt;&gt;"activa",tblMatriculas[[#This Row],[Clases dictadas]]=""),"",MAX(0,tblMatriculas[[#This Row],[Clases dictadas]]-tblMatriculas[[#This Row],[Asistidas]]))</f>
        <v>0</v>
      </c>
      <c r="P1840" s="1">
        <f>IF(OR(tblMatriculas[[#This Row],[Estado]]&lt;&gt;"activa",tblMatriculas[[#This Row],[Asistidas]]=""),"",tblMatriculas[[#This Row],[Asistencia]])</f>
        <v>0.15</v>
      </c>
      <c r="Q1840" t="b">
        <f>AND(tblMatriculas[[#This Row],[Estado]]="activa",ISNUMBER(tblMatriculas[[#This Row],[% asistencia]]),NOT(ISNUMBER(SEARCH(pPrueba,tblMatriculas[[#This Row],[Nombre]]))))</f>
        <v>1</v>
      </c>
      <c r="R18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0" s="23" t="str" cm="1">
        <f t="array" ref="S18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0" s="23" t="str" cm="1">
        <f t="array" ref="T18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0" s="14" t="str" cm="1">
        <f t="array" ref="U18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0" t="str" cm="1">
        <f t="array" ref="V18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0" t="str" cm="1">
        <f t="array" ref="W18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0" t="str">
        <f>IF(COUNTIFS('Base Estudiantes'!$C:$C,tblMatriculas[[#This Row],[Cédula]],'Base Estudiantes'!$I:$I,tblMatriculas[[#This Row],[Código]])&gt;0,"Sí","No")</f>
        <v>Sí</v>
      </c>
      <c r="Z1840" s="23" cm="1">
        <f t="array" ref="Z1840">_xlfn.XLOOKUP(tblMatriculas[[#This Row],[Cédula]]&amp;"|"&amp;tblMatriculas[[#This Row],[Código]],tblBase[Documento]&amp;"|"&amp;tblBase[Código grupo],tblBase[Fecha matrícula],"")</f>
        <v>46262</v>
      </c>
    </row>
    <row r="1841" spans="1:26" x14ac:dyDescent="0.2">
      <c r="A1841" t="s">
        <v>3845</v>
      </c>
      <c r="B1841" t="s">
        <v>3846</v>
      </c>
      <c r="C1841" t="s">
        <v>13</v>
      </c>
      <c r="D1841" t="s">
        <v>3831</v>
      </c>
      <c r="E1841" t="s">
        <v>3832</v>
      </c>
      <c r="F1841" t="s">
        <v>1453</v>
      </c>
      <c r="G1841" s="1">
        <v>0.15</v>
      </c>
      <c r="H1841" t="s">
        <v>852</v>
      </c>
      <c r="I1841" t="s">
        <v>3833</v>
      </c>
      <c r="J1841" t="s">
        <v>3834</v>
      </c>
      <c r="K1841" t="s">
        <v>3847</v>
      </c>
      <c r="L1841" s="14">
        <f>IFERROR(VALUE(LEFT(tblMatriculas[[#This Row],[Clases]],FIND("/",tblMatriculas[[#This Row],[Clases]])-1)),"")</f>
        <v>6</v>
      </c>
      <c r="M1841" s="14">
        <f>IFERROR(VALUE(MID(tblMatriculas[[#This Row],[Clases]],FIND("/",tblMatriculas[[#This Row],[Clases]])+1,5)),"")</f>
        <v>40</v>
      </c>
      <c r="N18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1" s="14">
        <f>IF(OR(tblMatriculas[[#This Row],[Estado]]&lt;&gt;"activa",tblMatriculas[[#This Row],[Clases dictadas]]=""),"",MAX(0,tblMatriculas[[#This Row],[Clases dictadas]]-tblMatriculas[[#This Row],[Asistidas]]))</f>
        <v>0</v>
      </c>
      <c r="P1841" s="1">
        <f>IF(OR(tblMatriculas[[#This Row],[Estado]]&lt;&gt;"activa",tblMatriculas[[#This Row],[Asistidas]]=""),"",tblMatriculas[[#This Row],[Asistencia]])</f>
        <v>0.15</v>
      </c>
      <c r="Q1841" t="b">
        <f>AND(tblMatriculas[[#This Row],[Estado]]="activa",ISNUMBER(tblMatriculas[[#This Row],[% asistencia]]),NOT(ISNUMBER(SEARCH(pPrueba,tblMatriculas[[#This Row],[Nombre]]))))</f>
        <v>1</v>
      </c>
      <c r="R18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1" s="23" t="str" cm="1">
        <f t="array" ref="S18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1" s="23" t="str" cm="1">
        <f t="array" ref="T18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1" s="14" t="str" cm="1">
        <f t="array" ref="U18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1" t="str" cm="1">
        <f t="array" ref="V18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1" t="str" cm="1">
        <f t="array" ref="W18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1" t="str">
        <f>IF(COUNTIFS('Base Estudiantes'!$C:$C,tblMatriculas[[#This Row],[Cédula]],'Base Estudiantes'!$I:$I,tblMatriculas[[#This Row],[Código]])&gt;0,"Sí","No")</f>
        <v>Sí</v>
      </c>
      <c r="Z1841" s="23" cm="1">
        <f t="array" ref="Z1841">_xlfn.XLOOKUP(tblMatriculas[[#This Row],[Cédula]]&amp;"|"&amp;tblMatriculas[[#This Row],[Código]],tblBase[Documento]&amp;"|"&amp;tblBase[Código grupo],tblBase[Fecha matrícula],"")</f>
        <v>46262</v>
      </c>
    </row>
    <row r="1842" spans="1:26" x14ac:dyDescent="0.2">
      <c r="A1842" t="s">
        <v>3848</v>
      </c>
      <c r="B1842" t="s">
        <v>3849</v>
      </c>
      <c r="C1842" t="s">
        <v>13</v>
      </c>
      <c r="D1842" t="s">
        <v>3831</v>
      </c>
      <c r="E1842" t="s">
        <v>3832</v>
      </c>
      <c r="F1842" t="s">
        <v>1453</v>
      </c>
      <c r="G1842" s="1">
        <v>0.15</v>
      </c>
      <c r="H1842" t="s">
        <v>852</v>
      </c>
      <c r="I1842" t="s">
        <v>3833</v>
      </c>
      <c r="J1842" t="s">
        <v>3834</v>
      </c>
      <c r="K1842" t="s">
        <v>24</v>
      </c>
      <c r="L1842" s="14">
        <f>IFERROR(VALUE(LEFT(tblMatriculas[[#This Row],[Clases]],FIND("/",tblMatriculas[[#This Row],[Clases]])-1)),"")</f>
        <v>6</v>
      </c>
      <c r="M1842" s="14">
        <f>IFERROR(VALUE(MID(tblMatriculas[[#This Row],[Clases]],FIND("/",tblMatriculas[[#This Row],[Clases]])+1,5)),"")</f>
        <v>40</v>
      </c>
      <c r="N18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2" s="14">
        <f>IF(OR(tblMatriculas[[#This Row],[Estado]]&lt;&gt;"activa",tblMatriculas[[#This Row],[Clases dictadas]]=""),"",MAX(0,tblMatriculas[[#This Row],[Clases dictadas]]-tblMatriculas[[#This Row],[Asistidas]]))</f>
        <v>0</v>
      </c>
      <c r="P1842" s="1">
        <f>IF(OR(tblMatriculas[[#This Row],[Estado]]&lt;&gt;"activa",tblMatriculas[[#This Row],[Asistidas]]=""),"",tblMatriculas[[#This Row],[Asistencia]])</f>
        <v>0.15</v>
      </c>
      <c r="Q1842" t="b">
        <f>AND(tblMatriculas[[#This Row],[Estado]]="activa",ISNUMBER(tblMatriculas[[#This Row],[% asistencia]]),NOT(ISNUMBER(SEARCH(pPrueba,tblMatriculas[[#This Row],[Nombre]]))))</f>
        <v>1</v>
      </c>
      <c r="R18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2" s="23" t="str" cm="1">
        <f t="array" ref="S18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2" s="23" t="str" cm="1">
        <f t="array" ref="T18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2" s="14" t="str" cm="1">
        <f t="array" ref="U18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2" t="str" cm="1">
        <f t="array" ref="V18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2" t="str" cm="1">
        <f t="array" ref="W18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2" t="str">
        <f>IF(COUNTIFS('Base Estudiantes'!$C:$C,tblMatriculas[[#This Row],[Cédula]],'Base Estudiantes'!$I:$I,tblMatriculas[[#This Row],[Código]])&gt;0,"Sí","No")</f>
        <v>Sí</v>
      </c>
      <c r="Z1842" s="23" cm="1">
        <f t="array" ref="Z1842">_xlfn.XLOOKUP(tblMatriculas[[#This Row],[Cédula]]&amp;"|"&amp;tblMatriculas[[#This Row],[Código]],tblBase[Documento]&amp;"|"&amp;tblBase[Código grupo],tblBase[Fecha matrícula],"")</f>
        <v>46262</v>
      </c>
    </row>
    <row r="1843" spans="1:26" x14ac:dyDescent="0.2">
      <c r="A1843" t="s">
        <v>3850</v>
      </c>
      <c r="B1843" t="s">
        <v>3851</v>
      </c>
      <c r="C1843" t="s">
        <v>13</v>
      </c>
      <c r="D1843" t="s">
        <v>3831</v>
      </c>
      <c r="E1843" t="s">
        <v>3832</v>
      </c>
      <c r="F1843" t="s">
        <v>1453</v>
      </c>
      <c r="G1843" s="1">
        <v>0.15</v>
      </c>
      <c r="H1843" t="s">
        <v>852</v>
      </c>
      <c r="I1843" t="s">
        <v>3833</v>
      </c>
      <c r="J1843" t="s">
        <v>3834</v>
      </c>
      <c r="K1843" t="s">
        <v>24</v>
      </c>
      <c r="L1843" s="14">
        <f>IFERROR(VALUE(LEFT(tblMatriculas[[#This Row],[Clases]],FIND("/",tblMatriculas[[#This Row],[Clases]])-1)),"")</f>
        <v>6</v>
      </c>
      <c r="M1843" s="14">
        <f>IFERROR(VALUE(MID(tblMatriculas[[#This Row],[Clases]],FIND("/",tblMatriculas[[#This Row],[Clases]])+1,5)),"")</f>
        <v>40</v>
      </c>
      <c r="N18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3" s="14">
        <f>IF(OR(tblMatriculas[[#This Row],[Estado]]&lt;&gt;"activa",tblMatriculas[[#This Row],[Clases dictadas]]=""),"",MAX(0,tblMatriculas[[#This Row],[Clases dictadas]]-tblMatriculas[[#This Row],[Asistidas]]))</f>
        <v>0</v>
      </c>
      <c r="P1843" s="1">
        <f>IF(OR(tblMatriculas[[#This Row],[Estado]]&lt;&gt;"activa",tblMatriculas[[#This Row],[Asistidas]]=""),"",tblMatriculas[[#This Row],[Asistencia]])</f>
        <v>0.15</v>
      </c>
      <c r="Q1843" t="b">
        <f>AND(tblMatriculas[[#This Row],[Estado]]="activa",ISNUMBER(tblMatriculas[[#This Row],[% asistencia]]),NOT(ISNUMBER(SEARCH(pPrueba,tblMatriculas[[#This Row],[Nombre]]))))</f>
        <v>1</v>
      </c>
      <c r="R18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3" s="23" t="str" cm="1">
        <f t="array" ref="S18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3" s="23" t="str" cm="1">
        <f t="array" ref="T18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3" s="14" t="str" cm="1">
        <f t="array" ref="U18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3" t="str" cm="1">
        <f t="array" ref="V18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3" t="str" cm="1">
        <f t="array" ref="W18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3" t="str">
        <f>IF(COUNTIFS('Base Estudiantes'!$C:$C,tblMatriculas[[#This Row],[Cédula]],'Base Estudiantes'!$I:$I,tblMatriculas[[#This Row],[Código]])&gt;0,"Sí","No")</f>
        <v>Sí</v>
      </c>
      <c r="Z1843" s="23" cm="1">
        <f t="array" ref="Z1843">_xlfn.XLOOKUP(tblMatriculas[[#This Row],[Cédula]]&amp;"|"&amp;tblMatriculas[[#This Row],[Código]],tblBase[Documento]&amp;"|"&amp;tblBase[Código grupo],tblBase[Fecha matrícula],"")</f>
        <v>46262</v>
      </c>
    </row>
    <row r="1844" spans="1:26" x14ac:dyDescent="0.2">
      <c r="A1844" t="s">
        <v>3852</v>
      </c>
      <c r="B1844" t="s">
        <v>3853</v>
      </c>
      <c r="C1844" t="s">
        <v>13</v>
      </c>
      <c r="D1844" t="s">
        <v>3831</v>
      </c>
      <c r="E1844" t="s">
        <v>3832</v>
      </c>
      <c r="F1844" t="s">
        <v>1453</v>
      </c>
      <c r="G1844" s="1">
        <v>0.1</v>
      </c>
      <c r="H1844" t="s">
        <v>867</v>
      </c>
      <c r="I1844" t="s">
        <v>3833</v>
      </c>
      <c r="J1844" t="s">
        <v>3834</v>
      </c>
      <c r="K1844" t="s">
        <v>24</v>
      </c>
      <c r="L1844" s="14">
        <f>IFERROR(VALUE(LEFT(tblMatriculas[[#This Row],[Clases]],FIND("/",tblMatriculas[[#This Row],[Clases]])-1)),"")</f>
        <v>4</v>
      </c>
      <c r="M1844" s="14">
        <f>IFERROR(VALUE(MID(tblMatriculas[[#This Row],[Clases]],FIND("/",tblMatriculas[[#This Row],[Clases]])+1,5)),"")</f>
        <v>40</v>
      </c>
      <c r="N18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4" s="14">
        <f>IF(OR(tblMatriculas[[#This Row],[Estado]]&lt;&gt;"activa",tblMatriculas[[#This Row],[Clases dictadas]]=""),"",MAX(0,tblMatriculas[[#This Row],[Clases dictadas]]-tblMatriculas[[#This Row],[Asistidas]]))</f>
        <v>2</v>
      </c>
      <c r="P1844" s="1">
        <f>IF(OR(tblMatriculas[[#This Row],[Estado]]&lt;&gt;"activa",tblMatriculas[[#This Row],[Asistidas]]=""),"",tblMatriculas[[#This Row],[Asistencia]])</f>
        <v>0.1</v>
      </c>
      <c r="Q1844" t="b">
        <f>AND(tblMatriculas[[#This Row],[Estado]]="activa",ISNUMBER(tblMatriculas[[#This Row],[% asistencia]]),NOT(ISNUMBER(SEARCH(pPrueba,tblMatriculas[[#This Row],[Nombre]]))))</f>
        <v>1</v>
      </c>
      <c r="R18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4" s="23" t="str" cm="1">
        <f t="array" ref="S18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4" s="23" t="str" cm="1">
        <f t="array" ref="T18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4" s="14" t="str" cm="1">
        <f t="array" ref="U18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4" t="str" cm="1">
        <f t="array" ref="V18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4" t="str" cm="1">
        <f t="array" ref="W18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4" t="str">
        <f>IF(COUNTIFS('Base Estudiantes'!$C:$C,tblMatriculas[[#This Row],[Cédula]],'Base Estudiantes'!$I:$I,tblMatriculas[[#This Row],[Código]])&gt;0,"Sí","No")</f>
        <v>Sí</v>
      </c>
      <c r="Z1844" s="23" cm="1">
        <f t="array" ref="Z1844">_xlfn.XLOOKUP(tblMatriculas[[#This Row],[Cédula]]&amp;"|"&amp;tblMatriculas[[#This Row],[Código]],tblBase[Documento]&amp;"|"&amp;tblBase[Código grupo],tblBase[Fecha matrícula],"")</f>
        <v>46262</v>
      </c>
    </row>
    <row r="1845" spans="1:26" x14ac:dyDescent="0.2">
      <c r="A1845" t="s">
        <v>3854</v>
      </c>
      <c r="B1845" t="s">
        <v>3855</v>
      </c>
      <c r="C1845" t="s">
        <v>13</v>
      </c>
      <c r="D1845" t="s">
        <v>3831</v>
      </c>
      <c r="E1845" t="s">
        <v>3832</v>
      </c>
      <c r="F1845" t="s">
        <v>1453</v>
      </c>
      <c r="G1845" s="1">
        <v>0.15</v>
      </c>
      <c r="H1845" t="s">
        <v>852</v>
      </c>
      <c r="I1845" t="s">
        <v>3833</v>
      </c>
      <c r="J1845" t="s">
        <v>3834</v>
      </c>
      <c r="K1845" t="s">
        <v>24</v>
      </c>
      <c r="L1845" s="14">
        <f>IFERROR(VALUE(LEFT(tblMatriculas[[#This Row],[Clases]],FIND("/",tblMatriculas[[#This Row],[Clases]])-1)),"")</f>
        <v>6</v>
      </c>
      <c r="M1845" s="14">
        <f>IFERROR(VALUE(MID(tblMatriculas[[#This Row],[Clases]],FIND("/",tblMatriculas[[#This Row],[Clases]])+1,5)),"")</f>
        <v>40</v>
      </c>
      <c r="N18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5" s="14">
        <f>IF(OR(tblMatriculas[[#This Row],[Estado]]&lt;&gt;"activa",tblMatriculas[[#This Row],[Clases dictadas]]=""),"",MAX(0,tblMatriculas[[#This Row],[Clases dictadas]]-tblMatriculas[[#This Row],[Asistidas]]))</f>
        <v>0</v>
      </c>
      <c r="P1845" s="1">
        <f>IF(OR(tblMatriculas[[#This Row],[Estado]]&lt;&gt;"activa",tblMatriculas[[#This Row],[Asistidas]]=""),"",tblMatriculas[[#This Row],[Asistencia]])</f>
        <v>0.15</v>
      </c>
      <c r="Q1845" t="b">
        <f>AND(tblMatriculas[[#This Row],[Estado]]="activa",ISNUMBER(tblMatriculas[[#This Row],[% asistencia]]),NOT(ISNUMBER(SEARCH(pPrueba,tblMatriculas[[#This Row],[Nombre]]))))</f>
        <v>1</v>
      </c>
      <c r="R18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5" s="23" t="str" cm="1">
        <f t="array" ref="S18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5" s="23" t="str" cm="1">
        <f t="array" ref="T18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5" s="14" t="str" cm="1">
        <f t="array" ref="U18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5" t="str" cm="1">
        <f t="array" ref="V18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5" t="str" cm="1">
        <f t="array" ref="W18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5" t="str">
        <f>IF(COUNTIFS('Base Estudiantes'!$C:$C,tblMatriculas[[#This Row],[Cédula]],'Base Estudiantes'!$I:$I,tblMatriculas[[#This Row],[Código]])&gt;0,"Sí","No")</f>
        <v>Sí</v>
      </c>
      <c r="Z1845" s="23" cm="1">
        <f t="array" ref="Z1845">_xlfn.XLOOKUP(tblMatriculas[[#This Row],[Cédula]]&amp;"|"&amp;tblMatriculas[[#This Row],[Código]],tblBase[Documento]&amp;"|"&amp;tblBase[Código grupo],tblBase[Fecha matrícula],"")</f>
        <v>46262</v>
      </c>
    </row>
    <row r="1846" spans="1:26" x14ac:dyDescent="0.2">
      <c r="A1846" t="s">
        <v>3856</v>
      </c>
      <c r="B1846" t="s">
        <v>3857</v>
      </c>
      <c r="C1846" t="s">
        <v>13</v>
      </c>
      <c r="D1846" t="s">
        <v>3831</v>
      </c>
      <c r="E1846" t="s">
        <v>3832</v>
      </c>
      <c r="F1846" t="s">
        <v>1453</v>
      </c>
      <c r="G1846" s="1">
        <v>0.15</v>
      </c>
      <c r="H1846" t="s">
        <v>852</v>
      </c>
      <c r="I1846" t="s">
        <v>3833</v>
      </c>
      <c r="J1846" t="s">
        <v>3834</v>
      </c>
      <c r="K1846" t="s">
        <v>24</v>
      </c>
      <c r="L1846" s="14">
        <f>IFERROR(VALUE(LEFT(tblMatriculas[[#This Row],[Clases]],FIND("/",tblMatriculas[[#This Row],[Clases]])-1)),"")</f>
        <v>6</v>
      </c>
      <c r="M1846" s="14">
        <f>IFERROR(VALUE(MID(tblMatriculas[[#This Row],[Clases]],FIND("/",tblMatriculas[[#This Row],[Clases]])+1,5)),"")</f>
        <v>40</v>
      </c>
      <c r="N18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6" s="14">
        <f>IF(OR(tblMatriculas[[#This Row],[Estado]]&lt;&gt;"activa",tblMatriculas[[#This Row],[Clases dictadas]]=""),"",MAX(0,tblMatriculas[[#This Row],[Clases dictadas]]-tblMatriculas[[#This Row],[Asistidas]]))</f>
        <v>0</v>
      </c>
      <c r="P1846" s="1">
        <f>IF(OR(tblMatriculas[[#This Row],[Estado]]&lt;&gt;"activa",tblMatriculas[[#This Row],[Asistidas]]=""),"",tblMatriculas[[#This Row],[Asistencia]])</f>
        <v>0.15</v>
      </c>
      <c r="Q1846" t="b">
        <f>AND(tblMatriculas[[#This Row],[Estado]]="activa",ISNUMBER(tblMatriculas[[#This Row],[% asistencia]]),NOT(ISNUMBER(SEARCH(pPrueba,tblMatriculas[[#This Row],[Nombre]]))))</f>
        <v>1</v>
      </c>
      <c r="R18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46" s="23" t="str" cm="1">
        <f t="array" ref="S18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6" s="23" t="str" cm="1">
        <f t="array" ref="T18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6" s="14" t="str" cm="1">
        <f t="array" ref="U18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6" t="str" cm="1">
        <f t="array" ref="V18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6" t="str" cm="1">
        <f t="array" ref="W18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4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46" t="str">
        <f>IF(COUNTIFS('Base Estudiantes'!$C:$C,tblMatriculas[[#This Row],[Cédula]],'Base Estudiantes'!$I:$I,tblMatriculas[[#This Row],[Código]])&gt;0,"Sí","No")</f>
        <v>Sí</v>
      </c>
      <c r="Z1846" s="23" cm="1">
        <f t="array" ref="Z1846">_xlfn.XLOOKUP(tblMatriculas[[#This Row],[Cédula]]&amp;"|"&amp;tblMatriculas[[#This Row],[Código]],tblBase[Documento]&amp;"|"&amp;tblBase[Código grupo],tblBase[Fecha matrícula],"")</f>
        <v>46262</v>
      </c>
    </row>
    <row r="1847" spans="1:26" x14ac:dyDescent="0.2">
      <c r="A1847" t="s">
        <v>3858</v>
      </c>
      <c r="B1847" t="s">
        <v>3859</v>
      </c>
      <c r="C1847" t="s">
        <v>13</v>
      </c>
      <c r="D1847" t="s">
        <v>3831</v>
      </c>
      <c r="E1847" t="s">
        <v>3832</v>
      </c>
      <c r="F1847" t="s">
        <v>1453</v>
      </c>
      <c r="G1847" s="1">
        <v>0.05</v>
      </c>
      <c r="H1847" t="s">
        <v>870</v>
      </c>
      <c r="I1847" t="s">
        <v>3833</v>
      </c>
      <c r="J1847" t="s">
        <v>3834</v>
      </c>
      <c r="K1847" t="s">
        <v>24</v>
      </c>
      <c r="L1847" s="14">
        <f>IFERROR(VALUE(LEFT(tblMatriculas[[#This Row],[Clases]],FIND("/",tblMatriculas[[#This Row],[Clases]])-1)),"")</f>
        <v>2</v>
      </c>
      <c r="M1847" s="14">
        <f>IFERROR(VALUE(MID(tblMatriculas[[#This Row],[Clases]],FIND("/",tblMatriculas[[#This Row],[Clases]])+1,5)),"")</f>
        <v>40</v>
      </c>
      <c r="N18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7" s="14">
        <f>IF(OR(tblMatriculas[[#This Row],[Estado]]&lt;&gt;"activa",tblMatriculas[[#This Row],[Clases dictadas]]=""),"",MAX(0,tblMatriculas[[#This Row],[Clases dictadas]]-tblMatriculas[[#This Row],[Asistidas]]))</f>
        <v>4</v>
      </c>
      <c r="P1847" s="1">
        <f>IF(OR(tblMatriculas[[#This Row],[Estado]]&lt;&gt;"activa",tblMatriculas[[#This Row],[Asistidas]]=""),"",tblMatriculas[[#This Row],[Asistencia]])</f>
        <v>0.05</v>
      </c>
      <c r="Q1847" t="b">
        <f>AND(tblMatriculas[[#This Row],[Estado]]="activa",ISNUMBER(tblMatriculas[[#This Row],[% asistencia]]),NOT(ISNUMBER(SEARCH(pPrueba,tblMatriculas[[#This Row],[Nombre]]))))</f>
        <v>1</v>
      </c>
      <c r="R18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47" s="23" t="str" cm="1">
        <f t="array" ref="S18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7" s="23" t="str" cm="1">
        <f t="array" ref="T18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7" s="14" t="str" cm="1">
        <f t="array" ref="U18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7" t="str" cm="1">
        <f t="array" ref="V18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7" t="str" cm="1">
        <f t="array" ref="W18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4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47" t="str">
        <f>IF(COUNTIFS('Base Estudiantes'!$C:$C,tblMatriculas[[#This Row],[Cédula]],'Base Estudiantes'!$I:$I,tblMatriculas[[#This Row],[Código]])&gt;0,"Sí","No")</f>
        <v>Sí</v>
      </c>
      <c r="Z1847" s="23" cm="1">
        <f t="array" ref="Z1847">_xlfn.XLOOKUP(tblMatriculas[[#This Row],[Cédula]]&amp;"|"&amp;tblMatriculas[[#This Row],[Código]],tblBase[Documento]&amp;"|"&amp;tblBase[Código grupo],tblBase[Fecha matrícula],"")</f>
        <v>46262</v>
      </c>
    </row>
    <row r="1848" spans="1:26" x14ac:dyDescent="0.2">
      <c r="A1848" t="s">
        <v>3860</v>
      </c>
      <c r="B1848" t="s">
        <v>3861</v>
      </c>
      <c r="C1848" t="s">
        <v>13</v>
      </c>
      <c r="D1848" t="s">
        <v>3831</v>
      </c>
      <c r="E1848" t="s">
        <v>3832</v>
      </c>
      <c r="F1848" t="s">
        <v>1453</v>
      </c>
      <c r="G1848" s="1">
        <v>0</v>
      </c>
      <c r="H1848" t="s">
        <v>918</v>
      </c>
      <c r="I1848" t="s">
        <v>3833</v>
      </c>
      <c r="J1848" t="s">
        <v>3834</v>
      </c>
      <c r="K1848" t="s">
        <v>24</v>
      </c>
      <c r="L1848" s="14">
        <f>IFERROR(VALUE(LEFT(tblMatriculas[[#This Row],[Clases]],FIND("/",tblMatriculas[[#This Row],[Clases]])-1)),"")</f>
        <v>0</v>
      </c>
      <c r="M1848" s="14">
        <f>IFERROR(VALUE(MID(tblMatriculas[[#This Row],[Clases]],FIND("/",tblMatriculas[[#This Row],[Clases]])+1,5)),"")</f>
        <v>40</v>
      </c>
      <c r="N18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8" s="14">
        <f>IF(OR(tblMatriculas[[#This Row],[Estado]]&lt;&gt;"activa",tblMatriculas[[#This Row],[Clases dictadas]]=""),"",MAX(0,tblMatriculas[[#This Row],[Clases dictadas]]-tblMatriculas[[#This Row],[Asistidas]]))</f>
        <v>6</v>
      </c>
      <c r="P1848" s="1">
        <f>IF(OR(tblMatriculas[[#This Row],[Estado]]&lt;&gt;"activa",tblMatriculas[[#This Row],[Asistidas]]=""),"",tblMatriculas[[#This Row],[Asistencia]])</f>
        <v>0</v>
      </c>
      <c r="Q1848" t="b">
        <f>AND(tblMatriculas[[#This Row],[Estado]]="activa",ISNUMBER(tblMatriculas[[#This Row],[% asistencia]]),NOT(ISNUMBER(SEARCH(pPrueba,tblMatriculas[[#This Row],[Nombre]]))))</f>
        <v>1</v>
      </c>
      <c r="R18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48" s="23" t="str" cm="1">
        <f t="array" ref="S18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8" s="23" t="str" cm="1">
        <f t="array" ref="T18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8" s="14" t="str" cm="1">
        <f t="array" ref="U18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8" t="str" cm="1">
        <f t="array" ref="V18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8" t="str" cm="1">
        <f t="array" ref="W18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48" t="str">
        <f>IF(COUNTIFS('Base Estudiantes'!$C:$C,tblMatriculas[[#This Row],[Cédula]],'Base Estudiantes'!$I:$I,tblMatriculas[[#This Row],[Código]])&gt;0,"Sí","No")</f>
        <v>Sí</v>
      </c>
      <c r="Z1848" s="23" cm="1">
        <f t="array" ref="Z1848">_xlfn.XLOOKUP(tblMatriculas[[#This Row],[Cédula]]&amp;"|"&amp;tblMatriculas[[#This Row],[Código]],tblBase[Documento]&amp;"|"&amp;tblBase[Código grupo],tblBase[Fecha matrícula],"")</f>
        <v>46262</v>
      </c>
    </row>
    <row r="1849" spans="1:26" x14ac:dyDescent="0.2">
      <c r="A1849" t="s">
        <v>3862</v>
      </c>
      <c r="B1849" t="s">
        <v>3863</v>
      </c>
      <c r="C1849" t="s">
        <v>13</v>
      </c>
      <c r="D1849" t="s">
        <v>3831</v>
      </c>
      <c r="E1849" t="s">
        <v>3832</v>
      </c>
      <c r="F1849" t="s">
        <v>1453</v>
      </c>
      <c r="G1849" s="1">
        <v>0.05</v>
      </c>
      <c r="H1849" t="s">
        <v>870</v>
      </c>
      <c r="I1849" t="s">
        <v>3833</v>
      </c>
      <c r="J1849" t="s">
        <v>3834</v>
      </c>
      <c r="K1849" t="s">
        <v>24</v>
      </c>
      <c r="L1849" s="14">
        <f>IFERROR(VALUE(LEFT(tblMatriculas[[#This Row],[Clases]],FIND("/",tblMatriculas[[#This Row],[Clases]])-1)),"")</f>
        <v>2</v>
      </c>
      <c r="M1849" s="14">
        <f>IFERROR(VALUE(MID(tblMatriculas[[#This Row],[Clases]],FIND("/",tblMatriculas[[#This Row],[Clases]])+1,5)),"")</f>
        <v>40</v>
      </c>
      <c r="N18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49" s="14">
        <f>IF(OR(tblMatriculas[[#This Row],[Estado]]&lt;&gt;"activa",tblMatriculas[[#This Row],[Clases dictadas]]=""),"",MAX(0,tblMatriculas[[#This Row],[Clases dictadas]]-tblMatriculas[[#This Row],[Asistidas]]))</f>
        <v>4</v>
      </c>
      <c r="P1849" s="1">
        <f>IF(OR(tblMatriculas[[#This Row],[Estado]]&lt;&gt;"activa",tblMatriculas[[#This Row],[Asistidas]]=""),"",tblMatriculas[[#This Row],[Asistencia]])</f>
        <v>0.05</v>
      </c>
      <c r="Q1849" t="b">
        <f>AND(tblMatriculas[[#This Row],[Estado]]="activa",ISNUMBER(tblMatriculas[[#This Row],[% asistencia]]),NOT(ISNUMBER(SEARCH(pPrueba,tblMatriculas[[#This Row],[Nombre]]))))</f>
        <v>1</v>
      </c>
      <c r="R18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49" s="23" t="str" cm="1">
        <f t="array" ref="S18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49" s="23" t="str" cm="1">
        <f t="array" ref="T18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49" s="14" t="str" cm="1">
        <f t="array" ref="U18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49" t="str" cm="1">
        <f t="array" ref="V18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49" t="str" cm="1">
        <f t="array" ref="W18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49" t="str">
        <f>IF(COUNTIFS('Base Estudiantes'!$C:$C,tblMatriculas[[#This Row],[Cédula]],'Base Estudiantes'!$I:$I,tblMatriculas[[#This Row],[Código]])&gt;0,"Sí","No")</f>
        <v>Sí</v>
      </c>
      <c r="Z1849" s="23" cm="1">
        <f t="array" ref="Z1849">_xlfn.XLOOKUP(tblMatriculas[[#This Row],[Cédula]]&amp;"|"&amp;tblMatriculas[[#This Row],[Código]],tblBase[Documento]&amp;"|"&amp;tblBase[Código grupo],tblBase[Fecha matrícula],"")</f>
        <v>46262</v>
      </c>
    </row>
    <row r="1850" spans="1:26" x14ac:dyDescent="0.2">
      <c r="A1850" t="s">
        <v>3864</v>
      </c>
      <c r="B1850" t="s">
        <v>3865</v>
      </c>
      <c r="C1850" t="s">
        <v>13</v>
      </c>
      <c r="D1850" t="s">
        <v>3831</v>
      </c>
      <c r="E1850" t="s">
        <v>3832</v>
      </c>
      <c r="F1850" t="s">
        <v>1453</v>
      </c>
      <c r="G1850" s="1">
        <v>0</v>
      </c>
      <c r="H1850" t="s">
        <v>918</v>
      </c>
      <c r="I1850" t="s">
        <v>3833</v>
      </c>
      <c r="J1850" t="s">
        <v>3834</v>
      </c>
      <c r="K1850" t="s">
        <v>24</v>
      </c>
      <c r="L1850" s="14">
        <f>IFERROR(VALUE(LEFT(tblMatriculas[[#This Row],[Clases]],FIND("/",tblMatriculas[[#This Row],[Clases]])-1)),"")</f>
        <v>0</v>
      </c>
      <c r="M1850" s="14">
        <f>IFERROR(VALUE(MID(tblMatriculas[[#This Row],[Clases]],FIND("/",tblMatriculas[[#This Row],[Clases]])+1,5)),"")</f>
        <v>40</v>
      </c>
      <c r="N18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0" s="14">
        <f>IF(OR(tblMatriculas[[#This Row],[Estado]]&lt;&gt;"activa",tblMatriculas[[#This Row],[Clases dictadas]]=""),"",MAX(0,tblMatriculas[[#This Row],[Clases dictadas]]-tblMatriculas[[#This Row],[Asistidas]]))</f>
        <v>6</v>
      </c>
      <c r="P1850" s="1">
        <f>IF(OR(tblMatriculas[[#This Row],[Estado]]&lt;&gt;"activa",tblMatriculas[[#This Row],[Asistidas]]=""),"",tblMatriculas[[#This Row],[Asistencia]])</f>
        <v>0</v>
      </c>
      <c r="Q1850" t="b">
        <f>AND(tblMatriculas[[#This Row],[Estado]]="activa",ISNUMBER(tblMatriculas[[#This Row],[% asistencia]]),NOT(ISNUMBER(SEARCH(pPrueba,tblMatriculas[[#This Row],[Nombre]]))))</f>
        <v>1</v>
      </c>
      <c r="R18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50" s="23" t="str" cm="1">
        <f t="array" ref="S18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0" s="23" t="str" cm="1">
        <f t="array" ref="T18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0" s="14" t="str" cm="1">
        <f t="array" ref="U18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0" t="str" cm="1">
        <f t="array" ref="V18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0" t="str" cm="1">
        <f t="array" ref="W18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50" t="str">
        <f>IF(COUNTIFS('Base Estudiantes'!$C:$C,tblMatriculas[[#This Row],[Cédula]],'Base Estudiantes'!$I:$I,tblMatriculas[[#This Row],[Código]])&gt;0,"Sí","No")</f>
        <v>Sí</v>
      </c>
      <c r="Z1850" s="23" cm="1">
        <f t="array" ref="Z1850">_xlfn.XLOOKUP(tblMatriculas[[#This Row],[Cédula]]&amp;"|"&amp;tblMatriculas[[#This Row],[Código]],tblBase[Documento]&amp;"|"&amp;tblBase[Código grupo],tblBase[Fecha matrícula],"")</f>
        <v>46262</v>
      </c>
    </row>
    <row r="1851" spans="1:26" x14ac:dyDescent="0.2">
      <c r="A1851" t="s">
        <v>3866</v>
      </c>
      <c r="B1851" t="s">
        <v>3867</v>
      </c>
      <c r="C1851" t="s">
        <v>13</v>
      </c>
      <c r="D1851" t="s">
        <v>3831</v>
      </c>
      <c r="E1851" t="s">
        <v>3832</v>
      </c>
      <c r="F1851" t="s">
        <v>1453</v>
      </c>
      <c r="G1851" s="1">
        <v>0.125</v>
      </c>
      <c r="H1851" t="s">
        <v>862</v>
      </c>
      <c r="I1851" t="s">
        <v>3833</v>
      </c>
      <c r="J1851" t="s">
        <v>3834</v>
      </c>
      <c r="K1851" t="s">
        <v>24</v>
      </c>
      <c r="L1851" s="14">
        <f>IFERROR(VALUE(LEFT(tblMatriculas[[#This Row],[Clases]],FIND("/",tblMatriculas[[#This Row],[Clases]])-1)),"")</f>
        <v>5</v>
      </c>
      <c r="M1851" s="14">
        <f>IFERROR(VALUE(MID(tblMatriculas[[#This Row],[Clases]],FIND("/",tblMatriculas[[#This Row],[Clases]])+1,5)),"")</f>
        <v>40</v>
      </c>
      <c r="N18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1" s="14">
        <f>IF(OR(tblMatriculas[[#This Row],[Estado]]&lt;&gt;"activa",tblMatriculas[[#This Row],[Clases dictadas]]=""),"",MAX(0,tblMatriculas[[#This Row],[Clases dictadas]]-tblMatriculas[[#This Row],[Asistidas]]))</f>
        <v>1</v>
      </c>
      <c r="P1851" s="1">
        <f>IF(OR(tblMatriculas[[#This Row],[Estado]]&lt;&gt;"activa",tblMatriculas[[#This Row],[Asistidas]]=""),"",tblMatriculas[[#This Row],[Asistencia]])</f>
        <v>0.125</v>
      </c>
      <c r="Q1851" t="b">
        <f>AND(tblMatriculas[[#This Row],[Estado]]="activa",ISNUMBER(tblMatriculas[[#This Row],[% asistencia]]),NOT(ISNUMBER(SEARCH(pPrueba,tblMatriculas[[#This Row],[Nombre]]))))</f>
        <v>1</v>
      </c>
      <c r="R18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1" s="23" t="str" cm="1">
        <f t="array" ref="S18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1" s="23" t="str" cm="1">
        <f t="array" ref="T18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1" s="14" t="str" cm="1">
        <f t="array" ref="U18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1" t="str" cm="1">
        <f t="array" ref="V18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1" t="str" cm="1">
        <f t="array" ref="W18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1" t="str">
        <f>IF(COUNTIFS('Base Estudiantes'!$C:$C,tblMatriculas[[#This Row],[Cédula]],'Base Estudiantes'!$I:$I,tblMatriculas[[#This Row],[Código]])&gt;0,"Sí","No")</f>
        <v>Sí</v>
      </c>
      <c r="Z1851" s="23" cm="1">
        <f t="array" ref="Z1851">_xlfn.XLOOKUP(tblMatriculas[[#This Row],[Cédula]]&amp;"|"&amp;tblMatriculas[[#This Row],[Código]],tblBase[Documento]&amp;"|"&amp;tblBase[Código grupo],tblBase[Fecha matrícula],"")</f>
        <v>46262</v>
      </c>
    </row>
    <row r="1852" spans="1:26" x14ac:dyDescent="0.2">
      <c r="A1852" t="s">
        <v>3868</v>
      </c>
      <c r="B1852" t="s">
        <v>3869</v>
      </c>
      <c r="C1852" t="s">
        <v>13</v>
      </c>
      <c r="D1852" t="s">
        <v>3831</v>
      </c>
      <c r="E1852" t="s">
        <v>3832</v>
      </c>
      <c r="F1852" t="s">
        <v>1453</v>
      </c>
      <c r="G1852" s="1">
        <v>0</v>
      </c>
      <c r="H1852" t="s">
        <v>918</v>
      </c>
      <c r="I1852" t="s">
        <v>3833</v>
      </c>
      <c r="J1852" t="s">
        <v>3834</v>
      </c>
      <c r="K1852" t="s">
        <v>24</v>
      </c>
      <c r="L1852" s="14">
        <f>IFERROR(VALUE(LEFT(tblMatriculas[[#This Row],[Clases]],FIND("/",tblMatriculas[[#This Row],[Clases]])-1)),"")</f>
        <v>0</v>
      </c>
      <c r="M1852" s="14">
        <f>IFERROR(VALUE(MID(tblMatriculas[[#This Row],[Clases]],FIND("/",tblMatriculas[[#This Row],[Clases]])+1,5)),"")</f>
        <v>40</v>
      </c>
      <c r="N18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2" s="14">
        <f>IF(OR(tblMatriculas[[#This Row],[Estado]]&lt;&gt;"activa",tblMatriculas[[#This Row],[Clases dictadas]]=""),"",MAX(0,tblMatriculas[[#This Row],[Clases dictadas]]-tblMatriculas[[#This Row],[Asistidas]]))</f>
        <v>6</v>
      </c>
      <c r="P1852" s="1">
        <f>IF(OR(tblMatriculas[[#This Row],[Estado]]&lt;&gt;"activa",tblMatriculas[[#This Row],[Asistidas]]=""),"",tblMatriculas[[#This Row],[Asistencia]])</f>
        <v>0</v>
      </c>
      <c r="Q1852" t="b">
        <f>AND(tblMatriculas[[#This Row],[Estado]]="activa",ISNUMBER(tblMatriculas[[#This Row],[% asistencia]]),NOT(ISNUMBER(SEARCH(pPrueba,tblMatriculas[[#This Row],[Nombre]]))))</f>
        <v>1</v>
      </c>
      <c r="R18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52" s="23" t="str" cm="1">
        <f t="array" ref="S18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2" s="23" t="str" cm="1">
        <f t="array" ref="T18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2" s="14" t="str" cm="1">
        <f t="array" ref="U18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2" t="str" cm="1">
        <f t="array" ref="V18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2" t="str" cm="1">
        <f t="array" ref="W18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52" t="str">
        <f>IF(COUNTIFS('Base Estudiantes'!$C:$C,tblMatriculas[[#This Row],[Cédula]],'Base Estudiantes'!$I:$I,tblMatriculas[[#This Row],[Código]])&gt;0,"Sí","No")</f>
        <v>Sí</v>
      </c>
      <c r="Z1852" s="23" cm="1">
        <f t="array" ref="Z1852">_xlfn.XLOOKUP(tblMatriculas[[#This Row],[Cédula]]&amp;"|"&amp;tblMatriculas[[#This Row],[Código]],tblBase[Documento]&amp;"|"&amp;tblBase[Código grupo],tblBase[Fecha matrícula],"")</f>
        <v>46262</v>
      </c>
    </row>
    <row r="1853" spans="1:26" x14ac:dyDescent="0.2">
      <c r="A1853" t="s">
        <v>3870</v>
      </c>
      <c r="B1853" t="s">
        <v>3871</v>
      </c>
      <c r="C1853" t="s">
        <v>13</v>
      </c>
      <c r="D1853" t="s">
        <v>3831</v>
      </c>
      <c r="E1853" t="s">
        <v>3832</v>
      </c>
      <c r="F1853" t="s">
        <v>1453</v>
      </c>
      <c r="G1853" s="1">
        <v>0.05</v>
      </c>
      <c r="H1853" t="s">
        <v>870</v>
      </c>
      <c r="I1853" t="s">
        <v>3833</v>
      </c>
      <c r="J1853" t="s">
        <v>3834</v>
      </c>
      <c r="K1853" t="s">
        <v>24</v>
      </c>
      <c r="L1853" s="14">
        <f>IFERROR(VALUE(LEFT(tblMatriculas[[#This Row],[Clases]],FIND("/",tblMatriculas[[#This Row],[Clases]])-1)),"")</f>
        <v>2</v>
      </c>
      <c r="M1853" s="14">
        <f>IFERROR(VALUE(MID(tblMatriculas[[#This Row],[Clases]],FIND("/",tblMatriculas[[#This Row],[Clases]])+1,5)),"")</f>
        <v>40</v>
      </c>
      <c r="N18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3" s="14">
        <f>IF(OR(tblMatriculas[[#This Row],[Estado]]&lt;&gt;"activa",tblMatriculas[[#This Row],[Clases dictadas]]=""),"",MAX(0,tblMatriculas[[#This Row],[Clases dictadas]]-tblMatriculas[[#This Row],[Asistidas]]))</f>
        <v>4</v>
      </c>
      <c r="P1853" s="1">
        <f>IF(OR(tblMatriculas[[#This Row],[Estado]]&lt;&gt;"activa",tblMatriculas[[#This Row],[Asistidas]]=""),"",tblMatriculas[[#This Row],[Asistencia]])</f>
        <v>0.05</v>
      </c>
      <c r="Q1853" t="b">
        <f>AND(tblMatriculas[[#This Row],[Estado]]="activa",ISNUMBER(tblMatriculas[[#This Row],[% asistencia]]),NOT(ISNUMBER(SEARCH(pPrueba,tblMatriculas[[#This Row],[Nombre]]))))</f>
        <v>1</v>
      </c>
      <c r="R18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53" s="23" t="str" cm="1">
        <f t="array" ref="S18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3" s="23" t="str" cm="1">
        <f t="array" ref="T18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3" s="14" t="str" cm="1">
        <f t="array" ref="U18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3" t="str" cm="1">
        <f t="array" ref="V18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3" t="str" cm="1">
        <f t="array" ref="W18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53" t="str">
        <f>IF(COUNTIFS('Base Estudiantes'!$C:$C,tblMatriculas[[#This Row],[Cédula]],'Base Estudiantes'!$I:$I,tblMatriculas[[#This Row],[Código]])&gt;0,"Sí","No")</f>
        <v>Sí</v>
      </c>
      <c r="Z1853" s="23" cm="1">
        <f t="array" ref="Z1853">_xlfn.XLOOKUP(tblMatriculas[[#This Row],[Cédula]]&amp;"|"&amp;tblMatriculas[[#This Row],[Código]],tblBase[Documento]&amp;"|"&amp;tblBase[Código grupo],tblBase[Fecha matrícula],"")</f>
        <v>46262</v>
      </c>
    </row>
    <row r="1854" spans="1:26" x14ac:dyDescent="0.2">
      <c r="A1854" t="s">
        <v>3872</v>
      </c>
      <c r="B1854" t="s">
        <v>3873</v>
      </c>
      <c r="C1854" t="s">
        <v>13</v>
      </c>
      <c r="D1854" t="s">
        <v>3831</v>
      </c>
      <c r="E1854" t="s">
        <v>3832</v>
      </c>
      <c r="F1854" t="s">
        <v>1453</v>
      </c>
      <c r="G1854" s="1">
        <v>0</v>
      </c>
      <c r="H1854" t="s">
        <v>918</v>
      </c>
      <c r="I1854" t="s">
        <v>3833</v>
      </c>
      <c r="J1854" t="s">
        <v>3834</v>
      </c>
      <c r="K1854" t="s">
        <v>24</v>
      </c>
      <c r="L1854" s="14">
        <f>IFERROR(VALUE(LEFT(tblMatriculas[[#This Row],[Clases]],FIND("/",tblMatriculas[[#This Row],[Clases]])-1)),"")</f>
        <v>0</v>
      </c>
      <c r="M1854" s="14">
        <f>IFERROR(VALUE(MID(tblMatriculas[[#This Row],[Clases]],FIND("/",tblMatriculas[[#This Row],[Clases]])+1,5)),"")</f>
        <v>40</v>
      </c>
      <c r="N18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4" s="14">
        <f>IF(OR(tblMatriculas[[#This Row],[Estado]]&lt;&gt;"activa",tblMatriculas[[#This Row],[Clases dictadas]]=""),"",MAX(0,tblMatriculas[[#This Row],[Clases dictadas]]-tblMatriculas[[#This Row],[Asistidas]]))</f>
        <v>6</v>
      </c>
      <c r="P1854" s="1">
        <f>IF(OR(tblMatriculas[[#This Row],[Estado]]&lt;&gt;"activa",tblMatriculas[[#This Row],[Asistidas]]=""),"",tblMatriculas[[#This Row],[Asistencia]])</f>
        <v>0</v>
      </c>
      <c r="Q1854" t="b">
        <f>AND(tblMatriculas[[#This Row],[Estado]]="activa",ISNUMBER(tblMatriculas[[#This Row],[% asistencia]]),NOT(ISNUMBER(SEARCH(pPrueba,tblMatriculas[[#This Row],[Nombre]]))))</f>
        <v>1</v>
      </c>
      <c r="R18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54" s="23" t="str" cm="1">
        <f t="array" ref="S18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4" s="23" t="str" cm="1">
        <f t="array" ref="T18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4" s="14" t="str" cm="1">
        <f t="array" ref="U18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4" t="str" cm="1">
        <f t="array" ref="V18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4" t="str" cm="1">
        <f t="array" ref="W18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54" t="str">
        <f>IF(COUNTIFS('Base Estudiantes'!$C:$C,tblMatriculas[[#This Row],[Cédula]],'Base Estudiantes'!$I:$I,tblMatriculas[[#This Row],[Código]])&gt;0,"Sí","No")</f>
        <v>Sí</v>
      </c>
      <c r="Z1854" s="23" cm="1">
        <f t="array" ref="Z1854">_xlfn.XLOOKUP(tblMatriculas[[#This Row],[Cédula]]&amp;"|"&amp;tblMatriculas[[#This Row],[Código]],tblBase[Documento]&amp;"|"&amp;tblBase[Código grupo],tblBase[Fecha matrícula],"")</f>
        <v>46262</v>
      </c>
    </row>
    <row r="1855" spans="1:26" x14ac:dyDescent="0.2">
      <c r="A1855" t="s">
        <v>3874</v>
      </c>
      <c r="B1855" t="s">
        <v>3875</v>
      </c>
      <c r="C1855" t="s">
        <v>13</v>
      </c>
      <c r="D1855" t="s">
        <v>3831</v>
      </c>
      <c r="E1855" t="s">
        <v>3832</v>
      </c>
      <c r="F1855" t="s">
        <v>1453</v>
      </c>
      <c r="G1855" s="1">
        <v>0</v>
      </c>
      <c r="H1855" t="s">
        <v>918</v>
      </c>
      <c r="I1855" t="s">
        <v>3833</v>
      </c>
      <c r="J1855" t="s">
        <v>3834</v>
      </c>
      <c r="K1855" t="s">
        <v>24</v>
      </c>
      <c r="L1855" s="14">
        <f>IFERROR(VALUE(LEFT(tblMatriculas[[#This Row],[Clases]],FIND("/",tblMatriculas[[#This Row],[Clases]])-1)),"")</f>
        <v>0</v>
      </c>
      <c r="M1855" s="14">
        <f>IFERROR(VALUE(MID(tblMatriculas[[#This Row],[Clases]],FIND("/",tblMatriculas[[#This Row],[Clases]])+1,5)),"")</f>
        <v>40</v>
      </c>
      <c r="N18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5" s="14">
        <f>IF(OR(tblMatriculas[[#This Row],[Estado]]&lt;&gt;"activa",tblMatriculas[[#This Row],[Clases dictadas]]=""),"",MAX(0,tblMatriculas[[#This Row],[Clases dictadas]]-tblMatriculas[[#This Row],[Asistidas]]))</f>
        <v>6</v>
      </c>
      <c r="P1855" s="1">
        <f>IF(OR(tblMatriculas[[#This Row],[Estado]]&lt;&gt;"activa",tblMatriculas[[#This Row],[Asistidas]]=""),"",tblMatriculas[[#This Row],[Asistencia]])</f>
        <v>0</v>
      </c>
      <c r="Q1855" t="b">
        <f>AND(tblMatriculas[[#This Row],[Estado]]="activa",ISNUMBER(tblMatriculas[[#This Row],[% asistencia]]),NOT(ISNUMBER(SEARCH(pPrueba,tblMatriculas[[#This Row],[Nombre]]))))</f>
        <v>1</v>
      </c>
      <c r="R18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55" s="23" t="str" cm="1">
        <f t="array" ref="S18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5" s="23" t="str" cm="1">
        <f t="array" ref="T18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5" s="14" t="str" cm="1">
        <f t="array" ref="U18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5" t="str" cm="1">
        <f t="array" ref="V18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5" t="str" cm="1">
        <f t="array" ref="W18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55" t="str">
        <f>IF(COUNTIFS('Base Estudiantes'!$C:$C,tblMatriculas[[#This Row],[Cédula]],'Base Estudiantes'!$I:$I,tblMatriculas[[#This Row],[Código]])&gt;0,"Sí","No")</f>
        <v>Sí</v>
      </c>
      <c r="Z1855" s="23" cm="1">
        <f t="array" ref="Z1855">_xlfn.XLOOKUP(tblMatriculas[[#This Row],[Cédula]]&amp;"|"&amp;tblMatriculas[[#This Row],[Código]],tblBase[Documento]&amp;"|"&amp;tblBase[Código grupo],tblBase[Fecha matrícula],"")</f>
        <v>46262</v>
      </c>
    </row>
    <row r="1856" spans="1:26" x14ac:dyDescent="0.2">
      <c r="A1856" t="s">
        <v>3876</v>
      </c>
      <c r="B1856" t="s">
        <v>3877</v>
      </c>
      <c r="C1856" t="s">
        <v>13</v>
      </c>
      <c r="D1856" t="s">
        <v>3831</v>
      </c>
      <c r="E1856" t="s">
        <v>3832</v>
      </c>
      <c r="F1856" t="s">
        <v>1453</v>
      </c>
      <c r="G1856" s="1">
        <v>0.15</v>
      </c>
      <c r="H1856" t="s">
        <v>852</v>
      </c>
      <c r="I1856" t="s">
        <v>3833</v>
      </c>
      <c r="J1856" t="s">
        <v>3834</v>
      </c>
      <c r="K1856" t="s">
        <v>24</v>
      </c>
      <c r="L1856" s="14">
        <f>IFERROR(VALUE(LEFT(tblMatriculas[[#This Row],[Clases]],FIND("/",tblMatriculas[[#This Row],[Clases]])-1)),"")</f>
        <v>6</v>
      </c>
      <c r="M1856" s="14">
        <f>IFERROR(VALUE(MID(tblMatriculas[[#This Row],[Clases]],FIND("/",tblMatriculas[[#This Row],[Clases]])+1,5)),"")</f>
        <v>40</v>
      </c>
      <c r="N18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6" s="14">
        <f>IF(OR(tblMatriculas[[#This Row],[Estado]]&lt;&gt;"activa",tblMatriculas[[#This Row],[Clases dictadas]]=""),"",MAX(0,tblMatriculas[[#This Row],[Clases dictadas]]-tblMatriculas[[#This Row],[Asistidas]]))</f>
        <v>0</v>
      </c>
      <c r="P1856" s="1">
        <f>IF(OR(tblMatriculas[[#This Row],[Estado]]&lt;&gt;"activa",tblMatriculas[[#This Row],[Asistidas]]=""),"",tblMatriculas[[#This Row],[Asistencia]])</f>
        <v>0.15</v>
      </c>
      <c r="Q1856" t="b">
        <f>AND(tblMatriculas[[#This Row],[Estado]]="activa",ISNUMBER(tblMatriculas[[#This Row],[% asistencia]]),NOT(ISNUMBER(SEARCH(pPrueba,tblMatriculas[[#This Row],[Nombre]]))))</f>
        <v>1</v>
      </c>
      <c r="R18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6" s="23" t="str" cm="1">
        <f t="array" ref="S18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6" s="23" t="str" cm="1">
        <f t="array" ref="T18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6" s="14" t="str" cm="1">
        <f t="array" ref="U18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6" t="str" cm="1">
        <f t="array" ref="V18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6" t="str" cm="1">
        <f t="array" ref="W18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6" t="str">
        <f>IF(COUNTIFS('Base Estudiantes'!$C:$C,tblMatriculas[[#This Row],[Cédula]],'Base Estudiantes'!$I:$I,tblMatriculas[[#This Row],[Código]])&gt;0,"Sí","No")</f>
        <v>Sí</v>
      </c>
      <c r="Z1856" s="23" cm="1">
        <f t="array" ref="Z1856">_xlfn.XLOOKUP(tblMatriculas[[#This Row],[Cédula]]&amp;"|"&amp;tblMatriculas[[#This Row],[Código]],tblBase[Documento]&amp;"|"&amp;tblBase[Código grupo],tblBase[Fecha matrícula],"")</f>
        <v>46262</v>
      </c>
    </row>
    <row r="1857" spans="1:26" x14ac:dyDescent="0.2">
      <c r="A1857" t="s">
        <v>3878</v>
      </c>
      <c r="B1857" t="s">
        <v>3879</v>
      </c>
      <c r="C1857" t="s">
        <v>13</v>
      </c>
      <c r="D1857" t="s">
        <v>3831</v>
      </c>
      <c r="E1857" t="s">
        <v>3832</v>
      </c>
      <c r="F1857" t="s">
        <v>1453</v>
      </c>
      <c r="G1857" s="1">
        <v>0.1</v>
      </c>
      <c r="H1857" t="s">
        <v>867</v>
      </c>
      <c r="I1857" t="s">
        <v>3833</v>
      </c>
      <c r="J1857" t="s">
        <v>3834</v>
      </c>
      <c r="K1857" t="s">
        <v>24</v>
      </c>
      <c r="L1857" s="14">
        <f>IFERROR(VALUE(LEFT(tblMatriculas[[#This Row],[Clases]],FIND("/",tblMatriculas[[#This Row],[Clases]])-1)),"")</f>
        <v>4</v>
      </c>
      <c r="M1857" s="14">
        <f>IFERROR(VALUE(MID(tblMatriculas[[#This Row],[Clases]],FIND("/",tblMatriculas[[#This Row],[Clases]])+1,5)),"")</f>
        <v>40</v>
      </c>
      <c r="N18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7" s="14">
        <f>IF(OR(tblMatriculas[[#This Row],[Estado]]&lt;&gt;"activa",tblMatriculas[[#This Row],[Clases dictadas]]=""),"",MAX(0,tblMatriculas[[#This Row],[Clases dictadas]]-tblMatriculas[[#This Row],[Asistidas]]))</f>
        <v>2</v>
      </c>
      <c r="P1857" s="1">
        <f>IF(OR(tblMatriculas[[#This Row],[Estado]]&lt;&gt;"activa",tblMatriculas[[#This Row],[Asistidas]]=""),"",tblMatriculas[[#This Row],[Asistencia]])</f>
        <v>0.1</v>
      </c>
      <c r="Q1857" t="b">
        <f>AND(tblMatriculas[[#This Row],[Estado]]="activa",ISNUMBER(tblMatriculas[[#This Row],[% asistencia]]),NOT(ISNUMBER(SEARCH(pPrueba,tblMatriculas[[#This Row],[Nombre]]))))</f>
        <v>1</v>
      </c>
      <c r="R18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7" s="23" t="str" cm="1">
        <f t="array" ref="S18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7" s="23" t="str" cm="1">
        <f t="array" ref="T18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7" s="14" t="str" cm="1">
        <f t="array" ref="U18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7" t="str" cm="1">
        <f t="array" ref="V18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7" t="str" cm="1">
        <f t="array" ref="W18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7" t="str">
        <f>IF(COUNTIFS('Base Estudiantes'!$C:$C,tblMatriculas[[#This Row],[Cédula]],'Base Estudiantes'!$I:$I,tblMatriculas[[#This Row],[Código]])&gt;0,"Sí","No")</f>
        <v>Sí</v>
      </c>
      <c r="Z1857" s="23" cm="1">
        <f t="array" ref="Z1857">_xlfn.XLOOKUP(tblMatriculas[[#This Row],[Cédula]]&amp;"|"&amp;tblMatriculas[[#This Row],[Código]],tblBase[Documento]&amp;"|"&amp;tblBase[Código grupo],tblBase[Fecha matrícula],"")</f>
        <v>46262</v>
      </c>
    </row>
    <row r="1858" spans="1:26" x14ac:dyDescent="0.2">
      <c r="A1858" t="s">
        <v>3880</v>
      </c>
      <c r="B1858" t="s">
        <v>3881</v>
      </c>
      <c r="C1858" t="s">
        <v>13</v>
      </c>
      <c r="D1858" t="s">
        <v>3831</v>
      </c>
      <c r="E1858" t="s">
        <v>3832</v>
      </c>
      <c r="F1858" t="s">
        <v>1453</v>
      </c>
      <c r="G1858" s="1">
        <v>0.125</v>
      </c>
      <c r="H1858" t="s">
        <v>862</v>
      </c>
      <c r="I1858" t="s">
        <v>3833</v>
      </c>
      <c r="J1858" t="s">
        <v>3834</v>
      </c>
      <c r="K1858" t="s">
        <v>24</v>
      </c>
      <c r="L1858" s="14">
        <f>IFERROR(VALUE(LEFT(tblMatriculas[[#This Row],[Clases]],FIND("/",tblMatriculas[[#This Row],[Clases]])-1)),"")</f>
        <v>5</v>
      </c>
      <c r="M1858" s="14">
        <f>IFERROR(VALUE(MID(tblMatriculas[[#This Row],[Clases]],FIND("/",tblMatriculas[[#This Row],[Clases]])+1,5)),"")</f>
        <v>40</v>
      </c>
      <c r="N18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8" s="14">
        <f>IF(OR(tblMatriculas[[#This Row],[Estado]]&lt;&gt;"activa",tblMatriculas[[#This Row],[Clases dictadas]]=""),"",MAX(0,tblMatriculas[[#This Row],[Clases dictadas]]-tblMatriculas[[#This Row],[Asistidas]]))</f>
        <v>1</v>
      </c>
      <c r="P1858" s="1">
        <f>IF(OR(tblMatriculas[[#This Row],[Estado]]&lt;&gt;"activa",tblMatriculas[[#This Row],[Asistidas]]=""),"",tblMatriculas[[#This Row],[Asistencia]])</f>
        <v>0.125</v>
      </c>
      <c r="Q1858" t="b">
        <f>AND(tblMatriculas[[#This Row],[Estado]]="activa",ISNUMBER(tblMatriculas[[#This Row],[% asistencia]]),NOT(ISNUMBER(SEARCH(pPrueba,tblMatriculas[[#This Row],[Nombre]]))))</f>
        <v>1</v>
      </c>
      <c r="R18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8" s="23" t="str" cm="1">
        <f t="array" ref="S18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8" s="23" t="str" cm="1">
        <f t="array" ref="T18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8" s="14" t="str" cm="1">
        <f t="array" ref="U18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8" t="str" cm="1">
        <f t="array" ref="V18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8" t="str" cm="1">
        <f t="array" ref="W18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8" t="str">
        <f>IF(COUNTIFS('Base Estudiantes'!$C:$C,tblMatriculas[[#This Row],[Cédula]],'Base Estudiantes'!$I:$I,tblMatriculas[[#This Row],[Código]])&gt;0,"Sí","No")</f>
        <v>Sí</v>
      </c>
      <c r="Z1858" s="23" cm="1">
        <f t="array" ref="Z1858">_xlfn.XLOOKUP(tblMatriculas[[#This Row],[Cédula]]&amp;"|"&amp;tblMatriculas[[#This Row],[Código]],tblBase[Documento]&amp;"|"&amp;tblBase[Código grupo],tblBase[Fecha matrícula],"")</f>
        <v>46262</v>
      </c>
    </row>
    <row r="1859" spans="1:26" x14ac:dyDescent="0.2">
      <c r="A1859" t="s">
        <v>3882</v>
      </c>
      <c r="B1859" t="s">
        <v>3883</v>
      </c>
      <c r="C1859" t="s">
        <v>13</v>
      </c>
      <c r="D1859" t="s">
        <v>3831</v>
      </c>
      <c r="E1859" t="s">
        <v>3832</v>
      </c>
      <c r="F1859" t="s">
        <v>1453</v>
      </c>
      <c r="G1859" s="1">
        <v>0.15</v>
      </c>
      <c r="H1859" t="s">
        <v>852</v>
      </c>
      <c r="I1859" t="s">
        <v>3833</v>
      </c>
      <c r="J1859" t="s">
        <v>3834</v>
      </c>
      <c r="K1859" t="s">
        <v>24</v>
      </c>
      <c r="L1859" s="14">
        <f>IFERROR(VALUE(LEFT(tblMatriculas[[#This Row],[Clases]],FIND("/",tblMatriculas[[#This Row],[Clases]])-1)),"")</f>
        <v>6</v>
      </c>
      <c r="M1859" s="14">
        <f>IFERROR(VALUE(MID(tblMatriculas[[#This Row],[Clases]],FIND("/",tblMatriculas[[#This Row],[Clases]])+1,5)),"")</f>
        <v>40</v>
      </c>
      <c r="N18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59" s="14">
        <f>IF(OR(tblMatriculas[[#This Row],[Estado]]&lt;&gt;"activa",tblMatriculas[[#This Row],[Clases dictadas]]=""),"",MAX(0,tblMatriculas[[#This Row],[Clases dictadas]]-tblMatriculas[[#This Row],[Asistidas]]))</f>
        <v>0</v>
      </c>
      <c r="P1859" s="1">
        <f>IF(OR(tblMatriculas[[#This Row],[Estado]]&lt;&gt;"activa",tblMatriculas[[#This Row],[Asistidas]]=""),"",tblMatriculas[[#This Row],[Asistencia]])</f>
        <v>0.15</v>
      </c>
      <c r="Q1859" t="b">
        <f>AND(tblMatriculas[[#This Row],[Estado]]="activa",ISNUMBER(tblMatriculas[[#This Row],[% asistencia]]),NOT(ISNUMBER(SEARCH(pPrueba,tblMatriculas[[#This Row],[Nombre]]))))</f>
        <v>1</v>
      </c>
      <c r="R18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59" s="23" t="str" cm="1">
        <f t="array" ref="S18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59" s="23" t="str" cm="1">
        <f t="array" ref="T18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59" s="14" t="str" cm="1">
        <f t="array" ref="U18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59" t="str" cm="1">
        <f t="array" ref="V18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59" t="str" cm="1">
        <f t="array" ref="W18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5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59" t="str">
        <f>IF(COUNTIFS('Base Estudiantes'!$C:$C,tblMatriculas[[#This Row],[Cédula]],'Base Estudiantes'!$I:$I,tblMatriculas[[#This Row],[Código]])&gt;0,"Sí","No")</f>
        <v>Sí</v>
      </c>
      <c r="Z1859" s="23" cm="1">
        <f t="array" ref="Z1859">_xlfn.XLOOKUP(tblMatriculas[[#This Row],[Cédula]]&amp;"|"&amp;tblMatriculas[[#This Row],[Código]],tblBase[Documento]&amp;"|"&amp;tblBase[Código grupo],tblBase[Fecha matrícula],"")</f>
        <v>46262</v>
      </c>
    </row>
    <row r="1860" spans="1:26" x14ac:dyDescent="0.2">
      <c r="A1860" t="s">
        <v>3884</v>
      </c>
      <c r="B1860" t="s">
        <v>3885</v>
      </c>
      <c r="C1860" t="s">
        <v>13</v>
      </c>
      <c r="D1860" t="s">
        <v>3831</v>
      </c>
      <c r="E1860" t="s">
        <v>3832</v>
      </c>
      <c r="F1860" t="s">
        <v>1453</v>
      </c>
      <c r="G1860" s="1">
        <v>0.1</v>
      </c>
      <c r="H1860" t="s">
        <v>867</v>
      </c>
      <c r="I1860" t="s">
        <v>3833</v>
      </c>
      <c r="J1860" t="s">
        <v>3834</v>
      </c>
      <c r="K1860" t="s">
        <v>24</v>
      </c>
      <c r="L1860" s="14">
        <f>IFERROR(VALUE(LEFT(tblMatriculas[[#This Row],[Clases]],FIND("/",tblMatriculas[[#This Row],[Clases]])-1)),"")</f>
        <v>4</v>
      </c>
      <c r="M1860" s="14">
        <f>IFERROR(VALUE(MID(tblMatriculas[[#This Row],[Clases]],FIND("/",tblMatriculas[[#This Row],[Clases]])+1,5)),"")</f>
        <v>40</v>
      </c>
      <c r="N18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0" s="14">
        <f>IF(OR(tblMatriculas[[#This Row],[Estado]]&lt;&gt;"activa",tblMatriculas[[#This Row],[Clases dictadas]]=""),"",MAX(0,tblMatriculas[[#This Row],[Clases dictadas]]-tblMatriculas[[#This Row],[Asistidas]]))</f>
        <v>2</v>
      </c>
      <c r="P1860" s="1">
        <f>IF(OR(tblMatriculas[[#This Row],[Estado]]&lt;&gt;"activa",tblMatriculas[[#This Row],[Asistidas]]=""),"",tblMatriculas[[#This Row],[Asistencia]])</f>
        <v>0.1</v>
      </c>
      <c r="Q1860" t="b">
        <f>AND(tblMatriculas[[#This Row],[Estado]]="activa",ISNUMBER(tblMatriculas[[#This Row],[% asistencia]]),NOT(ISNUMBER(SEARCH(pPrueba,tblMatriculas[[#This Row],[Nombre]]))))</f>
        <v>1</v>
      </c>
      <c r="R18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0" s="23" t="str" cm="1">
        <f t="array" ref="S18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0" s="23" t="str" cm="1">
        <f t="array" ref="T18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0" s="14" t="str" cm="1">
        <f t="array" ref="U18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0" t="str" cm="1">
        <f t="array" ref="V18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0" t="str" cm="1">
        <f t="array" ref="W18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0" t="str">
        <f>IF(COUNTIFS('Base Estudiantes'!$C:$C,tblMatriculas[[#This Row],[Cédula]],'Base Estudiantes'!$I:$I,tblMatriculas[[#This Row],[Código]])&gt;0,"Sí","No")</f>
        <v>Sí</v>
      </c>
      <c r="Z1860" s="23" cm="1">
        <f t="array" ref="Z1860">_xlfn.XLOOKUP(tblMatriculas[[#This Row],[Cédula]]&amp;"|"&amp;tblMatriculas[[#This Row],[Código]],tblBase[Documento]&amp;"|"&amp;tblBase[Código grupo],tblBase[Fecha matrícula],"")</f>
        <v>46262</v>
      </c>
    </row>
    <row r="1861" spans="1:26" x14ac:dyDescent="0.2">
      <c r="A1861" t="s">
        <v>3886</v>
      </c>
      <c r="B1861" t="s">
        <v>3887</v>
      </c>
      <c r="C1861" t="s">
        <v>13</v>
      </c>
      <c r="D1861" t="s">
        <v>3831</v>
      </c>
      <c r="E1861" t="s">
        <v>3832</v>
      </c>
      <c r="F1861" t="s">
        <v>1453</v>
      </c>
      <c r="G1861" s="1">
        <v>0.125</v>
      </c>
      <c r="H1861" t="s">
        <v>862</v>
      </c>
      <c r="I1861" t="s">
        <v>3833</v>
      </c>
      <c r="J1861" t="s">
        <v>3834</v>
      </c>
      <c r="K1861" t="s">
        <v>24</v>
      </c>
      <c r="L1861" s="14">
        <f>IFERROR(VALUE(LEFT(tblMatriculas[[#This Row],[Clases]],FIND("/",tblMatriculas[[#This Row],[Clases]])-1)),"")</f>
        <v>5</v>
      </c>
      <c r="M1861" s="14">
        <f>IFERROR(VALUE(MID(tblMatriculas[[#This Row],[Clases]],FIND("/",tblMatriculas[[#This Row],[Clases]])+1,5)),"")</f>
        <v>40</v>
      </c>
      <c r="N18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1" s="14">
        <f>IF(OR(tblMatriculas[[#This Row],[Estado]]&lt;&gt;"activa",tblMatriculas[[#This Row],[Clases dictadas]]=""),"",MAX(0,tblMatriculas[[#This Row],[Clases dictadas]]-tblMatriculas[[#This Row],[Asistidas]]))</f>
        <v>1</v>
      </c>
      <c r="P1861" s="1">
        <f>IF(OR(tblMatriculas[[#This Row],[Estado]]&lt;&gt;"activa",tblMatriculas[[#This Row],[Asistidas]]=""),"",tblMatriculas[[#This Row],[Asistencia]])</f>
        <v>0.125</v>
      </c>
      <c r="Q1861" t="b">
        <f>AND(tblMatriculas[[#This Row],[Estado]]="activa",ISNUMBER(tblMatriculas[[#This Row],[% asistencia]]),NOT(ISNUMBER(SEARCH(pPrueba,tblMatriculas[[#This Row],[Nombre]]))))</f>
        <v>1</v>
      </c>
      <c r="R18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1" s="23" t="str" cm="1">
        <f t="array" ref="S18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1" s="23" t="str" cm="1">
        <f t="array" ref="T18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1" s="14" t="str" cm="1">
        <f t="array" ref="U18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1" t="str" cm="1">
        <f t="array" ref="V18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1" t="str" cm="1">
        <f t="array" ref="W18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1" t="str">
        <f>IF(COUNTIFS('Base Estudiantes'!$C:$C,tblMatriculas[[#This Row],[Cédula]],'Base Estudiantes'!$I:$I,tblMatriculas[[#This Row],[Código]])&gt;0,"Sí","No")</f>
        <v>Sí</v>
      </c>
      <c r="Z1861" s="23" cm="1">
        <f t="array" ref="Z1861">_xlfn.XLOOKUP(tblMatriculas[[#This Row],[Cédula]]&amp;"|"&amp;tblMatriculas[[#This Row],[Código]],tblBase[Documento]&amp;"|"&amp;tblBase[Código grupo],tblBase[Fecha matrícula],"")</f>
        <v>46262</v>
      </c>
    </row>
    <row r="1862" spans="1:26" x14ac:dyDescent="0.2">
      <c r="A1862" t="s">
        <v>3888</v>
      </c>
      <c r="B1862" t="s">
        <v>3889</v>
      </c>
      <c r="C1862" t="s">
        <v>13</v>
      </c>
      <c r="D1862" t="s">
        <v>3831</v>
      </c>
      <c r="E1862" t="s">
        <v>3832</v>
      </c>
      <c r="F1862" t="s">
        <v>1453</v>
      </c>
      <c r="G1862" s="1">
        <v>0.125</v>
      </c>
      <c r="H1862" t="s">
        <v>862</v>
      </c>
      <c r="I1862" t="s">
        <v>3833</v>
      </c>
      <c r="J1862" t="s">
        <v>3834</v>
      </c>
      <c r="K1862" t="s">
        <v>24</v>
      </c>
      <c r="L1862" s="14">
        <f>IFERROR(VALUE(LEFT(tblMatriculas[[#This Row],[Clases]],FIND("/",tblMatriculas[[#This Row],[Clases]])-1)),"")</f>
        <v>5</v>
      </c>
      <c r="M1862" s="14">
        <f>IFERROR(VALUE(MID(tblMatriculas[[#This Row],[Clases]],FIND("/",tblMatriculas[[#This Row],[Clases]])+1,5)),"")</f>
        <v>40</v>
      </c>
      <c r="N18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2" s="14">
        <f>IF(OR(tblMatriculas[[#This Row],[Estado]]&lt;&gt;"activa",tblMatriculas[[#This Row],[Clases dictadas]]=""),"",MAX(0,tblMatriculas[[#This Row],[Clases dictadas]]-tblMatriculas[[#This Row],[Asistidas]]))</f>
        <v>1</v>
      </c>
      <c r="P1862" s="1">
        <f>IF(OR(tblMatriculas[[#This Row],[Estado]]&lt;&gt;"activa",tblMatriculas[[#This Row],[Asistidas]]=""),"",tblMatriculas[[#This Row],[Asistencia]])</f>
        <v>0.125</v>
      </c>
      <c r="Q1862" t="b">
        <f>AND(tblMatriculas[[#This Row],[Estado]]="activa",ISNUMBER(tblMatriculas[[#This Row],[% asistencia]]),NOT(ISNUMBER(SEARCH(pPrueba,tblMatriculas[[#This Row],[Nombre]]))))</f>
        <v>1</v>
      </c>
      <c r="R18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2" s="23" t="str" cm="1">
        <f t="array" ref="S18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2" s="23" t="str" cm="1">
        <f t="array" ref="T18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2" s="14" t="str" cm="1">
        <f t="array" ref="U18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2" t="str" cm="1">
        <f t="array" ref="V18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2" t="str" cm="1">
        <f t="array" ref="W18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2" t="str">
        <f>IF(COUNTIFS('Base Estudiantes'!$C:$C,tblMatriculas[[#This Row],[Cédula]],'Base Estudiantes'!$I:$I,tblMatriculas[[#This Row],[Código]])&gt;0,"Sí","No")</f>
        <v>Sí</v>
      </c>
      <c r="Z1862" s="23" cm="1">
        <f t="array" ref="Z1862">_xlfn.XLOOKUP(tblMatriculas[[#This Row],[Cédula]]&amp;"|"&amp;tblMatriculas[[#This Row],[Código]],tblBase[Documento]&amp;"|"&amp;tblBase[Código grupo],tblBase[Fecha matrícula],"")</f>
        <v>46262</v>
      </c>
    </row>
    <row r="1863" spans="1:26" x14ac:dyDescent="0.2">
      <c r="A1863" t="s">
        <v>3890</v>
      </c>
      <c r="B1863" t="s">
        <v>3891</v>
      </c>
      <c r="C1863" t="s">
        <v>13</v>
      </c>
      <c r="D1863" t="s">
        <v>3831</v>
      </c>
      <c r="E1863" t="s">
        <v>3832</v>
      </c>
      <c r="F1863" t="s">
        <v>1453</v>
      </c>
      <c r="G1863" s="1">
        <v>0.15</v>
      </c>
      <c r="H1863" t="s">
        <v>852</v>
      </c>
      <c r="I1863" t="s">
        <v>3833</v>
      </c>
      <c r="J1863" t="s">
        <v>3834</v>
      </c>
      <c r="K1863" t="s">
        <v>24</v>
      </c>
      <c r="L1863" s="14">
        <f>IFERROR(VALUE(LEFT(tblMatriculas[[#This Row],[Clases]],FIND("/",tblMatriculas[[#This Row],[Clases]])-1)),"")</f>
        <v>6</v>
      </c>
      <c r="M1863" s="14">
        <f>IFERROR(VALUE(MID(tblMatriculas[[#This Row],[Clases]],FIND("/",tblMatriculas[[#This Row],[Clases]])+1,5)),"")</f>
        <v>40</v>
      </c>
      <c r="N18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3" s="14">
        <f>IF(OR(tblMatriculas[[#This Row],[Estado]]&lt;&gt;"activa",tblMatriculas[[#This Row],[Clases dictadas]]=""),"",MAX(0,tblMatriculas[[#This Row],[Clases dictadas]]-tblMatriculas[[#This Row],[Asistidas]]))</f>
        <v>0</v>
      </c>
      <c r="P1863" s="1">
        <f>IF(OR(tblMatriculas[[#This Row],[Estado]]&lt;&gt;"activa",tblMatriculas[[#This Row],[Asistidas]]=""),"",tblMatriculas[[#This Row],[Asistencia]])</f>
        <v>0.15</v>
      </c>
      <c r="Q1863" t="b">
        <f>AND(tblMatriculas[[#This Row],[Estado]]="activa",ISNUMBER(tblMatriculas[[#This Row],[% asistencia]]),NOT(ISNUMBER(SEARCH(pPrueba,tblMatriculas[[#This Row],[Nombre]]))))</f>
        <v>1</v>
      </c>
      <c r="R18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3" s="23" t="str" cm="1">
        <f t="array" ref="S18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3" s="23" t="str" cm="1">
        <f t="array" ref="T18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3" s="14" t="str" cm="1">
        <f t="array" ref="U18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3" t="str" cm="1">
        <f t="array" ref="V18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3" t="str" cm="1">
        <f t="array" ref="W18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3" t="str">
        <f>IF(COUNTIFS('Base Estudiantes'!$C:$C,tblMatriculas[[#This Row],[Cédula]],'Base Estudiantes'!$I:$I,tblMatriculas[[#This Row],[Código]])&gt;0,"Sí","No")</f>
        <v>Sí</v>
      </c>
      <c r="Z1863" s="23" cm="1">
        <f t="array" ref="Z1863">_xlfn.XLOOKUP(tblMatriculas[[#This Row],[Cédula]]&amp;"|"&amp;tblMatriculas[[#This Row],[Código]],tblBase[Documento]&amp;"|"&amp;tblBase[Código grupo],tblBase[Fecha matrícula],"")</f>
        <v>46262</v>
      </c>
    </row>
    <row r="1864" spans="1:26" x14ac:dyDescent="0.2">
      <c r="A1864" t="s">
        <v>3892</v>
      </c>
      <c r="B1864" t="s">
        <v>3893</v>
      </c>
      <c r="C1864" t="s">
        <v>13</v>
      </c>
      <c r="D1864" t="s">
        <v>3831</v>
      </c>
      <c r="E1864" t="s">
        <v>3832</v>
      </c>
      <c r="F1864" t="s">
        <v>1453</v>
      </c>
      <c r="G1864" s="1">
        <v>0.15</v>
      </c>
      <c r="H1864" t="s">
        <v>852</v>
      </c>
      <c r="I1864" t="s">
        <v>3833</v>
      </c>
      <c r="J1864" t="s">
        <v>3834</v>
      </c>
      <c r="K1864" t="s">
        <v>24</v>
      </c>
      <c r="L1864" s="14">
        <f>IFERROR(VALUE(LEFT(tblMatriculas[[#This Row],[Clases]],FIND("/",tblMatriculas[[#This Row],[Clases]])-1)),"")</f>
        <v>6</v>
      </c>
      <c r="M1864" s="14">
        <f>IFERROR(VALUE(MID(tblMatriculas[[#This Row],[Clases]],FIND("/",tblMatriculas[[#This Row],[Clases]])+1,5)),"")</f>
        <v>40</v>
      </c>
      <c r="N18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4" s="14">
        <f>IF(OR(tblMatriculas[[#This Row],[Estado]]&lt;&gt;"activa",tblMatriculas[[#This Row],[Clases dictadas]]=""),"",MAX(0,tblMatriculas[[#This Row],[Clases dictadas]]-tblMatriculas[[#This Row],[Asistidas]]))</f>
        <v>0</v>
      </c>
      <c r="P1864" s="1">
        <f>IF(OR(tblMatriculas[[#This Row],[Estado]]&lt;&gt;"activa",tblMatriculas[[#This Row],[Asistidas]]=""),"",tblMatriculas[[#This Row],[Asistencia]])</f>
        <v>0.15</v>
      </c>
      <c r="Q1864" t="b">
        <f>AND(tblMatriculas[[#This Row],[Estado]]="activa",ISNUMBER(tblMatriculas[[#This Row],[% asistencia]]),NOT(ISNUMBER(SEARCH(pPrueba,tblMatriculas[[#This Row],[Nombre]]))))</f>
        <v>1</v>
      </c>
      <c r="R18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4" s="23" t="str" cm="1">
        <f t="array" ref="S18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4" s="23" t="str" cm="1">
        <f t="array" ref="T18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4" s="14" t="str" cm="1">
        <f t="array" ref="U18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4" t="str" cm="1">
        <f t="array" ref="V18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4" t="str" cm="1">
        <f t="array" ref="W18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4" t="str">
        <f>IF(COUNTIFS('Base Estudiantes'!$C:$C,tblMatriculas[[#This Row],[Cédula]],'Base Estudiantes'!$I:$I,tblMatriculas[[#This Row],[Código]])&gt;0,"Sí","No")</f>
        <v>Sí</v>
      </c>
      <c r="Z1864" s="23" cm="1">
        <f t="array" ref="Z1864">_xlfn.XLOOKUP(tblMatriculas[[#This Row],[Cédula]]&amp;"|"&amp;tblMatriculas[[#This Row],[Código]],tblBase[Documento]&amp;"|"&amp;tblBase[Código grupo],tblBase[Fecha matrícula],"")</f>
        <v>46262</v>
      </c>
    </row>
    <row r="1865" spans="1:26" x14ac:dyDescent="0.2">
      <c r="A1865" t="s">
        <v>3894</v>
      </c>
      <c r="B1865" t="s">
        <v>3895</v>
      </c>
      <c r="C1865" t="s">
        <v>13</v>
      </c>
      <c r="D1865" t="s">
        <v>3831</v>
      </c>
      <c r="E1865" t="s">
        <v>3832</v>
      </c>
      <c r="F1865" t="s">
        <v>1453</v>
      </c>
      <c r="G1865" s="1">
        <v>0.15</v>
      </c>
      <c r="H1865" t="s">
        <v>852</v>
      </c>
      <c r="I1865" t="s">
        <v>3833</v>
      </c>
      <c r="J1865" t="s">
        <v>3834</v>
      </c>
      <c r="K1865" t="s">
        <v>24</v>
      </c>
      <c r="L1865" s="14">
        <f>IFERROR(VALUE(LEFT(tblMatriculas[[#This Row],[Clases]],FIND("/",tblMatriculas[[#This Row],[Clases]])-1)),"")</f>
        <v>6</v>
      </c>
      <c r="M1865" s="14">
        <f>IFERROR(VALUE(MID(tblMatriculas[[#This Row],[Clases]],FIND("/",tblMatriculas[[#This Row],[Clases]])+1,5)),"")</f>
        <v>40</v>
      </c>
      <c r="N18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5" s="14">
        <f>IF(OR(tblMatriculas[[#This Row],[Estado]]&lt;&gt;"activa",tblMatriculas[[#This Row],[Clases dictadas]]=""),"",MAX(0,tblMatriculas[[#This Row],[Clases dictadas]]-tblMatriculas[[#This Row],[Asistidas]]))</f>
        <v>0</v>
      </c>
      <c r="P1865" s="1">
        <f>IF(OR(tblMatriculas[[#This Row],[Estado]]&lt;&gt;"activa",tblMatriculas[[#This Row],[Asistidas]]=""),"",tblMatriculas[[#This Row],[Asistencia]])</f>
        <v>0.15</v>
      </c>
      <c r="Q1865" t="b">
        <f>AND(tblMatriculas[[#This Row],[Estado]]="activa",ISNUMBER(tblMatriculas[[#This Row],[% asistencia]]),NOT(ISNUMBER(SEARCH(pPrueba,tblMatriculas[[#This Row],[Nombre]]))))</f>
        <v>1</v>
      </c>
      <c r="R18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5" s="23" t="str" cm="1">
        <f t="array" ref="S18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5" s="23" t="str" cm="1">
        <f t="array" ref="T18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5" s="14" t="str" cm="1">
        <f t="array" ref="U18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5" t="str" cm="1">
        <f t="array" ref="V18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5" t="str" cm="1">
        <f t="array" ref="W18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5" t="str">
        <f>IF(COUNTIFS('Base Estudiantes'!$C:$C,tblMatriculas[[#This Row],[Cédula]],'Base Estudiantes'!$I:$I,tblMatriculas[[#This Row],[Código]])&gt;0,"Sí","No")</f>
        <v>Sí</v>
      </c>
      <c r="Z1865" s="23" cm="1">
        <f t="array" ref="Z1865">_xlfn.XLOOKUP(tblMatriculas[[#This Row],[Cédula]]&amp;"|"&amp;tblMatriculas[[#This Row],[Código]],tblBase[Documento]&amp;"|"&amp;tblBase[Código grupo],tblBase[Fecha matrícula],"")</f>
        <v>46262</v>
      </c>
    </row>
    <row r="1866" spans="1:26" x14ac:dyDescent="0.2">
      <c r="A1866" t="s">
        <v>3896</v>
      </c>
      <c r="B1866" t="s">
        <v>3897</v>
      </c>
      <c r="C1866" t="s">
        <v>13</v>
      </c>
      <c r="D1866" t="s">
        <v>3831</v>
      </c>
      <c r="E1866" t="s">
        <v>3832</v>
      </c>
      <c r="F1866" t="s">
        <v>1453</v>
      </c>
      <c r="G1866" s="1">
        <v>0.1</v>
      </c>
      <c r="H1866" t="s">
        <v>867</v>
      </c>
      <c r="I1866" t="s">
        <v>3833</v>
      </c>
      <c r="J1866" t="s">
        <v>3834</v>
      </c>
      <c r="K1866" t="s">
        <v>24</v>
      </c>
      <c r="L1866" s="14">
        <f>IFERROR(VALUE(LEFT(tblMatriculas[[#This Row],[Clases]],FIND("/",tblMatriculas[[#This Row],[Clases]])-1)),"")</f>
        <v>4</v>
      </c>
      <c r="M1866" s="14">
        <f>IFERROR(VALUE(MID(tblMatriculas[[#This Row],[Clases]],FIND("/",tblMatriculas[[#This Row],[Clases]])+1,5)),"")</f>
        <v>40</v>
      </c>
      <c r="N18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6" s="14">
        <f>IF(OR(tblMatriculas[[#This Row],[Estado]]&lt;&gt;"activa",tblMatriculas[[#This Row],[Clases dictadas]]=""),"",MAX(0,tblMatriculas[[#This Row],[Clases dictadas]]-tblMatriculas[[#This Row],[Asistidas]]))</f>
        <v>2</v>
      </c>
      <c r="P1866" s="1">
        <f>IF(OR(tblMatriculas[[#This Row],[Estado]]&lt;&gt;"activa",tblMatriculas[[#This Row],[Asistidas]]=""),"",tblMatriculas[[#This Row],[Asistencia]])</f>
        <v>0.1</v>
      </c>
      <c r="Q1866" t="b">
        <f>AND(tblMatriculas[[#This Row],[Estado]]="activa",ISNUMBER(tblMatriculas[[#This Row],[% asistencia]]),NOT(ISNUMBER(SEARCH(pPrueba,tblMatriculas[[#This Row],[Nombre]]))))</f>
        <v>1</v>
      </c>
      <c r="R18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6" s="23" t="str" cm="1">
        <f t="array" ref="S18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6" s="23" t="str" cm="1">
        <f t="array" ref="T18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6" s="14" t="str" cm="1">
        <f t="array" ref="U18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6" t="str" cm="1">
        <f t="array" ref="V18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6" t="str" cm="1">
        <f t="array" ref="W18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6" t="str">
        <f>IF(COUNTIFS('Base Estudiantes'!$C:$C,tblMatriculas[[#This Row],[Cédula]],'Base Estudiantes'!$I:$I,tblMatriculas[[#This Row],[Código]])&gt;0,"Sí","No")</f>
        <v>Sí</v>
      </c>
      <c r="Z1866" s="23" cm="1">
        <f t="array" ref="Z1866">_xlfn.XLOOKUP(tblMatriculas[[#This Row],[Cédula]]&amp;"|"&amp;tblMatriculas[[#This Row],[Código]],tblBase[Documento]&amp;"|"&amp;tblBase[Código grupo],tblBase[Fecha matrícula],"")</f>
        <v>46262</v>
      </c>
    </row>
    <row r="1867" spans="1:26" x14ac:dyDescent="0.2">
      <c r="A1867" t="s">
        <v>3898</v>
      </c>
      <c r="B1867" t="s">
        <v>3899</v>
      </c>
      <c r="C1867" t="s">
        <v>13</v>
      </c>
      <c r="D1867" t="s">
        <v>3831</v>
      </c>
      <c r="E1867" t="s">
        <v>3832</v>
      </c>
      <c r="F1867" t="s">
        <v>1453</v>
      </c>
      <c r="G1867" s="1">
        <v>0.125</v>
      </c>
      <c r="H1867" t="s">
        <v>862</v>
      </c>
      <c r="I1867" t="s">
        <v>3833</v>
      </c>
      <c r="J1867" t="s">
        <v>3834</v>
      </c>
      <c r="K1867" t="s">
        <v>24</v>
      </c>
      <c r="L1867" s="14">
        <f>IFERROR(VALUE(LEFT(tblMatriculas[[#This Row],[Clases]],FIND("/",tblMatriculas[[#This Row],[Clases]])-1)),"")</f>
        <v>5</v>
      </c>
      <c r="M1867" s="14">
        <f>IFERROR(VALUE(MID(tblMatriculas[[#This Row],[Clases]],FIND("/",tblMatriculas[[#This Row],[Clases]])+1,5)),"")</f>
        <v>40</v>
      </c>
      <c r="N18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7" s="14">
        <f>IF(OR(tblMatriculas[[#This Row],[Estado]]&lt;&gt;"activa",tblMatriculas[[#This Row],[Clases dictadas]]=""),"",MAX(0,tblMatriculas[[#This Row],[Clases dictadas]]-tblMatriculas[[#This Row],[Asistidas]]))</f>
        <v>1</v>
      </c>
      <c r="P1867" s="1">
        <f>IF(OR(tblMatriculas[[#This Row],[Estado]]&lt;&gt;"activa",tblMatriculas[[#This Row],[Asistidas]]=""),"",tblMatriculas[[#This Row],[Asistencia]])</f>
        <v>0.125</v>
      </c>
      <c r="Q1867" t="b">
        <f>AND(tblMatriculas[[#This Row],[Estado]]="activa",ISNUMBER(tblMatriculas[[#This Row],[% asistencia]]),NOT(ISNUMBER(SEARCH(pPrueba,tblMatriculas[[#This Row],[Nombre]]))))</f>
        <v>1</v>
      </c>
      <c r="R18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7" s="23" t="str" cm="1">
        <f t="array" ref="S18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7" s="23" t="str" cm="1">
        <f t="array" ref="T18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7" s="14" t="str" cm="1">
        <f t="array" ref="U18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7" t="str" cm="1">
        <f t="array" ref="V18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7" t="str" cm="1">
        <f t="array" ref="W18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7" t="str">
        <f>IF(COUNTIFS('Base Estudiantes'!$C:$C,tblMatriculas[[#This Row],[Cédula]],'Base Estudiantes'!$I:$I,tblMatriculas[[#This Row],[Código]])&gt;0,"Sí","No")</f>
        <v>Sí</v>
      </c>
      <c r="Z1867" s="23" cm="1">
        <f t="array" ref="Z1867">_xlfn.XLOOKUP(tblMatriculas[[#This Row],[Cédula]]&amp;"|"&amp;tblMatriculas[[#This Row],[Código]],tblBase[Documento]&amp;"|"&amp;tblBase[Código grupo],tblBase[Fecha matrícula],"")</f>
        <v>46262</v>
      </c>
    </row>
    <row r="1868" spans="1:26" x14ac:dyDescent="0.2">
      <c r="A1868" t="s">
        <v>3900</v>
      </c>
      <c r="B1868" t="s">
        <v>3901</v>
      </c>
      <c r="C1868" t="s">
        <v>13</v>
      </c>
      <c r="D1868" t="s">
        <v>3831</v>
      </c>
      <c r="E1868" t="s">
        <v>3832</v>
      </c>
      <c r="F1868" t="s">
        <v>1453</v>
      </c>
      <c r="G1868" s="1">
        <v>0.1</v>
      </c>
      <c r="H1868" t="s">
        <v>867</v>
      </c>
      <c r="I1868" t="s">
        <v>3833</v>
      </c>
      <c r="J1868" t="s">
        <v>3834</v>
      </c>
      <c r="K1868" t="s">
        <v>24</v>
      </c>
      <c r="L1868" s="14">
        <f>IFERROR(VALUE(LEFT(tblMatriculas[[#This Row],[Clases]],FIND("/",tblMatriculas[[#This Row],[Clases]])-1)),"")</f>
        <v>4</v>
      </c>
      <c r="M1868" s="14">
        <f>IFERROR(VALUE(MID(tblMatriculas[[#This Row],[Clases]],FIND("/",tblMatriculas[[#This Row],[Clases]])+1,5)),"")</f>
        <v>40</v>
      </c>
      <c r="N18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8" s="14">
        <f>IF(OR(tblMatriculas[[#This Row],[Estado]]&lt;&gt;"activa",tblMatriculas[[#This Row],[Clases dictadas]]=""),"",MAX(0,tblMatriculas[[#This Row],[Clases dictadas]]-tblMatriculas[[#This Row],[Asistidas]]))</f>
        <v>2</v>
      </c>
      <c r="P1868" s="1">
        <f>IF(OR(tblMatriculas[[#This Row],[Estado]]&lt;&gt;"activa",tblMatriculas[[#This Row],[Asistidas]]=""),"",tblMatriculas[[#This Row],[Asistencia]])</f>
        <v>0.1</v>
      </c>
      <c r="Q1868" t="b">
        <f>AND(tblMatriculas[[#This Row],[Estado]]="activa",ISNUMBER(tblMatriculas[[#This Row],[% asistencia]]),NOT(ISNUMBER(SEARCH(pPrueba,tblMatriculas[[#This Row],[Nombre]]))))</f>
        <v>1</v>
      </c>
      <c r="R18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8" s="23" t="str" cm="1">
        <f t="array" ref="S18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8" s="23" t="str" cm="1">
        <f t="array" ref="T18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8" s="14" t="str" cm="1">
        <f t="array" ref="U18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8" t="str" cm="1">
        <f t="array" ref="V18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8" t="str" cm="1">
        <f t="array" ref="W18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8" t="str">
        <f>IF(COUNTIFS('Base Estudiantes'!$C:$C,tblMatriculas[[#This Row],[Cédula]],'Base Estudiantes'!$I:$I,tblMatriculas[[#This Row],[Código]])&gt;0,"Sí","No")</f>
        <v>Sí</v>
      </c>
      <c r="Z1868" s="23" cm="1">
        <f t="array" ref="Z1868">_xlfn.XLOOKUP(tblMatriculas[[#This Row],[Cédula]]&amp;"|"&amp;tblMatriculas[[#This Row],[Código]],tblBase[Documento]&amp;"|"&amp;tblBase[Código grupo],tblBase[Fecha matrícula],"")</f>
        <v>46262</v>
      </c>
    </row>
    <row r="1869" spans="1:26" x14ac:dyDescent="0.2">
      <c r="A1869" t="s">
        <v>3902</v>
      </c>
      <c r="B1869" t="s">
        <v>3903</v>
      </c>
      <c r="C1869" t="s">
        <v>13</v>
      </c>
      <c r="D1869" t="s">
        <v>3831</v>
      </c>
      <c r="E1869" t="s">
        <v>3832</v>
      </c>
      <c r="F1869" t="s">
        <v>1453</v>
      </c>
      <c r="G1869" s="1">
        <v>0.15</v>
      </c>
      <c r="H1869" t="s">
        <v>852</v>
      </c>
      <c r="I1869" t="s">
        <v>3833</v>
      </c>
      <c r="J1869" t="s">
        <v>3834</v>
      </c>
      <c r="K1869" t="s">
        <v>24</v>
      </c>
      <c r="L1869" s="14">
        <f>IFERROR(VALUE(LEFT(tblMatriculas[[#This Row],[Clases]],FIND("/",tblMatriculas[[#This Row],[Clases]])-1)),"")</f>
        <v>6</v>
      </c>
      <c r="M1869" s="14">
        <f>IFERROR(VALUE(MID(tblMatriculas[[#This Row],[Clases]],FIND("/",tblMatriculas[[#This Row],[Clases]])+1,5)),"")</f>
        <v>40</v>
      </c>
      <c r="N18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69" s="14">
        <f>IF(OR(tblMatriculas[[#This Row],[Estado]]&lt;&gt;"activa",tblMatriculas[[#This Row],[Clases dictadas]]=""),"",MAX(0,tblMatriculas[[#This Row],[Clases dictadas]]-tblMatriculas[[#This Row],[Asistidas]]))</f>
        <v>0</v>
      </c>
      <c r="P1869" s="1">
        <f>IF(OR(tblMatriculas[[#This Row],[Estado]]&lt;&gt;"activa",tblMatriculas[[#This Row],[Asistidas]]=""),"",tblMatriculas[[#This Row],[Asistencia]])</f>
        <v>0.15</v>
      </c>
      <c r="Q1869" t="b">
        <f>AND(tblMatriculas[[#This Row],[Estado]]="activa",ISNUMBER(tblMatriculas[[#This Row],[% asistencia]]),NOT(ISNUMBER(SEARCH(pPrueba,tblMatriculas[[#This Row],[Nombre]]))))</f>
        <v>1</v>
      </c>
      <c r="R18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69" s="23" t="str" cm="1">
        <f t="array" ref="S18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69" s="23" t="str" cm="1">
        <f t="array" ref="T18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69" s="14" t="str" cm="1">
        <f t="array" ref="U18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69" t="str" cm="1">
        <f t="array" ref="V18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69" t="str" cm="1">
        <f t="array" ref="W18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6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69" t="str">
        <f>IF(COUNTIFS('Base Estudiantes'!$C:$C,tblMatriculas[[#This Row],[Cédula]],'Base Estudiantes'!$I:$I,tblMatriculas[[#This Row],[Código]])&gt;0,"Sí","No")</f>
        <v>Sí</v>
      </c>
      <c r="Z1869" s="23" cm="1">
        <f t="array" ref="Z1869">_xlfn.XLOOKUP(tblMatriculas[[#This Row],[Cédula]]&amp;"|"&amp;tblMatriculas[[#This Row],[Código]],tblBase[Documento]&amp;"|"&amp;tblBase[Código grupo],tblBase[Fecha matrícula],"")</f>
        <v>46262</v>
      </c>
    </row>
    <row r="1870" spans="1:26" x14ac:dyDescent="0.2">
      <c r="A1870" t="s">
        <v>3904</v>
      </c>
      <c r="B1870" t="s">
        <v>3905</v>
      </c>
      <c r="C1870" t="s">
        <v>13</v>
      </c>
      <c r="D1870" t="s">
        <v>3831</v>
      </c>
      <c r="E1870" t="s">
        <v>3832</v>
      </c>
      <c r="F1870" t="s">
        <v>1453</v>
      </c>
      <c r="G1870" s="1">
        <v>0.125</v>
      </c>
      <c r="H1870" t="s">
        <v>862</v>
      </c>
      <c r="I1870" t="s">
        <v>3833</v>
      </c>
      <c r="J1870" t="s">
        <v>3834</v>
      </c>
      <c r="K1870" t="s">
        <v>24</v>
      </c>
      <c r="L1870" s="14">
        <f>IFERROR(VALUE(LEFT(tblMatriculas[[#This Row],[Clases]],FIND("/",tblMatriculas[[#This Row],[Clases]])-1)),"")</f>
        <v>5</v>
      </c>
      <c r="M1870" s="14">
        <f>IFERROR(VALUE(MID(tblMatriculas[[#This Row],[Clases]],FIND("/",tblMatriculas[[#This Row],[Clases]])+1,5)),"")</f>
        <v>40</v>
      </c>
      <c r="N18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0" s="14">
        <f>IF(OR(tblMatriculas[[#This Row],[Estado]]&lt;&gt;"activa",tblMatriculas[[#This Row],[Clases dictadas]]=""),"",MAX(0,tblMatriculas[[#This Row],[Clases dictadas]]-tblMatriculas[[#This Row],[Asistidas]]))</f>
        <v>1</v>
      </c>
      <c r="P1870" s="1">
        <f>IF(OR(tblMatriculas[[#This Row],[Estado]]&lt;&gt;"activa",tblMatriculas[[#This Row],[Asistidas]]=""),"",tblMatriculas[[#This Row],[Asistencia]])</f>
        <v>0.125</v>
      </c>
      <c r="Q1870" t="b">
        <f>AND(tblMatriculas[[#This Row],[Estado]]="activa",ISNUMBER(tblMatriculas[[#This Row],[% asistencia]]),NOT(ISNUMBER(SEARCH(pPrueba,tblMatriculas[[#This Row],[Nombre]]))))</f>
        <v>1</v>
      </c>
      <c r="R18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0" s="23" t="str" cm="1">
        <f t="array" ref="S18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0" s="23" t="str" cm="1">
        <f t="array" ref="T18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0" s="14" t="str" cm="1">
        <f t="array" ref="U18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0" t="str" cm="1">
        <f t="array" ref="V18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0" t="str" cm="1">
        <f t="array" ref="W18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0" t="str">
        <f>IF(COUNTIFS('Base Estudiantes'!$C:$C,tblMatriculas[[#This Row],[Cédula]],'Base Estudiantes'!$I:$I,tblMatriculas[[#This Row],[Código]])&gt;0,"Sí","No")</f>
        <v>Sí</v>
      </c>
      <c r="Z1870" s="23" cm="1">
        <f t="array" ref="Z1870">_xlfn.XLOOKUP(tblMatriculas[[#This Row],[Cédula]]&amp;"|"&amp;tblMatriculas[[#This Row],[Código]],tblBase[Documento]&amp;"|"&amp;tblBase[Código grupo],tblBase[Fecha matrícula],"")</f>
        <v>46262</v>
      </c>
    </row>
    <row r="1871" spans="1:26" x14ac:dyDescent="0.2">
      <c r="A1871" t="s">
        <v>3906</v>
      </c>
      <c r="B1871" t="s">
        <v>3907</v>
      </c>
      <c r="C1871" t="s">
        <v>13</v>
      </c>
      <c r="D1871" t="s">
        <v>3831</v>
      </c>
      <c r="E1871" t="s">
        <v>3832</v>
      </c>
      <c r="F1871" t="s">
        <v>1453</v>
      </c>
      <c r="G1871" s="1">
        <v>0.1</v>
      </c>
      <c r="H1871" t="s">
        <v>867</v>
      </c>
      <c r="I1871" t="s">
        <v>3833</v>
      </c>
      <c r="J1871" t="s">
        <v>3834</v>
      </c>
      <c r="K1871" t="s">
        <v>24</v>
      </c>
      <c r="L1871" s="14">
        <f>IFERROR(VALUE(LEFT(tblMatriculas[[#This Row],[Clases]],FIND("/",tblMatriculas[[#This Row],[Clases]])-1)),"")</f>
        <v>4</v>
      </c>
      <c r="M1871" s="14">
        <f>IFERROR(VALUE(MID(tblMatriculas[[#This Row],[Clases]],FIND("/",tblMatriculas[[#This Row],[Clases]])+1,5)),"")</f>
        <v>40</v>
      </c>
      <c r="N18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1" s="14">
        <f>IF(OR(tblMatriculas[[#This Row],[Estado]]&lt;&gt;"activa",tblMatriculas[[#This Row],[Clases dictadas]]=""),"",MAX(0,tblMatriculas[[#This Row],[Clases dictadas]]-tblMatriculas[[#This Row],[Asistidas]]))</f>
        <v>2</v>
      </c>
      <c r="P1871" s="1">
        <f>IF(OR(tblMatriculas[[#This Row],[Estado]]&lt;&gt;"activa",tblMatriculas[[#This Row],[Asistidas]]=""),"",tblMatriculas[[#This Row],[Asistencia]])</f>
        <v>0.1</v>
      </c>
      <c r="Q1871" t="b">
        <f>AND(tblMatriculas[[#This Row],[Estado]]="activa",ISNUMBER(tblMatriculas[[#This Row],[% asistencia]]),NOT(ISNUMBER(SEARCH(pPrueba,tblMatriculas[[#This Row],[Nombre]]))))</f>
        <v>1</v>
      </c>
      <c r="R18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1" s="23" t="str" cm="1">
        <f t="array" ref="S18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1" s="23" t="str" cm="1">
        <f t="array" ref="T18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1" s="14" t="str" cm="1">
        <f t="array" ref="U18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1" t="str" cm="1">
        <f t="array" ref="V18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1" t="str" cm="1">
        <f t="array" ref="W18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1" t="str">
        <f>IF(COUNTIFS('Base Estudiantes'!$C:$C,tblMatriculas[[#This Row],[Cédula]],'Base Estudiantes'!$I:$I,tblMatriculas[[#This Row],[Código]])&gt;0,"Sí","No")</f>
        <v>Sí</v>
      </c>
      <c r="Z1871" s="23" cm="1">
        <f t="array" ref="Z1871">_xlfn.XLOOKUP(tblMatriculas[[#This Row],[Cédula]]&amp;"|"&amp;tblMatriculas[[#This Row],[Código]],tblBase[Documento]&amp;"|"&amp;tblBase[Código grupo],tblBase[Fecha matrícula],"")</f>
        <v>46262</v>
      </c>
    </row>
    <row r="1872" spans="1:26" x14ac:dyDescent="0.2">
      <c r="A1872" t="s">
        <v>3908</v>
      </c>
      <c r="B1872" t="s">
        <v>3909</v>
      </c>
      <c r="C1872" t="s">
        <v>13</v>
      </c>
      <c r="D1872" t="s">
        <v>3831</v>
      </c>
      <c r="E1872" t="s">
        <v>3832</v>
      </c>
      <c r="F1872" t="s">
        <v>1453</v>
      </c>
      <c r="G1872" s="1">
        <v>0</v>
      </c>
      <c r="H1872" t="s">
        <v>918</v>
      </c>
      <c r="I1872" t="s">
        <v>3833</v>
      </c>
      <c r="J1872" t="s">
        <v>3834</v>
      </c>
      <c r="K1872" t="s">
        <v>24</v>
      </c>
      <c r="L1872" s="14">
        <f>IFERROR(VALUE(LEFT(tblMatriculas[[#This Row],[Clases]],FIND("/",tblMatriculas[[#This Row],[Clases]])-1)),"")</f>
        <v>0</v>
      </c>
      <c r="M1872" s="14">
        <f>IFERROR(VALUE(MID(tblMatriculas[[#This Row],[Clases]],FIND("/",tblMatriculas[[#This Row],[Clases]])+1,5)),"")</f>
        <v>40</v>
      </c>
      <c r="N18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2" s="14">
        <f>IF(OR(tblMatriculas[[#This Row],[Estado]]&lt;&gt;"activa",tblMatriculas[[#This Row],[Clases dictadas]]=""),"",MAX(0,tblMatriculas[[#This Row],[Clases dictadas]]-tblMatriculas[[#This Row],[Asistidas]]))</f>
        <v>6</v>
      </c>
      <c r="P1872" s="1">
        <f>IF(OR(tblMatriculas[[#This Row],[Estado]]&lt;&gt;"activa",tblMatriculas[[#This Row],[Asistidas]]=""),"",tblMatriculas[[#This Row],[Asistencia]])</f>
        <v>0</v>
      </c>
      <c r="Q1872" t="b">
        <f>AND(tblMatriculas[[#This Row],[Estado]]="activa",ISNUMBER(tblMatriculas[[#This Row],[% asistencia]]),NOT(ISNUMBER(SEARCH(pPrueba,tblMatriculas[[#This Row],[Nombre]]))))</f>
        <v>1</v>
      </c>
      <c r="R18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72" s="23" t="str" cm="1">
        <f t="array" ref="S18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2" s="23" t="str" cm="1">
        <f t="array" ref="T18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2" s="14" t="str" cm="1">
        <f t="array" ref="U18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2" t="str" cm="1">
        <f t="array" ref="V18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2" t="str" cm="1">
        <f t="array" ref="W18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72" t="str">
        <f>IF(COUNTIFS('Base Estudiantes'!$C:$C,tblMatriculas[[#This Row],[Cédula]],'Base Estudiantes'!$I:$I,tblMatriculas[[#This Row],[Código]])&gt;0,"Sí","No")</f>
        <v>Sí</v>
      </c>
      <c r="Z1872" s="23" cm="1">
        <f t="array" ref="Z1872">_xlfn.XLOOKUP(tblMatriculas[[#This Row],[Cédula]]&amp;"|"&amp;tblMatriculas[[#This Row],[Código]],tblBase[Documento]&amp;"|"&amp;tblBase[Código grupo],tblBase[Fecha matrícula],"")</f>
        <v>46262</v>
      </c>
    </row>
    <row r="1873" spans="1:26" x14ac:dyDescent="0.2">
      <c r="A1873" t="s">
        <v>3910</v>
      </c>
      <c r="B1873" t="s">
        <v>3911</v>
      </c>
      <c r="C1873" t="s">
        <v>13</v>
      </c>
      <c r="D1873" t="s">
        <v>3831</v>
      </c>
      <c r="E1873" t="s">
        <v>3832</v>
      </c>
      <c r="F1873" t="s">
        <v>1453</v>
      </c>
      <c r="G1873" s="1">
        <v>0.1</v>
      </c>
      <c r="H1873" t="s">
        <v>867</v>
      </c>
      <c r="I1873" t="s">
        <v>3833</v>
      </c>
      <c r="J1873" t="s">
        <v>3834</v>
      </c>
      <c r="K1873" t="s">
        <v>24</v>
      </c>
      <c r="L1873" s="14">
        <f>IFERROR(VALUE(LEFT(tblMatriculas[[#This Row],[Clases]],FIND("/",tblMatriculas[[#This Row],[Clases]])-1)),"")</f>
        <v>4</v>
      </c>
      <c r="M1873" s="14">
        <f>IFERROR(VALUE(MID(tblMatriculas[[#This Row],[Clases]],FIND("/",tblMatriculas[[#This Row],[Clases]])+1,5)),"")</f>
        <v>40</v>
      </c>
      <c r="N18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3" s="14">
        <f>IF(OR(tblMatriculas[[#This Row],[Estado]]&lt;&gt;"activa",tblMatriculas[[#This Row],[Clases dictadas]]=""),"",MAX(0,tblMatriculas[[#This Row],[Clases dictadas]]-tblMatriculas[[#This Row],[Asistidas]]))</f>
        <v>2</v>
      </c>
      <c r="P1873" s="1">
        <f>IF(OR(tblMatriculas[[#This Row],[Estado]]&lt;&gt;"activa",tblMatriculas[[#This Row],[Asistidas]]=""),"",tblMatriculas[[#This Row],[Asistencia]])</f>
        <v>0.1</v>
      </c>
      <c r="Q1873" t="b">
        <f>AND(tblMatriculas[[#This Row],[Estado]]="activa",ISNUMBER(tblMatriculas[[#This Row],[% asistencia]]),NOT(ISNUMBER(SEARCH(pPrueba,tblMatriculas[[#This Row],[Nombre]]))))</f>
        <v>1</v>
      </c>
      <c r="R18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3" s="23" t="str" cm="1">
        <f t="array" ref="S18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3" s="23" t="str" cm="1">
        <f t="array" ref="T18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3" s="14" t="str" cm="1">
        <f t="array" ref="U18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3" t="str" cm="1">
        <f t="array" ref="V18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3" t="str" cm="1">
        <f t="array" ref="W18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3" t="str">
        <f>IF(COUNTIFS('Base Estudiantes'!$C:$C,tblMatriculas[[#This Row],[Cédula]],'Base Estudiantes'!$I:$I,tblMatriculas[[#This Row],[Código]])&gt;0,"Sí","No")</f>
        <v>Sí</v>
      </c>
      <c r="Z1873" s="23" cm="1">
        <f t="array" ref="Z1873">_xlfn.XLOOKUP(tblMatriculas[[#This Row],[Cédula]]&amp;"|"&amp;tblMatriculas[[#This Row],[Código]],tblBase[Documento]&amp;"|"&amp;tblBase[Código grupo],tblBase[Fecha matrícula],"")</f>
        <v>46262</v>
      </c>
    </row>
    <row r="1874" spans="1:26" x14ac:dyDescent="0.2">
      <c r="A1874" t="s">
        <v>3912</v>
      </c>
      <c r="B1874" t="s">
        <v>3913</v>
      </c>
      <c r="C1874" t="s">
        <v>13</v>
      </c>
      <c r="D1874" t="s">
        <v>3831</v>
      </c>
      <c r="E1874" t="s">
        <v>3832</v>
      </c>
      <c r="F1874" t="s">
        <v>1453</v>
      </c>
      <c r="G1874" s="1">
        <v>0.1</v>
      </c>
      <c r="H1874" t="s">
        <v>867</v>
      </c>
      <c r="I1874" t="s">
        <v>3833</v>
      </c>
      <c r="J1874" t="s">
        <v>3834</v>
      </c>
      <c r="K1874" t="s">
        <v>24</v>
      </c>
      <c r="L1874" s="14">
        <f>IFERROR(VALUE(LEFT(tblMatriculas[[#This Row],[Clases]],FIND("/",tblMatriculas[[#This Row],[Clases]])-1)),"")</f>
        <v>4</v>
      </c>
      <c r="M1874" s="14">
        <f>IFERROR(VALUE(MID(tblMatriculas[[#This Row],[Clases]],FIND("/",tblMatriculas[[#This Row],[Clases]])+1,5)),"")</f>
        <v>40</v>
      </c>
      <c r="N18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4" s="14">
        <f>IF(OR(tblMatriculas[[#This Row],[Estado]]&lt;&gt;"activa",tblMatriculas[[#This Row],[Clases dictadas]]=""),"",MAX(0,tblMatriculas[[#This Row],[Clases dictadas]]-tblMatriculas[[#This Row],[Asistidas]]))</f>
        <v>2</v>
      </c>
      <c r="P1874" s="1">
        <f>IF(OR(tblMatriculas[[#This Row],[Estado]]&lt;&gt;"activa",tblMatriculas[[#This Row],[Asistidas]]=""),"",tblMatriculas[[#This Row],[Asistencia]])</f>
        <v>0.1</v>
      </c>
      <c r="Q1874" t="b">
        <f>AND(tblMatriculas[[#This Row],[Estado]]="activa",ISNUMBER(tblMatriculas[[#This Row],[% asistencia]]),NOT(ISNUMBER(SEARCH(pPrueba,tblMatriculas[[#This Row],[Nombre]]))))</f>
        <v>1</v>
      </c>
      <c r="R18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4" s="23" t="str" cm="1">
        <f t="array" ref="S18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4" s="23" t="str" cm="1">
        <f t="array" ref="T18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4" s="14" t="str" cm="1">
        <f t="array" ref="U18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4" t="str" cm="1">
        <f t="array" ref="V18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4" t="str" cm="1">
        <f t="array" ref="W18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4" t="str">
        <f>IF(COUNTIFS('Base Estudiantes'!$C:$C,tblMatriculas[[#This Row],[Cédula]],'Base Estudiantes'!$I:$I,tblMatriculas[[#This Row],[Código]])&gt;0,"Sí","No")</f>
        <v>Sí</v>
      </c>
      <c r="Z1874" s="23" cm="1">
        <f t="array" ref="Z1874">_xlfn.XLOOKUP(tblMatriculas[[#This Row],[Cédula]]&amp;"|"&amp;tblMatriculas[[#This Row],[Código]],tblBase[Documento]&amp;"|"&amp;tblBase[Código grupo],tblBase[Fecha matrícula],"")</f>
        <v>46262</v>
      </c>
    </row>
    <row r="1875" spans="1:26" x14ac:dyDescent="0.2">
      <c r="A1875" t="s">
        <v>3435</v>
      </c>
      <c r="B1875" t="s">
        <v>3436</v>
      </c>
      <c r="C1875" t="s">
        <v>49</v>
      </c>
      <c r="D1875" t="s">
        <v>3831</v>
      </c>
      <c r="E1875" t="s">
        <v>3832</v>
      </c>
      <c r="F1875" t="s">
        <v>1453</v>
      </c>
      <c r="G1875" s="1">
        <v>0</v>
      </c>
      <c r="H1875" t="s">
        <v>918</v>
      </c>
      <c r="I1875" t="s">
        <v>3833</v>
      </c>
      <c r="J1875" t="s">
        <v>3834</v>
      </c>
      <c r="K1875" t="s">
        <v>24</v>
      </c>
      <c r="L1875" s="14">
        <f>IFERROR(VALUE(LEFT(tblMatriculas[[#This Row],[Clases]],FIND("/",tblMatriculas[[#This Row],[Clases]])-1)),"")</f>
        <v>0</v>
      </c>
      <c r="M1875" s="14">
        <f>IFERROR(VALUE(MID(tblMatriculas[[#This Row],[Clases]],FIND("/",tblMatriculas[[#This Row],[Clases]])+1,5)),"")</f>
        <v>40</v>
      </c>
      <c r="N18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5" s="14" t="str">
        <f>IF(OR(tblMatriculas[[#This Row],[Estado]]&lt;&gt;"activa",tblMatriculas[[#This Row],[Clases dictadas]]=""),"",MAX(0,tblMatriculas[[#This Row],[Clases dictadas]]-tblMatriculas[[#This Row],[Asistidas]]))</f>
        <v/>
      </c>
      <c r="P1875" s="1" t="str">
        <f>IF(OR(tblMatriculas[[#This Row],[Estado]]&lt;&gt;"activa",tblMatriculas[[#This Row],[Asistidas]]=""),"",tblMatriculas[[#This Row],[Asistencia]])</f>
        <v/>
      </c>
      <c r="Q1875" t="b">
        <f>AND(tblMatriculas[[#This Row],[Estado]]="activa",ISNUMBER(tblMatriculas[[#This Row],[% asistencia]]),NOT(ISNUMBER(SEARCH(pPrueba,tblMatriculas[[#This Row],[Nombre]]))))</f>
        <v>0</v>
      </c>
      <c r="R18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875" s="23" t="str" cm="1">
        <f t="array" ref="S18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5" s="23" t="str" cm="1">
        <f t="array" ref="T18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5" s="14" t="str" cm="1">
        <f t="array" ref="U18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5" t="str" cm="1">
        <f t="array" ref="V18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5" t="str" cm="1">
        <f t="array" ref="W18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5" t="str">
        <f>IF(COUNTIFS('Base Estudiantes'!$C:$C,tblMatriculas[[#This Row],[Cédula]],'Base Estudiantes'!$I:$I,tblMatriculas[[#This Row],[Código]])&gt;0,"Sí","No")</f>
        <v>No</v>
      </c>
      <c r="Z1875" s="23" t="str" cm="1">
        <f t="array" ref="Z1875">_xlfn.XLOOKUP(tblMatriculas[[#This Row],[Cédula]]&amp;"|"&amp;tblMatriculas[[#This Row],[Código]],tblBase[Documento]&amp;"|"&amp;tblBase[Código grupo],tblBase[Fecha matrícula],"")</f>
        <v/>
      </c>
    </row>
    <row r="1876" spans="1:26" x14ac:dyDescent="0.2">
      <c r="A1876" t="s">
        <v>3914</v>
      </c>
      <c r="B1876" t="s">
        <v>3915</v>
      </c>
      <c r="C1876" t="s">
        <v>13</v>
      </c>
      <c r="D1876" t="s">
        <v>3831</v>
      </c>
      <c r="E1876" t="s">
        <v>3832</v>
      </c>
      <c r="F1876" t="s">
        <v>1453</v>
      </c>
      <c r="G1876" s="1">
        <v>0.15</v>
      </c>
      <c r="H1876" t="s">
        <v>852</v>
      </c>
      <c r="I1876" t="s">
        <v>3833</v>
      </c>
      <c r="J1876" t="s">
        <v>3834</v>
      </c>
      <c r="K1876" t="s">
        <v>24</v>
      </c>
      <c r="L1876" s="14">
        <f>IFERROR(VALUE(LEFT(tblMatriculas[[#This Row],[Clases]],FIND("/",tblMatriculas[[#This Row],[Clases]])-1)),"")</f>
        <v>6</v>
      </c>
      <c r="M1876" s="14">
        <f>IFERROR(VALUE(MID(tblMatriculas[[#This Row],[Clases]],FIND("/",tblMatriculas[[#This Row],[Clases]])+1,5)),"")</f>
        <v>40</v>
      </c>
      <c r="N18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6" s="14">
        <f>IF(OR(tblMatriculas[[#This Row],[Estado]]&lt;&gt;"activa",tblMatriculas[[#This Row],[Clases dictadas]]=""),"",MAX(0,tblMatriculas[[#This Row],[Clases dictadas]]-tblMatriculas[[#This Row],[Asistidas]]))</f>
        <v>0</v>
      </c>
      <c r="P1876" s="1">
        <f>IF(OR(tblMatriculas[[#This Row],[Estado]]&lt;&gt;"activa",tblMatriculas[[#This Row],[Asistidas]]=""),"",tblMatriculas[[#This Row],[Asistencia]])</f>
        <v>0.15</v>
      </c>
      <c r="Q1876" t="b">
        <f>AND(tblMatriculas[[#This Row],[Estado]]="activa",ISNUMBER(tblMatriculas[[#This Row],[% asistencia]]),NOT(ISNUMBER(SEARCH(pPrueba,tblMatriculas[[#This Row],[Nombre]]))))</f>
        <v>1</v>
      </c>
      <c r="R18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6" s="23" t="str" cm="1">
        <f t="array" ref="S18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6" s="23" t="str" cm="1">
        <f t="array" ref="T18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6" s="14" t="str" cm="1">
        <f t="array" ref="U18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6" t="str" cm="1">
        <f t="array" ref="V18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6" t="str" cm="1">
        <f t="array" ref="W18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6" t="str">
        <f>IF(COUNTIFS('Base Estudiantes'!$C:$C,tblMatriculas[[#This Row],[Cédula]],'Base Estudiantes'!$I:$I,tblMatriculas[[#This Row],[Código]])&gt;0,"Sí","No")</f>
        <v>Sí</v>
      </c>
      <c r="Z1876" s="23" cm="1">
        <f t="array" ref="Z1876">_xlfn.XLOOKUP(tblMatriculas[[#This Row],[Cédula]]&amp;"|"&amp;tblMatriculas[[#This Row],[Código]],tblBase[Documento]&amp;"|"&amp;tblBase[Código grupo],tblBase[Fecha matrícula],"")</f>
        <v>46262</v>
      </c>
    </row>
    <row r="1877" spans="1:26" x14ac:dyDescent="0.2">
      <c r="A1877" t="s">
        <v>3916</v>
      </c>
      <c r="B1877" t="s">
        <v>3917</v>
      </c>
      <c r="C1877" t="s">
        <v>13</v>
      </c>
      <c r="D1877" t="s">
        <v>3831</v>
      </c>
      <c r="E1877" t="s">
        <v>3832</v>
      </c>
      <c r="F1877" t="s">
        <v>1453</v>
      </c>
      <c r="G1877" s="1">
        <v>0.15</v>
      </c>
      <c r="H1877" t="s">
        <v>852</v>
      </c>
      <c r="I1877" t="s">
        <v>3833</v>
      </c>
      <c r="J1877" t="s">
        <v>3834</v>
      </c>
      <c r="K1877" t="s">
        <v>24</v>
      </c>
      <c r="L1877" s="14">
        <f>IFERROR(VALUE(LEFT(tblMatriculas[[#This Row],[Clases]],FIND("/",tblMatriculas[[#This Row],[Clases]])-1)),"")</f>
        <v>6</v>
      </c>
      <c r="M1877" s="14">
        <f>IFERROR(VALUE(MID(tblMatriculas[[#This Row],[Clases]],FIND("/",tblMatriculas[[#This Row],[Clases]])+1,5)),"")</f>
        <v>40</v>
      </c>
      <c r="N18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7" s="14">
        <f>IF(OR(tblMatriculas[[#This Row],[Estado]]&lt;&gt;"activa",tblMatriculas[[#This Row],[Clases dictadas]]=""),"",MAX(0,tblMatriculas[[#This Row],[Clases dictadas]]-tblMatriculas[[#This Row],[Asistidas]]))</f>
        <v>0</v>
      </c>
      <c r="P1877" s="1">
        <f>IF(OR(tblMatriculas[[#This Row],[Estado]]&lt;&gt;"activa",tblMatriculas[[#This Row],[Asistidas]]=""),"",tblMatriculas[[#This Row],[Asistencia]])</f>
        <v>0.15</v>
      </c>
      <c r="Q1877" t="b">
        <f>AND(tblMatriculas[[#This Row],[Estado]]="activa",ISNUMBER(tblMatriculas[[#This Row],[% asistencia]]),NOT(ISNUMBER(SEARCH(pPrueba,tblMatriculas[[#This Row],[Nombre]]))))</f>
        <v>1</v>
      </c>
      <c r="R18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7" s="23" t="str" cm="1">
        <f t="array" ref="S18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7" s="23" t="str" cm="1">
        <f t="array" ref="T18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7" s="14" t="str" cm="1">
        <f t="array" ref="U18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7" t="str" cm="1">
        <f t="array" ref="V18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7" t="str" cm="1">
        <f t="array" ref="W18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7" t="str">
        <f>IF(COUNTIFS('Base Estudiantes'!$C:$C,tblMatriculas[[#This Row],[Cédula]],'Base Estudiantes'!$I:$I,tblMatriculas[[#This Row],[Código]])&gt;0,"Sí","No")</f>
        <v>Sí</v>
      </c>
      <c r="Z1877" s="23" cm="1">
        <f t="array" ref="Z1877">_xlfn.XLOOKUP(tblMatriculas[[#This Row],[Cédula]]&amp;"|"&amp;tblMatriculas[[#This Row],[Código]],tblBase[Documento]&amp;"|"&amp;tblBase[Código grupo],tblBase[Fecha matrícula],"")</f>
        <v>46262</v>
      </c>
    </row>
    <row r="1878" spans="1:26" x14ac:dyDescent="0.2">
      <c r="A1878" t="s">
        <v>3918</v>
      </c>
      <c r="B1878" t="s">
        <v>3919</v>
      </c>
      <c r="C1878" t="s">
        <v>13</v>
      </c>
      <c r="D1878" t="s">
        <v>3831</v>
      </c>
      <c r="E1878" t="s">
        <v>3832</v>
      </c>
      <c r="F1878" t="s">
        <v>1453</v>
      </c>
      <c r="G1878" s="1">
        <v>0</v>
      </c>
      <c r="H1878" t="s">
        <v>918</v>
      </c>
      <c r="I1878" t="s">
        <v>3833</v>
      </c>
      <c r="J1878" t="s">
        <v>3834</v>
      </c>
      <c r="K1878" t="s">
        <v>24</v>
      </c>
      <c r="L1878" s="14">
        <f>IFERROR(VALUE(LEFT(tblMatriculas[[#This Row],[Clases]],FIND("/",tblMatriculas[[#This Row],[Clases]])-1)),"")</f>
        <v>0</v>
      </c>
      <c r="M1878" s="14">
        <f>IFERROR(VALUE(MID(tblMatriculas[[#This Row],[Clases]],FIND("/",tblMatriculas[[#This Row],[Clases]])+1,5)),"")</f>
        <v>40</v>
      </c>
      <c r="N18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8" s="14">
        <f>IF(OR(tblMatriculas[[#This Row],[Estado]]&lt;&gt;"activa",tblMatriculas[[#This Row],[Clases dictadas]]=""),"",MAX(0,tblMatriculas[[#This Row],[Clases dictadas]]-tblMatriculas[[#This Row],[Asistidas]]))</f>
        <v>6</v>
      </c>
      <c r="P1878" s="1">
        <f>IF(OR(tblMatriculas[[#This Row],[Estado]]&lt;&gt;"activa",tblMatriculas[[#This Row],[Asistidas]]=""),"",tblMatriculas[[#This Row],[Asistencia]])</f>
        <v>0</v>
      </c>
      <c r="Q1878" t="b">
        <f>AND(tblMatriculas[[#This Row],[Estado]]="activa",ISNUMBER(tblMatriculas[[#This Row],[% asistencia]]),NOT(ISNUMBER(SEARCH(pPrueba,tblMatriculas[[#This Row],[Nombre]]))))</f>
        <v>1</v>
      </c>
      <c r="R18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78" s="23" t="str" cm="1">
        <f t="array" ref="S18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8" s="23" t="str" cm="1">
        <f t="array" ref="T18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8" s="14" t="str" cm="1">
        <f t="array" ref="U18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8" t="str" cm="1">
        <f t="array" ref="V18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8" t="str" cm="1">
        <f t="array" ref="W18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78" t="str">
        <f>IF(COUNTIFS('Base Estudiantes'!$C:$C,tblMatriculas[[#This Row],[Cédula]],'Base Estudiantes'!$I:$I,tblMatriculas[[#This Row],[Código]])&gt;0,"Sí","No")</f>
        <v>Sí</v>
      </c>
      <c r="Z1878" s="23" cm="1">
        <f t="array" ref="Z1878">_xlfn.XLOOKUP(tblMatriculas[[#This Row],[Cédula]]&amp;"|"&amp;tblMatriculas[[#This Row],[Código]],tblBase[Documento]&amp;"|"&amp;tblBase[Código grupo],tblBase[Fecha matrícula],"")</f>
        <v>46262</v>
      </c>
    </row>
    <row r="1879" spans="1:26" x14ac:dyDescent="0.2">
      <c r="A1879" t="s">
        <v>1849</v>
      </c>
      <c r="B1879" t="s">
        <v>1850</v>
      </c>
      <c r="C1879" t="s">
        <v>13</v>
      </c>
      <c r="D1879" t="s">
        <v>3831</v>
      </c>
      <c r="E1879" t="s">
        <v>3832</v>
      </c>
      <c r="F1879" t="s">
        <v>1453</v>
      </c>
      <c r="G1879" s="1">
        <v>0.125</v>
      </c>
      <c r="H1879" t="s">
        <v>862</v>
      </c>
      <c r="I1879" t="s">
        <v>3833</v>
      </c>
      <c r="J1879" t="s">
        <v>3834</v>
      </c>
      <c r="K1879" t="s">
        <v>24</v>
      </c>
      <c r="L1879" s="14">
        <f>IFERROR(VALUE(LEFT(tblMatriculas[[#This Row],[Clases]],FIND("/",tblMatriculas[[#This Row],[Clases]])-1)),"")</f>
        <v>5</v>
      </c>
      <c r="M1879" s="14">
        <f>IFERROR(VALUE(MID(tblMatriculas[[#This Row],[Clases]],FIND("/",tblMatriculas[[#This Row],[Clases]])+1,5)),"")</f>
        <v>40</v>
      </c>
      <c r="N18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79" s="14">
        <f>IF(OR(tblMatriculas[[#This Row],[Estado]]&lt;&gt;"activa",tblMatriculas[[#This Row],[Clases dictadas]]=""),"",MAX(0,tblMatriculas[[#This Row],[Clases dictadas]]-tblMatriculas[[#This Row],[Asistidas]]))</f>
        <v>1</v>
      </c>
      <c r="P1879" s="1">
        <f>IF(OR(tblMatriculas[[#This Row],[Estado]]&lt;&gt;"activa",tblMatriculas[[#This Row],[Asistidas]]=""),"",tblMatriculas[[#This Row],[Asistencia]])</f>
        <v>0.125</v>
      </c>
      <c r="Q1879" t="b">
        <f>AND(tblMatriculas[[#This Row],[Estado]]="activa",ISNUMBER(tblMatriculas[[#This Row],[% asistencia]]),NOT(ISNUMBER(SEARCH(pPrueba,tblMatriculas[[#This Row],[Nombre]]))))</f>
        <v>1</v>
      </c>
      <c r="R18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79" s="23" t="str" cm="1">
        <f t="array" ref="S18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79" s="23" t="str" cm="1">
        <f t="array" ref="T18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79" s="14" t="str" cm="1">
        <f t="array" ref="U18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79" t="str" cm="1">
        <f t="array" ref="V18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79" t="str" cm="1">
        <f t="array" ref="W18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79" t="str">
        <f>IF(COUNTIFS('Base Estudiantes'!$C:$C,tblMatriculas[[#This Row],[Cédula]],'Base Estudiantes'!$I:$I,tblMatriculas[[#This Row],[Código]])&gt;0,"Sí","No")</f>
        <v>Sí</v>
      </c>
      <c r="Z1879" s="23" cm="1">
        <f t="array" ref="Z1879">_xlfn.XLOOKUP(tblMatriculas[[#This Row],[Cédula]]&amp;"|"&amp;tblMatriculas[[#This Row],[Código]],tblBase[Documento]&amp;"|"&amp;tblBase[Código grupo],tblBase[Fecha matrícula],"")</f>
        <v>46272</v>
      </c>
    </row>
    <row r="1880" spans="1:26" x14ac:dyDescent="0.2">
      <c r="A1880" t="s">
        <v>1799</v>
      </c>
      <c r="B1880" t="s">
        <v>1800</v>
      </c>
      <c r="C1880" t="s">
        <v>13</v>
      </c>
      <c r="D1880" t="s">
        <v>3831</v>
      </c>
      <c r="E1880" t="s">
        <v>3832</v>
      </c>
      <c r="F1880" t="s">
        <v>1453</v>
      </c>
      <c r="G1880" s="1">
        <v>0.125</v>
      </c>
      <c r="H1880" t="s">
        <v>862</v>
      </c>
      <c r="I1880" t="s">
        <v>3833</v>
      </c>
      <c r="J1880" t="s">
        <v>3834</v>
      </c>
      <c r="K1880" t="s">
        <v>24</v>
      </c>
      <c r="L1880" s="14">
        <f>IFERROR(VALUE(LEFT(tblMatriculas[[#This Row],[Clases]],FIND("/",tblMatriculas[[#This Row],[Clases]])-1)),"")</f>
        <v>5</v>
      </c>
      <c r="M1880" s="14">
        <f>IFERROR(VALUE(MID(tblMatriculas[[#This Row],[Clases]],FIND("/",tblMatriculas[[#This Row],[Clases]])+1,5)),"")</f>
        <v>40</v>
      </c>
      <c r="N18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880" s="14">
        <f>IF(OR(tblMatriculas[[#This Row],[Estado]]&lt;&gt;"activa",tblMatriculas[[#This Row],[Clases dictadas]]=""),"",MAX(0,tblMatriculas[[#This Row],[Clases dictadas]]-tblMatriculas[[#This Row],[Asistidas]]))</f>
        <v>1</v>
      </c>
      <c r="P1880" s="1">
        <f>IF(OR(tblMatriculas[[#This Row],[Estado]]&lt;&gt;"activa",tblMatriculas[[#This Row],[Asistidas]]=""),"",tblMatriculas[[#This Row],[Asistencia]])</f>
        <v>0.125</v>
      </c>
      <c r="Q1880" t="b">
        <f>AND(tblMatriculas[[#This Row],[Estado]]="activa",ISNUMBER(tblMatriculas[[#This Row],[% asistencia]]),NOT(ISNUMBER(SEARCH(pPrueba,tblMatriculas[[#This Row],[Nombre]]))))</f>
        <v>1</v>
      </c>
      <c r="R18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0" s="23" t="str" cm="1">
        <f t="array" ref="S18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0" s="23" t="str" cm="1">
        <f t="array" ref="T18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0" s="14" t="str" cm="1">
        <f t="array" ref="U18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0" t="str" cm="1">
        <f t="array" ref="V18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0" t="str" cm="1">
        <f t="array" ref="W18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0" t="str">
        <f>IF(COUNTIFS('Base Estudiantes'!$C:$C,tblMatriculas[[#This Row],[Cédula]],'Base Estudiantes'!$I:$I,tblMatriculas[[#This Row],[Código]])&gt;0,"Sí","No")</f>
        <v>Sí</v>
      </c>
      <c r="Z1880" s="23" cm="1">
        <f t="array" ref="Z1880">_xlfn.XLOOKUP(tblMatriculas[[#This Row],[Cédula]]&amp;"|"&amp;tblMatriculas[[#This Row],[Código]],tblBase[Documento]&amp;"|"&amp;tblBase[Código grupo],tblBase[Fecha matrícula],"")</f>
        <v>46272</v>
      </c>
    </row>
    <row r="1881" spans="1:26" x14ac:dyDescent="0.2">
      <c r="A1881" t="s">
        <v>2165</v>
      </c>
      <c r="B1881" t="s">
        <v>2166</v>
      </c>
      <c r="C1881" t="s">
        <v>13</v>
      </c>
      <c r="D1881" t="s">
        <v>3831</v>
      </c>
      <c r="E1881" t="s">
        <v>3832</v>
      </c>
      <c r="F1881" t="s">
        <v>1453</v>
      </c>
      <c r="G1881" s="1">
        <v>4.2999999999999997E-2</v>
      </c>
      <c r="H1881" t="s">
        <v>3920</v>
      </c>
      <c r="I1881" t="s">
        <v>3833</v>
      </c>
      <c r="J1881" t="s">
        <v>3834</v>
      </c>
      <c r="K1881" t="s">
        <v>24</v>
      </c>
      <c r="L1881" s="14">
        <f>IFERROR(VALUE(LEFT(tblMatriculas[[#This Row],[Clases]],FIND("/",tblMatriculas[[#This Row],[Clases]])-1)),"")</f>
        <v>3</v>
      </c>
      <c r="M1881" s="14">
        <f>IFERROR(VALUE(MID(tblMatriculas[[#This Row],[Clases]],FIND("/",tblMatriculas[[#This Row],[Clases]])+1,5)),"")</f>
        <v>70</v>
      </c>
      <c r="N18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881" s="14">
        <f>IF(OR(tblMatriculas[[#This Row],[Estado]]&lt;&gt;"activa",tblMatriculas[[#This Row],[Clases dictadas]]=""),"",MAX(0,tblMatriculas[[#This Row],[Clases dictadas]]-tblMatriculas[[#This Row],[Asistidas]]))</f>
        <v>8</v>
      </c>
      <c r="P1881" s="1">
        <f>IF(OR(tblMatriculas[[#This Row],[Estado]]&lt;&gt;"activa",tblMatriculas[[#This Row],[Asistidas]]=""),"",tblMatriculas[[#This Row],[Asistencia]])</f>
        <v>4.2999999999999997E-2</v>
      </c>
      <c r="Q1881" t="b">
        <f>AND(tblMatriculas[[#This Row],[Estado]]="activa",ISNUMBER(tblMatriculas[[#This Row],[% asistencia]]),NOT(ISNUMBER(SEARCH(pPrueba,tblMatriculas[[#This Row],[Nombre]]))))</f>
        <v>1</v>
      </c>
      <c r="R18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81" s="23" t="str" cm="1">
        <f t="array" ref="S18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1" s="23" t="str" cm="1">
        <f t="array" ref="T18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1" s="14" t="str" cm="1">
        <f t="array" ref="U18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1" t="str" cm="1">
        <f t="array" ref="V18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1" t="str" cm="1">
        <f t="array" ref="W18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81" t="str">
        <f>IF(COUNTIFS('Base Estudiantes'!$C:$C,tblMatriculas[[#This Row],[Cédula]],'Base Estudiantes'!$I:$I,tblMatriculas[[#This Row],[Código]])&gt;0,"Sí","No")</f>
        <v>Sí</v>
      </c>
      <c r="Z1881" s="23" cm="1">
        <f t="array" ref="Z1881">_xlfn.XLOOKUP(tblMatriculas[[#This Row],[Cédula]]&amp;"|"&amp;tblMatriculas[[#This Row],[Código]],tblBase[Documento]&amp;"|"&amp;tblBase[Código grupo],tblBase[Fecha matrícula],"")</f>
        <v>46280</v>
      </c>
    </row>
    <row r="1882" spans="1:26" x14ac:dyDescent="0.2">
      <c r="A1882" t="s">
        <v>3921</v>
      </c>
      <c r="B1882" t="s">
        <v>3922</v>
      </c>
      <c r="C1882" t="s">
        <v>13</v>
      </c>
      <c r="D1882" t="s">
        <v>3923</v>
      </c>
      <c r="E1882" t="s">
        <v>3924</v>
      </c>
      <c r="F1882" t="s">
        <v>16</v>
      </c>
      <c r="G1882" s="1">
        <v>5.7000000000000002E-2</v>
      </c>
      <c r="H1882" t="s">
        <v>3925</v>
      </c>
      <c r="I1882" t="s">
        <v>3833</v>
      </c>
      <c r="J1882" t="s">
        <v>3926</v>
      </c>
      <c r="K1882" t="s">
        <v>3927</v>
      </c>
      <c r="L1882" s="14">
        <f>IFERROR(VALUE(LEFT(tblMatriculas[[#This Row],[Clases]],FIND("/",tblMatriculas[[#This Row],[Clases]])-1)),"")</f>
        <v>4</v>
      </c>
      <c r="M1882" s="14">
        <f>IFERROR(VALUE(MID(tblMatriculas[[#This Row],[Clases]],FIND("/",tblMatriculas[[#This Row],[Clases]])+1,5)),"")</f>
        <v>70</v>
      </c>
      <c r="N18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14</v>
      </c>
      <c r="O1882" s="14">
        <f>IF(OR(tblMatriculas[[#This Row],[Estado]]&lt;&gt;"activa",tblMatriculas[[#This Row],[Clases dictadas]]=""),"",MAX(0,tblMatriculas[[#This Row],[Clases dictadas]]-tblMatriculas[[#This Row],[Asistidas]]))</f>
        <v>10</v>
      </c>
      <c r="P1882" s="1">
        <f>IF(OR(tblMatriculas[[#This Row],[Estado]]&lt;&gt;"activa",tblMatriculas[[#This Row],[Asistidas]]=""),"",tblMatriculas[[#This Row],[Asistencia]])</f>
        <v>5.7000000000000002E-2</v>
      </c>
      <c r="Q1882" t="b">
        <f>AND(tblMatriculas[[#This Row],[Estado]]="activa",ISNUMBER(tblMatriculas[[#This Row],[% asistencia]]),NOT(ISNUMBER(SEARCH(pPrueba,tblMatriculas[[#This Row],[Nombre]]))))</f>
        <v>1</v>
      </c>
      <c r="R18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82" s="23" t="str" cm="1">
        <f t="array" ref="S18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2" s="23" t="str" cm="1">
        <f t="array" ref="T18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2" s="14" t="str" cm="1">
        <f t="array" ref="U18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2" t="str" cm="1">
        <f t="array" ref="V18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2" t="str" cm="1">
        <f t="array" ref="W18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82" t="str">
        <f>IF(COUNTIFS('Base Estudiantes'!$C:$C,tblMatriculas[[#This Row],[Cédula]],'Base Estudiantes'!$I:$I,tblMatriculas[[#This Row],[Código]])&gt;0,"Sí","No")</f>
        <v>Sí</v>
      </c>
      <c r="Z1882" s="23" cm="1">
        <f t="array" ref="Z1882">_xlfn.XLOOKUP(tblMatriculas[[#This Row],[Cédula]]&amp;"|"&amp;tblMatriculas[[#This Row],[Código]],tblBase[Documento]&amp;"|"&amp;tblBase[Código grupo],tblBase[Fecha matrícula],"")</f>
        <v>46262</v>
      </c>
    </row>
    <row r="1883" spans="1:26" x14ac:dyDescent="0.2">
      <c r="A1883" t="s">
        <v>1647</v>
      </c>
      <c r="B1883" t="s">
        <v>1648</v>
      </c>
      <c r="C1883" t="s">
        <v>49</v>
      </c>
      <c r="D1883" t="s">
        <v>3923</v>
      </c>
      <c r="E1883" t="s">
        <v>3924</v>
      </c>
      <c r="F1883" t="s">
        <v>16</v>
      </c>
      <c r="G1883" s="1">
        <v>0.1</v>
      </c>
      <c r="H1883" t="s">
        <v>117</v>
      </c>
      <c r="I1883" t="s">
        <v>3833</v>
      </c>
      <c r="J1883" t="s">
        <v>3926</v>
      </c>
      <c r="K1883" t="s">
        <v>3928</v>
      </c>
      <c r="L1883" s="14">
        <f>IFERROR(VALUE(LEFT(tblMatriculas[[#This Row],[Clases]],FIND("/",tblMatriculas[[#This Row],[Clases]])-1)),"")</f>
        <v>3</v>
      </c>
      <c r="M1883" s="14">
        <f>IFERROR(VALUE(MID(tblMatriculas[[#This Row],[Clases]],FIND("/",tblMatriculas[[#This Row],[Clases]])+1,5)),"")</f>
        <v>30</v>
      </c>
      <c r="N18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3" s="14" t="str">
        <f>IF(OR(tblMatriculas[[#This Row],[Estado]]&lt;&gt;"activa",tblMatriculas[[#This Row],[Clases dictadas]]=""),"",MAX(0,tblMatriculas[[#This Row],[Clases dictadas]]-tblMatriculas[[#This Row],[Asistidas]]))</f>
        <v/>
      </c>
      <c r="P1883" s="1" t="str">
        <f>IF(OR(tblMatriculas[[#This Row],[Estado]]&lt;&gt;"activa",tblMatriculas[[#This Row],[Asistidas]]=""),"",tblMatriculas[[#This Row],[Asistencia]])</f>
        <v/>
      </c>
      <c r="Q1883" t="b">
        <f>AND(tblMatriculas[[#This Row],[Estado]]="activa",ISNUMBER(tblMatriculas[[#This Row],[% asistencia]]),NOT(ISNUMBER(SEARCH(pPrueba,tblMatriculas[[#This Row],[Nombre]]))))</f>
        <v>0</v>
      </c>
      <c r="R18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883" s="23" t="str" cm="1">
        <f t="array" ref="S18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3" s="23" t="str" cm="1">
        <f t="array" ref="T18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3" s="14" t="str" cm="1">
        <f t="array" ref="U18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3" t="str" cm="1">
        <f t="array" ref="V18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3" t="str" cm="1">
        <f t="array" ref="W18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3" t="str">
        <f>IF(COUNTIFS('Base Estudiantes'!$C:$C,tblMatriculas[[#This Row],[Cédula]],'Base Estudiantes'!$I:$I,tblMatriculas[[#This Row],[Código]])&gt;0,"Sí","No")</f>
        <v>Sí</v>
      </c>
      <c r="Z1883" s="23" cm="1">
        <f t="array" ref="Z1883">_xlfn.XLOOKUP(tblMatriculas[[#This Row],[Cédula]]&amp;"|"&amp;tblMatriculas[[#This Row],[Código]],tblBase[Documento]&amp;"|"&amp;tblBase[Código grupo],tblBase[Fecha matrícula],"")</f>
        <v>46262</v>
      </c>
    </row>
    <row r="1884" spans="1:26" x14ac:dyDescent="0.2">
      <c r="A1884" t="s">
        <v>3929</v>
      </c>
      <c r="B1884" t="s">
        <v>3930</v>
      </c>
      <c r="C1884" t="s">
        <v>13</v>
      </c>
      <c r="D1884" t="s">
        <v>3923</v>
      </c>
      <c r="E1884" t="s">
        <v>3924</v>
      </c>
      <c r="F1884" t="s">
        <v>16</v>
      </c>
      <c r="G1884" s="1">
        <v>0.26700000000000002</v>
      </c>
      <c r="H1884" t="s">
        <v>3931</v>
      </c>
      <c r="I1884" t="s">
        <v>3833</v>
      </c>
      <c r="J1884" t="s">
        <v>3926</v>
      </c>
      <c r="K1884" t="s">
        <v>3928</v>
      </c>
      <c r="L1884" s="14">
        <f>IFERROR(VALUE(LEFT(tblMatriculas[[#This Row],[Clases]],FIND("/",tblMatriculas[[#This Row],[Clases]])-1)),"")</f>
        <v>8</v>
      </c>
      <c r="M1884" s="14">
        <f>IFERROR(VALUE(MID(tblMatriculas[[#This Row],[Clases]],FIND("/",tblMatriculas[[#This Row],[Clases]])+1,5)),"")</f>
        <v>30</v>
      </c>
      <c r="N18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4" s="14">
        <f>IF(OR(tblMatriculas[[#This Row],[Estado]]&lt;&gt;"activa",tblMatriculas[[#This Row],[Clases dictadas]]=""),"",MAX(0,tblMatriculas[[#This Row],[Clases dictadas]]-tblMatriculas[[#This Row],[Asistidas]]))</f>
        <v>0</v>
      </c>
      <c r="P1884" s="1">
        <f>IF(OR(tblMatriculas[[#This Row],[Estado]]&lt;&gt;"activa",tblMatriculas[[#This Row],[Asistidas]]=""),"",tblMatriculas[[#This Row],[Asistencia]])</f>
        <v>0.26700000000000002</v>
      </c>
      <c r="Q1884" t="b">
        <f>AND(tblMatriculas[[#This Row],[Estado]]="activa",ISNUMBER(tblMatriculas[[#This Row],[% asistencia]]),NOT(ISNUMBER(SEARCH(pPrueba,tblMatriculas[[#This Row],[Nombre]]))))</f>
        <v>1</v>
      </c>
      <c r="R18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4" s="23" t="str" cm="1">
        <f t="array" ref="S18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4" s="23" t="str" cm="1">
        <f t="array" ref="T18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4" s="14" t="str" cm="1">
        <f t="array" ref="U18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4" t="str" cm="1">
        <f t="array" ref="V18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4" t="str" cm="1">
        <f t="array" ref="W18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4" t="str">
        <f>IF(COUNTIFS('Base Estudiantes'!$C:$C,tblMatriculas[[#This Row],[Cédula]],'Base Estudiantes'!$I:$I,tblMatriculas[[#This Row],[Código]])&gt;0,"Sí","No")</f>
        <v>Sí</v>
      </c>
      <c r="Z1884" s="23" cm="1">
        <f t="array" ref="Z1884">_xlfn.XLOOKUP(tblMatriculas[[#This Row],[Cédula]]&amp;"|"&amp;tblMatriculas[[#This Row],[Código]],tblBase[Documento]&amp;"|"&amp;tblBase[Código grupo],tblBase[Fecha matrícula],"")</f>
        <v>46262</v>
      </c>
    </row>
    <row r="1885" spans="1:26" x14ac:dyDescent="0.2">
      <c r="A1885" t="s">
        <v>3932</v>
      </c>
      <c r="B1885" t="s">
        <v>3933</v>
      </c>
      <c r="C1885" t="s">
        <v>13</v>
      </c>
      <c r="D1885" t="s">
        <v>3923</v>
      </c>
      <c r="E1885" t="s">
        <v>3924</v>
      </c>
      <c r="F1885" t="s">
        <v>16</v>
      </c>
      <c r="G1885" s="1">
        <v>0.05</v>
      </c>
      <c r="H1885" t="s">
        <v>336</v>
      </c>
      <c r="I1885" t="s">
        <v>3833</v>
      </c>
      <c r="J1885" t="s">
        <v>3926</v>
      </c>
      <c r="K1885" t="s">
        <v>3842</v>
      </c>
      <c r="L1885" s="14">
        <f>IFERROR(VALUE(LEFT(tblMatriculas[[#This Row],[Clases]],FIND("/",tblMatriculas[[#This Row],[Clases]])-1)),"")</f>
        <v>3</v>
      </c>
      <c r="M1885" s="14">
        <f>IFERROR(VALUE(MID(tblMatriculas[[#This Row],[Clases]],FIND("/",tblMatriculas[[#This Row],[Clases]])+1,5)),"")</f>
        <v>60</v>
      </c>
      <c r="N18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13</v>
      </c>
      <c r="O1885" s="14">
        <f>IF(OR(tblMatriculas[[#This Row],[Estado]]&lt;&gt;"activa",tblMatriculas[[#This Row],[Clases dictadas]]=""),"",MAX(0,tblMatriculas[[#This Row],[Clases dictadas]]-tblMatriculas[[#This Row],[Asistidas]]))</f>
        <v>10</v>
      </c>
      <c r="P1885" s="1">
        <f>IF(OR(tblMatriculas[[#This Row],[Estado]]&lt;&gt;"activa",tblMatriculas[[#This Row],[Asistidas]]=""),"",tblMatriculas[[#This Row],[Asistencia]])</f>
        <v>0.05</v>
      </c>
      <c r="Q1885" t="b">
        <f>AND(tblMatriculas[[#This Row],[Estado]]="activa",ISNUMBER(tblMatriculas[[#This Row],[% asistencia]]),NOT(ISNUMBER(SEARCH(pPrueba,tblMatriculas[[#This Row],[Nombre]]))))</f>
        <v>1</v>
      </c>
      <c r="R18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885" s="23" t="str" cm="1">
        <f t="array" ref="S18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5" s="23" t="str" cm="1">
        <f t="array" ref="T18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5" s="14" t="str" cm="1">
        <f t="array" ref="U18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5" t="str" cm="1">
        <f t="array" ref="V18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5" t="str" cm="1">
        <f t="array" ref="W18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8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885" t="str">
        <f>IF(COUNTIFS('Base Estudiantes'!$C:$C,tblMatriculas[[#This Row],[Cédula]],'Base Estudiantes'!$I:$I,tblMatriculas[[#This Row],[Código]])&gt;0,"Sí","No")</f>
        <v>Sí</v>
      </c>
      <c r="Z1885" s="23" cm="1">
        <f t="array" ref="Z1885">_xlfn.XLOOKUP(tblMatriculas[[#This Row],[Cédula]]&amp;"|"&amp;tblMatriculas[[#This Row],[Código]],tblBase[Documento]&amp;"|"&amp;tblBase[Código grupo],tblBase[Fecha matrícula],"")</f>
        <v>46262</v>
      </c>
    </row>
    <row r="1886" spans="1:26" x14ac:dyDescent="0.2">
      <c r="A1886" t="s">
        <v>3934</v>
      </c>
      <c r="B1886" t="s">
        <v>3935</v>
      </c>
      <c r="C1886" t="s">
        <v>13</v>
      </c>
      <c r="D1886" t="s">
        <v>3923</v>
      </c>
      <c r="E1886" t="s">
        <v>3924</v>
      </c>
      <c r="F1886" t="s">
        <v>16</v>
      </c>
      <c r="G1886" s="1">
        <v>0.1</v>
      </c>
      <c r="H1886" t="s">
        <v>117</v>
      </c>
      <c r="I1886" t="s">
        <v>3833</v>
      </c>
      <c r="J1886" t="s">
        <v>3926</v>
      </c>
      <c r="K1886" t="s">
        <v>24</v>
      </c>
      <c r="L1886" s="14">
        <f>IFERROR(VALUE(LEFT(tblMatriculas[[#This Row],[Clases]],FIND("/",tblMatriculas[[#This Row],[Clases]])-1)),"")</f>
        <v>3</v>
      </c>
      <c r="M1886" s="14">
        <f>IFERROR(VALUE(MID(tblMatriculas[[#This Row],[Clases]],FIND("/",tblMatriculas[[#This Row],[Clases]])+1,5)),"")</f>
        <v>30</v>
      </c>
      <c r="N18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6" s="14">
        <f>IF(OR(tblMatriculas[[#This Row],[Estado]]&lt;&gt;"activa",tblMatriculas[[#This Row],[Clases dictadas]]=""),"",MAX(0,tblMatriculas[[#This Row],[Clases dictadas]]-tblMatriculas[[#This Row],[Asistidas]]))</f>
        <v>5</v>
      </c>
      <c r="P1886" s="1">
        <f>IF(OR(tblMatriculas[[#This Row],[Estado]]&lt;&gt;"activa",tblMatriculas[[#This Row],[Asistidas]]=""),"",tblMatriculas[[#This Row],[Asistencia]])</f>
        <v>0.1</v>
      </c>
      <c r="Q1886" t="b">
        <f>AND(tblMatriculas[[#This Row],[Estado]]="activa",ISNUMBER(tblMatriculas[[#This Row],[% asistencia]]),NOT(ISNUMBER(SEARCH(pPrueba,tblMatriculas[[#This Row],[Nombre]]))))</f>
        <v>1</v>
      </c>
      <c r="R18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6" s="23" t="str" cm="1">
        <f t="array" ref="S18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6" s="23" t="str" cm="1">
        <f t="array" ref="T18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6" s="14" t="str" cm="1">
        <f t="array" ref="U18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6" t="str" cm="1">
        <f t="array" ref="V18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6" t="str" cm="1">
        <f t="array" ref="W18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6" t="str">
        <f>IF(COUNTIFS('Base Estudiantes'!$C:$C,tblMatriculas[[#This Row],[Cédula]],'Base Estudiantes'!$I:$I,tblMatriculas[[#This Row],[Código]])&gt;0,"Sí","No")</f>
        <v>Sí</v>
      </c>
      <c r="Z1886" s="23" cm="1">
        <f t="array" ref="Z1886">_xlfn.XLOOKUP(tblMatriculas[[#This Row],[Cédula]]&amp;"|"&amp;tblMatriculas[[#This Row],[Código]],tblBase[Documento]&amp;"|"&amp;tblBase[Código grupo],tblBase[Fecha matrícula],"")</f>
        <v>46262</v>
      </c>
    </row>
    <row r="1887" spans="1:26" x14ac:dyDescent="0.2">
      <c r="A1887" t="s">
        <v>3936</v>
      </c>
      <c r="B1887" t="s">
        <v>3937</v>
      </c>
      <c r="C1887" t="s">
        <v>13</v>
      </c>
      <c r="D1887" t="s">
        <v>3923</v>
      </c>
      <c r="E1887" t="s">
        <v>3924</v>
      </c>
      <c r="F1887" t="s">
        <v>16</v>
      </c>
      <c r="G1887" s="1">
        <v>0.26700000000000002</v>
      </c>
      <c r="H1887" t="s">
        <v>3931</v>
      </c>
      <c r="I1887" t="s">
        <v>3833</v>
      </c>
      <c r="J1887" t="s">
        <v>3926</v>
      </c>
      <c r="K1887" t="s">
        <v>24</v>
      </c>
      <c r="L1887" s="14">
        <f>IFERROR(VALUE(LEFT(tblMatriculas[[#This Row],[Clases]],FIND("/",tblMatriculas[[#This Row],[Clases]])-1)),"")</f>
        <v>8</v>
      </c>
      <c r="M1887" s="14">
        <f>IFERROR(VALUE(MID(tblMatriculas[[#This Row],[Clases]],FIND("/",tblMatriculas[[#This Row],[Clases]])+1,5)),"")</f>
        <v>30</v>
      </c>
      <c r="N18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7" s="14">
        <f>IF(OR(tblMatriculas[[#This Row],[Estado]]&lt;&gt;"activa",tblMatriculas[[#This Row],[Clases dictadas]]=""),"",MAX(0,tblMatriculas[[#This Row],[Clases dictadas]]-tblMatriculas[[#This Row],[Asistidas]]))</f>
        <v>0</v>
      </c>
      <c r="P1887" s="1">
        <f>IF(OR(tblMatriculas[[#This Row],[Estado]]&lt;&gt;"activa",tblMatriculas[[#This Row],[Asistidas]]=""),"",tblMatriculas[[#This Row],[Asistencia]])</f>
        <v>0.26700000000000002</v>
      </c>
      <c r="Q1887" t="b">
        <f>AND(tblMatriculas[[#This Row],[Estado]]="activa",ISNUMBER(tblMatriculas[[#This Row],[% asistencia]]),NOT(ISNUMBER(SEARCH(pPrueba,tblMatriculas[[#This Row],[Nombre]]))))</f>
        <v>1</v>
      </c>
      <c r="R18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7" s="23" t="str" cm="1">
        <f t="array" ref="S18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7" s="23" t="str" cm="1">
        <f t="array" ref="T18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7" s="14" t="str" cm="1">
        <f t="array" ref="U18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7" t="str" cm="1">
        <f t="array" ref="V18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7" t="str" cm="1">
        <f t="array" ref="W18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7" t="str">
        <f>IF(COUNTIFS('Base Estudiantes'!$C:$C,tblMatriculas[[#This Row],[Cédula]],'Base Estudiantes'!$I:$I,tblMatriculas[[#This Row],[Código]])&gt;0,"Sí","No")</f>
        <v>Sí</v>
      </c>
      <c r="Z1887" s="23" cm="1">
        <f t="array" ref="Z1887">_xlfn.XLOOKUP(tblMatriculas[[#This Row],[Cédula]]&amp;"|"&amp;tblMatriculas[[#This Row],[Código]],tblBase[Documento]&amp;"|"&amp;tblBase[Código grupo],tblBase[Fecha matrícula],"")</f>
        <v>46262</v>
      </c>
    </row>
    <row r="1888" spans="1:26" x14ac:dyDescent="0.2">
      <c r="A1888" t="s">
        <v>3938</v>
      </c>
      <c r="B1888" t="s">
        <v>3939</v>
      </c>
      <c r="C1888" t="s">
        <v>13</v>
      </c>
      <c r="D1888" t="s">
        <v>3923</v>
      </c>
      <c r="E1888" t="s">
        <v>3924</v>
      </c>
      <c r="F1888" t="s">
        <v>16</v>
      </c>
      <c r="G1888" s="1">
        <v>0.23300000000000001</v>
      </c>
      <c r="H1888" t="s">
        <v>3940</v>
      </c>
      <c r="I1888" t="s">
        <v>3833</v>
      </c>
      <c r="J1888" t="s">
        <v>3926</v>
      </c>
      <c r="K1888" t="s">
        <v>24</v>
      </c>
      <c r="L1888" s="14">
        <f>IFERROR(VALUE(LEFT(tblMatriculas[[#This Row],[Clases]],FIND("/",tblMatriculas[[#This Row],[Clases]])-1)),"")</f>
        <v>7</v>
      </c>
      <c r="M1888" s="14">
        <f>IFERROR(VALUE(MID(tblMatriculas[[#This Row],[Clases]],FIND("/",tblMatriculas[[#This Row],[Clases]])+1,5)),"")</f>
        <v>30</v>
      </c>
      <c r="N18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8" s="14">
        <f>IF(OR(tblMatriculas[[#This Row],[Estado]]&lt;&gt;"activa",tblMatriculas[[#This Row],[Clases dictadas]]=""),"",MAX(0,tblMatriculas[[#This Row],[Clases dictadas]]-tblMatriculas[[#This Row],[Asistidas]]))</f>
        <v>1</v>
      </c>
      <c r="P1888" s="1">
        <f>IF(OR(tblMatriculas[[#This Row],[Estado]]&lt;&gt;"activa",tblMatriculas[[#This Row],[Asistidas]]=""),"",tblMatriculas[[#This Row],[Asistencia]])</f>
        <v>0.23300000000000001</v>
      </c>
      <c r="Q1888" t="b">
        <f>AND(tblMatriculas[[#This Row],[Estado]]="activa",ISNUMBER(tblMatriculas[[#This Row],[% asistencia]]),NOT(ISNUMBER(SEARCH(pPrueba,tblMatriculas[[#This Row],[Nombre]]))))</f>
        <v>1</v>
      </c>
      <c r="R18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88" s="23" t="str" cm="1">
        <f t="array" ref="S18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8" s="23" t="str" cm="1">
        <f t="array" ref="T18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8" s="14" t="str" cm="1">
        <f t="array" ref="U18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8" t="str" cm="1">
        <f t="array" ref="V18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8" t="str" cm="1">
        <f t="array" ref="W18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88" t="str">
        <f>IF(COUNTIFS('Base Estudiantes'!$C:$C,tblMatriculas[[#This Row],[Cédula]],'Base Estudiantes'!$I:$I,tblMatriculas[[#This Row],[Código]])&gt;0,"Sí","No")</f>
        <v>Sí</v>
      </c>
      <c r="Z1888" s="23" cm="1">
        <f t="array" ref="Z1888">_xlfn.XLOOKUP(tblMatriculas[[#This Row],[Cédula]]&amp;"|"&amp;tblMatriculas[[#This Row],[Código]],tblBase[Documento]&amp;"|"&amp;tblBase[Código grupo],tblBase[Fecha matrícula],"")</f>
        <v>46262</v>
      </c>
    </row>
    <row r="1889" spans="1:26" x14ac:dyDescent="0.2">
      <c r="A1889" t="s">
        <v>3941</v>
      </c>
      <c r="B1889" t="s">
        <v>3942</v>
      </c>
      <c r="C1889" t="s">
        <v>13</v>
      </c>
      <c r="D1889" t="s">
        <v>3923</v>
      </c>
      <c r="E1889" t="s">
        <v>3924</v>
      </c>
      <c r="F1889" t="s">
        <v>16</v>
      </c>
      <c r="G1889" s="1">
        <v>0</v>
      </c>
      <c r="H1889" t="s">
        <v>254</v>
      </c>
      <c r="I1889" t="s">
        <v>3833</v>
      </c>
      <c r="J1889" t="s">
        <v>3926</v>
      </c>
      <c r="K1889" t="s">
        <v>24</v>
      </c>
      <c r="L1889" s="14">
        <f>IFERROR(VALUE(LEFT(tblMatriculas[[#This Row],[Clases]],FIND("/",tblMatriculas[[#This Row],[Clases]])-1)),"")</f>
        <v>0</v>
      </c>
      <c r="M1889" s="14">
        <f>IFERROR(VALUE(MID(tblMatriculas[[#This Row],[Clases]],FIND("/",tblMatriculas[[#This Row],[Clases]])+1,5)),"")</f>
        <v>30</v>
      </c>
      <c r="N18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89" s="14">
        <f>IF(OR(tblMatriculas[[#This Row],[Estado]]&lt;&gt;"activa",tblMatriculas[[#This Row],[Clases dictadas]]=""),"",MAX(0,tblMatriculas[[#This Row],[Clases dictadas]]-tblMatriculas[[#This Row],[Asistidas]]))</f>
        <v>8</v>
      </c>
      <c r="P1889" s="1">
        <f>IF(OR(tblMatriculas[[#This Row],[Estado]]&lt;&gt;"activa",tblMatriculas[[#This Row],[Asistidas]]=""),"",tblMatriculas[[#This Row],[Asistencia]])</f>
        <v>0</v>
      </c>
      <c r="Q1889" t="b">
        <f>AND(tblMatriculas[[#This Row],[Estado]]="activa",ISNUMBER(tblMatriculas[[#This Row],[% asistencia]]),NOT(ISNUMBER(SEARCH(pPrueba,tblMatriculas[[#This Row],[Nombre]]))))</f>
        <v>1</v>
      </c>
      <c r="R18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89" s="23" t="str" cm="1">
        <f t="array" ref="S18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89" s="23" t="str" cm="1">
        <f t="array" ref="T18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89" s="14" t="str" cm="1">
        <f t="array" ref="U18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89" t="str" cm="1">
        <f t="array" ref="V18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89" t="str" cm="1">
        <f t="array" ref="W18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89" t="str">
        <f>IF(COUNTIFS('Base Estudiantes'!$C:$C,tblMatriculas[[#This Row],[Cédula]],'Base Estudiantes'!$I:$I,tblMatriculas[[#This Row],[Código]])&gt;0,"Sí","No")</f>
        <v>Sí</v>
      </c>
      <c r="Z1889" s="23" cm="1">
        <f t="array" ref="Z1889">_xlfn.XLOOKUP(tblMatriculas[[#This Row],[Cédula]]&amp;"|"&amp;tblMatriculas[[#This Row],[Código]],tblBase[Documento]&amp;"|"&amp;tblBase[Código grupo],tblBase[Fecha matrícula],"")</f>
        <v>46262</v>
      </c>
    </row>
    <row r="1890" spans="1:26" x14ac:dyDescent="0.2">
      <c r="A1890" t="s">
        <v>3943</v>
      </c>
      <c r="B1890" t="s">
        <v>3944</v>
      </c>
      <c r="C1890" t="s">
        <v>13</v>
      </c>
      <c r="D1890" t="s">
        <v>3923</v>
      </c>
      <c r="E1890" t="s">
        <v>3924</v>
      </c>
      <c r="F1890" t="s">
        <v>16</v>
      </c>
      <c r="G1890" s="1">
        <v>0.23300000000000001</v>
      </c>
      <c r="H1890" t="s">
        <v>3940</v>
      </c>
      <c r="I1890" t="s">
        <v>3833</v>
      </c>
      <c r="J1890" t="s">
        <v>3926</v>
      </c>
      <c r="K1890" t="s">
        <v>24</v>
      </c>
      <c r="L1890" s="14">
        <f>IFERROR(VALUE(LEFT(tblMatriculas[[#This Row],[Clases]],FIND("/",tblMatriculas[[#This Row],[Clases]])-1)),"")</f>
        <v>7</v>
      </c>
      <c r="M1890" s="14">
        <f>IFERROR(VALUE(MID(tblMatriculas[[#This Row],[Clases]],FIND("/",tblMatriculas[[#This Row],[Clases]])+1,5)),"")</f>
        <v>30</v>
      </c>
      <c r="N18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0" s="14">
        <f>IF(OR(tblMatriculas[[#This Row],[Estado]]&lt;&gt;"activa",tblMatriculas[[#This Row],[Clases dictadas]]=""),"",MAX(0,tblMatriculas[[#This Row],[Clases dictadas]]-tblMatriculas[[#This Row],[Asistidas]]))</f>
        <v>1</v>
      </c>
      <c r="P1890" s="1">
        <f>IF(OR(tblMatriculas[[#This Row],[Estado]]&lt;&gt;"activa",tblMatriculas[[#This Row],[Asistidas]]=""),"",tblMatriculas[[#This Row],[Asistencia]])</f>
        <v>0.23300000000000001</v>
      </c>
      <c r="Q1890" t="b">
        <f>AND(tblMatriculas[[#This Row],[Estado]]="activa",ISNUMBER(tblMatriculas[[#This Row],[% asistencia]]),NOT(ISNUMBER(SEARCH(pPrueba,tblMatriculas[[#This Row],[Nombre]]))))</f>
        <v>1</v>
      </c>
      <c r="R18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0" s="23" t="str" cm="1">
        <f t="array" ref="S18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0" s="23" t="str" cm="1">
        <f t="array" ref="T18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0" s="14" t="str" cm="1">
        <f t="array" ref="U18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0" t="str" cm="1">
        <f t="array" ref="V18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0" t="str" cm="1">
        <f t="array" ref="W18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0" t="str">
        <f>IF(COUNTIFS('Base Estudiantes'!$C:$C,tblMatriculas[[#This Row],[Cédula]],'Base Estudiantes'!$I:$I,tblMatriculas[[#This Row],[Código]])&gt;0,"Sí","No")</f>
        <v>Sí</v>
      </c>
      <c r="Z1890" s="23" cm="1">
        <f t="array" ref="Z1890">_xlfn.XLOOKUP(tblMatriculas[[#This Row],[Cédula]]&amp;"|"&amp;tblMatriculas[[#This Row],[Código]],tblBase[Documento]&amp;"|"&amp;tblBase[Código grupo],tblBase[Fecha matrícula],"")</f>
        <v>46262</v>
      </c>
    </row>
    <row r="1891" spans="1:26" x14ac:dyDescent="0.2">
      <c r="A1891" t="s">
        <v>3945</v>
      </c>
      <c r="B1891" t="s">
        <v>3946</v>
      </c>
      <c r="C1891" t="s">
        <v>13</v>
      </c>
      <c r="D1891" t="s">
        <v>3923</v>
      </c>
      <c r="E1891" t="s">
        <v>3924</v>
      </c>
      <c r="F1891" t="s">
        <v>16</v>
      </c>
      <c r="G1891" s="1">
        <v>0.16699999999999998</v>
      </c>
      <c r="H1891" t="s">
        <v>229</v>
      </c>
      <c r="I1891" t="s">
        <v>3833</v>
      </c>
      <c r="J1891" t="s">
        <v>3926</v>
      </c>
      <c r="K1891" t="s">
        <v>24</v>
      </c>
      <c r="L1891" s="14">
        <f>IFERROR(VALUE(LEFT(tblMatriculas[[#This Row],[Clases]],FIND("/",tblMatriculas[[#This Row],[Clases]])-1)),"")</f>
        <v>5</v>
      </c>
      <c r="M1891" s="14">
        <f>IFERROR(VALUE(MID(tblMatriculas[[#This Row],[Clases]],FIND("/",tblMatriculas[[#This Row],[Clases]])+1,5)),"")</f>
        <v>30</v>
      </c>
      <c r="N18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1" s="14">
        <f>IF(OR(tblMatriculas[[#This Row],[Estado]]&lt;&gt;"activa",tblMatriculas[[#This Row],[Clases dictadas]]=""),"",MAX(0,tblMatriculas[[#This Row],[Clases dictadas]]-tblMatriculas[[#This Row],[Asistidas]]))</f>
        <v>3</v>
      </c>
      <c r="P1891" s="1">
        <f>IF(OR(tblMatriculas[[#This Row],[Estado]]&lt;&gt;"activa",tblMatriculas[[#This Row],[Asistidas]]=""),"",tblMatriculas[[#This Row],[Asistencia]])</f>
        <v>0.16699999999999998</v>
      </c>
      <c r="Q1891" t="b">
        <f>AND(tblMatriculas[[#This Row],[Estado]]="activa",ISNUMBER(tblMatriculas[[#This Row],[% asistencia]]),NOT(ISNUMBER(SEARCH(pPrueba,tblMatriculas[[#This Row],[Nombre]]))))</f>
        <v>1</v>
      </c>
      <c r="R18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1" s="23" t="str" cm="1">
        <f t="array" ref="S18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1" s="23" t="str" cm="1">
        <f t="array" ref="T18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1" s="14" t="str" cm="1">
        <f t="array" ref="U18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1" t="str" cm="1">
        <f t="array" ref="V18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1" t="str" cm="1">
        <f t="array" ref="W18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1" t="str">
        <f>IF(COUNTIFS('Base Estudiantes'!$C:$C,tblMatriculas[[#This Row],[Cédula]],'Base Estudiantes'!$I:$I,tblMatriculas[[#This Row],[Código]])&gt;0,"Sí","No")</f>
        <v>Sí</v>
      </c>
      <c r="Z1891" s="23" cm="1">
        <f t="array" ref="Z1891">_xlfn.XLOOKUP(tblMatriculas[[#This Row],[Cédula]]&amp;"|"&amp;tblMatriculas[[#This Row],[Código]],tblBase[Documento]&amp;"|"&amp;tblBase[Código grupo],tblBase[Fecha matrícula],"")</f>
        <v>46262</v>
      </c>
    </row>
    <row r="1892" spans="1:26" x14ac:dyDescent="0.2">
      <c r="A1892" t="s">
        <v>3947</v>
      </c>
      <c r="B1892" t="s">
        <v>3948</v>
      </c>
      <c r="C1892" t="s">
        <v>13</v>
      </c>
      <c r="D1892" t="s">
        <v>3923</v>
      </c>
      <c r="E1892" t="s">
        <v>3924</v>
      </c>
      <c r="F1892" t="s">
        <v>16</v>
      </c>
      <c r="G1892" s="1">
        <v>0.2</v>
      </c>
      <c r="H1892" t="s">
        <v>232</v>
      </c>
      <c r="I1892" t="s">
        <v>3833</v>
      </c>
      <c r="J1892" t="s">
        <v>3926</v>
      </c>
      <c r="K1892" t="s">
        <v>24</v>
      </c>
      <c r="L1892" s="14">
        <f>IFERROR(VALUE(LEFT(tblMatriculas[[#This Row],[Clases]],FIND("/",tblMatriculas[[#This Row],[Clases]])-1)),"")</f>
        <v>6</v>
      </c>
      <c r="M1892" s="14">
        <f>IFERROR(VALUE(MID(tblMatriculas[[#This Row],[Clases]],FIND("/",tblMatriculas[[#This Row],[Clases]])+1,5)),"")</f>
        <v>30</v>
      </c>
      <c r="N18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2" s="14">
        <f>IF(OR(tblMatriculas[[#This Row],[Estado]]&lt;&gt;"activa",tblMatriculas[[#This Row],[Clases dictadas]]=""),"",MAX(0,tblMatriculas[[#This Row],[Clases dictadas]]-tblMatriculas[[#This Row],[Asistidas]]))</f>
        <v>2</v>
      </c>
      <c r="P1892" s="1">
        <f>IF(OR(tblMatriculas[[#This Row],[Estado]]&lt;&gt;"activa",tblMatriculas[[#This Row],[Asistidas]]=""),"",tblMatriculas[[#This Row],[Asistencia]])</f>
        <v>0.2</v>
      </c>
      <c r="Q1892" t="b">
        <f>AND(tblMatriculas[[#This Row],[Estado]]="activa",ISNUMBER(tblMatriculas[[#This Row],[% asistencia]]),NOT(ISNUMBER(SEARCH(pPrueba,tblMatriculas[[#This Row],[Nombre]]))))</f>
        <v>1</v>
      </c>
      <c r="R18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2" s="23" t="str" cm="1">
        <f t="array" ref="S18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2" s="23" t="str" cm="1">
        <f t="array" ref="T18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2" s="14" t="str" cm="1">
        <f t="array" ref="U18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2" t="str" cm="1">
        <f t="array" ref="V18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2" t="str" cm="1">
        <f t="array" ref="W18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2" t="str">
        <f>IF(COUNTIFS('Base Estudiantes'!$C:$C,tblMatriculas[[#This Row],[Cédula]],'Base Estudiantes'!$I:$I,tblMatriculas[[#This Row],[Código]])&gt;0,"Sí","No")</f>
        <v>Sí</v>
      </c>
      <c r="Z1892" s="23" cm="1">
        <f t="array" ref="Z1892">_xlfn.XLOOKUP(tblMatriculas[[#This Row],[Cédula]]&amp;"|"&amp;tblMatriculas[[#This Row],[Código]],tblBase[Documento]&amp;"|"&amp;tblBase[Código grupo],tblBase[Fecha matrícula],"")</f>
        <v>46262</v>
      </c>
    </row>
    <row r="1893" spans="1:26" x14ac:dyDescent="0.2">
      <c r="A1893" t="s">
        <v>3949</v>
      </c>
      <c r="B1893" t="s">
        <v>3950</v>
      </c>
      <c r="C1893" t="s">
        <v>13</v>
      </c>
      <c r="D1893" t="s">
        <v>3923</v>
      </c>
      <c r="E1893" t="s">
        <v>3924</v>
      </c>
      <c r="F1893" t="s">
        <v>16</v>
      </c>
      <c r="G1893" s="1">
        <v>0.16699999999999998</v>
      </c>
      <c r="H1893" t="s">
        <v>229</v>
      </c>
      <c r="I1893" t="s">
        <v>3833</v>
      </c>
      <c r="J1893" t="s">
        <v>3926</v>
      </c>
      <c r="K1893" t="s">
        <v>24</v>
      </c>
      <c r="L1893" s="14">
        <f>IFERROR(VALUE(LEFT(tblMatriculas[[#This Row],[Clases]],FIND("/",tblMatriculas[[#This Row],[Clases]])-1)),"")</f>
        <v>5</v>
      </c>
      <c r="M1893" s="14">
        <f>IFERROR(VALUE(MID(tblMatriculas[[#This Row],[Clases]],FIND("/",tblMatriculas[[#This Row],[Clases]])+1,5)),"")</f>
        <v>30</v>
      </c>
      <c r="N18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3" s="14">
        <f>IF(OR(tblMatriculas[[#This Row],[Estado]]&lt;&gt;"activa",tblMatriculas[[#This Row],[Clases dictadas]]=""),"",MAX(0,tblMatriculas[[#This Row],[Clases dictadas]]-tblMatriculas[[#This Row],[Asistidas]]))</f>
        <v>3</v>
      </c>
      <c r="P1893" s="1">
        <f>IF(OR(tblMatriculas[[#This Row],[Estado]]&lt;&gt;"activa",tblMatriculas[[#This Row],[Asistidas]]=""),"",tblMatriculas[[#This Row],[Asistencia]])</f>
        <v>0.16699999999999998</v>
      </c>
      <c r="Q1893" t="b">
        <f>AND(tblMatriculas[[#This Row],[Estado]]="activa",ISNUMBER(tblMatriculas[[#This Row],[% asistencia]]),NOT(ISNUMBER(SEARCH(pPrueba,tblMatriculas[[#This Row],[Nombre]]))))</f>
        <v>1</v>
      </c>
      <c r="R18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3" s="23" t="str" cm="1">
        <f t="array" ref="S18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3" s="23" t="str" cm="1">
        <f t="array" ref="T18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3" s="14" t="str" cm="1">
        <f t="array" ref="U18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3" t="str" cm="1">
        <f t="array" ref="V18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3" t="str" cm="1">
        <f t="array" ref="W18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3" t="str">
        <f>IF(COUNTIFS('Base Estudiantes'!$C:$C,tblMatriculas[[#This Row],[Cédula]],'Base Estudiantes'!$I:$I,tblMatriculas[[#This Row],[Código]])&gt;0,"Sí","No")</f>
        <v>Sí</v>
      </c>
      <c r="Z1893" s="23" cm="1">
        <f t="array" ref="Z1893">_xlfn.XLOOKUP(tblMatriculas[[#This Row],[Cédula]]&amp;"|"&amp;tblMatriculas[[#This Row],[Código]],tblBase[Documento]&amp;"|"&amp;tblBase[Código grupo],tblBase[Fecha matrícula],"")</f>
        <v>46262</v>
      </c>
    </row>
    <row r="1894" spans="1:26" x14ac:dyDescent="0.2">
      <c r="A1894" t="s">
        <v>3951</v>
      </c>
      <c r="B1894" t="s">
        <v>3952</v>
      </c>
      <c r="C1894" t="s">
        <v>13</v>
      </c>
      <c r="D1894" t="s">
        <v>3923</v>
      </c>
      <c r="E1894" t="s">
        <v>3924</v>
      </c>
      <c r="F1894" t="s">
        <v>16</v>
      </c>
      <c r="G1894" s="1">
        <v>0.23300000000000001</v>
      </c>
      <c r="H1894" t="s">
        <v>3940</v>
      </c>
      <c r="I1894" t="s">
        <v>3833</v>
      </c>
      <c r="J1894" t="s">
        <v>3926</v>
      </c>
      <c r="K1894" t="s">
        <v>24</v>
      </c>
      <c r="L1894" s="14">
        <f>IFERROR(VALUE(LEFT(tblMatriculas[[#This Row],[Clases]],FIND("/",tblMatriculas[[#This Row],[Clases]])-1)),"")</f>
        <v>7</v>
      </c>
      <c r="M1894" s="14">
        <f>IFERROR(VALUE(MID(tblMatriculas[[#This Row],[Clases]],FIND("/",tblMatriculas[[#This Row],[Clases]])+1,5)),"")</f>
        <v>30</v>
      </c>
      <c r="N18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4" s="14">
        <f>IF(OR(tblMatriculas[[#This Row],[Estado]]&lt;&gt;"activa",tblMatriculas[[#This Row],[Clases dictadas]]=""),"",MAX(0,tblMatriculas[[#This Row],[Clases dictadas]]-tblMatriculas[[#This Row],[Asistidas]]))</f>
        <v>1</v>
      </c>
      <c r="P1894" s="1">
        <f>IF(OR(tblMatriculas[[#This Row],[Estado]]&lt;&gt;"activa",tblMatriculas[[#This Row],[Asistidas]]=""),"",tblMatriculas[[#This Row],[Asistencia]])</f>
        <v>0.23300000000000001</v>
      </c>
      <c r="Q1894" t="b">
        <f>AND(tblMatriculas[[#This Row],[Estado]]="activa",ISNUMBER(tblMatriculas[[#This Row],[% asistencia]]),NOT(ISNUMBER(SEARCH(pPrueba,tblMatriculas[[#This Row],[Nombre]]))))</f>
        <v>1</v>
      </c>
      <c r="R18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4" s="23" t="str" cm="1">
        <f t="array" ref="S18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4" s="23" t="str" cm="1">
        <f t="array" ref="T18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4" s="14" t="str" cm="1">
        <f t="array" ref="U18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4" t="str" cm="1">
        <f t="array" ref="V18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4" t="str" cm="1">
        <f t="array" ref="W18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4" t="str">
        <f>IF(COUNTIFS('Base Estudiantes'!$C:$C,tblMatriculas[[#This Row],[Cédula]],'Base Estudiantes'!$I:$I,tblMatriculas[[#This Row],[Código]])&gt;0,"Sí","No")</f>
        <v>Sí</v>
      </c>
      <c r="Z1894" s="23" cm="1">
        <f t="array" ref="Z1894">_xlfn.XLOOKUP(tblMatriculas[[#This Row],[Cédula]]&amp;"|"&amp;tblMatriculas[[#This Row],[Código]],tblBase[Documento]&amp;"|"&amp;tblBase[Código grupo],tblBase[Fecha matrícula],"")</f>
        <v>46262</v>
      </c>
    </row>
    <row r="1895" spans="1:26" x14ac:dyDescent="0.2">
      <c r="A1895" t="s">
        <v>3953</v>
      </c>
      <c r="B1895" t="s">
        <v>3954</v>
      </c>
      <c r="C1895" t="s">
        <v>13</v>
      </c>
      <c r="D1895" t="s">
        <v>3923</v>
      </c>
      <c r="E1895" t="s">
        <v>3924</v>
      </c>
      <c r="F1895" t="s">
        <v>16</v>
      </c>
      <c r="G1895" s="1">
        <v>0.2</v>
      </c>
      <c r="H1895" t="s">
        <v>232</v>
      </c>
      <c r="I1895" t="s">
        <v>3833</v>
      </c>
      <c r="J1895" t="s">
        <v>3926</v>
      </c>
      <c r="K1895" t="s">
        <v>24</v>
      </c>
      <c r="L1895" s="14">
        <f>IFERROR(VALUE(LEFT(tblMatriculas[[#This Row],[Clases]],FIND("/",tblMatriculas[[#This Row],[Clases]])-1)),"")</f>
        <v>6</v>
      </c>
      <c r="M1895" s="14">
        <f>IFERROR(VALUE(MID(tblMatriculas[[#This Row],[Clases]],FIND("/",tblMatriculas[[#This Row],[Clases]])+1,5)),"")</f>
        <v>30</v>
      </c>
      <c r="N18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5" s="14">
        <f>IF(OR(tblMatriculas[[#This Row],[Estado]]&lt;&gt;"activa",tblMatriculas[[#This Row],[Clases dictadas]]=""),"",MAX(0,tblMatriculas[[#This Row],[Clases dictadas]]-tblMatriculas[[#This Row],[Asistidas]]))</f>
        <v>2</v>
      </c>
      <c r="P1895" s="1">
        <f>IF(OR(tblMatriculas[[#This Row],[Estado]]&lt;&gt;"activa",tblMatriculas[[#This Row],[Asistidas]]=""),"",tblMatriculas[[#This Row],[Asistencia]])</f>
        <v>0.2</v>
      </c>
      <c r="Q1895" t="b">
        <f>AND(tblMatriculas[[#This Row],[Estado]]="activa",ISNUMBER(tblMatriculas[[#This Row],[% asistencia]]),NOT(ISNUMBER(SEARCH(pPrueba,tblMatriculas[[#This Row],[Nombre]]))))</f>
        <v>1</v>
      </c>
      <c r="R18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5" s="23" t="str" cm="1">
        <f t="array" ref="S18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5" s="23" t="str" cm="1">
        <f t="array" ref="T18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5" s="14" t="str" cm="1">
        <f t="array" ref="U18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5" t="str" cm="1">
        <f t="array" ref="V18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5" t="str" cm="1">
        <f t="array" ref="W18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5" t="str">
        <f>IF(COUNTIFS('Base Estudiantes'!$C:$C,tblMatriculas[[#This Row],[Cédula]],'Base Estudiantes'!$I:$I,tblMatriculas[[#This Row],[Código]])&gt;0,"Sí","No")</f>
        <v>Sí</v>
      </c>
      <c r="Z1895" s="23" cm="1">
        <f t="array" ref="Z1895">_xlfn.XLOOKUP(tblMatriculas[[#This Row],[Cédula]]&amp;"|"&amp;tblMatriculas[[#This Row],[Código]],tblBase[Documento]&amp;"|"&amp;tblBase[Código grupo],tblBase[Fecha matrícula],"")</f>
        <v>46262</v>
      </c>
    </row>
    <row r="1896" spans="1:26" x14ac:dyDescent="0.2">
      <c r="A1896" t="s">
        <v>3955</v>
      </c>
      <c r="B1896" t="s">
        <v>3956</v>
      </c>
      <c r="C1896" t="s">
        <v>13</v>
      </c>
      <c r="D1896" t="s">
        <v>3923</v>
      </c>
      <c r="E1896" t="s">
        <v>3924</v>
      </c>
      <c r="F1896" t="s">
        <v>16</v>
      </c>
      <c r="G1896" s="1">
        <v>0</v>
      </c>
      <c r="H1896" t="s">
        <v>254</v>
      </c>
      <c r="I1896" t="s">
        <v>3833</v>
      </c>
      <c r="J1896" t="s">
        <v>3926</v>
      </c>
      <c r="K1896" t="s">
        <v>24</v>
      </c>
      <c r="L1896" s="14">
        <f>IFERROR(VALUE(LEFT(tblMatriculas[[#This Row],[Clases]],FIND("/",tblMatriculas[[#This Row],[Clases]])-1)),"")</f>
        <v>0</v>
      </c>
      <c r="M1896" s="14">
        <f>IFERROR(VALUE(MID(tblMatriculas[[#This Row],[Clases]],FIND("/",tblMatriculas[[#This Row],[Clases]])+1,5)),"")</f>
        <v>30</v>
      </c>
      <c r="N18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6" s="14">
        <f>IF(OR(tblMatriculas[[#This Row],[Estado]]&lt;&gt;"activa",tblMatriculas[[#This Row],[Clases dictadas]]=""),"",MAX(0,tblMatriculas[[#This Row],[Clases dictadas]]-tblMatriculas[[#This Row],[Asistidas]]))</f>
        <v>8</v>
      </c>
      <c r="P1896" s="1">
        <f>IF(OR(tblMatriculas[[#This Row],[Estado]]&lt;&gt;"activa",tblMatriculas[[#This Row],[Asistidas]]=""),"",tblMatriculas[[#This Row],[Asistencia]])</f>
        <v>0</v>
      </c>
      <c r="Q1896" t="b">
        <f>AND(tblMatriculas[[#This Row],[Estado]]="activa",ISNUMBER(tblMatriculas[[#This Row],[% asistencia]]),NOT(ISNUMBER(SEARCH(pPrueba,tblMatriculas[[#This Row],[Nombre]]))))</f>
        <v>1</v>
      </c>
      <c r="R18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96" s="23" t="str" cm="1">
        <f t="array" ref="S18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6" s="23" t="str" cm="1">
        <f t="array" ref="T18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6" s="14" t="str" cm="1">
        <f t="array" ref="U18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6" t="str" cm="1">
        <f t="array" ref="V18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6" t="str" cm="1">
        <f t="array" ref="W18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9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96" t="str">
        <f>IF(COUNTIFS('Base Estudiantes'!$C:$C,tblMatriculas[[#This Row],[Cédula]],'Base Estudiantes'!$I:$I,tblMatriculas[[#This Row],[Código]])&gt;0,"Sí","No")</f>
        <v>Sí</v>
      </c>
      <c r="Z1896" s="23" cm="1">
        <f t="array" ref="Z1896">_xlfn.XLOOKUP(tblMatriculas[[#This Row],[Cédula]]&amp;"|"&amp;tblMatriculas[[#This Row],[Código]],tblBase[Documento]&amp;"|"&amp;tblBase[Código grupo],tblBase[Fecha matrícula],"")</f>
        <v>46262</v>
      </c>
    </row>
    <row r="1897" spans="1:26" x14ac:dyDescent="0.2">
      <c r="A1897" t="s">
        <v>3957</v>
      </c>
      <c r="B1897" t="s">
        <v>3958</v>
      </c>
      <c r="C1897" t="s">
        <v>13</v>
      </c>
      <c r="D1897" t="s">
        <v>3923</v>
      </c>
      <c r="E1897" t="s">
        <v>3924</v>
      </c>
      <c r="F1897" t="s">
        <v>16</v>
      </c>
      <c r="G1897" s="1">
        <v>0</v>
      </c>
      <c r="H1897" t="s">
        <v>254</v>
      </c>
      <c r="I1897" t="s">
        <v>3833</v>
      </c>
      <c r="J1897" t="s">
        <v>3926</v>
      </c>
      <c r="K1897" t="s">
        <v>24</v>
      </c>
      <c r="L1897" s="14">
        <f>IFERROR(VALUE(LEFT(tblMatriculas[[#This Row],[Clases]],FIND("/",tblMatriculas[[#This Row],[Clases]])-1)),"")</f>
        <v>0</v>
      </c>
      <c r="M1897" s="14">
        <f>IFERROR(VALUE(MID(tblMatriculas[[#This Row],[Clases]],FIND("/",tblMatriculas[[#This Row],[Clases]])+1,5)),"")</f>
        <v>30</v>
      </c>
      <c r="N18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7" s="14">
        <f>IF(OR(tblMatriculas[[#This Row],[Estado]]&lt;&gt;"activa",tblMatriculas[[#This Row],[Clases dictadas]]=""),"",MAX(0,tblMatriculas[[#This Row],[Clases dictadas]]-tblMatriculas[[#This Row],[Asistidas]]))</f>
        <v>8</v>
      </c>
      <c r="P1897" s="1">
        <f>IF(OR(tblMatriculas[[#This Row],[Estado]]&lt;&gt;"activa",tblMatriculas[[#This Row],[Asistidas]]=""),"",tblMatriculas[[#This Row],[Asistencia]])</f>
        <v>0</v>
      </c>
      <c r="Q1897" t="b">
        <f>AND(tblMatriculas[[#This Row],[Estado]]="activa",ISNUMBER(tblMatriculas[[#This Row],[% asistencia]]),NOT(ISNUMBER(SEARCH(pPrueba,tblMatriculas[[#This Row],[Nombre]]))))</f>
        <v>1</v>
      </c>
      <c r="R18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897" s="23" t="str" cm="1">
        <f t="array" ref="S18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7" s="23" t="str" cm="1">
        <f t="array" ref="T18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7" s="14" t="str" cm="1">
        <f t="array" ref="U18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7" t="str" cm="1">
        <f t="array" ref="V18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7" t="str" cm="1">
        <f t="array" ref="W18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89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897" t="str">
        <f>IF(COUNTIFS('Base Estudiantes'!$C:$C,tblMatriculas[[#This Row],[Cédula]],'Base Estudiantes'!$I:$I,tblMatriculas[[#This Row],[Código]])&gt;0,"Sí","No")</f>
        <v>Sí</v>
      </c>
      <c r="Z1897" s="23" cm="1">
        <f t="array" ref="Z1897">_xlfn.XLOOKUP(tblMatriculas[[#This Row],[Cédula]]&amp;"|"&amp;tblMatriculas[[#This Row],[Código]],tblBase[Documento]&amp;"|"&amp;tblBase[Código grupo],tblBase[Fecha matrícula],"")</f>
        <v>46262</v>
      </c>
    </row>
    <row r="1898" spans="1:26" x14ac:dyDescent="0.2">
      <c r="A1898" t="s">
        <v>3959</v>
      </c>
      <c r="B1898" t="s">
        <v>3960</v>
      </c>
      <c r="C1898" t="s">
        <v>13</v>
      </c>
      <c r="D1898" t="s">
        <v>3923</v>
      </c>
      <c r="E1898" t="s">
        <v>3924</v>
      </c>
      <c r="F1898" t="s">
        <v>16</v>
      </c>
      <c r="G1898" s="1">
        <v>0.2</v>
      </c>
      <c r="H1898" t="s">
        <v>232</v>
      </c>
      <c r="I1898" t="s">
        <v>3833</v>
      </c>
      <c r="J1898" t="s">
        <v>3926</v>
      </c>
      <c r="K1898" t="s">
        <v>24</v>
      </c>
      <c r="L1898" s="14">
        <f>IFERROR(VALUE(LEFT(tblMatriculas[[#This Row],[Clases]],FIND("/",tblMatriculas[[#This Row],[Clases]])-1)),"")</f>
        <v>6</v>
      </c>
      <c r="M1898" s="14">
        <f>IFERROR(VALUE(MID(tblMatriculas[[#This Row],[Clases]],FIND("/",tblMatriculas[[#This Row],[Clases]])+1,5)),"")</f>
        <v>30</v>
      </c>
      <c r="N18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8" s="14">
        <f>IF(OR(tblMatriculas[[#This Row],[Estado]]&lt;&gt;"activa",tblMatriculas[[#This Row],[Clases dictadas]]=""),"",MAX(0,tblMatriculas[[#This Row],[Clases dictadas]]-tblMatriculas[[#This Row],[Asistidas]]))</f>
        <v>2</v>
      </c>
      <c r="P1898" s="1">
        <f>IF(OR(tblMatriculas[[#This Row],[Estado]]&lt;&gt;"activa",tblMatriculas[[#This Row],[Asistidas]]=""),"",tblMatriculas[[#This Row],[Asistencia]])</f>
        <v>0.2</v>
      </c>
      <c r="Q1898" t="b">
        <f>AND(tblMatriculas[[#This Row],[Estado]]="activa",ISNUMBER(tblMatriculas[[#This Row],[% asistencia]]),NOT(ISNUMBER(SEARCH(pPrueba,tblMatriculas[[#This Row],[Nombre]]))))</f>
        <v>1</v>
      </c>
      <c r="R18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8" s="23" t="str" cm="1">
        <f t="array" ref="S18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8" s="23" t="str" cm="1">
        <f t="array" ref="T18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8" s="14" t="str" cm="1">
        <f t="array" ref="U18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8" t="str" cm="1">
        <f t="array" ref="V18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8" t="str" cm="1">
        <f t="array" ref="W18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8" t="str">
        <f>IF(COUNTIFS('Base Estudiantes'!$C:$C,tblMatriculas[[#This Row],[Cédula]],'Base Estudiantes'!$I:$I,tblMatriculas[[#This Row],[Código]])&gt;0,"Sí","No")</f>
        <v>Sí</v>
      </c>
      <c r="Z1898" s="23" cm="1">
        <f t="array" ref="Z1898">_xlfn.XLOOKUP(tblMatriculas[[#This Row],[Cédula]]&amp;"|"&amp;tblMatriculas[[#This Row],[Código]],tblBase[Documento]&amp;"|"&amp;tblBase[Código grupo],tblBase[Fecha matrícula],"")</f>
        <v>46262</v>
      </c>
    </row>
    <row r="1899" spans="1:26" x14ac:dyDescent="0.2">
      <c r="A1899" t="s">
        <v>3961</v>
      </c>
      <c r="B1899" t="s">
        <v>3962</v>
      </c>
      <c r="C1899" t="s">
        <v>13</v>
      </c>
      <c r="D1899" t="s">
        <v>3923</v>
      </c>
      <c r="E1899" t="s">
        <v>3924</v>
      </c>
      <c r="F1899" t="s">
        <v>16</v>
      </c>
      <c r="G1899" s="1">
        <v>0.26700000000000002</v>
      </c>
      <c r="H1899" t="s">
        <v>3931</v>
      </c>
      <c r="I1899" t="s">
        <v>3833</v>
      </c>
      <c r="J1899" t="s">
        <v>3926</v>
      </c>
      <c r="K1899" t="s">
        <v>24</v>
      </c>
      <c r="L1899" s="14">
        <f>IFERROR(VALUE(LEFT(tblMatriculas[[#This Row],[Clases]],FIND("/",tblMatriculas[[#This Row],[Clases]])-1)),"")</f>
        <v>8</v>
      </c>
      <c r="M1899" s="14">
        <f>IFERROR(VALUE(MID(tblMatriculas[[#This Row],[Clases]],FIND("/",tblMatriculas[[#This Row],[Clases]])+1,5)),"")</f>
        <v>30</v>
      </c>
      <c r="N18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899" s="14">
        <f>IF(OR(tblMatriculas[[#This Row],[Estado]]&lt;&gt;"activa",tblMatriculas[[#This Row],[Clases dictadas]]=""),"",MAX(0,tblMatriculas[[#This Row],[Clases dictadas]]-tblMatriculas[[#This Row],[Asistidas]]))</f>
        <v>0</v>
      </c>
      <c r="P1899" s="1">
        <f>IF(OR(tblMatriculas[[#This Row],[Estado]]&lt;&gt;"activa",tblMatriculas[[#This Row],[Asistidas]]=""),"",tblMatriculas[[#This Row],[Asistencia]])</f>
        <v>0.26700000000000002</v>
      </c>
      <c r="Q1899" t="b">
        <f>AND(tblMatriculas[[#This Row],[Estado]]="activa",ISNUMBER(tblMatriculas[[#This Row],[% asistencia]]),NOT(ISNUMBER(SEARCH(pPrueba,tblMatriculas[[#This Row],[Nombre]]))))</f>
        <v>1</v>
      </c>
      <c r="R18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899" s="23" t="str" cm="1">
        <f t="array" ref="S18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899" s="23" t="str" cm="1">
        <f t="array" ref="T18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899" s="14" t="str" cm="1">
        <f t="array" ref="U18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899" t="str" cm="1">
        <f t="array" ref="V18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899" t="str" cm="1">
        <f t="array" ref="W18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8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899" t="str">
        <f>IF(COUNTIFS('Base Estudiantes'!$C:$C,tblMatriculas[[#This Row],[Cédula]],'Base Estudiantes'!$I:$I,tblMatriculas[[#This Row],[Código]])&gt;0,"Sí","No")</f>
        <v>Sí</v>
      </c>
      <c r="Z1899" s="23" cm="1">
        <f t="array" ref="Z1899">_xlfn.XLOOKUP(tblMatriculas[[#This Row],[Cédula]]&amp;"|"&amp;tblMatriculas[[#This Row],[Código]],tblBase[Documento]&amp;"|"&amp;tblBase[Código grupo],tblBase[Fecha matrícula],"")</f>
        <v>46262</v>
      </c>
    </row>
    <row r="1900" spans="1:26" x14ac:dyDescent="0.2">
      <c r="A1900" t="s">
        <v>3963</v>
      </c>
      <c r="B1900" t="s">
        <v>3964</v>
      </c>
      <c r="C1900" t="s">
        <v>13</v>
      </c>
      <c r="D1900" t="s">
        <v>3923</v>
      </c>
      <c r="E1900" t="s">
        <v>3924</v>
      </c>
      <c r="F1900" t="s">
        <v>16</v>
      </c>
      <c r="G1900" s="1">
        <v>0.26700000000000002</v>
      </c>
      <c r="H1900" t="s">
        <v>3931</v>
      </c>
      <c r="I1900" t="s">
        <v>3833</v>
      </c>
      <c r="J1900" t="s">
        <v>3926</v>
      </c>
      <c r="K1900" t="s">
        <v>24</v>
      </c>
      <c r="L1900" s="14">
        <f>IFERROR(VALUE(LEFT(tblMatriculas[[#This Row],[Clases]],FIND("/",tblMatriculas[[#This Row],[Clases]])-1)),"")</f>
        <v>8</v>
      </c>
      <c r="M1900" s="14">
        <f>IFERROR(VALUE(MID(tblMatriculas[[#This Row],[Clases]],FIND("/",tblMatriculas[[#This Row],[Clases]])+1,5)),"")</f>
        <v>30</v>
      </c>
      <c r="N19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0" s="14">
        <f>IF(OR(tblMatriculas[[#This Row],[Estado]]&lt;&gt;"activa",tblMatriculas[[#This Row],[Clases dictadas]]=""),"",MAX(0,tblMatriculas[[#This Row],[Clases dictadas]]-tblMatriculas[[#This Row],[Asistidas]]))</f>
        <v>0</v>
      </c>
      <c r="P1900" s="1">
        <f>IF(OR(tblMatriculas[[#This Row],[Estado]]&lt;&gt;"activa",tblMatriculas[[#This Row],[Asistidas]]=""),"",tblMatriculas[[#This Row],[Asistencia]])</f>
        <v>0.26700000000000002</v>
      </c>
      <c r="Q1900" t="b">
        <f>AND(tblMatriculas[[#This Row],[Estado]]="activa",ISNUMBER(tblMatriculas[[#This Row],[% asistencia]]),NOT(ISNUMBER(SEARCH(pPrueba,tblMatriculas[[#This Row],[Nombre]]))))</f>
        <v>1</v>
      </c>
      <c r="R19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0" s="23" t="str" cm="1">
        <f t="array" ref="S19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0" s="23" t="str" cm="1">
        <f t="array" ref="T19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0" s="14" t="str" cm="1">
        <f t="array" ref="U19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0" t="str" cm="1">
        <f t="array" ref="V19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0" t="str" cm="1">
        <f t="array" ref="W19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0" t="str">
        <f>IF(COUNTIFS('Base Estudiantes'!$C:$C,tblMatriculas[[#This Row],[Cédula]],'Base Estudiantes'!$I:$I,tblMatriculas[[#This Row],[Código]])&gt;0,"Sí","No")</f>
        <v>Sí</v>
      </c>
      <c r="Z1900" s="23" cm="1">
        <f t="array" ref="Z1900">_xlfn.XLOOKUP(tblMatriculas[[#This Row],[Cédula]]&amp;"|"&amp;tblMatriculas[[#This Row],[Código]],tblBase[Documento]&amp;"|"&amp;tblBase[Código grupo],tblBase[Fecha matrícula],"")</f>
        <v>46262</v>
      </c>
    </row>
    <row r="1901" spans="1:26" x14ac:dyDescent="0.2">
      <c r="A1901" t="s">
        <v>3965</v>
      </c>
      <c r="B1901" t="s">
        <v>3966</v>
      </c>
      <c r="C1901" t="s">
        <v>13</v>
      </c>
      <c r="D1901" t="s">
        <v>3923</v>
      </c>
      <c r="E1901" t="s">
        <v>3924</v>
      </c>
      <c r="F1901" t="s">
        <v>16</v>
      </c>
      <c r="G1901" s="1">
        <v>0.26700000000000002</v>
      </c>
      <c r="H1901" t="s">
        <v>3931</v>
      </c>
      <c r="I1901" t="s">
        <v>3833</v>
      </c>
      <c r="J1901" t="s">
        <v>3926</v>
      </c>
      <c r="K1901" t="s">
        <v>24</v>
      </c>
      <c r="L1901" s="14">
        <f>IFERROR(VALUE(LEFT(tblMatriculas[[#This Row],[Clases]],FIND("/",tblMatriculas[[#This Row],[Clases]])-1)),"")</f>
        <v>8</v>
      </c>
      <c r="M1901" s="14">
        <f>IFERROR(VALUE(MID(tblMatriculas[[#This Row],[Clases]],FIND("/",tblMatriculas[[#This Row],[Clases]])+1,5)),"")</f>
        <v>30</v>
      </c>
      <c r="N19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1" s="14">
        <f>IF(OR(tblMatriculas[[#This Row],[Estado]]&lt;&gt;"activa",tblMatriculas[[#This Row],[Clases dictadas]]=""),"",MAX(0,tblMatriculas[[#This Row],[Clases dictadas]]-tblMatriculas[[#This Row],[Asistidas]]))</f>
        <v>0</v>
      </c>
      <c r="P1901" s="1">
        <f>IF(OR(tblMatriculas[[#This Row],[Estado]]&lt;&gt;"activa",tblMatriculas[[#This Row],[Asistidas]]=""),"",tblMatriculas[[#This Row],[Asistencia]])</f>
        <v>0.26700000000000002</v>
      </c>
      <c r="Q1901" t="b">
        <f>AND(tblMatriculas[[#This Row],[Estado]]="activa",ISNUMBER(tblMatriculas[[#This Row],[% asistencia]]),NOT(ISNUMBER(SEARCH(pPrueba,tblMatriculas[[#This Row],[Nombre]]))))</f>
        <v>1</v>
      </c>
      <c r="R19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1" s="23" t="str" cm="1">
        <f t="array" ref="S19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1" s="23" t="str" cm="1">
        <f t="array" ref="T19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1" s="14" t="str" cm="1">
        <f t="array" ref="U19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1" t="str" cm="1">
        <f t="array" ref="V19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1" t="str" cm="1">
        <f t="array" ref="W19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1" t="str">
        <f>IF(COUNTIFS('Base Estudiantes'!$C:$C,tblMatriculas[[#This Row],[Cédula]],'Base Estudiantes'!$I:$I,tblMatriculas[[#This Row],[Código]])&gt;0,"Sí","No")</f>
        <v>Sí</v>
      </c>
      <c r="Z1901" s="23" cm="1">
        <f t="array" ref="Z1901">_xlfn.XLOOKUP(tblMatriculas[[#This Row],[Cédula]]&amp;"|"&amp;tblMatriculas[[#This Row],[Código]],tblBase[Documento]&amp;"|"&amp;tblBase[Código grupo],tblBase[Fecha matrícula],"")</f>
        <v>46262</v>
      </c>
    </row>
    <row r="1902" spans="1:26" x14ac:dyDescent="0.2">
      <c r="A1902" t="s">
        <v>3967</v>
      </c>
      <c r="B1902" t="s">
        <v>3968</v>
      </c>
      <c r="C1902" t="s">
        <v>13</v>
      </c>
      <c r="D1902" t="s">
        <v>3923</v>
      </c>
      <c r="E1902" t="s">
        <v>3924</v>
      </c>
      <c r="F1902" t="s">
        <v>16</v>
      </c>
      <c r="G1902" s="1">
        <v>0.26700000000000002</v>
      </c>
      <c r="H1902" t="s">
        <v>3931</v>
      </c>
      <c r="I1902" t="s">
        <v>3833</v>
      </c>
      <c r="J1902" t="s">
        <v>3926</v>
      </c>
      <c r="K1902" t="s">
        <v>24</v>
      </c>
      <c r="L1902" s="14">
        <f>IFERROR(VALUE(LEFT(tblMatriculas[[#This Row],[Clases]],FIND("/",tblMatriculas[[#This Row],[Clases]])-1)),"")</f>
        <v>8</v>
      </c>
      <c r="M1902" s="14">
        <f>IFERROR(VALUE(MID(tblMatriculas[[#This Row],[Clases]],FIND("/",tblMatriculas[[#This Row],[Clases]])+1,5)),"")</f>
        <v>30</v>
      </c>
      <c r="N19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2" s="14">
        <f>IF(OR(tblMatriculas[[#This Row],[Estado]]&lt;&gt;"activa",tblMatriculas[[#This Row],[Clases dictadas]]=""),"",MAX(0,tblMatriculas[[#This Row],[Clases dictadas]]-tblMatriculas[[#This Row],[Asistidas]]))</f>
        <v>0</v>
      </c>
      <c r="P1902" s="1">
        <f>IF(OR(tblMatriculas[[#This Row],[Estado]]&lt;&gt;"activa",tblMatriculas[[#This Row],[Asistidas]]=""),"",tblMatriculas[[#This Row],[Asistencia]])</f>
        <v>0.26700000000000002</v>
      </c>
      <c r="Q1902" t="b">
        <f>AND(tblMatriculas[[#This Row],[Estado]]="activa",ISNUMBER(tblMatriculas[[#This Row],[% asistencia]]),NOT(ISNUMBER(SEARCH(pPrueba,tblMatriculas[[#This Row],[Nombre]]))))</f>
        <v>1</v>
      </c>
      <c r="R19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2" s="23" t="str" cm="1">
        <f t="array" ref="S19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2" s="23" t="str" cm="1">
        <f t="array" ref="T19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2" s="14" t="str" cm="1">
        <f t="array" ref="U19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2" t="str" cm="1">
        <f t="array" ref="V19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2" t="str" cm="1">
        <f t="array" ref="W19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2" t="str">
        <f>IF(COUNTIFS('Base Estudiantes'!$C:$C,tblMatriculas[[#This Row],[Cédula]],'Base Estudiantes'!$I:$I,tblMatriculas[[#This Row],[Código]])&gt;0,"Sí","No")</f>
        <v>Sí</v>
      </c>
      <c r="Z1902" s="23" cm="1">
        <f t="array" ref="Z1902">_xlfn.XLOOKUP(tblMatriculas[[#This Row],[Cédula]]&amp;"|"&amp;tblMatriculas[[#This Row],[Código]],tblBase[Documento]&amp;"|"&amp;tblBase[Código grupo],tblBase[Fecha matrícula],"")</f>
        <v>46262</v>
      </c>
    </row>
    <row r="1903" spans="1:26" x14ac:dyDescent="0.2">
      <c r="A1903" t="s">
        <v>3969</v>
      </c>
      <c r="B1903" t="s">
        <v>3970</v>
      </c>
      <c r="C1903" t="s">
        <v>13</v>
      </c>
      <c r="D1903" t="s">
        <v>3923</v>
      </c>
      <c r="E1903" t="s">
        <v>3924</v>
      </c>
      <c r="F1903" t="s">
        <v>16</v>
      </c>
      <c r="G1903" s="1">
        <v>0.23300000000000001</v>
      </c>
      <c r="H1903" t="s">
        <v>3940</v>
      </c>
      <c r="I1903" t="s">
        <v>3833</v>
      </c>
      <c r="J1903" t="s">
        <v>3926</v>
      </c>
      <c r="K1903" t="s">
        <v>24</v>
      </c>
      <c r="L1903" s="14">
        <f>IFERROR(VALUE(LEFT(tblMatriculas[[#This Row],[Clases]],FIND("/",tblMatriculas[[#This Row],[Clases]])-1)),"")</f>
        <v>7</v>
      </c>
      <c r="M1903" s="14">
        <f>IFERROR(VALUE(MID(tblMatriculas[[#This Row],[Clases]],FIND("/",tblMatriculas[[#This Row],[Clases]])+1,5)),"")</f>
        <v>30</v>
      </c>
      <c r="N19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3" s="14">
        <f>IF(OR(tblMatriculas[[#This Row],[Estado]]&lt;&gt;"activa",tblMatriculas[[#This Row],[Clases dictadas]]=""),"",MAX(0,tblMatriculas[[#This Row],[Clases dictadas]]-tblMatriculas[[#This Row],[Asistidas]]))</f>
        <v>1</v>
      </c>
      <c r="P1903" s="1">
        <f>IF(OR(tblMatriculas[[#This Row],[Estado]]&lt;&gt;"activa",tblMatriculas[[#This Row],[Asistidas]]=""),"",tblMatriculas[[#This Row],[Asistencia]])</f>
        <v>0.23300000000000001</v>
      </c>
      <c r="Q1903" t="b">
        <f>AND(tblMatriculas[[#This Row],[Estado]]="activa",ISNUMBER(tblMatriculas[[#This Row],[% asistencia]]),NOT(ISNUMBER(SEARCH(pPrueba,tblMatriculas[[#This Row],[Nombre]]))))</f>
        <v>1</v>
      </c>
      <c r="R19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3" s="23" t="str" cm="1">
        <f t="array" ref="S19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3" s="23" t="str" cm="1">
        <f t="array" ref="T19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3" s="14" t="str" cm="1">
        <f t="array" ref="U19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3" t="str" cm="1">
        <f t="array" ref="V19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3" t="str" cm="1">
        <f t="array" ref="W19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3" t="str">
        <f>IF(COUNTIFS('Base Estudiantes'!$C:$C,tblMatriculas[[#This Row],[Cédula]],'Base Estudiantes'!$I:$I,tblMatriculas[[#This Row],[Código]])&gt;0,"Sí","No")</f>
        <v>Sí</v>
      </c>
      <c r="Z1903" s="23" cm="1">
        <f t="array" ref="Z1903">_xlfn.XLOOKUP(tblMatriculas[[#This Row],[Cédula]]&amp;"|"&amp;tblMatriculas[[#This Row],[Código]],tblBase[Documento]&amp;"|"&amp;tblBase[Código grupo],tblBase[Fecha matrícula],"")</f>
        <v>46262</v>
      </c>
    </row>
    <row r="1904" spans="1:26" x14ac:dyDescent="0.2">
      <c r="A1904" t="s">
        <v>3971</v>
      </c>
      <c r="B1904" t="s">
        <v>3972</v>
      </c>
      <c r="C1904" t="s">
        <v>13</v>
      </c>
      <c r="D1904" t="s">
        <v>3923</v>
      </c>
      <c r="E1904" t="s">
        <v>3924</v>
      </c>
      <c r="F1904" t="s">
        <v>16</v>
      </c>
      <c r="G1904" s="1">
        <v>0.23300000000000001</v>
      </c>
      <c r="H1904" t="s">
        <v>3940</v>
      </c>
      <c r="I1904" t="s">
        <v>3833</v>
      </c>
      <c r="J1904" t="s">
        <v>3926</v>
      </c>
      <c r="K1904" t="s">
        <v>24</v>
      </c>
      <c r="L1904" s="14">
        <f>IFERROR(VALUE(LEFT(tblMatriculas[[#This Row],[Clases]],FIND("/",tblMatriculas[[#This Row],[Clases]])-1)),"")</f>
        <v>7</v>
      </c>
      <c r="M1904" s="14">
        <f>IFERROR(VALUE(MID(tblMatriculas[[#This Row],[Clases]],FIND("/",tblMatriculas[[#This Row],[Clases]])+1,5)),"")</f>
        <v>30</v>
      </c>
      <c r="N19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4" s="14">
        <f>IF(OR(tblMatriculas[[#This Row],[Estado]]&lt;&gt;"activa",tblMatriculas[[#This Row],[Clases dictadas]]=""),"",MAX(0,tblMatriculas[[#This Row],[Clases dictadas]]-tblMatriculas[[#This Row],[Asistidas]]))</f>
        <v>1</v>
      </c>
      <c r="P1904" s="1">
        <f>IF(OR(tblMatriculas[[#This Row],[Estado]]&lt;&gt;"activa",tblMatriculas[[#This Row],[Asistidas]]=""),"",tblMatriculas[[#This Row],[Asistencia]])</f>
        <v>0.23300000000000001</v>
      </c>
      <c r="Q1904" t="b">
        <f>AND(tblMatriculas[[#This Row],[Estado]]="activa",ISNUMBER(tblMatriculas[[#This Row],[% asistencia]]),NOT(ISNUMBER(SEARCH(pPrueba,tblMatriculas[[#This Row],[Nombre]]))))</f>
        <v>1</v>
      </c>
      <c r="R19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4" s="23" t="str" cm="1">
        <f t="array" ref="S19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4" s="23" t="str" cm="1">
        <f t="array" ref="T19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4" s="14" t="str" cm="1">
        <f t="array" ref="U19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4" t="str" cm="1">
        <f t="array" ref="V19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4" t="str" cm="1">
        <f t="array" ref="W19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4" t="str">
        <f>IF(COUNTIFS('Base Estudiantes'!$C:$C,tblMatriculas[[#This Row],[Cédula]],'Base Estudiantes'!$I:$I,tblMatriculas[[#This Row],[Código]])&gt;0,"Sí","No")</f>
        <v>Sí</v>
      </c>
      <c r="Z1904" s="23" cm="1">
        <f t="array" ref="Z1904">_xlfn.XLOOKUP(tblMatriculas[[#This Row],[Cédula]]&amp;"|"&amp;tblMatriculas[[#This Row],[Código]],tblBase[Documento]&amp;"|"&amp;tblBase[Código grupo],tblBase[Fecha matrícula],"")</f>
        <v>46262</v>
      </c>
    </row>
    <row r="1905" spans="1:26" x14ac:dyDescent="0.2">
      <c r="A1905" t="s">
        <v>3973</v>
      </c>
      <c r="B1905" t="s">
        <v>3974</v>
      </c>
      <c r="C1905" t="s">
        <v>49</v>
      </c>
      <c r="D1905" t="s">
        <v>3923</v>
      </c>
      <c r="E1905" t="s">
        <v>3924</v>
      </c>
      <c r="F1905" t="s">
        <v>16</v>
      </c>
      <c r="G1905" s="1">
        <v>0</v>
      </c>
      <c r="H1905" t="s">
        <v>254</v>
      </c>
      <c r="I1905" t="s">
        <v>3833</v>
      </c>
      <c r="J1905" t="s">
        <v>3926</v>
      </c>
      <c r="K1905" t="s">
        <v>24</v>
      </c>
      <c r="L1905" s="14">
        <f>IFERROR(VALUE(LEFT(tblMatriculas[[#This Row],[Clases]],FIND("/",tblMatriculas[[#This Row],[Clases]])-1)),"")</f>
        <v>0</v>
      </c>
      <c r="M1905" s="14">
        <f>IFERROR(VALUE(MID(tblMatriculas[[#This Row],[Clases]],FIND("/",tblMatriculas[[#This Row],[Clases]])+1,5)),"")</f>
        <v>30</v>
      </c>
      <c r="N19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5" s="14" t="str">
        <f>IF(OR(tblMatriculas[[#This Row],[Estado]]&lt;&gt;"activa",tblMatriculas[[#This Row],[Clases dictadas]]=""),"",MAX(0,tblMatriculas[[#This Row],[Clases dictadas]]-tblMatriculas[[#This Row],[Asistidas]]))</f>
        <v/>
      </c>
      <c r="P1905" s="1" t="str">
        <f>IF(OR(tblMatriculas[[#This Row],[Estado]]&lt;&gt;"activa",tblMatriculas[[#This Row],[Asistidas]]=""),"",tblMatriculas[[#This Row],[Asistencia]])</f>
        <v/>
      </c>
      <c r="Q1905" t="b">
        <f>AND(tblMatriculas[[#This Row],[Estado]]="activa",ISNUMBER(tblMatriculas[[#This Row],[% asistencia]]),NOT(ISNUMBER(SEARCH(pPrueba,tblMatriculas[[#This Row],[Nombre]]))))</f>
        <v>0</v>
      </c>
      <c r="R19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05" s="23" t="str" cm="1">
        <f t="array" ref="S19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5" s="23" t="str" cm="1">
        <f t="array" ref="T19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5" s="14" t="str" cm="1">
        <f t="array" ref="U19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5" t="str" cm="1">
        <f t="array" ref="V19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5" t="str" cm="1">
        <f t="array" ref="W19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5" t="str">
        <f>IF(COUNTIFS('Base Estudiantes'!$C:$C,tblMatriculas[[#This Row],[Cédula]],'Base Estudiantes'!$I:$I,tblMatriculas[[#This Row],[Código]])&gt;0,"Sí","No")</f>
        <v>No</v>
      </c>
      <c r="Z1905" s="23" t="str" cm="1">
        <f t="array" ref="Z1905">_xlfn.XLOOKUP(tblMatriculas[[#This Row],[Cédula]]&amp;"|"&amp;tblMatriculas[[#This Row],[Código]],tblBase[Documento]&amp;"|"&amp;tblBase[Código grupo],tblBase[Fecha matrícula],"")</f>
        <v/>
      </c>
    </row>
    <row r="1906" spans="1:26" x14ac:dyDescent="0.2">
      <c r="A1906" t="s">
        <v>3975</v>
      </c>
      <c r="B1906" t="s">
        <v>3976</v>
      </c>
      <c r="C1906" t="s">
        <v>13</v>
      </c>
      <c r="D1906" t="s">
        <v>3923</v>
      </c>
      <c r="E1906" t="s">
        <v>3924</v>
      </c>
      <c r="F1906" t="s">
        <v>16</v>
      </c>
      <c r="G1906" s="1">
        <v>0.26700000000000002</v>
      </c>
      <c r="H1906" t="s">
        <v>3931</v>
      </c>
      <c r="I1906" t="s">
        <v>3833</v>
      </c>
      <c r="J1906" t="s">
        <v>3926</v>
      </c>
      <c r="K1906" t="s">
        <v>24</v>
      </c>
      <c r="L1906" s="14">
        <f>IFERROR(VALUE(LEFT(tblMatriculas[[#This Row],[Clases]],FIND("/",tblMatriculas[[#This Row],[Clases]])-1)),"")</f>
        <v>8</v>
      </c>
      <c r="M1906" s="14">
        <f>IFERROR(VALUE(MID(tblMatriculas[[#This Row],[Clases]],FIND("/",tblMatriculas[[#This Row],[Clases]])+1,5)),"")</f>
        <v>30</v>
      </c>
      <c r="N19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6" s="14">
        <f>IF(OR(tblMatriculas[[#This Row],[Estado]]&lt;&gt;"activa",tblMatriculas[[#This Row],[Clases dictadas]]=""),"",MAX(0,tblMatriculas[[#This Row],[Clases dictadas]]-tblMatriculas[[#This Row],[Asistidas]]))</f>
        <v>0</v>
      </c>
      <c r="P1906" s="1">
        <f>IF(OR(tblMatriculas[[#This Row],[Estado]]&lt;&gt;"activa",tblMatriculas[[#This Row],[Asistidas]]=""),"",tblMatriculas[[#This Row],[Asistencia]])</f>
        <v>0.26700000000000002</v>
      </c>
      <c r="Q1906" t="b">
        <f>AND(tblMatriculas[[#This Row],[Estado]]="activa",ISNUMBER(tblMatriculas[[#This Row],[% asistencia]]),NOT(ISNUMBER(SEARCH(pPrueba,tblMatriculas[[#This Row],[Nombre]]))))</f>
        <v>1</v>
      </c>
      <c r="R19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6" s="23" t="str" cm="1">
        <f t="array" ref="S19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6" s="23" t="str" cm="1">
        <f t="array" ref="T19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6" s="14" t="str" cm="1">
        <f t="array" ref="U19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6" t="str" cm="1">
        <f t="array" ref="V19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6" t="str" cm="1">
        <f t="array" ref="W19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6" t="str">
        <f>IF(COUNTIFS('Base Estudiantes'!$C:$C,tblMatriculas[[#This Row],[Cédula]],'Base Estudiantes'!$I:$I,tblMatriculas[[#This Row],[Código]])&gt;0,"Sí","No")</f>
        <v>Sí</v>
      </c>
      <c r="Z1906" s="23" cm="1">
        <f t="array" ref="Z1906">_xlfn.XLOOKUP(tblMatriculas[[#This Row],[Cédula]]&amp;"|"&amp;tblMatriculas[[#This Row],[Código]],tblBase[Documento]&amp;"|"&amp;tblBase[Código grupo],tblBase[Fecha matrícula],"")</f>
        <v>46262</v>
      </c>
    </row>
    <row r="1907" spans="1:26" x14ac:dyDescent="0.2">
      <c r="A1907" t="s">
        <v>3977</v>
      </c>
      <c r="B1907" t="s">
        <v>3978</v>
      </c>
      <c r="C1907" t="s">
        <v>13</v>
      </c>
      <c r="D1907" t="s">
        <v>3923</v>
      </c>
      <c r="E1907" t="s">
        <v>3924</v>
      </c>
      <c r="F1907" t="s">
        <v>16</v>
      </c>
      <c r="G1907" s="1">
        <v>0</v>
      </c>
      <c r="H1907" t="s">
        <v>254</v>
      </c>
      <c r="I1907" t="s">
        <v>3833</v>
      </c>
      <c r="J1907" t="s">
        <v>3926</v>
      </c>
      <c r="K1907" t="s">
        <v>24</v>
      </c>
      <c r="L1907" s="14">
        <f>IFERROR(VALUE(LEFT(tblMatriculas[[#This Row],[Clases]],FIND("/",tblMatriculas[[#This Row],[Clases]])-1)),"")</f>
        <v>0</v>
      </c>
      <c r="M1907" s="14">
        <f>IFERROR(VALUE(MID(tblMatriculas[[#This Row],[Clases]],FIND("/",tblMatriculas[[#This Row],[Clases]])+1,5)),"")</f>
        <v>30</v>
      </c>
      <c r="N19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7" s="14">
        <f>IF(OR(tblMatriculas[[#This Row],[Estado]]&lt;&gt;"activa",tblMatriculas[[#This Row],[Clases dictadas]]=""),"",MAX(0,tblMatriculas[[#This Row],[Clases dictadas]]-tblMatriculas[[#This Row],[Asistidas]]))</f>
        <v>8</v>
      </c>
      <c r="P1907" s="1">
        <f>IF(OR(tblMatriculas[[#This Row],[Estado]]&lt;&gt;"activa",tblMatriculas[[#This Row],[Asistidas]]=""),"",tblMatriculas[[#This Row],[Asistencia]])</f>
        <v>0</v>
      </c>
      <c r="Q1907" t="b">
        <f>AND(tblMatriculas[[#This Row],[Estado]]="activa",ISNUMBER(tblMatriculas[[#This Row],[% asistencia]]),NOT(ISNUMBER(SEARCH(pPrueba,tblMatriculas[[#This Row],[Nombre]]))))</f>
        <v>1</v>
      </c>
      <c r="R19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07" s="23" t="str" cm="1">
        <f t="array" ref="S19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7" s="23" t="str" cm="1">
        <f t="array" ref="T19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7" s="14" t="str" cm="1">
        <f t="array" ref="U19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7" t="str" cm="1">
        <f t="array" ref="V19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7" t="str" cm="1">
        <f t="array" ref="W19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07" t="str">
        <f>IF(COUNTIFS('Base Estudiantes'!$C:$C,tblMatriculas[[#This Row],[Cédula]],'Base Estudiantes'!$I:$I,tblMatriculas[[#This Row],[Código]])&gt;0,"Sí","No")</f>
        <v>Sí</v>
      </c>
      <c r="Z1907" s="23" cm="1">
        <f t="array" ref="Z1907">_xlfn.XLOOKUP(tblMatriculas[[#This Row],[Cédula]]&amp;"|"&amp;tblMatriculas[[#This Row],[Código]],tblBase[Documento]&amp;"|"&amp;tblBase[Código grupo],tblBase[Fecha matrícula],"")</f>
        <v>46262</v>
      </c>
    </row>
    <row r="1908" spans="1:26" x14ac:dyDescent="0.2">
      <c r="A1908" t="s">
        <v>3979</v>
      </c>
      <c r="B1908" t="s">
        <v>3980</v>
      </c>
      <c r="C1908" t="s">
        <v>13</v>
      </c>
      <c r="D1908" t="s">
        <v>3923</v>
      </c>
      <c r="E1908" t="s">
        <v>3924</v>
      </c>
      <c r="F1908" t="s">
        <v>16</v>
      </c>
      <c r="G1908" s="1">
        <v>0.23300000000000001</v>
      </c>
      <c r="H1908" t="s">
        <v>3940</v>
      </c>
      <c r="I1908" t="s">
        <v>3833</v>
      </c>
      <c r="J1908" t="s">
        <v>3926</v>
      </c>
      <c r="K1908" t="s">
        <v>3981</v>
      </c>
      <c r="L1908" s="14">
        <f>IFERROR(VALUE(LEFT(tblMatriculas[[#This Row],[Clases]],FIND("/",tblMatriculas[[#This Row],[Clases]])-1)),"")</f>
        <v>7</v>
      </c>
      <c r="M1908" s="14">
        <f>IFERROR(VALUE(MID(tblMatriculas[[#This Row],[Clases]],FIND("/",tblMatriculas[[#This Row],[Clases]])+1,5)),"")</f>
        <v>30</v>
      </c>
      <c r="N19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8" s="14">
        <f>IF(OR(tblMatriculas[[#This Row],[Estado]]&lt;&gt;"activa",tblMatriculas[[#This Row],[Clases dictadas]]=""),"",MAX(0,tblMatriculas[[#This Row],[Clases dictadas]]-tblMatriculas[[#This Row],[Asistidas]]))</f>
        <v>1</v>
      </c>
      <c r="P1908" s="1">
        <f>IF(OR(tblMatriculas[[#This Row],[Estado]]&lt;&gt;"activa",tblMatriculas[[#This Row],[Asistidas]]=""),"",tblMatriculas[[#This Row],[Asistencia]])</f>
        <v>0.23300000000000001</v>
      </c>
      <c r="Q1908" t="b">
        <f>AND(tblMatriculas[[#This Row],[Estado]]="activa",ISNUMBER(tblMatriculas[[#This Row],[% asistencia]]),NOT(ISNUMBER(SEARCH(pPrueba,tblMatriculas[[#This Row],[Nombre]]))))</f>
        <v>1</v>
      </c>
      <c r="R19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8" s="23" t="str" cm="1">
        <f t="array" ref="S19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8" s="23" t="str" cm="1">
        <f t="array" ref="T19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8" s="14" t="str" cm="1">
        <f t="array" ref="U19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8" t="str" cm="1">
        <f t="array" ref="V19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8" t="str" cm="1">
        <f t="array" ref="W19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8" t="str">
        <f>IF(COUNTIFS('Base Estudiantes'!$C:$C,tblMatriculas[[#This Row],[Cédula]],'Base Estudiantes'!$I:$I,tblMatriculas[[#This Row],[Código]])&gt;0,"Sí","No")</f>
        <v>Sí</v>
      </c>
      <c r="Z1908" s="23" cm="1">
        <f t="array" ref="Z1908">_xlfn.XLOOKUP(tblMatriculas[[#This Row],[Cédula]]&amp;"|"&amp;tblMatriculas[[#This Row],[Código]],tblBase[Documento]&amp;"|"&amp;tblBase[Código grupo],tblBase[Fecha matrícula],"")</f>
        <v>46262</v>
      </c>
    </row>
    <row r="1909" spans="1:26" x14ac:dyDescent="0.2">
      <c r="A1909" t="s">
        <v>3982</v>
      </c>
      <c r="B1909" t="s">
        <v>3983</v>
      </c>
      <c r="C1909" t="s">
        <v>13</v>
      </c>
      <c r="D1909" t="s">
        <v>3923</v>
      </c>
      <c r="E1909" t="s">
        <v>3924</v>
      </c>
      <c r="F1909" t="s">
        <v>16</v>
      </c>
      <c r="G1909" s="1">
        <v>0.23300000000000001</v>
      </c>
      <c r="H1909" t="s">
        <v>3940</v>
      </c>
      <c r="I1909" t="s">
        <v>3833</v>
      </c>
      <c r="J1909" t="s">
        <v>3926</v>
      </c>
      <c r="K1909" t="s">
        <v>3981</v>
      </c>
      <c r="L1909" s="14">
        <f>IFERROR(VALUE(LEFT(tblMatriculas[[#This Row],[Clases]],FIND("/",tblMatriculas[[#This Row],[Clases]])-1)),"")</f>
        <v>7</v>
      </c>
      <c r="M1909" s="14">
        <f>IFERROR(VALUE(MID(tblMatriculas[[#This Row],[Clases]],FIND("/",tblMatriculas[[#This Row],[Clases]])+1,5)),"")</f>
        <v>30</v>
      </c>
      <c r="N19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09" s="14">
        <f>IF(OR(tblMatriculas[[#This Row],[Estado]]&lt;&gt;"activa",tblMatriculas[[#This Row],[Clases dictadas]]=""),"",MAX(0,tblMatriculas[[#This Row],[Clases dictadas]]-tblMatriculas[[#This Row],[Asistidas]]))</f>
        <v>1</v>
      </c>
      <c r="P1909" s="1">
        <f>IF(OR(tblMatriculas[[#This Row],[Estado]]&lt;&gt;"activa",tblMatriculas[[#This Row],[Asistidas]]=""),"",tblMatriculas[[#This Row],[Asistencia]])</f>
        <v>0.23300000000000001</v>
      </c>
      <c r="Q1909" t="b">
        <f>AND(tblMatriculas[[#This Row],[Estado]]="activa",ISNUMBER(tblMatriculas[[#This Row],[% asistencia]]),NOT(ISNUMBER(SEARCH(pPrueba,tblMatriculas[[#This Row],[Nombre]]))))</f>
        <v>1</v>
      </c>
      <c r="R19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09" s="23" t="str" cm="1">
        <f t="array" ref="S19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09" s="23" t="str" cm="1">
        <f t="array" ref="T19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09" s="14" t="str" cm="1">
        <f t="array" ref="U19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09" t="str" cm="1">
        <f t="array" ref="V19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09" t="str" cm="1">
        <f t="array" ref="W19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0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09" t="str">
        <f>IF(COUNTIFS('Base Estudiantes'!$C:$C,tblMatriculas[[#This Row],[Cédula]],'Base Estudiantes'!$I:$I,tblMatriculas[[#This Row],[Código]])&gt;0,"Sí","No")</f>
        <v>Sí</v>
      </c>
      <c r="Z1909" s="23" cm="1">
        <f t="array" ref="Z1909">_xlfn.XLOOKUP(tblMatriculas[[#This Row],[Cédula]]&amp;"|"&amp;tblMatriculas[[#This Row],[Código]],tblBase[Documento]&amp;"|"&amp;tblBase[Código grupo],tblBase[Fecha matrícula],"")</f>
        <v>46262</v>
      </c>
    </row>
    <row r="1910" spans="1:26" x14ac:dyDescent="0.2">
      <c r="A1910" t="s">
        <v>3481</v>
      </c>
      <c r="B1910" t="s">
        <v>3482</v>
      </c>
      <c r="C1910" t="s">
        <v>13</v>
      </c>
      <c r="D1910" t="s">
        <v>3923</v>
      </c>
      <c r="E1910" t="s">
        <v>3924</v>
      </c>
      <c r="F1910" t="s">
        <v>16</v>
      </c>
      <c r="G1910" s="1">
        <v>0.16699999999999998</v>
      </c>
      <c r="H1910" t="s">
        <v>229</v>
      </c>
      <c r="I1910" t="s">
        <v>3833</v>
      </c>
      <c r="J1910" t="s">
        <v>3926</v>
      </c>
      <c r="K1910" t="s">
        <v>24</v>
      </c>
      <c r="L1910" s="14">
        <f>IFERROR(VALUE(LEFT(tblMatriculas[[#This Row],[Clases]],FIND("/",tblMatriculas[[#This Row],[Clases]])-1)),"")</f>
        <v>5</v>
      </c>
      <c r="M1910" s="14">
        <f>IFERROR(VALUE(MID(tblMatriculas[[#This Row],[Clases]],FIND("/",tblMatriculas[[#This Row],[Clases]])+1,5)),"")</f>
        <v>30</v>
      </c>
      <c r="N19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10" s="14">
        <f>IF(OR(tblMatriculas[[#This Row],[Estado]]&lt;&gt;"activa",tblMatriculas[[#This Row],[Clases dictadas]]=""),"",MAX(0,tblMatriculas[[#This Row],[Clases dictadas]]-tblMatriculas[[#This Row],[Asistidas]]))</f>
        <v>3</v>
      </c>
      <c r="P1910" s="1">
        <f>IF(OR(tblMatriculas[[#This Row],[Estado]]&lt;&gt;"activa",tblMatriculas[[#This Row],[Asistidas]]=""),"",tblMatriculas[[#This Row],[Asistencia]])</f>
        <v>0.16699999999999998</v>
      </c>
      <c r="Q1910" t="b">
        <f>AND(tblMatriculas[[#This Row],[Estado]]="activa",ISNUMBER(tblMatriculas[[#This Row],[% asistencia]]),NOT(ISNUMBER(SEARCH(pPrueba,tblMatriculas[[#This Row],[Nombre]]))))</f>
        <v>1</v>
      </c>
      <c r="R19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0" s="23" t="str" cm="1">
        <f t="array" ref="S19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0" s="23" t="str" cm="1">
        <f t="array" ref="T19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0" s="14" t="str" cm="1">
        <f t="array" ref="U19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0" t="str" cm="1">
        <f t="array" ref="V19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0" t="str" cm="1">
        <f t="array" ref="W19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0" t="str">
        <f>IF(COUNTIFS('Base Estudiantes'!$C:$C,tblMatriculas[[#This Row],[Cédula]],'Base Estudiantes'!$I:$I,tblMatriculas[[#This Row],[Código]])&gt;0,"Sí","No")</f>
        <v>Sí</v>
      </c>
      <c r="Z1910" s="23" cm="1">
        <f t="array" ref="Z1910">_xlfn.XLOOKUP(tblMatriculas[[#This Row],[Cédula]]&amp;"|"&amp;tblMatriculas[[#This Row],[Código]],tblBase[Documento]&amp;"|"&amp;tblBase[Código grupo],tblBase[Fecha matrícula],"")</f>
        <v>46271</v>
      </c>
    </row>
    <row r="1911" spans="1:26" x14ac:dyDescent="0.2">
      <c r="A1911" t="s">
        <v>3449</v>
      </c>
      <c r="B1911" t="s">
        <v>3450</v>
      </c>
      <c r="C1911" t="s">
        <v>13</v>
      </c>
      <c r="D1911" t="s">
        <v>3923</v>
      </c>
      <c r="E1911" t="s">
        <v>3924</v>
      </c>
      <c r="F1911" t="s">
        <v>16</v>
      </c>
      <c r="G1911" s="1">
        <v>0.2</v>
      </c>
      <c r="H1911" t="s">
        <v>232</v>
      </c>
      <c r="I1911" t="s">
        <v>3833</v>
      </c>
      <c r="J1911" t="s">
        <v>3926</v>
      </c>
      <c r="K1911" t="s">
        <v>24</v>
      </c>
      <c r="L1911" s="14">
        <f>IFERROR(VALUE(LEFT(tblMatriculas[[#This Row],[Clases]],FIND("/",tblMatriculas[[#This Row],[Clases]])-1)),"")</f>
        <v>6</v>
      </c>
      <c r="M1911" s="14">
        <f>IFERROR(VALUE(MID(tblMatriculas[[#This Row],[Clases]],FIND("/",tblMatriculas[[#This Row],[Clases]])+1,5)),"")</f>
        <v>30</v>
      </c>
      <c r="N19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1911" s="14">
        <f>IF(OR(tblMatriculas[[#This Row],[Estado]]&lt;&gt;"activa",tblMatriculas[[#This Row],[Clases dictadas]]=""),"",MAX(0,tblMatriculas[[#This Row],[Clases dictadas]]-tblMatriculas[[#This Row],[Asistidas]]))</f>
        <v>2</v>
      </c>
      <c r="P1911" s="1">
        <f>IF(OR(tblMatriculas[[#This Row],[Estado]]&lt;&gt;"activa",tblMatriculas[[#This Row],[Asistidas]]=""),"",tblMatriculas[[#This Row],[Asistencia]])</f>
        <v>0.2</v>
      </c>
      <c r="Q1911" t="b">
        <f>AND(tblMatriculas[[#This Row],[Estado]]="activa",ISNUMBER(tblMatriculas[[#This Row],[% asistencia]]),NOT(ISNUMBER(SEARCH(pPrueba,tblMatriculas[[#This Row],[Nombre]]))))</f>
        <v>1</v>
      </c>
      <c r="R19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1" s="23" t="str" cm="1">
        <f t="array" ref="S19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1" s="23" t="str" cm="1">
        <f t="array" ref="T19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1" s="14" t="str" cm="1">
        <f t="array" ref="U19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1" t="str" cm="1">
        <f t="array" ref="V19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1" t="str" cm="1">
        <f t="array" ref="W19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1" t="str">
        <f>IF(COUNTIFS('Base Estudiantes'!$C:$C,tblMatriculas[[#This Row],[Cédula]],'Base Estudiantes'!$I:$I,tblMatriculas[[#This Row],[Código]])&gt;0,"Sí","No")</f>
        <v>Sí</v>
      </c>
      <c r="Z1911" s="23" cm="1">
        <f t="array" ref="Z1911">_xlfn.XLOOKUP(tblMatriculas[[#This Row],[Cédula]]&amp;"|"&amp;tblMatriculas[[#This Row],[Código]],tblBase[Documento]&amp;"|"&amp;tblBase[Código grupo],tblBase[Fecha matrícula],"")</f>
        <v>46275</v>
      </c>
    </row>
    <row r="1912" spans="1:26" x14ac:dyDescent="0.2">
      <c r="A1912" t="s">
        <v>3984</v>
      </c>
      <c r="B1912" t="s">
        <v>3985</v>
      </c>
      <c r="C1912" t="s">
        <v>13</v>
      </c>
      <c r="D1912" t="s">
        <v>3986</v>
      </c>
      <c r="E1912" t="s">
        <v>3987</v>
      </c>
      <c r="F1912" t="s">
        <v>335</v>
      </c>
      <c r="G1912" s="1">
        <v>0.16699999999999998</v>
      </c>
      <c r="H1912" t="s">
        <v>229</v>
      </c>
      <c r="I1912" t="s">
        <v>3833</v>
      </c>
      <c r="J1912" t="s">
        <v>3834</v>
      </c>
      <c r="K1912" t="s">
        <v>3835</v>
      </c>
      <c r="L1912" s="14">
        <f>IFERROR(VALUE(LEFT(tblMatriculas[[#This Row],[Clases]],FIND("/",tblMatriculas[[#This Row],[Clases]])-1)),"")</f>
        <v>5</v>
      </c>
      <c r="M1912" s="14">
        <f>IFERROR(VALUE(MID(tblMatriculas[[#This Row],[Clases]],FIND("/",tblMatriculas[[#This Row],[Clases]])+1,5)),"")</f>
        <v>30</v>
      </c>
      <c r="N19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2" s="14">
        <f>IF(OR(tblMatriculas[[#This Row],[Estado]]&lt;&gt;"activa",tblMatriculas[[#This Row],[Clases dictadas]]=""),"",MAX(0,tblMatriculas[[#This Row],[Clases dictadas]]-tblMatriculas[[#This Row],[Asistidas]]))</f>
        <v>0</v>
      </c>
      <c r="P1912" s="1">
        <f>IF(OR(tblMatriculas[[#This Row],[Estado]]&lt;&gt;"activa",tblMatriculas[[#This Row],[Asistidas]]=""),"",tblMatriculas[[#This Row],[Asistencia]])</f>
        <v>0.16699999999999998</v>
      </c>
      <c r="Q1912" t="b">
        <f>AND(tblMatriculas[[#This Row],[Estado]]="activa",ISNUMBER(tblMatriculas[[#This Row],[% asistencia]]),NOT(ISNUMBER(SEARCH(pPrueba,tblMatriculas[[#This Row],[Nombre]]))))</f>
        <v>1</v>
      </c>
      <c r="R19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2" s="23" t="str" cm="1">
        <f t="array" ref="S19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2" s="23" t="str" cm="1">
        <f t="array" ref="T19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2" s="14" t="str" cm="1">
        <f t="array" ref="U19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2" t="str" cm="1">
        <f t="array" ref="V19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2" t="str" cm="1">
        <f t="array" ref="W19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2" t="str">
        <f>IF(COUNTIFS('Base Estudiantes'!$C:$C,tblMatriculas[[#This Row],[Cédula]],'Base Estudiantes'!$I:$I,tblMatriculas[[#This Row],[Código]])&gt;0,"Sí","No")</f>
        <v>Sí</v>
      </c>
      <c r="Z1912" s="23" cm="1">
        <f t="array" ref="Z1912">_xlfn.XLOOKUP(tblMatriculas[[#This Row],[Cédula]]&amp;"|"&amp;tblMatriculas[[#This Row],[Código]],tblBase[Documento]&amp;"|"&amp;tblBase[Código grupo],tblBase[Fecha matrícula],"")</f>
        <v>46262</v>
      </c>
    </row>
    <row r="1913" spans="1:26" x14ac:dyDescent="0.2">
      <c r="A1913" t="s">
        <v>3988</v>
      </c>
      <c r="B1913" t="s">
        <v>3989</v>
      </c>
      <c r="C1913" t="s">
        <v>13</v>
      </c>
      <c r="D1913" t="s">
        <v>3986</v>
      </c>
      <c r="E1913" t="s">
        <v>3987</v>
      </c>
      <c r="F1913" t="s">
        <v>335</v>
      </c>
      <c r="G1913" s="1">
        <v>0.13300000000000001</v>
      </c>
      <c r="H1913" t="s">
        <v>112</v>
      </c>
      <c r="I1913" t="s">
        <v>3833</v>
      </c>
      <c r="J1913" t="s">
        <v>3834</v>
      </c>
      <c r="K1913" t="s">
        <v>3927</v>
      </c>
      <c r="L1913" s="14">
        <f>IFERROR(VALUE(LEFT(tblMatriculas[[#This Row],[Clases]],FIND("/",tblMatriculas[[#This Row],[Clases]])-1)),"")</f>
        <v>4</v>
      </c>
      <c r="M1913" s="14">
        <f>IFERROR(VALUE(MID(tblMatriculas[[#This Row],[Clases]],FIND("/",tblMatriculas[[#This Row],[Clases]])+1,5)),"")</f>
        <v>30</v>
      </c>
      <c r="N19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3" s="14">
        <f>IF(OR(tblMatriculas[[#This Row],[Estado]]&lt;&gt;"activa",tblMatriculas[[#This Row],[Clases dictadas]]=""),"",MAX(0,tblMatriculas[[#This Row],[Clases dictadas]]-tblMatriculas[[#This Row],[Asistidas]]))</f>
        <v>1</v>
      </c>
      <c r="P1913" s="1">
        <f>IF(OR(tblMatriculas[[#This Row],[Estado]]&lt;&gt;"activa",tblMatriculas[[#This Row],[Asistidas]]=""),"",tblMatriculas[[#This Row],[Asistencia]])</f>
        <v>0.13300000000000001</v>
      </c>
      <c r="Q1913" t="b">
        <f>AND(tblMatriculas[[#This Row],[Estado]]="activa",ISNUMBER(tblMatriculas[[#This Row],[% asistencia]]),NOT(ISNUMBER(SEARCH(pPrueba,tblMatriculas[[#This Row],[Nombre]]))))</f>
        <v>1</v>
      </c>
      <c r="R19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3" s="23" t="str" cm="1">
        <f t="array" ref="S19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3" s="23" t="str" cm="1">
        <f t="array" ref="T19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3" s="14" t="str" cm="1">
        <f t="array" ref="U19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3" t="str" cm="1">
        <f t="array" ref="V19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3" t="str" cm="1">
        <f t="array" ref="W19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3" t="str">
        <f>IF(COUNTIFS('Base Estudiantes'!$C:$C,tblMatriculas[[#This Row],[Cédula]],'Base Estudiantes'!$I:$I,tblMatriculas[[#This Row],[Código]])&gt;0,"Sí","No")</f>
        <v>Sí</v>
      </c>
      <c r="Z1913" s="23" cm="1">
        <f t="array" ref="Z1913">_xlfn.XLOOKUP(tblMatriculas[[#This Row],[Cédula]]&amp;"|"&amp;tblMatriculas[[#This Row],[Código]],tblBase[Documento]&amp;"|"&amp;tblBase[Código grupo],tblBase[Fecha matrícula],"")</f>
        <v>46262</v>
      </c>
    </row>
    <row r="1914" spans="1:26" x14ac:dyDescent="0.2">
      <c r="A1914" t="s">
        <v>3990</v>
      </c>
      <c r="B1914" t="s">
        <v>3991</v>
      </c>
      <c r="C1914" t="s">
        <v>13</v>
      </c>
      <c r="D1914" t="s">
        <v>3986</v>
      </c>
      <c r="E1914" t="s">
        <v>3987</v>
      </c>
      <c r="F1914" t="s">
        <v>335</v>
      </c>
      <c r="G1914" s="1">
        <v>0.16699999999999998</v>
      </c>
      <c r="H1914" t="s">
        <v>229</v>
      </c>
      <c r="I1914" t="s">
        <v>3833</v>
      </c>
      <c r="J1914" t="s">
        <v>3834</v>
      </c>
      <c r="K1914" t="s">
        <v>3927</v>
      </c>
      <c r="L1914" s="14">
        <f>IFERROR(VALUE(LEFT(tblMatriculas[[#This Row],[Clases]],FIND("/",tblMatriculas[[#This Row],[Clases]])-1)),"")</f>
        <v>5</v>
      </c>
      <c r="M1914" s="14">
        <f>IFERROR(VALUE(MID(tblMatriculas[[#This Row],[Clases]],FIND("/",tblMatriculas[[#This Row],[Clases]])+1,5)),"")</f>
        <v>30</v>
      </c>
      <c r="N19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4" s="14">
        <f>IF(OR(tblMatriculas[[#This Row],[Estado]]&lt;&gt;"activa",tblMatriculas[[#This Row],[Clases dictadas]]=""),"",MAX(0,tblMatriculas[[#This Row],[Clases dictadas]]-tblMatriculas[[#This Row],[Asistidas]]))</f>
        <v>0</v>
      </c>
      <c r="P1914" s="1">
        <f>IF(OR(tblMatriculas[[#This Row],[Estado]]&lt;&gt;"activa",tblMatriculas[[#This Row],[Asistidas]]=""),"",tblMatriculas[[#This Row],[Asistencia]])</f>
        <v>0.16699999999999998</v>
      </c>
      <c r="Q1914" t="b">
        <f>AND(tblMatriculas[[#This Row],[Estado]]="activa",ISNUMBER(tblMatriculas[[#This Row],[% asistencia]]),NOT(ISNUMBER(SEARCH(pPrueba,tblMatriculas[[#This Row],[Nombre]]))))</f>
        <v>1</v>
      </c>
      <c r="R19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4" s="23" t="str" cm="1">
        <f t="array" ref="S19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4" s="23" t="str" cm="1">
        <f t="array" ref="T19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4" s="14" t="str" cm="1">
        <f t="array" ref="U19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4" t="str" cm="1">
        <f t="array" ref="V19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4" t="str" cm="1">
        <f t="array" ref="W19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4" t="str">
        <f>IF(COUNTIFS('Base Estudiantes'!$C:$C,tblMatriculas[[#This Row],[Cédula]],'Base Estudiantes'!$I:$I,tblMatriculas[[#This Row],[Código]])&gt;0,"Sí","No")</f>
        <v>Sí</v>
      </c>
      <c r="Z1914" s="23" cm="1">
        <f t="array" ref="Z1914">_xlfn.XLOOKUP(tblMatriculas[[#This Row],[Cédula]]&amp;"|"&amp;tblMatriculas[[#This Row],[Código]],tblBase[Documento]&amp;"|"&amp;tblBase[Código grupo],tblBase[Fecha matrícula],"")</f>
        <v>46262</v>
      </c>
    </row>
    <row r="1915" spans="1:26" x14ac:dyDescent="0.2">
      <c r="A1915" t="s">
        <v>3992</v>
      </c>
      <c r="B1915" t="s">
        <v>3993</v>
      </c>
      <c r="C1915" t="s">
        <v>13</v>
      </c>
      <c r="D1915" t="s">
        <v>3986</v>
      </c>
      <c r="E1915" t="s">
        <v>3987</v>
      </c>
      <c r="F1915" t="s">
        <v>335</v>
      </c>
      <c r="G1915" s="1">
        <v>0.16699999999999998</v>
      </c>
      <c r="H1915" t="s">
        <v>229</v>
      </c>
      <c r="I1915" t="s">
        <v>3833</v>
      </c>
      <c r="J1915" t="s">
        <v>3834</v>
      </c>
      <c r="K1915" t="s">
        <v>3927</v>
      </c>
      <c r="L1915" s="14">
        <f>IFERROR(VALUE(LEFT(tblMatriculas[[#This Row],[Clases]],FIND("/",tblMatriculas[[#This Row],[Clases]])-1)),"")</f>
        <v>5</v>
      </c>
      <c r="M1915" s="14">
        <f>IFERROR(VALUE(MID(tblMatriculas[[#This Row],[Clases]],FIND("/",tblMatriculas[[#This Row],[Clases]])+1,5)),"")</f>
        <v>30</v>
      </c>
      <c r="N19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5" s="14">
        <f>IF(OR(tblMatriculas[[#This Row],[Estado]]&lt;&gt;"activa",tblMatriculas[[#This Row],[Clases dictadas]]=""),"",MAX(0,tblMatriculas[[#This Row],[Clases dictadas]]-tblMatriculas[[#This Row],[Asistidas]]))</f>
        <v>0</v>
      </c>
      <c r="P1915" s="1">
        <f>IF(OR(tblMatriculas[[#This Row],[Estado]]&lt;&gt;"activa",tblMatriculas[[#This Row],[Asistidas]]=""),"",tblMatriculas[[#This Row],[Asistencia]])</f>
        <v>0.16699999999999998</v>
      </c>
      <c r="Q1915" t="b">
        <f>AND(tblMatriculas[[#This Row],[Estado]]="activa",ISNUMBER(tblMatriculas[[#This Row],[% asistencia]]),NOT(ISNUMBER(SEARCH(pPrueba,tblMatriculas[[#This Row],[Nombre]]))))</f>
        <v>1</v>
      </c>
      <c r="R19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5" s="23" t="str" cm="1">
        <f t="array" ref="S19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5" s="23" t="str" cm="1">
        <f t="array" ref="T19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5" s="14" t="str" cm="1">
        <f t="array" ref="U19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5" t="str" cm="1">
        <f t="array" ref="V19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5" t="str" cm="1">
        <f t="array" ref="W19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5" t="str">
        <f>IF(COUNTIFS('Base Estudiantes'!$C:$C,tblMatriculas[[#This Row],[Cédula]],'Base Estudiantes'!$I:$I,tblMatriculas[[#This Row],[Código]])&gt;0,"Sí","No")</f>
        <v>Sí</v>
      </c>
      <c r="Z1915" s="23" cm="1">
        <f t="array" ref="Z1915">_xlfn.XLOOKUP(tblMatriculas[[#This Row],[Cédula]]&amp;"|"&amp;tblMatriculas[[#This Row],[Código]],tblBase[Documento]&amp;"|"&amp;tblBase[Código grupo],tblBase[Fecha matrícula],"")</f>
        <v>46262</v>
      </c>
    </row>
    <row r="1916" spans="1:26" x14ac:dyDescent="0.2">
      <c r="A1916" t="s">
        <v>3548</v>
      </c>
      <c r="B1916" t="s">
        <v>3549</v>
      </c>
      <c r="C1916" t="s">
        <v>49</v>
      </c>
      <c r="D1916" t="s">
        <v>3986</v>
      </c>
      <c r="E1916" t="s">
        <v>3987</v>
      </c>
      <c r="F1916" t="s">
        <v>335</v>
      </c>
      <c r="G1916" s="1">
        <v>0</v>
      </c>
      <c r="H1916" t="s">
        <v>254</v>
      </c>
      <c r="I1916" t="s">
        <v>3833</v>
      </c>
      <c r="J1916" t="s">
        <v>3834</v>
      </c>
      <c r="K1916" t="s">
        <v>3928</v>
      </c>
      <c r="L1916" s="14">
        <f>IFERROR(VALUE(LEFT(tblMatriculas[[#This Row],[Clases]],FIND("/",tblMatriculas[[#This Row],[Clases]])-1)),"")</f>
        <v>0</v>
      </c>
      <c r="M1916" s="14">
        <f>IFERROR(VALUE(MID(tblMatriculas[[#This Row],[Clases]],FIND("/",tblMatriculas[[#This Row],[Clases]])+1,5)),"")</f>
        <v>30</v>
      </c>
      <c r="N19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6" s="14" t="str">
        <f>IF(OR(tblMatriculas[[#This Row],[Estado]]&lt;&gt;"activa",tblMatriculas[[#This Row],[Clases dictadas]]=""),"",MAX(0,tblMatriculas[[#This Row],[Clases dictadas]]-tblMatriculas[[#This Row],[Asistidas]]))</f>
        <v/>
      </c>
      <c r="P1916" s="1" t="str">
        <f>IF(OR(tblMatriculas[[#This Row],[Estado]]&lt;&gt;"activa",tblMatriculas[[#This Row],[Asistidas]]=""),"",tblMatriculas[[#This Row],[Asistencia]])</f>
        <v/>
      </c>
      <c r="Q1916" t="b">
        <f>AND(tblMatriculas[[#This Row],[Estado]]="activa",ISNUMBER(tblMatriculas[[#This Row],[% asistencia]]),NOT(ISNUMBER(SEARCH(pPrueba,tblMatriculas[[#This Row],[Nombre]]))))</f>
        <v>0</v>
      </c>
      <c r="R19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16" s="23" t="str" cm="1">
        <f t="array" ref="S19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6" s="23" t="str" cm="1">
        <f t="array" ref="T19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6" s="14" t="str" cm="1">
        <f t="array" ref="U19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6" t="str" cm="1">
        <f t="array" ref="V19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6" t="str" cm="1">
        <f t="array" ref="W19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6" t="str">
        <f>IF(COUNTIFS('Base Estudiantes'!$C:$C,tblMatriculas[[#This Row],[Cédula]],'Base Estudiantes'!$I:$I,tblMatriculas[[#This Row],[Código]])&gt;0,"Sí","No")</f>
        <v>No</v>
      </c>
      <c r="Z1916" s="23" t="str" cm="1">
        <f t="array" ref="Z1916">_xlfn.XLOOKUP(tblMatriculas[[#This Row],[Cédula]]&amp;"|"&amp;tblMatriculas[[#This Row],[Código]],tblBase[Documento]&amp;"|"&amp;tblBase[Código grupo],tblBase[Fecha matrícula],"")</f>
        <v/>
      </c>
    </row>
    <row r="1917" spans="1:26" x14ac:dyDescent="0.2">
      <c r="A1917" t="s">
        <v>3994</v>
      </c>
      <c r="B1917" t="s">
        <v>3995</v>
      </c>
      <c r="C1917" t="s">
        <v>13</v>
      </c>
      <c r="D1917" t="s">
        <v>3986</v>
      </c>
      <c r="E1917" t="s">
        <v>3987</v>
      </c>
      <c r="F1917" t="s">
        <v>335</v>
      </c>
      <c r="G1917" s="1">
        <v>0.16699999999999998</v>
      </c>
      <c r="H1917" t="s">
        <v>229</v>
      </c>
      <c r="I1917" t="s">
        <v>3833</v>
      </c>
      <c r="J1917" t="s">
        <v>3834</v>
      </c>
      <c r="K1917" t="s">
        <v>3928</v>
      </c>
      <c r="L1917" s="14">
        <f>IFERROR(VALUE(LEFT(tblMatriculas[[#This Row],[Clases]],FIND("/",tblMatriculas[[#This Row],[Clases]])-1)),"")</f>
        <v>5</v>
      </c>
      <c r="M1917" s="14">
        <f>IFERROR(VALUE(MID(tblMatriculas[[#This Row],[Clases]],FIND("/",tblMatriculas[[#This Row],[Clases]])+1,5)),"")</f>
        <v>30</v>
      </c>
      <c r="N19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7" s="14">
        <f>IF(OR(tblMatriculas[[#This Row],[Estado]]&lt;&gt;"activa",tblMatriculas[[#This Row],[Clases dictadas]]=""),"",MAX(0,tblMatriculas[[#This Row],[Clases dictadas]]-tblMatriculas[[#This Row],[Asistidas]]))</f>
        <v>0</v>
      </c>
      <c r="P1917" s="1">
        <f>IF(OR(tblMatriculas[[#This Row],[Estado]]&lt;&gt;"activa",tblMatriculas[[#This Row],[Asistidas]]=""),"",tblMatriculas[[#This Row],[Asistencia]])</f>
        <v>0.16699999999999998</v>
      </c>
      <c r="Q1917" t="b">
        <f>AND(tblMatriculas[[#This Row],[Estado]]="activa",ISNUMBER(tblMatriculas[[#This Row],[% asistencia]]),NOT(ISNUMBER(SEARCH(pPrueba,tblMatriculas[[#This Row],[Nombre]]))))</f>
        <v>1</v>
      </c>
      <c r="R19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7" s="23" t="str" cm="1">
        <f t="array" ref="S19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7" s="23" t="str" cm="1">
        <f t="array" ref="T19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7" s="14" t="str" cm="1">
        <f t="array" ref="U19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7" t="str" cm="1">
        <f t="array" ref="V19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7" t="str" cm="1">
        <f t="array" ref="W19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7" t="str">
        <f>IF(COUNTIFS('Base Estudiantes'!$C:$C,tblMatriculas[[#This Row],[Cédula]],'Base Estudiantes'!$I:$I,tblMatriculas[[#This Row],[Código]])&gt;0,"Sí","No")</f>
        <v>Sí</v>
      </c>
      <c r="Z1917" s="23" cm="1">
        <f t="array" ref="Z1917">_xlfn.XLOOKUP(tblMatriculas[[#This Row],[Cédula]]&amp;"|"&amp;tblMatriculas[[#This Row],[Código]],tblBase[Documento]&amp;"|"&amp;tblBase[Código grupo],tblBase[Fecha matrícula],"")</f>
        <v>46262</v>
      </c>
    </row>
    <row r="1918" spans="1:26" x14ac:dyDescent="0.2">
      <c r="A1918" t="s">
        <v>3996</v>
      </c>
      <c r="B1918" t="s">
        <v>3997</v>
      </c>
      <c r="C1918" t="s">
        <v>13</v>
      </c>
      <c r="D1918" t="s">
        <v>3986</v>
      </c>
      <c r="E1918" t="s">
        <v>3987</v>
      </c>
      <c r="F1918" t="s">
        <v>335</v>
      </c>
      <c r="G1918" s="1">
        <v>0.13300000000000001</v>
      </c>
      <c r="H1918" t="s">
        <v>112</v>
      </c>
      <c r="I1918" t="s">
        <v>3833</v>
      </c>
      <c r="J1918" t="s">
        <v>3834</v>
      </c>
      <c r="K1918" t="s">
        <v>3928</v>
      </c>
      <c r="L1918" s="14">
        <f>IFERROR(VALUE(LEFT(tblMatriculas[[#This Row],[Clases]],FIND("/",tblMatriculas[[#This Row],[Clases]])-1)),"")</f>
        <v>4</v>
      </c>
      <c r="M1918" s="14">
        <f>IFERROR(VALUE(MID(tblMatriculas[[#This Row],[Clases]],FIND("/",tblMatriculas[[#This Row],[Clases]])+1,5)),"")</f>
        <v>30</v>
      </c>
      <c r="N19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18" s="14">
        <f>IF(OR(tblMatriculas[[#This Row],[Estado]]&lt;&gt;"activa",tblMatriculas[[#This Row],[Clases dictadas]]=""),"",MAX(0,tblMatriculas[[#This Row],[Clases dictadas]]-tblMatriculas[[#This Row],[Asistidas]]))</f>
        <v>1</v>
      </c>
      <c r="P1918" s="1">
        <f>IF(OR(tblMatriculas[[#This Row],[Estado]]&lt;&gt;"activa",tblMatriculas[[#This Row],[Asistidas]]=""),"",tblMatriculas[[#This Row],[Asistencia]])</f>
        <v>0.13300000000000001</v>
      </c>
      <c r="Q1918" t="b">
        <f>AND(tblMatriculas[[#This Row],[Estado]]="activa",ISNUMBER(tblMatriculas[[#This Row],[% asistencia]]),NOT(ISNUMBER(SEARCH(pPrueba,tblMatriculas[[#This Row],[Nombre]]))))</f>
        <v>1</v>
      </c>
      <c r="R19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8" s="23" t="str" cm="1">
        <f t="array" ref="S19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8" s="23" t="str" cm="1">
        <f t="array" ref="T19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8" s="14" t="str" cm="1">
        <f t="array" ref="U19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8" t="str" cm="1">
        <f t="array" ref="V19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8" t="str" cm="1">
        <f t="array" ref="W19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8" t="str">
        <f>IF(COUNTIFS('Base Estudiantes'!$C:$C,tblMatriculas[[#This Row],[Cédula]],'Base Estudiantes'!$I:$I,tblMatriculas[[#This Row],[Código]])&gt;0,"Sí","No")</f>
        <v>Sí</v>
      </c>
      <c r="Z1918" s="23" cm="1">
        <f t="array" ref="Z1918">_xlfn.XLOOKUP(tblMatriculas[[#This Row],[Cédula]]&amp;"|"&amp;tblMatriculas[[#This Row],[Código]],tblBase[Documento]&amp;"|"&amp;tblBase[Código grupo],tblBase[Fecha matrícula],"")</f>
        <v>46262</v>
      </c>
    </row>
    <row r="1919" spans="1:26" x14ac:dyDescent="0.2">
      <c r="A1919" t="s">
        <v>3998</v>
      </c>
      <c r="B1919" t="s">
        <v>3999</v>
      </c>
      <c r="C1919" t="s">
        <v>13</v>
      </c>
      <c r="D1919" t="s">
        <v>3986</v>
      </c>
      <c r="E1919" t="s">
        <v>3987</v>
      </c>
      <c r="F1919" t="s">
        <v>335</v>
      </c>
      <c r="G1919" s="1">
        <v>8.3000000000000004E-2</v>
      </c>
      <c r="H1919" t="s">
        <v>1867</v>
      </c>
      <c r="I1919" t="s">
        <v>3833</v>
      </c>
      <c r="J1919" t="s">
        <v>3834</v>
      </c>
      <c r="K1919" t="s">
        <v>3928</v>
      </c>
      <c r="L1919" s="14">
        <f>IFERROR(VALUE(LEFT(tblMatriculas[[#This Row],[Clases]],FIND("/",tblMatriculas[[#This Row],[Clases]])-1)),"")</f>
        <v>5</v>
      </c>
      <c r="M1919" s="14">
        <f>IFERROR(VALUE(MID(tblMatriculas[[#This Row],[Clases]],FIND("/",tblMatriculas[[#This Row],[Clases]])+1,5)),"")</f>
        <v>60</v>
      </c>
      <c r="N19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1919" s="14">
        <f>IF(OR(tblMatriculas[[#This Row],[Estado]]&lt;&gt;"activa",tblMatriculas[[#This Row],[Clases dictadas]]=""),"",MAX(0,tblMatriculas[[#This Row],[Clases dictadas]]-tblMatriculas[[#This Row],[Asistidas]]))</f>
        <v>6</v>
      </c>
      <c r="P1919" s="1">
        <f>IF(OR(tblMatriculas[[#This Row],[Estado]]&lt;&gt;"activa",tblMatriculas[[#This Row],[Asistidas]]=""),"",tblMatriculas[[#This Row],[Asistencia]])</f>
        <v>8.3000000000000004E-2</v>
      </c>
      <c r="Q1919" t="b">
        <f>AND(tblMatriculas[[#This Row],[Estado]]="activa",ISNUMBER(tblMatriculas[[#This Row],[% asistencia]]),NOT(ISNUMBER(SEARCH(pPrueba,tblMatriculas[[#This Row],[Nombre]]))))</f>
        <v>1</v>
      </c>
      <c r="R19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19" s="23" t="str" cm="1">
        <f t="array" ref="S19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19" s="23" t="str" cm="1">
        <f t="array" ref="T19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19" s="14" t="str" cm="1">
        <f t="array" ref="U19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19" t="str" cm="1">
        <f t="array" ref="V19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19" t="str" cm="1">
        <f t="array" ref="W19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19" t="str">
        <f>IF(COUNTIFS('Base Estudiantes'!$C:$C,tblMatriculas[[#This Row],[Cédula]],'Base Estudiantes'!$I:$I,tblMatriculas[[#This Row],[Código]])&gt;0,"Sí","No")</f>
        <v>Sí</v>
      </c>
      <c r="Z1919" s="23" cm="1">
        <f t="array" ref="Z1919">_xlfn.XLOOKUP(tblMatriculas[[#This Row],[Cédula]]&amp;"|"&amp;tblMatriculas[[#This Row],[Código]],tblBase[Documento]&amp;"|"&amp;tblBase[Código grupo],tblBase[Fecha matrícula],"")</f>
        <v>46262</v>
      </c>
    </row>
    <row r="1920" spans="1:26" x14ac:dyDescent="0.2">
      <c r="A1920" t="s">
        <v>4000</v>
      </c>
      <c r="B1920" t="s">
        <v>4001</v>
      </c>
      <c r="C1920" t="s">
        <v>13</v>
      </c>
      <c r="D1920" t="s">
        <v>3986</v>
      </c>
      <c r="E1920" t="s">
        <v>3987</v>
      </c>
      <c r="F1920" t="s">
        <v>335</v>
      </c>
      <c r="G1920" s="1">
        <v>0.16699999999999998</v>
      </c>
      <c r="H1920" t="s">
        <v>229</v>
      </c>
      <c r="I1920" t="s">
        <v>3833</v>
      </c>
      <c r="J1920" t="s">
        <v>3834</v>
      </c>
      <c r="K1920" t="s">
        <v>3928</v>
      </c>
      <c r="L1920" s="14">
        <f>IFERROR(VALUE(LEFT(tblMatriculas[[#This Row],[Clases]],FIND("/",tblMatriculas[[#This Row],[Clases]])-1)),"")</f>
        <v>5</v>
      </c>
      <c r="M1920" s="14">
        <f>IFERROR(VALUE(MID(tblMatriculas[[#This Row],[Clases]],FIND("/",tblMatriculas[[#This Row],[Clases]])+1,5)),"")</f>
        <v>30</v>
      </c>
      <c r="N19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0" s="14">
        <f>IF(OR(tblMatriculas[[#This Row],[Estado]]&lt;&gt;"activa",tblMatriculas[[#This Row],[Clases dictadas]]=""),"",MAX(0,tblMatriculas[[#This Row],[Clases dictadas]]-tblMatriculas[[#This Row],[Asistidas]]))</f>
        <v>0</v>
      </c>
      <c r="P1920" s="1">
        <f>IF(OR(tblMatriculas[[#This Row],[Estado]]&lt;&gt;"activa",tblMatriculas[[#This Row],[Asistidas]]=""),"",tblMatriculas[[#This Row],[Asistencia]])</f>
        <v>0.16699999999999998</v>
      </c>
      <c r="Q1920" t="b">
        <f>AND(tblMatriculas[[#This Row],[Estado]]="activa",ISNUMBER(tblMatriculas[[#This Row],[% asistencia]]),NOT(ISNUMBER(SEARCH(pPrueba,tblMatriculas[[#This Row],[Nombre]]))))</f>
        <v>1</v>
      </c>
      <c r="R19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0" s="23" t="str" cm="1">
        <f t="array" ref="S19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0" s="23" t="str" cm="1">
        <f t="array" ref="T19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0" s="14" t="str" cm="1">
        <f t="array" ref="U19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0" t="str" cm="1">
        <f t="array" ref="V19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0" t="str" cm="1">
        <f t="array" ref="W19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0" t="str">
        <f>IF(COUNTIFS('Base Estudiantes'!$C:$C,tblMatriculas[[#This Row],[Cédula]],'Base Estudiantes'!$I:$I,tblMatriculas[[#This Row],[Código]])&gt;0,"Sí","No")</f>
        <v>Sí</v>
      </c>
      <c r="Z1920" s="23" cm="1">
        <f t="array" ref="Z1920">_xlfn.XLOOKUP(tblMatriculas[[#This Row],[Cédula]]&amp;"|"&amp;tblMatriculas[[#This Row],[Código]],tblBase[Documento]&amp;"|"&amp;tblBase[Código grupo],tblBase[Fecha matrícula],"")</f>
        <v>46262</v>
      </c>
    </row>
    <row r="1921" spans="1:26" x14ac:dyDescent="0.2">
      <c r="A1921" t="s">
        <v>4002</v>
      </c>
      <c r="B1921" t="s">
        <v>4003</v>
      </c>
      <c r="C1921" t="s">
        <v>13</v>
      </c>
      <c r="D1921" t="s">
        <v>3986</v>
      </c>
      <c r="E1921" t="s">
        <v>3987</v>
      </c>
      <c r="F1921" t="s">
        <v>335</v>
      </c>
      <c r="G1921" s="1">
        <v>0.13300000000000001</v>
      </c>
      <c r="H1921" t="s">
        <v>112</v>
      </c>
      <c r="I1921" t="s">
        <v>3833</v>
      </c>
      <c r="J1921" t="s">
        <v>3834</v>
      </c>
      <c r="K1921" t="s">
        <v>24</v>
      </c>
      <c r="L1921" s="14">
        <f>IFERROR(VALUE(LEFT(tblMatriculas[[#This Row],[Clases]],FIND("/",tblMatriculas[[#This Row],[Clases]])-1)),"")</f>
        <v>4</v>
      </c>
      <c r="M1921" s="14">
        <f>IFERROR(VALUE(MID(tblMatriculas[[#This Row],[Clases]],FIND("/",tblMatriculas[[#This Row],[Clases]])+1,5)),"")</f>
        <v>30</v>
      </c>
      <c r="N19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1" s="14">
        <f>IF(OR(tblMatriculas[[#This Row],[Estado]]&lt;&gt;"activa",tblMatriculas[[#This Row],[Clases dictadas]]=""),"",MAX(0,tblMatriculas[[#This Row],[Clases dictadas]]-tblMatriculas[[#This Row],[Asistidas]]))</f>
        <v>1</v>
      </c>
      <c r="P1921" s="1">
        <f>IF(OR(tblMatriculas[[#This Row],[Estado]]&lt;&gt;"activa",tblMatriculas[[#This Row],[Asistidas]]=""),"",tblMatriculas[[#This Row],[Asistencia]])</f>
        <v>0.13300000000000001</v>
      </c>
      <c r="Q1921" t="b">
        <f>AND(tblMatriculas[[#This Row],[Estado]]="activa",ISNUMBER(tblMatriculas[[#This Row],[% asistencia]]),NOT(ISNUMBER(SEARCH(pPrueba,tblMatriculas[[#This Row],[Nombre]]))))</f>
        <v>1</v>
      </c>
      <c r="R19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1" s="23" t="str" cm="1">
        <f t="array" ref="S19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1" s="23" t="str" cm="1">
        <f t="array" ref="T19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1" s="14" t="str" cm="1">
        <f t="array" ref="U19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1" t="str" cm="1">
        <f t="array" ref="V19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1" t="str" cm="1">
        <f t="array" ref="W19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1" t="str">
        <f>IF(COUNTIFS('Base Estudiantes'!$C:$C,tblMatriculas[[#This Row],[Cédula]],'Base Estudiantes'!$I:$I,tblMatriculas[[#This Row],[Código]])&gt;0,"Sí","No")</f>
        <v>Sí</v>
      </c>
      <c r="Z1921" s="23" cm="1">
        <f t="array" ref="Z1921">_xlfn.XLOOKUP(tblMatriculas[[#This Row],[Cédula]]&amp;"|"&amp;tblMatriculas[[#This Row],[Código]],tblBase[Documento]&amp;"|"&amp;tblBase[Código grupo],tblBase[Fecha matrícula],"")</f>
        <v>46262</v>
      </c>
    </row>
    <row r="1922" spans="1:26" x14ac:dyDescent="0.2">
      <c r="A1922" t="s">
        <v>4004</v>
      </c>
      <c r="B1922" t="s">
        <v>4005</v>
      </c>
      <c r="C1922" t="s">
        <v>13</v>
      </c>
      <c r="D1922" t="s">
        <v>3986</v>
      </c>
      <c r="E1922" t="s">
        <v>3987</v>
      </c>
      <c r="F1922" t="s">
        <v>335</v>
      </c>
      <c r="G1922" s="1">
        <v>0.16699999999999998</v>
      </c>
      <c r="H1922" t="s">
        <v>229</v>
      </c>
      <c r="I1922" t="s">
        <v>3833</v>
      </c>
      <c r="J1922" t="s">
        <v>3834</v>
      </c>
      <c r="K1922" t="s">
        <v>24</v>
      </c>
      <c r="L1922" s="14">
        <f>IFERROR(VALUE(LEFT(tblMatriculas[[#This Row],[Clases]],FIND("/",tblMatriculas[[#This Row],[Clases]])-1)),"")</f>
        <v>5</v>
      </c>
      <c r="M1922" s="14">
        <f>IFERROR(VALUE(MID(tblMatriculas[[#This Row],[Clases]],FIND("/",tblMatriculas[[#This Row],[Clases]])+1,5)),"")</f>
        <v>30</v>
      </c>
      <c r="N19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2" s="14">
        <f>IF(OR(tblMatriculas[[#This Row],[Estado]]&lt;&gt;"activa",tblMatriculas[[#This Row],[Clases dictadas]]=""),"",MAX(0,tblMatriculas[[#This Row],[Clases dictadas]]-tblMatriculas[[#This Row],[Asistidas]]))</f>
        <v>0</v>
      </c>
      <c r="P1922" s="1">
        <f>IF(OR(tblMatriculas[[#This Row],[Estado]]&lt;&gt;"activa",tblMatriculas[[#This Row],[Asistidas]]=""),"",tblMatriculas[[#This Row],[Asistencia]])</f>
        <v>0.16699999999999998</v>
      </c>
      <c r="Q1922" t="b">
        <f>AND(tblMatriculas[[#This Row],[Estado]]="activa",ISNUMBER(tblMatriculas[[#This Row],[% asistencia]]),NOT(ISNUMBER(SEARCH(pPrueba,tblMatriculas[[#This Row],[Nombre]]))))</f>
        <v>1</v>
      </c>
      <c r="R19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2" s="23" t="str" cm="1">
        <f t="array" ref="S19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2" s="23" t="str" cm="1">
        <f t="array" ref="T19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2" s="14" t="str" cm="1">
        <f t="array" ref="U19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2" t="str" cm="1">
        <f t="array" ref="V19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2" t="str" cm="1">
        <f t="array" ref="W19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2" t="str">
        <f>IF(COUNTIFS('Base Estudiantes'!$C:$C,tblMatriculas[[#This Row],[Cédula]],'Base Estudiantes'!$I:$I,tblMatriculas[[#This Row],[Código]])&gt;0,"Sí","No")</f>
        <v>Sí</v>
      </c>
      <c r="Z1922" s="23" cm="1">
        <f t="array" ref="Z1922">_xlfn.XLOOKUP(tblMatriculas[[#This Row],[Cédula]]&amp;"|"&amp;tblMatriculas[[#This Row],[Código]],tblBase[Documento]&amp;"|"&amp;tblBase[Código grupo],tblBase[Fecha matrícula],"")</f>
        <v>46262</v>
      </c>
    </row>
    <row r="1923" spans="1:26" x14ac:dyDescent="0.2">
      <c r="A1923" t="s">
        <v>4006</v>
      </c>
      <c r="B1923" t="s">
        <v>4007</v>
      </c>
      <c r="C1923" t="s">
        <v>13</v>
      </c>
      <c r="D1923" t="s">
        <v>3986</v>
      </c>
      <c r="E1923" t="s">
        <v>3987</v>
      </c>
      <c r="F1923" t="s">
        <v>335</v>
      </c>
      <c r="G1923" s="1">
        <v>0</v>
      </c>
      <c r="H1923" t="s">
        <v>254</v>
      </c>
      <c r="I1923" t="s">
        <v>3833</v>
      </c>
      <c r="J1923" t="s">
        <v>3834</v>
      </c>
      <c r="K1923" t="s">
        <v>24</v>
      </c>
      <c r="L1923" s="14">
        <f>IFERROR(VALUE(LEFT(tblMatriculas[[#This Row],[Clases]],FIND("/",tblMatriculas[[#This Row],[Clases]])-1)),"")</f>
        <v>0</v>
      </c>
      <c r="M1923" s="14">
        <f>IFERROR(VALUE(MID(tblMatriculas[[#This Row],[Clases]],FIND("/",tblMatriculas[[#This Row],[Clases]])+1,5)),"")</f>
        <v>30</v>
      </c>
      <c r="N19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3" s="14">
        <f>IF(OR(tblMatriculas[[#This Row],[Estado]]&lt;&gt;"activa",tblMatriculas[[#This Row],[Clases dictadas]]=""),"",MAX(0,tblMatriculas[[#This Row],[Clases dictadas]]-tblMatriculas[[#This Row],[Asistidas]]))</f>
        <v>5</v>
      </c>
      <c r="P1923" s="1">
        <f>IF(OR(tblMatriculas[[#This Row],[Estado]]&lt;&gt;"activa",tblMatriculas[[#This Row],[Asistidas]]=""),"",tblMatriculas[[#This Row],[Asistencia]])</f>
        <v>0</v>
      </c>
      <c r="Q1923" t="b">
        <f>AND(tblMatriculas[[#This Row],[Estado]]="activa",ISNUMBER(tblMatriculas[[#This Row],[% asistencia]]),NOT(ISNUMBER(SEARCH(pPrueba,tblMatriculas[[#This Row],[Nombre]]))))</f>
        <v>1</v>
      </c>
      <c r="R19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23" s="23" t="str" cm="1">
        <f t="array" ref="S19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3" s="23" t="str" cm="1">
        <f t="array" ref="T19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3" s="14" t="str" cm="1">
        <f t="array" ref="U19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3" t="str" cm="1">
        <f t="array" ref="V19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3" t="str" cm="1">
        <f t="array" ref="W19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2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23" t="str">
        <f>IF(COUNTIFS('Base Estudiantes'!$C:$C,tblMatriculas[[#This Row],[Cédula]],'Base Estudiantes'!$I:$I,tblMatriculas[[#This Row],[Código]])&gt;0,"Sí","No")</f>
        <v>Sí</v>
      </c>
      <c r="Z1923" s="23" cm="1">
        <f t="array" ref="Z1923">_xlfn.XLOOKUP(tblMatriculas[[#This Row],[Cédula]]&amp;"|"&amp;tblMatriculas[[#This Row],[Código]],tblBase[Documento]&amp;"|"&amp;tblBase[Código grupo],tblBase[Fecha matrícula],"")</f>
        <v>46262</v>
      </c>
    </row>
    <row r="1924" spans="1:26" x14ac:dyDescent="0.2">
      <c r="A1924" t="s">
        <v>4008</v>
      </c>
      <c r="B1924" t="s">
        <v>4009</v>
      </c>
      <c r="C1924" t="s">
        <v>13</v>
      </c>
      <c r="D1924" t="s">
        <v>3986</v>
      </c>
      <c r="E1924" t="s">
        <v>3987</v>
      </c>
      <c r="F1924" t="s">
        <v>335</v>
      </c>
      <c r="G1924" s="1">
        <v>0.16699999999999998</v>
      </c>
      <c r="H1924" t="s">
        <v>229</v>
      </c>
      <c r="I1924" t="s">
        <v>3833</v>
      </c>
      <c r="J1924" t="s">
        <v>3834</v>
      </c>
      <c r="K1924" t="s">
        <v>24</v>
      </c>
      <c r="L1924" s="14">
        <f>IFERROR(VALUE(LEFT(tblMatriculas[[#This Row],[Clases]],FIND("/",tblMatriculas[[#This Row],[Clases]])-1)),"")</f>
        <v>5</v>
      </c>
      <c r="M1924" s="14">
        <f>IFERROR(VALUE(MID(tblMatriculas[[#This Row],[Clases]],FIND("/",tblMatriculas[[#This Row],[Clases]])+1,5)),"")</f>
        <v>30</v>
      </c>
      <c r="N19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4" s="14">
        <f>IF(OR(tblMatriculas[[#This Row],[Estado]]&lt;&gt;"activa",tblMatriculas[[#This Row],[Clases dictadas]]=""),"",MAX(0,tblMatriculas[[#This Row],[Clases dictadas]]-tblMatriculas[[#This Row],[Asistidas]]))</f>
        <v>0</v>
      </c>
      <c r="P1924" s="1">
        <f>IF(OR(tblMatriculas[[#This Row],[Estado]]&lt;&gt;"activa",tblMatriculas[[#This Row],[Asistidas]]=""),"",tblMatriculas[[#This Row],[Asistencia]])</f>
        <v>0.16699999999999998</v>
      </c>
      <c r="Q1924" t="b">
        <f>AND(tblMatriculas[[#This Row],[Estado]]="activa",ISNUMBER(tblMatriculas[[#This Row],[% asistencia]]),NOT(ISNUMBER(SEARCH(pPrueba,tblMatriculas[[#This Row],[Nombre]]))))</f>
        <v>1</v>
      </c>
      <c r="R19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4" s="23" t="str" cm="1">
        <f t="array" ref="S19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4" s="23" t="str" cm="1">
        <f t="array" ref="T19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4" s="14" t="str" cm="1">
        <f t="array" ref="U19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4" t="str" cm="1">
        <f t="array" ref="V19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4" t="str" cm="1">
        <f t="array" ref="W19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4" t="str">
        <f>IF(COUNTIFS('Base Estudiantes'!$C:$C,tblMatriculas[[#This Row],[Cédula]],'Base Estudiantes'!$I:$I,tblMatriculas[[#This Row],[Código]])&gt;0,"Sí","No")</f>
        <v>Sí</v>
      </c>
      <c r="Z1924" s="23" cm="1">
        <f t="array" ref="Z1924">_xlfn.XLOOKUP(tblMatriculas[[#This Row],[Cédula]]&amp;"|"&amp;tblMatriculas[[#This Row],[Código]],tblBase[Documento]&amp;"|"&amp;tblBase[Código grupo],tblBase[Fecha matrícula],"")</f>
        <v>46262</v>
      </c>
    </row>
    <row r="1925" spans="1:26" x14ac:dyDescent="0.2">
      <c r="A1925" t="s">
        <v>4010</v>
      </c>
      <c r="B1925" t="s">
        <v>4011</v>
      </c>
      <c r="C1925" t="s">
        <v>13</v>
      </c>
      <c r="D1925" t="s">
        <v>3986</v>
      </c>
      <c r="E1925" t="s">
        <v>3987</v>
      </c>
      <c r="F1925" t="s">
        <v>335</v>
      </c>
      <c r="G1925" s="1">
        <v>0.13300000000000001</v>
      </c>
      <c r="H1925" t="s">
        <v>112</v>
      </c>
      <c r="I1925" t="s">
        <v>3833</v>
      </c>
      <c r="J1925" t="s">
        <v>3834</v>
      </c>
      <c r="K1925" t="s">
        <v>24</v>
      </c>
      <c r="L1925" s="14">
        <f>IFERROR(VALUE(LEFT(tblMatriculas[[#This Row],[Clases]],FIND("/",tblMatriculas[[#This Row],[Clases]])-1)),"")</f>
        <v>4</v>
      </c>
      <c r="M1925" s="14">
        <f>IFERROR(VALUE(MID(tblMatriculas[[#This Row],[Clases]],FIND("/",tblMatriculas[[#This Row],[Clases]])+1,5)),"")</f>
        <v>30</v>
      </c>
      <c r="N19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5" s="14">
        <f>IF(OR(tblMatriculas[[#This Row],[Estado]]&lt;&gt;"activa",tblMatriculas[[#This Row],[Clases dictadas]]=""),"",MAX(0,tblMatriculas[[#This Row],[Clases dictadas]]-tblMatriculas[[#This Row],[Asistidas]]))</f>
        <v>1</v>
      </c>
      <c r="P1925" s="1">
        <f>IF(OR(tblMatriculas[[#This Row],[Estado]]&lt;&gt;"activa",tblMatriculas[[#This Row],[Asistidas]]=""),"",tblMatriculas[[#This Row],[Asistencia]])</f>
        <v>0.13300000000000001</v>
      </c>
      <c r="Q1925" t="b">
        <f>AND(tblMatriculas[[#This Row],[Estado]]="activa",ISNUMBER(tblMatriculas[[#This Row],[% asistencia]]),NOT(ISNUMBER(SEARCH(pPrueba,tblMatriculas[[#This Row],[Nombre]]))))</f>
        <v>1</v>
      </c>
      <c r="R19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5" s="23" t="str" cm="1">
        <f t="array" ref="S19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5" s="23" t="str" cm="1">
        <f t="array" ref="T19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5" s="14" t="str" cm="1">
        <f t="array" ref="U19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5" t="str" cm="1">
        <f t="array" ref="V19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5" t="str" cm="1">
        <f t="array" ref="W19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5" t="str">
        <f>IF(COUNTIFS('Base Estudiantes'!$C:$C,tblMatriculas[[#This Row],[Cédula]],'Base Estudiantes'!$I:$I,tblMatriculas[[#This Row],[Código]])&gt;0,"Sí","No")</f>
        <v>Sí</v>
      </c>
      <c r="Z1925" s="23" cm="1">
        <f t="array" ref="Z1925">_xlfn.XLOOKUP(tblMatriculas[[#This Row],[Cédula]]&amp;"|"&amp;tblMatriculas[[#This Row],[Código]],tblBase[Documento]&amp;"|"&amp;tblBase[Código grupo],tblBase[Fecha matrícula],"")</f>
        <v>46262</v>
      </c>
    </row>
    <row r="1926" spans="1:26" x14ac:dyDescent="0.2">
      <c r="A1926" t="s">
        <v>4012</v>
      </c>
      <c r="B1926" t="s">
        <v>4013</v>
      </c>
      <c r="C1926" t="s">
        <v>13</v>
      </c>
      <c r="D1926" t="s">
        <v>3986</v>
      </c>
      <c r="E1926" t="s">
        <v>3987</v>
      </c>
      <c r="F1926" t="s">
        <v>335</v>
      </c>
      <c r="G1926" s="1">
        <v>0.1</v>
      </c>
      <c r="H1926" t="s">
        <v>117</v>
      </c>
      <c r="I1926" t="s">
        <v>3833</v>
      </c>
      <c r="J1926" t="s">
        <v>3834</v>
      </c>
      <c r="K1926" t="s">
        <v>24</v>
      </c>
      <c r="L1926" s="14">
        <f>IFERROR(VALUE(LEFT(tblMatriculas[[#This Row],[Clases]],FIND("/",tblMatriculas[[#This Row],[Clases]])-1)),"")</f>
        <v>3</v>
      </c>
      <c r="M1926" s="14">
        <f>IFERROR(VALUE(MID(tblMatriculas[[#This Row],[Clases]],FIND("/",tblMatriculas[[#This Row],[Clases]])+1,5)),"")</f>
        <v>30</v>
      </c>
      <c r="N19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6" s="14">
        <f>IF(OR(tblMatriculas[[#This Row],[Estado]]&lt;&gt;"activa",tblMatriculas[[#This Row],[Clases dictadas]]=""),"",MAX(0,tblMatriculas[[#This Row],[Clases dictadas]]-tblMatriculas[[#This Row],[Asistidas]]))</f>
        <v>2</v>
      </c>
      <c r="P1926" s="1">
        <f>IF(OR(tblMatriculas[[#This Row],[Estado]]&lt;&gt;"activa",tblMatriculas[[#This Row],[Asistidas]]=""),"",tblMatriculas[[#This Row],[Asistencia]])</f>
        <v>0.1</v>
      </c>
      <c r="Q1926" t="b">
        <f>AND(tblMatriculas[[#This Row],[Estado]]="activa",ISNUMBER(tblMatriculas[[#This Row],[% asistencia]]),NOT(ISNUMBER(SEARCH(pPrueba,tblMatriculas[[#This Row],[Nombre]]))))</f>
        <v>1</v>
      </c>
      <c r="R19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6" s="23" t="str" cm="1">
        <f t="array" ref="S19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6" s="23" t="str" cm="1">
        <f t="array" ref="T19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6" s="14" t="str" cm="1">
        <f t="array" ref="U19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6" t="str" cm="1">
        <f t="array" ref="V19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6" t="str" cm="1">
        <f t="array" ref="W19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6" t="str">
        <f>IF(COUNTIFS('Base Estudiantes'!$C:$C,tblMatriculas[[#This Row],[Cédula]],'Base Estudiantes'!$I:$I,tblMatriculas[[#This Row],[Código]])&gt;0,"Sí","No")</f>
        <v>Sí</v>
      </c>
      <c r="Z1926" s="23" cm="1">
        <f t="array" ref="Z1926">_xlfn.XLOOKUP(tblMatriculas[[#This Row],[Cédula]]&amp;"|"&amp;tblMatriculas[[#This Row],[Código]],tblBase[Documento]&amp;"|"&amp;tblBase[Código grupo],tblBase[Fecha matrícula],"")</f>
        <v>46262</v>
      </c>
    </row>
    <row r="1927" spans="1:26" x14ac:dyDescent="0.2">
      <c r="A1927" t="s">
        <v>4014</v>
      </c>
      <c r="B1927" t="s">
        <v>4015</v>
      </c>
      <c r="C1927" t="s">
        <v>13</v>
      </c>
      <c r="D1927" t="s">
        <v>3986</v>
      </c>
      <c r="E1927" t="s">
        <v>3987</v>
      </c>
      <c r="F1927" t="s">
        <v>335</v>
      </c>
      <c r="G1927" s="1">
        <v>0.16699999999999998</v>
      </c>
      <c r="H1927" t="s">
        <v>229</v>
      </c>
      <c r="I1927" t="s">
        <v>3833</v>
      </c>
      <c r="J1927" t="s">
        <v>3834</v>
      </c>
      <c r="K1927" t="s">
        <v>24</v>
      </c>
      <c r="L1927" s="14">
        <f>IFERROR(VALUE(LEFT(tblMatriculas[[#This Row],[Clases]],FIND("/",tblMatriculas[[#This Row],[Clases]])-1)),"")</f>
        <v>5</v>
      </c>
      <c r="M1927" s="14">
        <f>IFERROR(VALUE(MID(tblMatriculas[[#This Row],[Clases]],FIND("/",tblMatriculas[[#This Row],[Clases]])+1,5)),"")</f>
        <v>30</v>
      </c>
      <c r="N19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7" s="14">
        <f>IF(OR(tblMatriculas[[#This Row],[Estado]]&lt;&gt;"activa",tblMatriculas[[#This Row],[Clases dictadas]]=""),"",MAX(0,tblMatriculas[[#This Row],[Clases dictadas]]-tblMatriculas[[#This Row],[Asistidas]]))</f>
        <v>0</v>
      </c>
      <c r="P1927" s="1">
        <f>IF(OR(tblMatriculas[[#This Row],[Estado]]&lt;&gt;"activa",tblMatriculas[[#This Row],[Asistidas]]=""),"",tblMatriculas[[#This Row],[Asistencia]])</f>
        <v>0.16699999999999998</v>
      </c>
      <c r="Q1927" t="b">
        <f>AND(tblMatriculas[[#This Row],[Estado]]="activa",ISNUMBER(tblMatriculas[[#This Row],[% asistencia]]),NOT(ISNUMBER(SEARCH(pPrueba,tblMatriculas[[#This Row],[Nombre]]))))</f>
        <v>1</v>
      </c>
      <c r="R19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7" s="23" t="str" cm="1">
        <f t="array" ref="S19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7" s="23" t="str" cm="1">
        <f t="array" ref="T19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7" s="14" t="str" cm="1">
        <f t="array" ref="U19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7" t="str" cm="1">
        <f t="array" ref="V19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7" t="str" cm="1">
        <f t="array" ref="W19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7" t="str">
        <f>IF(COUNTIFS('Base Estudiantes'!$C:$C,tblMatriculas[[#This Row],[Cédula]],'Base Estudiantes'!$I:$I,tblMatriculas[[#This Row],[Código]])&gt;0,"Sí","No")</f>
        <v>Sí</v>
      </c>
      <c r="Z1927" s="23" cm="1">
        <f t="array" ref="Z1927">_xlfn.XLOOKUP(tblMatriculas[[#This Row],[Cédula]]&amp;"|"&amp;tblMatriculas[[#This Row],[Código]],tblBase[Documento]&amp;"|"&amp;tblBase[Código grupo],tblBase[Fecha matrícula],"")</f>
        <v>46262</v>
      </c>
    </row>
    <row r="1928" spans="1:26" x14ac:dyDescent="0.2">
      <c r="A1928" t="s">
        <v>4016</v>
      </c>
      <c r="B1928" t="s">
        <v>4017</v>
      </c>
      <c r="C1928" t="s">
        <v>13</v>
      </c>
      <c r="D1928" t="s">
        <v>3986</v>
      </c>
      <c r="E1928" t="s">
        <v>3987</v>
      </c>
      <c r="F1928" t="s">
        <v>335</v>
      </c>
      <c r="G1928" s="1">
        <v>6.7000000000000004E-2</v>
      </c>
      <c r="H1928" t="s">
        <v>166</v>
      </c>
      <c r="I1928" t="s">
        <v>3833</v>
      </c>
      <c r="J1928" t="s">
        <v>3834</v>
      </c>
      <c r="K1928" t="s">
        <v>24</v>
      </c>
      <c r="L1928" s="14">
        <f>IFERROR(VALUE(LEFT(tblMatriculas[[#This Row],[Clases]],FIND("/",tblMatriculas[[#This Row],[Clases]])-1)),"")</f>
        <v>2</v>
      </c>
      <c r="M1928" s="14">
        <f>IFERROR(VALUE(MID(tblMatriculas[[#This Row],[Clases]],FIND("/",tblMatriculas[[#This Row],[Clases]])+1,5)),"")</f>
        <v>30</v>
      </c>
      <c r="N19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8" s="14">
        <f>IF(OR(tblMatriculas[[#This Row],[Estado]]&lt;&gt;"activa",tblMatriculas[[#This Row],[Clases dictadas]]=""),"",MAX(0,tblMatriculas[[#This Row],[Clases dictadas]]-tblMatriculas[[#This Row],[Asistidas]]))</f>
        <v>3</v>
      </c>
      <c r="P1928" s="1">
        <f>IF(OR(tblMatriculas[[#This Row],[Estado]]&lt;&gt;"activa",tblMatriculas[[#This Row],[Asistidas]]=""),"",tblMatriculas[[#This Row],[Asistencia]])</f>
        <v>6.7000000000000004E-2</v>
      </c>
      <c r="Q1928" t="b">
        <f>AND(tblMatriculas[[#This Row],[Estado]]="activa",ISNUMBER(tblMatriculas[[#This Row],[% asistencia]]),NOT(ISNUMBER(SEARCH(pPrueba,tblMatriculas[[#This Row],[Nombre]]))))</f>
        <v>1</v>
      </c>
      <c r="R19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928" s="23" t="str" cm="1">
        <f t="array" ref="S19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8" s="23" t="str" cm="1">
        <f t="array" ref="T19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8" s="14" t="str" cm="1">
        <f t="array" ref="U19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8" t="str" cm="1">
        <f t="array" ref="V19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8" t="str" cm="1">
        <f t="array" ref="W19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9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928" t="str">
        <f>IF(COUNTIFS('Base Estudiantes'!$C:$C,tblMatriculas[[#This Row],[Cédula]],'Base Estudiantes'!$I:$I,tblMatriculas[[#This Row],[Código]])&gt;0,"Sí","No")</f>
        <v>Sí</v>
      </c>
      <c r="Z1928" s="23" cm="1">
        <f t="array" ref="Z1928">_xlfn.XLOOKUP(tblMatriculas[[#This Row],[Cédula]]&amp;"|"&amp;tblMatriculas[[#This Row],[Código]],tblBase[Documento]&amp;"|"&amp;tblBase[Código grupo],tblBase[Fecha matrícula],"")</f>
        <v>46262</v>
      </c>
    </row>
    <row r="1929" spans="1:26" x14ac:dyDescent="0.2">
      <c r="A1929" t="s">
        <v>4018</v>
      </c>
      <c r="B1929" t="s">
        <v>4019</v>
      </c>
      <c r="C1929" t="s">
        <v>13</v>
      </c>
      <c r="D1929" t="s">
        <v>3986</v>
      </c>
      <c r="E1929" t="s">
        <v>3987</v>
      </c>
      <c r="F1929" t="s">
        <v>335</v>
      </c>
      <c r="G1929" s="1">
        <v>0.13300000000000001</v>
      </c>
      <c r="H1929" t="s">
        <v>112</v>
      </c>
      <c r="I1929" t="s">
        <v>3833</v>
      </c>
      <c r="J1929" t="s">
        <v>3834</v>
      </c>
      <c r="K1929" t="s">
        <v>24</v>
      </c>
      <c r="L1929" s="14">
        <f>IFERROR(VALUE(LEFT(tblMatriculas[[#This Row],[Clases]],FIND("/",tblMatriculas[[#This Row],[Clases]])-1)),"")</f>
        <v>4</v>
      </c>
      <c r="M1929" s="14">
        <f>IFERROR(VALUE(MID(tblMatriculas[[#This Row],[Clases]],FIND("/",tblMatriculas[[#This Row],[Clases]])+1,5)),"")</f>
        <v>30</v>
      </c>
      <c r="N19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29" s="14">
        <f>IF(OR(tblMatriculas[[#This Row],[Estado]]&lt;&gt;"activa",tblMatriculas[[#This Row],[Clases dictadas]]=""),"",MAX(0,tblMatriculas[[#This Row],[Clases dictadas]]-tblMatriculas[[#This Row],[Asistidas]]))</f>
        <v>1</v>
      </c>
      <c r="P1929" s="1">
        <f>IF(OR(tblMatriculas[[#This Row],[Estado]]&lt;&gt;"activa",tblMatriculas[[#This Row],[Asistidas]]=""),"",tblMatriculas[[#This Row],[Asistencia]])</f>
        <v>0.13300000000000001</v>
      </c>
      <c r="Q1929" t="b">
        <f>AND(tblMatriculas[[#This Row],[Estado]]="activa",ISNUMBER(tblMatriculas[[#This Row],[% asistencia]]),NOT(ISNUMBER(SEARCH(pPrueba,tblMatriculas[[#This Row],[Nombre]]))))</f>
        <v>1</v>
      </c>
      <c r="R19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29" s="23" t="str" cm="1">
        <f t="array" ref="S19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29" s="23" t="str" cm="1">
        <f t="array" ref="T19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29" s="14" t="str" cm="1">
        <f t="array" ref="U19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29" t="str" cm="1">
        <f t="array" ref="V19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29" t="str" cm="1">
        <f t="array" ref="W19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29" t="str">
        <f>IF(COUNTIFS('Base Estudiantes'!$C:$C,tblMatriculas[[#This Row],[Cédula]],'Base Estudiantes'!$I:$I,tblMatriculas[[#This Row],[Código]])&gt;0,"Sí","No")</f>
        <v>Sí</v>
      </c>
      <c r="Z1929" s="23" cm="1">
        <f t="array" ref="Z1929">_xlfn.XLOOKUP(tblMatriculas[[#This Row],[Cédula]]&amp;"|"&amp;tblMatriculas[[#This Row],[Código]],tblBase[Documento]&amp;"|"&amp;tblBase[Código grupo],tblBase[Fecha matrícula],"")</f>
        <v>46262</v>
      </c>
    </row>
    <row r="1930" spans="1:26" x14ac:dyDescent="0.2">
      <c r="A1930" t="s">
        <v>4020</v>
      </c>
      <c r="B1930" t="s">
        <v>4021</v>
      </c>
      <c r="C1930" t="s">
        <v>13</v>
      </c>
      <c r="D1930" t="s">
        <v>3986</v>
      </c>
      <c r="E1930" t="s">
        <v>3987</v>
      </c>
      <c r="F1930" t="s">
        <v>335</v>
      </c>
      <c r="G1930" s="1">
        <v>0.16699999999999998</v>
      </c>
      <c r="H1930" t="s">
        <v>229</v>
      </c>
      <c r="I1930" t="s">
        <v>3833</v>
      </c>
      <c r="J1930" t="s">
        <v>3834</v>
      </c>
      <c r="K1930" t="s">
        <v>24</v>
      </c>
      <c r="L1930" s="14">
        <f>IFERROR(VALUE(LEFT(tblMatriculas[[#This Row],[Clases]],FIND("/",tblMatriculas[[#This Row],[Clases]])-1)),"")</f>
        <v>5</v>
      </c>
      <c r="M1930" s="14">
        <f>IFERROR(VALUE(MID(tblMatriculas[[#This Row],[Clases]],FIND("/",tblMatriculas[[#This Row],[Clases]])+1,5)),"")</f>
        <v>30</v>
      </c>
      <c r="N19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0" s="14">
        <f>IF(OR(tblMatriculas[[#This Row],[Estado]]&lt;&gt;"activa",tblMatriculas[[#This Row],[Clases dictadas]]=""),"",MAX(0,tblMatriculas[[#This Row],[Clases dictadas]]-tblMatriculas[[#This Row],[Asistidas]]))</f>
        <v>0</v>
      </c>
      <c r="P1930" s="1">
        <f>IF(OR(tblMatriculas[[#This Row],[Estado]]&lt;&gt;"activa",tblMatriculas[[#This Row],[Asistidas]]=""),"",tblMatriculas[[#This Row],[Asistencia]])</f>
        <v>0.16699999999999998</v>
      </c>
      <c r="Q1930" t="b">
        <f>AND(tblMatriculas[[#This Row],[Estado]]="activa",ISNUMBER(tblMatriculas[[#This Row],[% asistencia]]),NOT(ISNUMBER(SEARCH(pPrueba,tblMatriculas[[#This Row],[Nombre]]))))</f>
        <v>1</v>
      </c>
      <c r="R19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0" s="23" t="str" cm="1">
        <f t="array" ref="S19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0" s="23" t="str" cm="1">
        <f t="array" ref="T19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0" s="14" t="str" cm="1">
        <f t="array" ref="U19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0" t="str" cm="1">
        <f t="array" ref="V19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0" t="str" cm="1">
        <f t="array" ref="W19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0" t="str">
        <f>IF(COUNTIFS('Base Estudiantes'!$C:$C,tblMatriculas[[#This Row],[Cédula]],'Base Estudiantes'!$I:$I,tblMatriculas[[#This Row],[Código]])&gt;0,"Sí","No")</f>
        <v>Sí</v>
      </c>
      <c r="Z1930" s="23" cm="1">
        <f t="array" ref="Z1930">_xlfn.XLOOKUP(tblMatriculas[[#This Row],[Cédula]]&amp;"|"&amp;tblMatriculas[[#This Row],[Código]],tblBase[Documento]&amp;"|"&amp;tblBase[Código grupo],tblBase[Fecha matrícula],"")</f>
        <v>46262</v>
      </c>
    </row>
    <row r="1931" spans="1:26" x14ac:dyDescent="0.2">
      <c r="A1931" t="s">
        <v>4022</v>
      </c>
      <c r="B1931" t="s">
        <v>4023</v>
      </c>
      <c r="C1931" t="s">
        <v>13</v>
      </c>
      <c r="D1931" t="s">
        <v>3986</v>
      </c>
      <c r="E1931" t="s">
        <v>3987</v>
      </c>
      <c r="F1931" t="s">
        <v>335</v>
      </c>
      <c r="G1931" s="1">
        <v>0.13300000000000001</v>
      </c>
      <c r="H1931" t="s">
        <v>112</v>
      </c>
      <c r="I1931" t="s">
        <v>3833</v>
      </c>
      <c r="J1931" t="s">
        <v>3834</v>
      </c>
      <c r="K1931" t="s">
        <v>24</v>
      </c>
      <c r="L1931" s="14">
        <f>IFERROR(VALUE(LEFT(tblMatriculas[[#This Row],[Clases]],FIND("/",tblMatriculas[[#This Row],[Clases]])-1)),"")</f>
        <v>4</v>
      </c>
      <c r="M1931" s="14">
        <f>IFERROR(VALUE(MID(tblMatriculas[[#This Row],[Clases]],FIND("/",tblMatriculas[[#This Row],[Clases]])+1,5)),"")</f>
        <v>30</v>
      </c>
      <c r="N19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1" s="14">
        <f>IF(OR(tblMatriculas[[#This Row],[Estado]]&lt;&gt;"activa",tblMatriculas[[#This Row],[Clases dictadas]]=""),"",MAX(0,tblMatriculas[[#This Row],[Clases dictadas]]-tblMatriculas[[#This Row],[Asistidas]]))</f>
        <v>1</v>
      </c>
      <c r="P1931" s="1">
        <f>IF(OR(tblMatriculas[[#This Row],[Estado]]&lt;&gt;"activa",tblMatriculas[[#This Row],[Asistidas]]=""),"",tblMatriculas[[#This Row],[Asistencia]])</f>
        <v>0.13300000000000001</v>
      </c>
      <c r="Q1931" t="b">
        <f>AND(tblMatriculas[[#This Row],[Estado]]="activa",ISNUMBER(tblMatriculas[[#This Row],[% asistencia]]),NOT(ISNUMBER(SEARCH(pPrueba,tblMatriculas[[#This Row],[Nombre]]))))</f>
        <v>1</v>
      </c>
      <c r="R19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1" s="23" t="str" cm="1">
        <f t="array" ref="S19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1" s="23" t="str" cm="1">
        <f t="array" ref="T19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1" s="14" t="str" cm="1">
        <f t="array" ref="U19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1" t="str" cm="1">
        <f t="array" ref="V19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1" t="str" cm="1">
        <f t="array" ref="W19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1" t="str">
        <f>IF(COUNTIFS('Base Estudiantes'!$C:$C,tblMatriculas[[#This Row],[Cédula]],'Base Estudiantes'!$I:$I,tblMatriculas[[#This Row],[Código]])&gt;0,"Sí","No")</f>
        <v>Sí</v>
      </c>
      <c r="Z1931" s="23" cm="1">
        <f t="array" ref="Z1931">_xlfn.XLOOKUP(tblMatriculas[[#This Row],[Cédula]]&amp;"|"&amp;tblMatriculas[[#This Row],[Código]],tblBase[Documento]&amp;"|"&amp;tblBase[Código grupo],tblBase[Fecha matrícula],"")</f>
        <v>46262</v>
      </c>
    </row>
    <row r="1932" spans="1:26" x14ac:dyDescent="0.2">
      <c r="A1932" t="s">
        <v>4024</v>
      </c>
      <c r="B1932" t="s">
        <v>4025</v>
      </c>
      <c r="C1932" t="s">
        <v>13</v>
      </c>
      <c r="D1932" t="s">
        <v>3986</v>
      </c>
      <c r="E1932" t="s">
        <v>3987</v>
      </c>
      <c r="F1932" t="s">
        <v>335</v>
      </c>
      <c r="G1932" s="1">
        <v>0.16699999999999998</v>
      </c>
      <c r="H1932" t="s">
        <v>229</v>
      </c>
      <c r="I1932" t="s">
        <v>3833</v>
      </c>
      <c r="J1932" t="s">
        <v>3834</v>
      </c>
      <c r="K1932" t="s">
        <v>24</v>
      </c>
      <c r="L1932" s="14">
        <f>IFERROR(VALUE(LEFT(tblMatriculas[[#This Row],[Clases]],FIND("/",tblMatriculas[[#This Row],[Clases]])-1)),"")</f>
        <v>5</v>
      </c>
      <c r="M1932" s="14">
        <f>IFERROR(VALUE(MID(tblMatriculas[[#This Row],[Clases]],FIND("/",tblMatriculas[[#This Row],[Clases]])+1,5)),"")</f>
        <v>30</v>
      </c>
      <c r="N19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2" s="14">
        <f>IF(OR(tblMatriculas[[#This Row],[Estado]]&lt;&gt;"activa",tblMatriculas[[#This Row],[Clases dictadas]]=""),"",MAX(0,tblMatriculas[[#This Row],[Clases dictadas]]-tblMatriculas[[#This Row],[Asistidas]]))</f>
        <v>0</v>
      </c>
      <c r="P1932" s="1">
        <f>IF(OR(tblMatriculas[[#This Row],[Estado]]&lt;&gt;"activa",tblMatriculas[[#This Row],[Asistidas]]=""),"",tblMatriculas[[#This Row],[Asistencia]])</f>
        <v>0.16699999999999998</v>
      </c>
      <c r="Q1932" t="b">
        <f>AND(tblMatriculas[[#This Row],[Estado]]="activa",ISNUMBER(tblMatriculas[[#This Row],[% asistencia]]),NOT(ISNUMBER(SEARCH(pPrueba,tblMatriculas[[#This Row],[Nombre]]))))</f>
        <v>1</v>
      </c>
      <c r="R19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2" s="23" t="str" cm="1">
        <f t="array" ref="S19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2" s="23" t="str" cm="1">
        <f t="array" ref="T19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2" s="14" t="str" cm="1">
        <f t="array" ref="U19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2" t="str" cm="1">
        <f t="array" ref="V19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2" t="str" cm="1">
        <f t="array" ref="W19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2" t="str">
        <f>IF(COUNTIFS('Base Estudiantes'!$C:$C,tblMatriculas[[#This Row],[Cédula]],'Base Estudiantes'!$I:$I,tblMatriculas[[#This Row],[Código]])&gt;0,"Sí","No")</f>
        <v>Sí</v>
      </c>
      <c r="Z1932" s="23" cm="1">
        <f t="array" ref="Z1932">_xlfn.XLOOKUP(tblMatriculas[[#This Row],[Cédula]]&amp;"|"&amp;tblMatriculas[[#This Row],[Código]],tblBase[Documento]&amp;"|"&amp;tblBase[Código grupo],tblBase[Fecha matrícula],"")</f>
        <v>46262</v>
      </c>
    </row>
    <row r="1933" spans="1:26" x14ac:dyDescent="0.2">
      <c r="A1933" t="s">
        <v>4026</v>
      </c>
      <c r="B1933" t="s">
        <v>4027</v>
      </c>
      <c r="C1933" t="s">
        <v>13</v>
      </c>
      <c r="D1933" t="s">
        <v>3986</v>
      </c>
      <c r="E1933" t="s">
        <v>3987</v>
      </c>
      <c r="F1933" t="s">
        <v>335</v>
      </c>
      <c r="G1933" s="1">
        <v>0.1</v>
      </c>
      <c r="H1933" t="s">
        <v>117</v>
      </c>
      <c r="I1933" t="s">
        <v>3833</v>
      </c>
      <c r="J1933" t="s">
        <v>3834</v>
      </c>
      <c r="K1933" t="s">
        <v>24</v>
      </c>
      <c r="L1933" s="14">
        <f>IFERROR(VALUE(LEFT(tblMatriculas[[#This Row],[Clases]],FIND("/",tblMatriculas[[#This Row],[Clases]])-1)),"")</f>
        <v>3</v>
      </c>
      <c r="M1933" s="14">
        <f>IFERROR(VALUE(MID(tblMatriculas[[#This Row],[Clases]],FIND("/",tblMatriculas[[#This Row],[Clases]])+1,5)),"")</f>
        <v>30</v>
      </c>
      <c r="N19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3" s="14">
        <f>IF(OR(tblMatriculas[[#This Row],[Estado]]&lt;&gt;"activa",tblMatriculas[[#This Row],[Clases dictadas]]=""),"",MAX(0,tblMatriculas[[#This Row],[Clases dictadas]]-tblMatriculas[[#This Row],[Asistidas]]))</f>
        <v>2</v>
      </c>
      <c r="P1933" s="1">
        <f>IF(OR(tblMatriculas[[#This Row],[Estado]]&lt;&gt;"activa",tblMatriculas[[#This Row],[Asistidas]]=""),"",tblMatriculas[[#This Row],[Asistencia]])</f>
        <v>0.1</v>
      </c>
      <c r="Q1933" t="b">
        <f>AND(tblMatriculas[[#This Row],[Estado]]="activa",ISNUMBER(tblMatriculas[[#This Row],[% asistencia]]),NOT(ISNUMBER(SEARCH(pPrueba,tblMatriculas[[#This Row],[Nombre]]))))</f>
        <v>1</v>
      </c>
      <c r="R19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3" s="23" t="str" cm="1">
        <f t="array" ref="S19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3" s="23" t="str" cm="1">
        <f t="array" ref="T19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3" s="14" t="str" cm="1">
        <f t="array" ref="U19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3" t="str" cm="1">
        <f t="array" ref="V19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3" t="str" cm="1">
        <f t="array" ref="W19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3" t="str">
        <f>IF(COUNTIFS('Base Estudiantes'!$C:$C,tblMatriculas[[#This Row],[Cédula]],'Base Estudiantes'!$I:$I,tblMatriculas[[#This Row],[Código]])&gt;0,"Sí","No")</f>
        <v>Sí</v>
      </c>
      <c r="Z1933" s="23" cm="1">
        <f t="array" ref="Z1933">_xlfn.XLOOKUP(tblMatriculas[[#This Row],[Cédula]]&amp;"|"&amp;tblMatriculas[[#This Row],[Código]],tblBase[Documento]&amp;"|"&amp;tblBase[Código grupo],tblBase[Fecha matrícula],"")</f>
        <v>46262</v>
      </c>
    </row>
    <row r="1934" spans="1:26" x14ac:dyDescent="0.2">
      <c r="A1934" t="s">
        <v>4028</v>
      </c>
      <c r="B1934" t="s">
        <v>4029</v>
      </c>
      <c r="C1934" t="s">
        <v>13</v>
      </c>
      <c r="D1934" t="s">
        <v>3986</v>
      </c>
      <c r="E1934" t="s">
        <v>3987</v>
      </c>
      <c r="F1934" t="s">
        <v>335</v>
      </c>
      <c r="G1934" s="1">
        <v>0</v>
      </c>
      <c r="H1934" t="s">
        <v>254</v>
      </c>
      <c r="I1934" t="s">
        <v>3833</v>
      </c>
      <c r="J1934" t="s">
        <v>3834</v>
      </c>
      <c r="K1934" t="s">
        <v>24</v>
      </c>
      <c r="L1934" s="14">
        <f>IFERROR(VALUE(LEFT(tblMatriculas[[#This Row],[Clases]],FIND("/",tblMatriculas[[#This Row],[Clases]])-1)),"")</f>
        <v>0</v>
      </c>
      <c r="M1934" s="14">
        <f>IFERROR(VALUE(MID(tblMatriculas[[#This Row],[Clases]],FIND("/",tblMatriculas[[#This Row],[Clases]])+1,5)),"")</f>
        <v>30</v>
      </c>
      <c r="N19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4" s="14">
        <f>IF(OR(tblMatriculas[[#This Row],[Estado]]&lt;&gt;"activa",tblMatriculas[[#This Row],[Clases dictadas]]=""),"",MAX(0,tblMatriculas[[#This Row],[Clases dictadas]]-tblMatriculas[[#This Row],[Asistidas]]))</f>
        <v>5</v>
      </c>
      <c r="P1934" s="1">
        <f>IF(OR(tblMatriculas[[#This Row],[Estado]]&lt;&gt;"activa",tblMatriculas[[#This Row],[Asistidas]]=""),"",tblMatriculas[[#This Row],[Asistencia]])</f>
        <v>0</v>
      </c>
      <c r="Q1934" t="b">
        <f>AND(tblMatriculas[[#This Row],[Estado]]="activa",ISNUMBER(tblMatriculas[[#This Row],[% asistencia]]),NOT(ISNUMBER(SEARCH(pPrueba,tblMatriculas[[#This Row],[Nombre]]))))</f>
        <v>1</v>
      </c>
      <c r="R19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34" s="23" t="str" cm="1">
        <f t="array" ref="S19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4" s="23" t="str" cm="1">
        <f t="array" ref="T19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4" s="14" t="str" cm="1">
        <f t="array" ref="U19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4" t="str" cm="1">
        <f t="array" ref="V19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4" t="str" cm="1">
        <f t="array" ref="W19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34" t="str">
        <f>IF(COUNTIFS('Base Estudiantes'!$C:$C,tblMatriculas[[#This Row],[Cédula]],'Base Estudiantes'!$I:$I,tblMatriculas[[#This Row],[Código]])&gt;0,"Sí","No")</f>
        <v>Sí</v>
      </c>
      <c r="Z1934" s="23" cm="1">
        <f t="array" ref="Z1934">_xlfn.XLOOKUP(tblMatriculas[[#This Row],[Cédula]]&amp;"|"&amp;tblMatriculas[[#This Row],[Código]],tblBase[Documento]&amp;"|"&amp;tblBase[Código grupo],tblBase[Fecha matrícula],"")</f>
        <v>46262</v>
      </c>
    </row>
    <row r="1935" spans="1:26" x14ac:dyDescent="0.2">
      <c r="A1935" t="s">
        <v>4030</v>
      </c>
      <c r="B1935" t="s">
        <v>4031</v>
      </c>
      <c r="C1935" t="s">
        <v>13</v>
      </c>
      <c r="D1935" t="s">
        <v>3986</v>
      </c>
      <c r="E1935" t="s">
        <v>3987</v>
      </c>
      <c r="F1935" t="s">
        <v>335</v>
      </c>
      <c r="G1935" s="1">
        <v>0</v>
      </c>
      <c r="H1935" t="s">
        <v>254</v>
      </c>
      <c r="I1935" t="s">
        <v>3833</v>
      </c>
      <c r="J1935" t="s">
        <v>3834</v>
      </c>
      <c r="K1935" t="s">
        <v>24</v>
      </c>
      <c r="L1935" s="14">
        <f>IFERROR(VALUE(LEFT(tblMatriculas[[#This Row],[Clases]],FIND("/",tblMatriculas[[#This Row],[Clases]])-1)),"")</f>
        <v>0</v>
      </c>
      <c r="M1935" s="14">
        <f>IFERROR(VALUE(MID(tblMatriculas[[#This Row],[Clases]],FIND("/",tblMatriculas[[#This Row],[Clases]])+1,5)),"")</f>
        <v>30</v>
      </c>
      <c r="N19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5" s="14">
        <f>IF(OR(tblMatriculas[[#This Row],[Estado]]&lt;&gt;"activa",tblMatriculas[[#This Row],[Clases dictadas]]=""),"",MAX(0,tblMatriculas[[#This Row],[Clases dictadas]]-tblMatriculas[[#This Row],[Asistidas]]))</f>
        <v>5</v>
      </c>
      <c r="P1935" s="1">
        <f>IF(OR(tblMatriculas[[#This Row],[Estado]]&lt;&gt;"activa",tblMatriculas[[#This Row],[Asistidas]]=""),"",tblMatriculas[[#This Row],[Asistencia]])</f>
        <v>0</v>
      </c>
      <c r="Q1935" t="b">
        <f>AND(tblMatriculas[[#This Row],[Estado]]="activa",ISNUMBER(tblMatriculas[[#This Row],[% asistencia]]),NOT(ISNUMBER(SEARCH(pPrueba,tblMatriculas[[#This Row],[Nombre]]))))</f>
        <v>1</v>
      </c>
      <c r="R19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35" s="23" t="str" cm="1">
        <f t="array" ref="S19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5" s="23" t="str" cm="1">
        <f t="array" ref="T19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5" s="14" t="str" cm="1">
        <f t="array" ref="U19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5" t="str" cm="1">
        <f t="array" ref="V19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5" t="str" cm="1">
        <f t="array" ref="W19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3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35" t="str">
        <f>IF(COUNTIFS('Base Estudiantes'!$C:$C,tblMatriculas[[#This Row],[Cédula]],'Base Estudiantes'!$I:$I,tblMatriculas[[#This Row],[Código]])&gt;0,"Sí","No")</f>
        <v>Sí</v>
      </c>
      <c r="Z1935" s="23" cm="1">
        <f t="array" ref="Z1935">_xlfn.XLOOKUP(tblMatriculas[[#This Row],[Cédula]]&amp;"|"&amp;tblMatriculas[[#This Row],[Código]],tblBase[Documento]&amp;"|"&amp;tblBase[Código grupo],tblBase[Fecha matrícula],"")</f>
        <v>46262</v>
      </c>
    </row>
    <row r="1936" spans="1:26" x14ac:dyDescent="0.2">
      <c r="A1936" t="s">
        <v>4032</v>
      </c>
      <c r="B1936" t="s">
        <v>4033</v>
      </c>
      <c r="C1936" t="s">
        <v>13</v>
      </c>
      <c r="D1936" t="s">
        <v>3986</v>
      </c>
      <c r="E1936" t="s">
        <v>3987</v>
      </c>
      <c r="F1936" t="s">
        <v>335</v>
      </c>
      <c r="G1936" s="1">
        <v>0.13300000000000001</v>
      </c>
      <c r="H1936" t="s">
        <v>112</v>
      </c>
      <c r="I1936" t="s">
        <v>3833</v>
      </c>
      <c r="J1936" t="s">
        <v>3834</v>
      </c>
      <c r="K1936" t="s">
        <v>24</v>
      </c>
      <c r="L1936" s="14">
        <f>IFERROR(VALUE(LEFT(tblMatriculas[[#This Row],[Clases]],FIND("/",tblMatriculas[[#This Row],[Clases]])-1)),"")</f>
        <v>4</v>
      </c>
      <c r="M1936" s="14">
        <f>IFERROR(VALUE(MID(tblMatriculas[[#This Row],[Clases]],FIND("/",tblMatriculas[[#This Row],[Clases]])+1,5)),"")</f>
        <v>30</v>
      </c>
      <c r="N19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6" s="14">
        <f>IF(OR(tblMatriculas[[#This Row],[Estado]]&lt;&gt;"activa",tblMatriculas[[#This Row],[Clases dictadas]]=""),"",MAX(0,tblMatriculas[[#This Row],[Clases dictadas]]-tblMatriculas[[#This Row],[Asistidas]]))</f>
        <v>1</v>
      </c>
      <c r="P1936" s="1">
        <f>IF(OR(tblMatriculas[[#This Row],[Estado]]&lt;&gt;"activa",tblMatriculas[[#This Row],[Asistidas]]=""),"",tblMatriculas[[#This Row],[Asistencia]])</f>
        <v>0.13300000000000001</v>
      </c>
      <c r="Q1936" t="b">
        <f>AND(tblMatriculas[[#This Row],[Estado]]="activa",ISNUMBER(tblMatriculas[[#This Row],[% asistencia]]),NOT(ISNUMBER(SEARCH(pPrueba,tblMatriculas[[#This Row],[Nombre]]))))</f>
        <v>1</v>
      </c>
      <c r="R19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6" s="23" t="str" cm="1">
        <f t="array" ref="S19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6" s="23" t="str" cm="1">
        <f t="array" ref="T19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6" s="14" t="str" cm="1">
        <f t="array" ref="U19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6" t="str" cm="1">
        <f t="array" ref="V19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6" t="str" cm="1">
        <f t="array" ref="W19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6" t="str">
        <f>IF(COUNTIFS('Base Estudiantes'!$C:$C,tblMatriculas[[#This Row],[Cédula]],'Base Estudiantes'!$I:$I,tblMatriculas[[#This Row],[Código]])&gt;0,"Sí","No")</f>
        <v>Sí</v>
      </c>
      <c r="Z1936" s="23" cm="1">
        <f t="array" ref="Z1936">_xlfn.XLOOKUP(tblMatriculas[[#This Row],[Cédula]]&amp;"|"&amp;tblMatriculas[[#This Row],[Código]],tblBase[Documento]&amp;"|"&amp;tblBase[Código grupo],tblBase[Fecha matrícula],"")</f>
        <v>46262</v>
      </c>
    </row>
    <row r="1937" spans="1:26" x14ac:dyDescent="0.2">
      <c r="A1937" t="s">
        <v>4034</v>
      </c>
      <c r="B1937" t="s">
        <v>4035</v>
      </c>
      <c r="C1937" t="s">
        <v>13</v>
      </c>
      <c r="D1937" t="s">
        <v>3986</v>
      </c>
      <c r="E1937" t="s">
        <v>3987</v>
      </c>
      <c r="F1937" t="s">
        <v>335</v>
      </c>
      <c r="G1937" s="1">
        <v>6.7000000000000004E-2</v>
      </c>
      <c r="H1937" t="s">
        <v>166</v>
      </c>
      <c r="I1937" t="s">
        <v>3833</v>
      </c>
      <c r="J1937" t="s">
        <v>3834</v>
      </c>
      <c r="K1937" t="s">
        <v>24</v>
      </c>
      <c r="L1937" s="14">
        <f>IFERROR(VALUE(LEFT(tblMatriculas[[#This Row],[Clases]],FIND("/",tblMatriculas[[#This Row],[Clases]])-1)),"")</f>
        <v>2</v>
      </c>
      <c r="M1937" s="14">
        <f>IFERROR(VALUE(MID(tblMatriculas[[#This Row],[Clases]],FIND("/",tblMatriculas[[#This Row],[Clases]])+1,5)),"")</f>
        <v>30</v>
      </c>
      <c r="N19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7" s="14">
        <f>IF(OR(tblMatriculas[[#This Row],[Estado]]&lt;&gt;"activa",tblMatriculas[[#This Row],[Clases dictadas]]=""),"",MAX(0,tblMatriculas[[#This Row],[Clases dictadas]]-tblMatriculas[[#This Row],[Asistidas]]))</f>
        <v>3</v>
      </c>
      <c r="P1937" s="1">
        <f>IF(OR(tblMatriculas[[#This Row],[Estado]]&lt;&gt;"activa",tblMatriculas[[#This Row],[Asistidas]]=""),"",tblMatriculas[[#This Row],[Asistencia]])</f>
        <v>6.7000000000000004E-2</v>
      </c>
      <c r="Q1937" t="b">
        <f>AND(tblMatriculas[[#This Row],[Estado]]="activa",ISNUMBER(tblMatriculas[[#This Row],[% asistencia]]),NOT(ISNUMBER(SEARCH(pPrueba,tblMatriculas[[#This Row],[Nombre]]))))</f>
        <v>1</v>
      </c>
      <c r="R19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937" s="23" t="str" cm="1">
        <f t="array" ref="S19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7" s="23" t="str" cm="1">
        <f t="array" ref="T19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7" s="14" t="str" cm="1">
        <f t="array" ref="U19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7" t="str" cm="1">
        <f t="array" ref="V19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7" t="str" cm="1">
        <f t="array" ref="W19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9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937" t="str">
        <f>IF(COUNTIFS('Base Estudiantes'!$C:$C,tblMatriculas[[#This Row],[Cédula]],'Base Estudiantes'!$I:$I,tblMatriculas[[#This Row],[Código]])&gt;0,"Sí","No")</f>
        <v>Sí</v>
      </c>
      <c r="Z1937" s="23" cm="1">
        <f t="array" ref="Z1937">_xlfn.XLOOKUP(tblMatriculas[[#This Row],[Cédula]]&amp;"|"&amp;tblMatriculas[[#This Row],[Código]],tblBase[Documento]&amp;"|"&amp;tblBase[Código grupo],tblBase[Fecha matrícula],"")</f>
        <v>46262</v>
      </c>
    </row>
    <row r="1938" spans="1:26" x14ac:dyDescent="0.2">
      <c r="A1938" t="s">
        <v>4036</v>
      </c>
      <c r="B1938" t="s">
        <v>4037</v>
      </c>
      <c r="C1938" t="s">
        <v>13</v>
      </c>
      <c r="D1938" t="s">
        <v>3986</v>
      </c>
      <c r="E1938" t="s">
        <v>3987</v>
      </c>
      <c r="F1938" t="s">
        <v>335</v>
      </c>
      <c r="G1938" s="1">
        <v>0.16699999999999998</v>
      </c>
      <c r="H1938" t="s">
        <v>229</v>
      </c>
      <c r="I1938" t="s">
        <v>3833</v>
      </c>
      <c r="J1938" t="s">
        <v>3834</v>
      </c>
      <c r="K1938" t="s">
        <v>24</v>
      </c>
      <c r="L1938" s="14">
        <f>IFERROR(VALUE(LEFT(tblMatriculas[[#This Row],[Clases]],FIND("/",tblMatriculas[[#This Row],[Clases]])-1)),"")</f>
        <v>5</v>
      </c>
      <c r="M1938" s="14">
        <f>IFERROR(VALUE(MID(tblMatriculas[[#This Row],[Clases]],FIND("/",tblMatriculas[[#This Row],[Clases]])+1,5)),"")</f>
        <v>30</v>
      </c>
      <c r="N19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8" s="14">
        <f>IF(OR(tblMatriculas[[#This Row],[Estado]]&lt;&gt;"activa",tblMatriculas[[#This Row],[Clases dictadas]]=""),"",MAX(0,tblMatriculas[[#This Row],[Clases dictadas]]-tblMatriculas[[#This Row],[Asistidas]]))</f>
        <v>0</v>
      </c>
      <c r="P1938" s="1">
        <f>IF(OR(tblMatriculas[[#This Row],[Estado]]&lt;&gt;"activa",tblMatriculas[[#This Row],[Asistidas]]=""),"",tblMatriculas[[#This Row],[Asistencia]])</f>
        <v>0.16699999999999998</v>
      </c>
      <c r="Q1938" t="b">
        <f>AND(tblMatriculas[[#This Row],[Estado]]="activa",ISNUMBER(tblMatriculas[[#This Row],[% asistencia]]),NOT(ISNUMBER(SEARCH(pPrueba,tblMatriculas[[#This Row],[Nombre]]))))</f>
        <v>1</v>
      </c>
      <c r="R19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8" s="23" t="str" cm="1">
        <f t="array" ref="S19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8" s="23" t="str" cm="1">
        <f t="array" ref="T19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8" s="14" t="str" cm="1">
        <f t="array" ref="U19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8" t="str" cm="1">
        <f t="array" ref="V19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8" t="str" cm="1">
        <f t="array" ref="W19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8" t="str">
        <f>IF(COUNTIFS('Base Estudiantes'!$C:$C,tblMatriculas[[#This Row],[Cédula]],'Base Estudiantes'!$I:$I,tblMatriculas[[#This Row],[Código]])&gt;0,"Sí","No")</f>
        <v>Sí</v>
      </c>
      <c r="Z1938" s="23" cm="1">
        <f t="array" ref="Z1938">_xlfn.XLOOKUP(tblMatriculas[[#This Row],[Cédula]]&amp;"|"&amp;tblMatriculas[[#This Row],[Código]],tblBase[Documento]&amp;"|"&amp;tblBase[Código grupo],tblBase[Fecha matrícula],"")</f>
        <v>46262</v>
      </c>
    </row>
    <row r="1939" spans="1:26" x14ac:dyDescent="0.2">
      <c r="A1939" t="s">
        <v>4038</v>
      </c>
      <c r="B1939" t="s">
        <v>4039</v>
      </c>
      <c r="C1939" t="s">
        <v>13</v>
      </c>
      <c r="D1939" t="s">
        <v>3986</v>
      </c>
      <c r="E1939" t="s">
        <v>3987</v>
      </c>
      <c r="F1939" t="s">
        <v>335</v>
      </c>
      <c r="G1939" s="1">
        <v>0.1</v>
      </c>
      <c r="H1939" t="s">
        <v>117</v>
      </c>
      <c r="I1939" t="s">
        <v>3833</v>
      </c>
      <c r="J1939" t="s">
        <v>3834</v>
      </c>
      <c r="K1939" t="s">
        <v>24</v>
      </c>
      <c r="L1939" s="14">
        <f>IFERROR(VALUE(LEFT(tblMatriculas[[#This Row],[Clases]],FIND("/",tblMatriculas[[#This Row],[Clases]])-1)),"")</f>
        <v>3</v>
      </c>
      <c r="M1939" s="14">
        <f>IFERROR(VALUE(MID(tblMatriculas[[#This Row],[Clases]],FIND("/",tblMatriculas[[#This Row],[Clases]])+1,5)),"")</f>
        <v>30</v>
      </c>
      <c r="N19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39" s="14">
        <f>IF(OR(tblMatriculas[[#This Row],[Estado]]&lt;&gt;"activa",tblMatriculas[[#This Row],[Clases dictadas]]=""),"",MAX(0,tblMatriculas[[#This Row],[Clases dictadas]]-tblMatriculas[[#This Row],[Asistidas]]))</f>
        <v>2</v>
      </c>
      <c r="P1939" s="1">
        <f>IF(OR(tblMatriculas[[#This Row],[Estado]]&lt;&gt;"activa",tblMatriculas[[#This Row],[Asistidas]]=""),"",tblMatriculas[[#This Row],[Asistencia]])</f>
        <v>0.1</v>
      </c>
      <c r="Q1939" t="b">
        <f>AND(tblMatriculas[[#This Row],[Estado]]="activa",ISNUMBER(tblMatriculas[[#This Row],[% asistencia]]),NOT(ISNUMBER(SEARCH(pPrueba,tblMatriculas[[#This Row],[Nombre]]))))</f>
        <v>1</v>
      </c>
      <c r="R19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39" s="23" t="str" cm="1">
        <f t="array" ref="S19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39" s="23" t="str" cm="1">
        <f t="array" ref="T19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39" s="14" t="str" cm="1">
        <f t="array" ref="U19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39" t="str" cm="1">
        <f t="array" ref="V19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39" t="str" cm="1">
        <f t="array" ref="W19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39" t="str">
        <f>IF(COUNTIFS('Base Estudiantes'!$C:$C,tblMatriculas[[#This Row],[Cédula]],'Base Estudiantes'!$I:$I,tblMatriculas[[#This Row],[Código]])&gt;0,"Sí","No")</f>
        <v>Sí</v>
      </c>
      <c r="Z1939" s="23" cm="1">
        <f t="array" ref="Z1939">_xlfn.XLOOKUP(tblMatriculas[[#This Row],[Cédula]]&amp;"|"&amp;tblMatriculas[[#This Row],[Código]],tblBase[Documento]&amp;"|"&amp;tblBase[Código grupo],tblBase[Fecha matrícula],"")</f>
        <v>46262</v>
      </c>
    </row>
    <row r="1940" spans="1:26" x14ac:dyDescent="0.2">
      <c r="A1940" t="s">
        <v>4040</v>
      </c>
      <c r="B1940" t="s">
        <v>4041</v>
      </c>
      <c r="C1940" t="s">
        <v>13</v>
      </c>
      <c r="D1940" t="s">
        <v>3986</v>
      </c>
      <c r="E1940" t="s">
        <v>3987</v>
      </c>
      <c r="F1940" t="s">
        <v>335</v>
      </c>
      <c r="G1940" s="1">
        <v>6.7000000000000004E-2</v>
      </c>
      <c r="H1940" t="s">
        <v>166</v>
      </c>
      <c r="I1940" t="s">
        <v>3833</v>
      </c>
      <c r="J1940" t="s">
        <v>3834</v>
      </c>
      <c r="K1940" t="s">
        <v>24</v>
      </c>
      <c r="L1940" s="14">
        <f>IFERROR(VALUE(LEFT(tblMatriculas[[#This Row],[Clases]],FIND("/",tblMatriculas[[#This Row],[Clases]])-1)),"")</f>
        <v>2</v>
      </c>
      <c r="M1940" s="14">
        <f>IFERROR(VALUE(MID(tblMatriculas[[#This Row],[Clases]],FIND("/",tblMatriculas[[#This Row],[Clases]])+1,5)),"")</f>
        <v>30</v>
      </c>
      <c r="N19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0" s="14">
        <f>IF(OR(tblMatriculas[[#This Row],[Estado]]&lt;&gt;"activa",tblMatriculas[[#This Row],[Clases dictadas]]=""),"",MAX(0,tblMatriculas[[#This Row],[Clases dictadas]]-tblMatriculas[[#This Row],[Asistidas]]))</f>
        <v>3</v>
      </c>
      <c r="P1940" s="1">
        <f>IF(OR(tblMatriculas[[#This Row],[Estado]]&lt;&gt;"activa",tblMatriculas[[#This Row],[Asistidas]]=""),"",tblMatriculas[[#This Row],[Asistencia]])</f>
        <v>6.7000000000000004E-2</v>
      </c>
      <c r="Q1940" t="b">
        <f>AND(tblMatriculas[[#This Row],[Estado]]="activa",ISNUMBER(tblMatriculas[[#This Row],[% asistencia]]),NOT(ISNUMBER(SEARCH(pPrueba,tblMatriculas[[#This Row],[Nombre]]))))</f>
        <v>1</v>
      </c>
      <c r="R19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940" s="23" t="str" cm="1">
        <f t="array" ref="S19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0" s="23" t="str" cm="1">
        <f t="array" ref="T19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0" s="14" t="str" cm="1">
        <f t="array" ref="U19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0" t="str" cm="1">
        <f t="array" ref="V19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0" t="str" cm="1">
        <f t="array" ref="W19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94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940" t="str">
        <f>IF(COUNTIFS('Base Estudiantes'!$C:$C,tblMatriculas[[#This Row],[Cédula]],'Base Estudiantes'!$I:$I,tblMatriculas[[#This Row],[Código]])&gt;0,"Sí","No")</f>
        <v>Sí</v>
      </c>
      <c r="Z1940" s="23" cm="1">
        <f t="array" ref="Z1940">_xlfn.XLOOKUP(tblMatriculas[[#This Row],[Cédula]]&amp;"|"&amp;tblMatriculas[[#This Row],[Código]],tblBase[Documento]&amp;"|"&amp;tblBase[Código grupo],tblBase[Fecha matrícula],"")</f>
        <v>46262</v>
      </c>
    </row>
    <row r="1941" spans="1:26" x14ac:dyDescent="0.2">
      <c r="A1941" t="s">
        <v>4042</v>
      </c>
      <c r="B1941" t="s">
        <v>4043</v>
      </c>
      <c r="C1941" t="s">
        <v>13</v>
      </c>
      <c r="D1941" t="s">
        <v>3986</v>
      </c>
      <c r="E1941" t="s">
        <v>3987</v>
      </c>
      <c r="F1941" t="s">
        <v>335</v>
      </c>
      <c r="G1941" s="1">
        <v>0</v>
      </c>
      <c r="H1941" t="s">
        <v>254</v>
      </c>
      <c r="I1941" t="s">
        <v>3833</v>
      </c>
      <c r="J1941" t="s">
        <v>3834</v>
      </c>
      <c r="K1941" t="s">
        <v>24</v>
      </c>
      <c r="L1941" s="14">
        <f>IFERROR(VALUE(LEFT(tblMatriculas[[#This Row],[Clases]],FIND("/",tblMatriculas[[#This Row],[Clases]])-1)),"")</f>
        <v>0</v>
      </c>
      <c r="M1941" s="14">
        <f>IFERROR(VALUE(MID(tblMatriculas[[#This Row],[Clases]],FIND("/",tblMatriculas[[#This Row],[Clases]])+1,5)),"")</f>
        <v>30</v>
      </c>
      <c r="N19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1" s="14">
        <f>IF(OR(tblMatriculas[[#This Row],[Estado]]&lt;&gt;"activa",tblMatriculas[[#This Row],[Clases dictadas]]=""),"",MAX(0,tblMatriculas[[#This Row],[Clases dictadas]]-tblMatriculas[[#This Row],[Asistidas]]))</f>
        <v>5</v>
      </c>
      <c r="P1941" s="1">
        <f>IF(OR(tblMatriculas[[#This Row],[Estado]]&lt;&gt;"activa",tblMatriculas[[#This Row],[Asistidas]]=""),"",tblMatriculas[[#This Row],[Asistencia]])</f>
        <v>0</v>
      </c>
      <c r="Q1941" t="b">
        <f>AND(tblMatriculas[[#This Row],[Estado]]="activa",ISNUMBER(tblMatriculas[[#This Row],[% asistencia]]),NOT(ISNUMBER(SEARCH(pPrueba,tblMatriculas[[#This Row],[Nombre]]))))</f>
        <v>1</v>
      </c>
      <c r="R19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41" s="23" t="str" cm="1">
        <f t="array" ref="S19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1" s="23" t="str" cm="1">
        <f t="array" ref="T19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1" s="14" t="str" cm="1">
        <f t="array" ref="U19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1" t="str" cm="1">
        <f t="array" ref="V19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1" t="str" cm="1">
        <f t="array" ref="W19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4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41" t="str">
        <f>IF(COUNTIFS('Base Estudiantes'!$C:$C,tblMatriculas[[#This Row],[Cédula]],'Base Estudiantes'!$I:$I,tblMatriculas[[#This Row],[Código]])&gt;0,"Sí","No")</f>
        <v>Sí</v>
      </c>
      <c r="Z1941" s="23" cm="1">
        <f t="array" ref="Z1941">_xlfn.XLOOKUP(tblMatriculas[[#This Row],[Cédula]]&amp;"|"&amp;tblMatriculas[[#This Row],[Código]],tblBase[Documento]&amp;"|"&amp;tblBase[Código grupo],tblBase[Fecha matrícula],"")</f>
        <v>46262</v>
      </c>
    </row>
    <row r="1942" spans="1:26" x14ac:dyDescent="0.2">
      <c r="A1942" t="s">
        <v>4044</v>
      </c>
      <c r="B1942" t="s">
        <v>4045</v>
      </c>
      <c r="C1942" t="s">
        <v>13</v>
      </c>
      <c r="D1942" t="s">
        <v>3986</v>
      </c>
      <c r="E1942" t="s">
        <v>3987</v>
      </c>
      <c r="F1942" t="s">
        <v>335</v>
      </c>
      <c r="G1942" s="1">
        <v>0</v>
      </c>
      <c r="H1942" t="s">
        <v>254</v>
      </c>
      <c r="I1942" t="s">
        <v>3833</v>
      </c>
      <c r="J1942" t="s">
        <v>3834</v>
      </c>
      <c r="K1942" t="s">
        <v>24</v>
      </c>
      <c r="L1942" s="14">
        <f>IFERROR(VALUE(LEFT(tblMatriculas[[#This Row],[Clases]],FIND("/",tblMatriculas[[#This Row],[Clases]])-1)),"")</f>
        <v>0</v>
      </c>
      <c r="M1942" s="14">
        <f>IFERROR(VALUE(MID(tblMatriculas[[#This Row],[Clases]],FIND("/",tblMatriculas[[#This Row],[Clases]])+1,5)),"")</f>
        <v>30</v>
      </c>
      <c r="N19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2" s="14">
        <f>IF(OR(tblMatriculas[[#This Row],[Estado]]&lt;&gt;"activa",tblMatriculas[[#This Row],[Clases dictadas]]=""),"",MAX(0,tblMatriculas[[#This Row],[Clases dictadas]]-tblMatriculas[[#This Row],[Asistidas]]))</f>
        <v>5</v>
      </c>
      <c r="P1942" s="1">
        <f>IF(OR(tblMatriculas[[#This Row],[Estado]]&lt;&gt;"activa",tblMatriculas[[#This Row],[Asistidas]]=""),"",tblMatriculas[[#This Row],[Asistencia]])</f>
        <v>0</v>
      </c>
      <c r="Q1942" t="b">
        <f>AND(tblMatriculas[[#This Row],[Estado]]="activa",ISNUMBER(tblMatriculas[[#This Row],[% asistencia]]),NOT(ISNUMBER(SEARCH(pPrueba,tblMatriculas[[#This Row],[Nombre]]))))</f>
        <v>1</v>
      </c>
      <c r="R19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42" s="23" t="str" cm="1">
        <f t="array" ref="S19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2" s="23" t="str" cm="1">
        <f t="array" ref="T19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2" s="14" t="str" cm="1">
        <f t="array" ref="U19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2" t="str" cm="1">
        <f t="array" ref="V19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2" t="str" cm="1">
        <f t="array" ref="W19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4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42" t="str">
        <f>IF(COUNTIFS('Base Estudiantes'!$C:$C,tblMatriculas[[#This Row],[Cédula]],'Base Estudiantes'!$I:$I,tblMatriculas[[#This Row],[Código]])&gt;0,"Sí","No")</f>
        <v>Sí</v>
      </c>
      <c r="Z1942" s="23" cm="1">
        <f t="array" ref="Z1942">_xlfn.XLOOKUP(tblMatriculas[[#This Row],[Cédula]]&amp;"|"&amp;tblMatriculas[[#This Row],[Código]],tblBase[Documento]&amp;"|"&amp;tblBase[Código grupo],tblBase[Fecha matrícula],"")</f>
        <v>46262</v>
      </c>
    </row>
    <row r="1943" spans="1:26" x14ac:dyDescent="0.2">
      <c r="A1943" t="s">
        <v>4046</v>
      </c>
      <c r="B1943" t="s">
        <v>4047</v>
      </c>
      <c r="C1943" t="s">
        <v>13</v>
      </c>
      <c r="D1943" t="s">
        <v>3986</v>
      </c>
      <c r="E1943" t="s">
        <v>3987</v>
      </c>
      <c r="F1943" t="s">
        <v>335</v>
      </c>
      <c r="G1943" s="1">
        <v>0</v>
      </c>
      <c r="H1943" t="s">
        <v>254</v>
      </c>
      <c r="I1943" t="s">
        <v>3833</v>
      </c>
      <c r="J1943" t="s">
        <v>3834</v>
      </c>
      <c r="K1943" t="s">
        <v>24</v>
      </c>
      <c r="L1943" s="14">
        <f>IFERROR(VALUE(LEFT(tblMatriculas[[#This Row],[Clases]],FIND("/",tblMatriculas[[#This Row],[Clases]])-1)),"")</f>
        <v>0</v>
      </c>
      <c r="M1943" s="14">
        <f>IFERROR(VALUE(MID(tblMatriculas[[#This Row],[Clases]],FIND("/",tblMatriculas[[#This Row],[Clases]])+1,5)),"")</f>
        <v>30</v>
      </c>
      <c r="N19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3" s="14">
        <f>IF(OR(tblMatriculas[[#This Row],[Estado]]&lt;&gt;"activa",tblMatriculas[[#This Row],[Clases dictadas]]=""),"",MAX(0,tblMatriculas[[#This Row],[Clases dictadas]]-tblMatriculas[[#This Row],[Asistidas]]))</f>
        <v>5</v>
      </c>
      <c r="P1943" s="1">
        <f>IF(OR(tblMatriculas[[#This Row],[Estado]]&lt;&gt;"activa",tblMatriculas[[#This Row],[Asistidas]]=""),"",tblMatriculas[[#This Row],[Asistencia]])</f>
        <v>0</v>
      </c>
      <c r="Q1943" t="b">
        <f>AND(tblMatriculas[[#This Row],[Estado]]="activa",ISNUMBER(tblMatriculas[[#This Row],[% asistencia]]),NOT(ISNUMBER(SEARCH(pPrueba,tblMatriculas[[#This Row],[Nombre]]))))</f>
        <v>1</v>
      </c>
      <c r="R19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43" s="23" t="str" cm="1">
        <f t="array" ref="S19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3" s="23" t="str" cm="1">
        <f t="array" ref="T19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3" s="14" t="str" cm="1">
        <f t="array" ref="U19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3" t="str" cm="1">
        <f t="array" ref="V19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3" t="str" cm="1">
        <f t="array" ref="W19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4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43" t="str">
        <f>IF(COUNTIFS('Base Estudiantes'!$C:$C,tblMatriculas[[#This Row],[Cédula]],'Base Estudiantes'!$I:$I,tblMatriculas[[#This Row],[Código]])&gt;0,"Sí","No")</f>
        <v>Sí</v>
      </c>
      <c r="Z1943" s="23" cm="1">
        <f t="array" ref="Z1943">_xlfn.XLOOKUP(tblMatriculas[[#This Row],[Cédula]]&amp;"|"&amp;tblMatriculas[[#This Row],[Código]],tblBase[Documento]&amp;"|"&amp;tblBase[Código grupo],tblBase[Fecha matrícula],"")</f>
        <v>46262</v>
      </c>
    </row>
    <row r="1944" spans="1:26" x14ac:dyDescent="0.2">
      <c r="A1944" t="s">
        <v>4048</v>
      </c>
      <c r="B1944" t="s">
        <v>4049</v>
      </c>
      <c r="C1944" t="s">
        <v>13</v>
      </c>
      <c r="D1944" t="s">
        <v>3986</v>
      </c>
      <c r="E1944" t="s">
        <v>3987</v>
      </c>
      <c r="F1944" t="s">
        <v>335</v>
      </c>
      <c r="G1944" s="1">
        <v>0.16699999999999998</v>
      </c>
      <c r="H1944" t="s">
        <v>229</v>
      </c>
      <c r="I1944" t="s">
        <v>3833</v>
      </c>
      <c r="J1944" t="s">
        <v>3834</v>
      </c>
      <c r="K1944" t="s">
        <v>24</v>
      </c>
      <c r="L1944" s="14">
        <f>IFERROR(VALUE(LEFT(tblMatriculas[[#This Row],[Clases]],FIND("/",tblMatriculas[[#This Row],[Clases]])-1)),"")</f>
        <v>5</v>
      </c>
      <c r="M1944" s="14">
        <f>IFERROR(VALUE(MID(tblMatriculas[[#This Row],[Clases]],FIND("/",tblMatriculas[[#This Row],[Clases]])+1,5)),"")</f>
        <v>30</v>
      </c>
      <c r="N19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4" s="14">
        <f>IF(OR(tblMatriculas[[#This Row],[Estado]]&lt;&gt;"activa",tblMatriculas[[#This Row],[Clases dictadas]]=""),"",MAX(0,tblMatriculas[[#This Row],[Clases dictadas]]-tblMatriculas[[#This Row],[Asistidas]]))</f>
        <v>0</v>
      </c>
      <c r="P1944" s="1">
        <f>IF(OR(tblMatriculas[[#This Row],[Estado]]&lt;&gt;"activa",tblMatriculas[[#This Row],[Asistidas]]=""),"",tblMatriculas[[#This Row],[Asistencia]])</f>
        <v>0.16699999999999998</v>
      </c>
      <c r="Q1944" t="b">
        <f>AND(tblMatriculas[[#This Row],[Estado]]="activa",ISNUMBER(tblMatriculas[[#This Row],[% asistencia]]),NOT(ISNUMBER(SEARCH(pPrueba,tblMatriculas[[#This Row],[Nombre]]))))</f>
        <v>1</v>
      </c>
      <c r="R19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44" s="23" t="str" cm="1">
        <f t="array" ref="S19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4" s="23" t="str" cm="1">
        <f t="array" ref="T19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4" s="14" t="str" cm="1">
        <f t="array" ref="U19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4" t="str" cm="1">
        <f t="array" ref="V19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4" t="str" cm="1">
        <f t="array" ref="W19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44" t="str">
        <f>IF(COUNTIFS('Base Estudiantes'!$C:$C,tblMatriculas[[#This Row],[Cédula]],'Base Estudiantes'!$I:$I,tblMatriculas[[#This Row],[Código]])&gt;0,"Sí","No")</f>
        <v>Sí</v>
      </c>
      <c r="Z1944" s="23" cm="1">
        <f t="array" ref="Z1944">_xlfn.XLOOKUP(tblMatriculas[[#This Row],[Cédula]]&amp;"|"&amp;tblMatriculas[[#This Row],[Código]],tblBase[Documento]&amp;"|"&amp;tblBase[Código grupo],tblBase[Fecha matrícula],"")</f>
        <v>46262</v>
      </c>
    </row>
    <row r="1945" spans="1:26" x14ac:dyDescent="0.2">
      <c r="A1945" t="s">
        <v>4050</v>
      </c>
      <c r="B1945" t="s">
        <v>4051</v>
      </c>
      <c r="C1945" t="s">
        <v>13</v>
      </c>
      <c r="D1945" t="s">
        <v>3986</v>
      </c>
      <c r="E1945" t="s">
        <v>3987</v>
      </c>
      <c r="F1945" t="s">
        <v>335</v>
      </c>
      <c r="G1945" s="1">
        <v>0</v>
      </c>
      <c r="H1945" t="s">
        <v>254</v>
      </c>
      <c r="I1945" t="s">
        <v>3833</v>
      </c>
      <c r="J1945" t="s">
        <v>3834</v>
      </c>
      <c r="K1945" t="s">
        <v>24</v>
      </c>
      <c r="L1945" s="14">
        <f>IFERROR(VALUE(LEFT(tblMatriculas[[#This Row],[Clases]],FIND("/",tblMatriculas[[#This Row],[Clases]])-1)),"")</f>
        <v>0</v>
      </c>
      <c r="M1945" s="14">
        <f>IFERROR(VALUE(MID(tblMatriculas[[#This Row],[Clases]],FIND("/",tblMatriculas[[#This Row],[Clases]])+1,5)),"")</f>
        <v>30</v>
      </c>
      <c r="N19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5" s="14">
        <f>IF(OR(tblMatriculas[[#This Row],[Estado]]&lt;&gt;"activa",tblMatriculas[[#This Row],[Clases dictadas]]=""),"",MAX(0,tblMatriculas[[#This Row],[Clases dictadas]]-tblMatriculas[[#This Row],[Asistidas]]))</f>
        <v>5</v>
      </c>
      <c r="P1945" s="1">
        <f>IF(OR(tblMatriculas[[#This Row],[Estado]]&lt;&gt;"activa",tblMatriculas[[#This Row],[Asistidas]]=""),"",tblMatriculas[[#This Row],[Asistencia]])</f>
        <v>0</v>
      </c>
      <c r="Q1945" t="b">
        <f>AND(tblMatriculas[[#This Row],[Estado]]="activa",ISNUMBER(tblMatriculas[[#This Row],[% asistencia]]),NOT(ISNUMBER(SEARCH(pPrueba,tblMatriculas[[#This Row],[Nombre]]))))</f>
        <v>1</v>
      </c>
      <c r="R19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45" s="23" t="str" cm="1">
        <f t="array" ref="S19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5" s="23" t="str" cm="1">
        <f t="array" ref="T19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5" s="14" t="str" cm="1">
        <f t="array" ref="U19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5" t="str" cm="1">
        <f t="array" ref="V19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5" t="str" cm="1">
        <f t="array" ref="W19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4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45" t="str">
        <f>IF(COUNTIFS('Base Estudiantes'!$C:$C,tblMatriculas[[#This Row],[Cédula]],'Base Estudiantes'!$I:$I,tblMatriculas[[#This Row],[Código]])&gt;0,"Sí","No")</f>
        <v>Sí</v>
      </c>
      <c r="Z1945" s="23" cm="1">
        <f t="array" ref="Z1945">_xlfn.XLOOKUP(tblMatriculas[[#This Row],[Cédula]]&amp;"|"&amp;tblMatriculas[[#This Row],[Código]],tblBase[Documento]&amp;"|"&amp;tblBase[Código grupo],tblBase[Fecha matrícula],"")</f>
        <v>46262</v>
      </c>
    </row>
    <row r="1946" spans="1:26" x14ac:dyDescent="0.2">
      <c r="A1946" t="s">
        <v>4052</v>
      </c>
      <c r="B1946" t="s">
        <v>4053</v>
      </c>
      <c r="C1946" t="s">
        <v>13</v>
      </c>
      <c r="D1946" t="s">
        <v>3986</v>
      </c>
      <c r="E1946" t="s">
        <v>3987</v>
      </c>
      <c r="F1946" t="s">
        <v>335</v>
      </c>
      <c r="G1946" s="1">
        <v>0</v>
      </c>
      <c r="H1946" t="s">
        <v>254</v>
      </c>
      <c r="I1946" t="s">
        <v>3833</v>
      </c>
      <c r="J1946" t="s">
        <v>3834</v>
      </c>
      <c r="K1946" t="s">
        <v>24</v>
      </c>
      <c r="L1946" s="14">
        <f>IFERROR(VALUE(LEFT(tblMatriculas[[#This Row],[Clases]],FIND("/",tblMatriculas[[#This Row],[Clases]])-1)),"")</f>
        <v>0</v>
      </c>
      <c r="M1946" s="14">
        <f>IFERROR(VALUE(MID(tblMatriculas[[#This Row],[Clases]],FIND("/",tblMatriculas[[#This Row],[Clases]])+1,5)),"")</f>
        <v>30</v>
      </c>
      <c r="N19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6" s="14">
        <f>IF(OR(tblMatriculas[[#This Row],[Estado]]&lt;&gt;"activa",tblMatriculas[[#This Row],[Clases dictadas]]=""),"",MAX(0,tblMatriculas[[#This Row],[Clases dictadas]]-tblMatriculas[[#This Row],[Asistidas]]))</f>
        <v>5</v>
      </c>
      <c r="P1946" s="1">
        <f>IF(OR(tblMatriculas[[#This Row],[Estado]]&lt;&gt;"activa",tblMatriculas[[#This Row],[Asistidas]]=""),"",tblMatriculas[[#This Row],[Asistencia]])</f>
        <v>0</v>
      </c>
      <c r="Q1946" t="b">
        <f>AND(tblMatriculas[[#This Row],[Estado]]="activa",ISNUMBER(tblMatriculas[[#This Row],[% asistencia]]),NOT(ISNUMBER(SEARCH(pPrueba,tblMatriculas[[#This Row],[Nombre]]))))</f>
        <v>1</v>
      </c>
      <c r="R19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46" s="23" t="str" cm="1">
        <f t="array" ref="S19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6" s="23" t="str" cm="1">
        <f t="array" ref="T19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6" s="14" t="str" cm="1">
        <f t="array" ref="U19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6" t="str" cm="1">
        <f t="array" ref="V19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6" t="str" cm="1">
        <f t="array" ref="W19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46" t="str">
        <f>IF(COUNTIFS('Base Estudiantes'!$C:$C,tblMatriculas[[#This Row],[Cédula]],'Base Estudiantes'!$I:$I,tblMatriculas[[#This Row],[Código]])&gt;0,"Sí","No")</f>
        <v>Sí</v>
      </c>
      <c r="Z1946" s="23" cm="1">
        <f t="array" ref="Z1946">_xlfn.XLOOKUP(tblMatriculas[[#This Row],[Cédula]]&amp;"|"&amp;tblMatriculas[[#This Row],[Código]],tblBase[Documento]&amp;"|"&amp;tblBase[Código grupo],tblBase[Fecha matrícula],"")</f>
        <v>46262</v>
      </c>
    </row>
    <row r="1947" spans="1:26" x14ac:dyDescent="0.2">
      <c r="A1947" t="s">
        <v>4054</v>
      </c>
      <c r="B1947" t="s">
        <v>4055</v>
      </c>
      <c r="C1947" t="s">
        <v>13</v>
      </c>
      <c r="D1947" t="s">
        <v>3986</v>
      </c>
      <c r="E1947" t="s">
        <v>3987</v>
      </c>
      <c r="F1947" t="s">
        <v>335</v>
      </c>
      <c r="G1947" s="1">
        <v>0.16699999999999998</v>
      </c>
      <c r="H1947" t="s">
        <v>229</v>
      </c>
      <c r="I1947" t="s">
        <v>3833</v>
      </c>
      <c r="J1947" t="s">
        <v>3834</v>
      </c>
      <c r="K1947" t="s">
        <v>24</v>
      </c>
      <c r="L1947" s="14">
        <f>IFERROR(VALUE(LEFT(tblMatriculas[[#This Row],[Clases]],FIND("/",tblMatriculas[[#This Row],[Clases]])-1)),"")</f>
        <v>5</v>
      </c>
      <c r="M1947" s="14">
        <f>IFERROR(VALUE(MID(tblMatriculas[[#This Row],[Clases]],FIND("/",tblMatriculas[[#This Row],[Clases]])+1,5)),"")</f>
        <v>30</v>
      </c>
      <c r="N19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7" s="14">
        <f>IF(OR(tblMatriculas[[#This Row],[Estado]]&lt;&gt;"activa",tblMatriculas[[#This Row],[Clases dictadas]]=""),"",MAX(0,tblMatriculas[[#This Row],[Clases dictadas]]-tblMatriculas[[#This Row],[Asistidas]]))</f>
        <v>0</v>
      </c>
      <c r="P1947" s="1">
        <f>IF(OR(tblMatriculas[[#This Row],[Estado]]&lt;&gt;"activa",tblMatriculas[[#This Row],[Asistidas]]=""),"",tblMatriculas[[#This Row],[Asistencia]])</f>
        <v>0.16699999999999998</v>
      </c>
      <c r="Q1947" t="b">
        <f>AND(tblMatriculas[[#This Row],[Estado]]="activa",ISNUMBER(tblMatriculas[[#This Row],[% asistencia]]),NOT(ISNUMBER(SEARCH(pPrueba,tblMatriculas[[#This Row],[Nombre]]))))</f>
        <v>1</v>
      </c>
      <c r="R19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47" s="23" t="str" cm="1">
        <f t="array" ref="S19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7" s="23" t="str" cm="1">
        <f t="array" ref="T19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7" s="14" t="str" cm="1">
        <f t="array" ref="U19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7" t="str" cm="1">
        <f t="array" ref="V19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7" t="str" cm="1">
        <f t="array" ref="W19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47" t="str">
        <f>IF(COUNTIFS('Base Estudiantes'!$C:$C,tblMatriculas[[#This Row],[Cédula]],'Base Estudiantes'!$I:$I,tblMatriculas[[#This Row],[Código]])&gt;0,"Sí","No")</f>
        <v>Sí</v>
      </c>
      <c r="Z1947" s="23" cm="1">
        <f t="array" ref="Z1947">_xlfn.XLOOKUP(tblMatriculas[[#This Row],[Cédula]]&amp;"|"&amp;tblMatriculas[[#This Row],[Código]],tblBase[Documento]&amp;"|"&amp;tblBase[Código grupo],tblBase[Fecha matrícula],"")</f>
        <v>46262</v>
      </c>
    </row>
    <row r="1948" spans="1:26" x14ac:dyDescent="0.2">
      <c r="A1948" t="s">
        <v>4056</v>
      </c>
      <c r="B1948" t="s">
        <v>4057</v>
      </c>
      <c r="C1948" t="s">
        <v>13</v>
      </c>
      <c r="D1948" t="s">
        <v>3986</v>
      </c>
      <c r="E1948" t="s">
        <v>3987</v>
      </c>
      <c r="F1948" t="s">
        <v>335</v>
      </c>
      <c r="G1948" s="1">
        <v>0.16699999999999998</v>
      </c>
      <c r="H1948" t="s">
        <v>229</v>
      </c>
      <c r="I1948" t="s">
        <v>3833</v>
      </c>
      <c r="J1948" t="s">
        <v>3834</v>
      </c>
      <c r="K1948" t="s">
        <v>24</v>
      </c>
      <c r="L1948" s="14">
        <f>IFERROR(VALUE(LEFT(tblMatriculas[[#This Row],[Clases]],FIND("/",tblMatriculas[[#This Row],[Clases]])-1)),"")</f>
        <v>5</v>
      </c>
      <c r="M1948" s="14">
        <f>IFERROR(VALUE(MID(tblMatriculas[[#This Row],[Clases]],FIND("/",tblMatriculas[[#This Row],[Clases]])+1,5)),"")</f>
        <v>30</v>
      </c>
      <c r="N19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8" s="14">
        <f>IF(OR(tblMatriculas[[#This Row],[Estado]]&lt;&gt;"activa",tblMatriculas[[#This Row],[Clases dictadas]]=""),"",MAX(0,tblMatriculas[[#This Row],[Clases dictadas]]-tblMatriculas[[#This Row],[Asistidas]]))</f>
        <v>0</v>
      </c>
      <c r="P1948" s="1">
        <f>IF(OR(tblMatriculas[[#This Row],[Estado]]&lt;&gt;"activa",tblMatriculas[[#This Row],[Asistidas]]=""),"",tblMatriculas[[#This Row],[Asistencia]])</f>
        <v>0.16699999999999998</v>
      </c>
      <c r="Q1948" t="b">
        <f>AND(tblMatriculas[[#This Row],[Estado]]="activa",ISNUMBER(tblMatriculas[[#This Row],[% asistencia]]),NOT(ISNUMBER(SEARCH(pPrueba,tblMatriculas[[#This Row],[Nombre]]))))</f>
        <v>1</v>
      </c>
      <c r="R19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48" s="23" t="str" cm="1">
        <f t="array" ref="S19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8" s="23" t="str" cm="1">
        <f t="array" ref="T19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8" s="14" t="str" cm="1">
        <f t="array" ref="U19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8" t="str" cm="1">
        <f t="array" ref="V19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8" t="str" cm="1">
        <f t="array" ref="W19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4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48" t="str">
        <f>IF(COUNTIFS('Base Estudiantes'!$C:$C,tblMatriculas[[#This Row],[Cédula]],'Base Estudiantes'!$I:$I,tblMatriculas[[#This Row],[Código]])&gt;0,"Sí","No")</f>
        <v>Sí</v>
      </c>
      <c r="Z1948" s="23" cm="1">
        <f t="array" ref="Z1948">_xlfn.XLOOKUP(tblMatriculas[[#This Row],[Cédula]]&amp;"|"&amp;tblMatriculas[[#This Row],[Código]],tblBase[Documento]&amp;"|"&amp;tblBase[Código grupo],tblBase[Fecha matrícula],"")</f>
        <v>46262</v>
      </c>
    </row>
    <row r="1949" spans="1:26" x14ac:dyDescent="0.2">
      <c r="A1949" t="s">
        <v>4058</v>
      </c>
      <c r="B1949" t="s">
        <v>4059</v>
      </c>
      <c r="C1949" t="s">
        <v>13</v>
      </c>
      <c r="D1949" t="s">
        <v>3986</v>
      </c>
      <c r="E1949" t="s">
        <v>3987</v>
      </c>
      <c r="F1949" t="s">
        <v>335</v>
      </c>
      <c r="G1949" s="1">
        <v>0.16699999999999998</v>
      </c>
      <c r="H1949" t="s">
        <v>229</v>
      </c>
      <c r="I1949" t="s">
        <v>3833</v>
      </c>
      <c r="J1949" t="s">
        <v>3834</v>
      </c>
      <c r="K1949" t="s">
        <v>24</v>
      </c>
      <c r="L1949" s="14">
        <f>IFERROR(VALUE(LEFT(tblMatriculas[[#This Row],[Clases]],FIND("/",tblMatriculas[[#This Row],[Clases]])-1)),"")</f>
        <v>5</v>
      </c>
      <c r="M1949" s="14">
        <f>IFERROR(VALUE(MID(tblMatriculas[[#This Row],[Clases]],FIND("/",tblMatriculas[[#This Row],[Clases]])+1,5)),"")</f>
        <v>30</v>
      </c>
      <c r="N19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49" s="14">
        <f>IF(OR(tblMatriculas[[#This Row],[Estado]]&lt;&gt;"activa",tblMatriculas[[#This Row],[Clases dictadas]]=""),"",MAX(0,tblMatriculas[[#This Row],[Clases dictadas]]-tblMatriculas[[#This Row],[Asistidas]]))</f>
        <v>0</v>
      </c>
      <c r="P1949" s="1">
        <f>IF(OR(tblMatriculas[[#This Row],[Estado]]&lt;&gt;"activa",tblMatriculas[[#This Row],[Asistidas]]=""),"",tblMatriculas[[#This Row],[Asistencia]])</f>
        <v>0.16699999999999998</v>
      </c>
      <c r="Q1949" t="b">
        <f>AND(tblMatriculas[[#This Row],[Estado]]="activa",ISNUMBER(tblMatriculas[[#This Row],[% asistencia]]),NOT(ISNUMBER(SEARCH(pPrueba,tblMatriculas[[#This Row],[Nombre]]))))</f>
        <v>1</v>
      </c>
      <c r="R19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49" s="23" t="str" cm="1">
        <f t="array" ref="S19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49" s="23" t="str" cm="1">
        <f t="array" ref="T19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49" s="14" t="str" cm="1">
        <f t="array" ref="U19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49" t="str" cm="1">
        <f t="array" ref="V19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49" t="str" cm="1">
        <f t="array" ref="W19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4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49" t="str">
        <f>IF(COUNTIFS('Base Estudiantes'!$C:$C,tblMatriculas[[#This Row],[Cédula]],'Base Estudiantes'!$I:$I,tblMatriculas[[#This Row],[Código]])&gt;0,"Sí","No")</f>
        <v>Sí</v>
      </c>
      <c r="Z1949" s="23" cm="1">
        <f t="array" ref="Z1949">_xlfn.XLOOKUP(tblMatriculas[[#This Row],[Cédula]]&amp;"|"&amp;tblMatriculas[[#This Row],[Código]],tblBase[Documento]&amp;"|"&amp;tblBase[Código grupo],tblBase[Fecha matrícula],"")</f>
        <v>46262</v>
      </c>
    </row>
    <row r="1950" spans="1:26" x14ac:dyDescent="0.2">
      <c r="A1950" t="s">
        <v>4060</v>
      </c>
      <c r="B1950" t="s">
        <v>4061</v>
      </c>
      <c r="C1950" t="s">
        <v>13</v>
      </c>
      <c r="D1950" t="s">
        <v>3986</v>
      </c>
      <c r="E1950" t="s">
        <v>3987</v>
      </c>
      <c r="F1950" t="s">
        <v>335</v>
      </c>
      <c r="G1950" s="1">
        <v>0.1</v>
      </c>
      <c r="H1950" t="s">
        <v>117</v>
      </c>
      <c r="I1950" t="s">
        <v>3833</v>
      </c>
      <c r="J1950" t="s">
        <v>3834</v>
      </c>
      <c r="K1950" t="s">
        <v>3847</v>
      </c>
      <c r="L1950" s="14">
        <f>IFERROR(VALUE(LEFT(tblMatriculas[[#This Row],[Clases]],FIND("/",tblMatriculas[[#This Row],[Clases]])-1)),"")</f>
        <v>3</v>
      </c>
      <c r="M1950" s="14">
        <f>IFERROR(VALUE(MID(tblMatriculas[[#This Row],[Clases]],FIND("/",tblMatriculas[[#This Row],[Clases]])+1,5)),"")</f>
        <v>30</v>
      </c>
      <c r="N19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50" s="14">
        <f>IF(OR(tblMatriculas[[#This Row],[Estado]]&lt;&gt;"activa",tblMatriculas[[#This Row],[Clases dictadas]]=""),"",MAX(0,tblMatriculas[[#This Row],[Clases dictadas]]-tblMatriculas[[#This Row],[Asistidas]]))</f>
        <v>2</v>
      </c>
      <c r="P1950" s="1">
        <f>IF(OR(tblMatriculas[[#This Row],[Estado]]&lt;&gt;"activa",tblMatriculas[[#This Row],[Asistidas]]=""),"",tblMatriculas[[#This Row],[Asistencia]])</f>
        <v>0.1</v>
      </c>
      <c r="Q1950" t="b">
        <f>AND(tblMatriculas[[#This Row],[Estado]]="activa",ISNUMBER(tblMatriculas[[#This Row],[% asistencia]]),NOT(ISNUMBER(SEARCH(pPrueba,tblMatriculas[[#This Row],[Nombre]]))))</f>
        <v>1</v>
      </c>
      <c r="R19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0" s="23" t="str" cm="1">
        <f t="array" ref="S19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0" s="23" t="str" cm="1">
        <f t="array" ref="T19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0" s="14" t="str" cm="1">
        <f t="array" ref="U19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0" t="str" cm="1">
        <f t="array" ref="V19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0" t="str" cm="1">
        <f t="array" ref="W19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0" t="str">
        <f>IF(COUNTIFS('Base Estudiantes'!$C:$C,tblMatriculas[[#This Row],[Cédula]],'Base Estudiantes'!$I:$I,tblMatriculas[[#This Row],[Código]])&gt;0,"Sí","No")</f>
        <v>Sí</v>
      </c>
      <c r="Z1950" s="23" cm="1">
        <f t="array" ref="Z1950">_xlfn.XLOOKUP(tblMatriculas[[#This Row],[Cédula]]&amp;"|"&amp;tblMatriculas[[#This Row],[Código]],tblBase[Documento]&amp;"|"&amp;tblBase[Código grupo],tblBase[Fecha matrícula],"")</f>
        <v>46262</v>
      </c>
    </row>
    <row r="1951" spans="1:26" x14ac:dyDescent="0.2">
      <c r="A1951" t="s">
        <v>3324</v>
      </c>
      <c r="B1951" t="s">
        <v>3325</v>
      </c>
      <c r="C1951" t="s">
        <v>13</v>
      </c>
      <c r="D1951" t="s">
        <v>3986</v>
      </c>
      <c r="E1951" t="s">
        <v>3987</v>
      </c>
      <c r="F1951" t="s">
        <v>335</v>
      </c>
      <c r="G1951" s="1">
        <v>0</v>
      </c>
      <c r="H1951" t="s">
        <v>254</v>
      </c>
      <c r="I1951" t="s">
        <v>3833</v>
      </c>
      <c r="J1951" t="s">
        <v>3834</v>
      </c>
      <c r="K1951" t="s">
        <v>24</v>
      </c>
      <c r="L1951" s="14">
        <f>IFERROR(VALUE(LEFT(tblMatriculas[[#This Row],[Clases]],FIND("/",tblMatriculas[[#This Row],[Clases]])-1)),"")</f>
        <v>0</v>
      </c>
      <c r="M1951" s="14">
        <f>IFERROR(VALUE(MID(tblMatriculas[[#This Row],[Clases]],FIND("/",tblMatriculas[[#This Row],[Clases]])+1,5)),"")</f>
        <v>30</v>
      </c>
      <c r="N19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51" s="14">
        <f>IF(OR(tblMatriculas[[#This Row],[Estado]]&lt;&gt;"activa",tblMatriculas[[#This Row],[Clases dictadas]]=""),"",MAX(0,tblMatriculas[[#This Row],[Clases dictadas]]-tblMatriculas[[#This Row],[Asistidas]]))</f>
        <v>5</v>
      </c>
      <c r="P1951" s="1">
        <f>IF(OR(tblMatriculas[[#This Row],[Estado]]&lt;&gt;"activa",tblMatriculas[[#This Row],[Asistidas]]=""),"",tblMatriculas[[#This Row],[Asistencia]])</f>
        <v>0</v>
      </c>
      <c r="Q1951" t="b">
        <f>AND(tblMatriculas[[#This Row],[Estado]]="activa",ISNUMBER(tblMatriculas[[#This Row],[% asistencia]]),NOT(ISNUMBER(SEARCH(pPrueba,tblMatriculas[[#This Row],[Nombre]]))))</f>
        <v>1</v>
      </c>
      <c r="R19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51" s="23" t="str" cm="1">
        <f t="array" ref="S19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1" s="23" t="str" cm="1">
        <f t="array" ref="T19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1" s="14" t="str" cm="1">
        <f t="array" ref="U19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1" t="str" cm="1">
        <f t="array" ref="V19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1" t="str" cm="1">
        <f t="array" ref="W19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51" t="str">
        <f>IF(COUNTIFS('Base Estudiantes'!$C:$C,tblMatriculas[[#This Row],[Cédula]],'Base Estudiantes'!$I:$I,tblMatriculas[[#This Row],[Código]])&gt;0,"Sí","No")</f>
        <v>Sí</v>
      </c>
      <c r="Z1951" s="23" cm="1">
        <f t="array" ref="Z1951">_xlfn.XLOOKUP(tblMatriculas[[#This Row],[Cédula]]&amp;"|"&amp;tblMatriculas[[#This Row],[Código]],tblBase[Documento]&amp;"|"&amp;tblBase[Código grupo],tblBase[Fecha matrícula],"")</f>
        <v>46273</v>
      </c>
    </row>
    <row r="1952" spans="1:26" x14ac:dyDescent="0.2">
      <c r="A1952" t="s">
        <v>2486</v>
      </c>
      <c r="B1952" t="s">
        <v>2487</v>
      </c>
      <c r="C1952" t="s">
        <v>13</v>
      </c>
      <c r="D1952" t="s">
        <v>3986</v>
      </c>
      <c r="E1952" t="s">
        <v>3987</v>
      </c>
      <c r="F1952" t="s">
        <v>335</v>
      </c>
      <c r="G1952" s="1">
        <v>0.13300000000000001</v>
      </c>
      <c r="H1952" t="s">
        <v>112</v>
      </c>
      <c r="I1952" t="s">
        <v>3833</v>
      </c>
      <c r="J1952" t="s">
        <v>3834</v>
      </c>
      <c r="K1952" t="s">
        <v>24</v>
      </c>
      <c r="L1952" s="14">
        <f>IFERROR(VALUE(LEFT(tblMatriculas[[#This Row],[Clases]],FIND("/",tblMatriculas[[#This Row],[Clases]])-1)),"")</f>
        <v>4</v>
      </c>
      <c r="M1952" s="14">
        <f>IFERROR(VALUE(MID(tblMatriculas[[#This Row],[Clases]],FIND("/",tblMatriculas[[#This Row],[Clases]])+1,5)),"")</f>
        <v>30</v>
      </c>
      <c r="N19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52" s="14">
        <f>IF(OR(tblMatriculas[[#This Row],[Estado]]&lt;&gt;"activa",tblMatriculas[[#This Row],[Clases dictadas]]=""),"",MAX(0,tblMatriculas[[#This Row],[Clases dictadas]]-tblMatriculas[[#This Row],[Asistidas]]))</f>
        <v>1</v>
      </c>
      <c r="P1952" s="1">
        <f>IF(OR(tblMatriculas[[#This Row],[Estado]]&lt;&gt;"activa",tblMatriculas[[#This Row],[Asistidas]]=""),"",tblMatriculas[[#This Row],[Asistencia]])</f>
        <v>0.13300000000000001</v>
      </c>
      <c r="Q1952" t="b">
        <f>AND(tblMatriculas[[#This Row],[Estado]]="activa",ISNUMBER(tblMatriculas[[#This Row],[% asistencia]]),NOT(ISNUMBER(SEARCH(pPrueba,tblMatriculas[[#This Row],[Nombre]]))))</f>
        <v>1</v>
      </c>
      <c r="R19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2" s="23" t="str" cm="1">
        <f t="array" ref="S19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2" s="23" t="str" cm="1">
        <f t="array" ref="T19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2" s="14" t="str" cm="1">
        <f t="array" ref="U19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2" t="str" cm="1">
        <f t="array" ref="V19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2" t="str" cm="1">
        <f t="array" ref="W19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2" t="str">
        <f>IF(COUNTIFS('Base Estudiantes'!$C:$C,tblMatriculas[[#This Row],[Cédula]],'Base Estudiantes'!$I:$I,tblMatriculas[[#This Row],[Código]])&gt;0,"Sí","No")</f>
        <v>Sí</v>
      </c>
      <c r="Z1952" s="23" cm="1">
        <f t="array" ref="Z1952">_xlfn.XLOOKUP(tblMatriculas[[#This Row],[Cédula]]&amp;"|"&amp;tblMatriculas[[#This Row],[Código]],tblBase[Documento]&amp;"|"&amp;tblBase[Código grupo],tblBase[Fecha matrícula],"")</f>
        <v>46275</v>
      </c>
    </row>
    <row r="1953" spans="1:26" x14ac:dyDescent="0.2">
      <c r="A1953" t="s">
        <v>1377</v>
      </c>
      <c r="B1953" t="s">
        <v>1378</v>
      </c>
      <c r="C1953" t="s">
        <v>13</v>
      </c>
      <c r="D1953" t="s">
        <v>3986</v>
      </c>
      <c r="E1953" t="s">
        <v>3987</v>
      </c>
      <c r="F1953" t="s">
        <v>335</v>
      </c>
      <c r="G1953" s="1">
        <v>0.1</v>
      </c>
      <c r="H1953" t="s">
        <v>117</v>
      </c>
      <c r="I1953" t="s">
        <v>3833</v>
      </c>
      <c r="J1953" t="s">
        <v>3834</v>
      </c>
      <c r="K1953" t="s">
        <v>24</v>
      </c>
      <c r="L1953" s="14">
        <f>IFERROR(VALUE(LEFT(tblMatriculas[[#This Row],[Clases]],FIND("/",tblMatriculas[[#This Row],[Clases]])-1)),"")</f>
        <v>3</v>
      </c>
      <c r="M1953" s="14">
        <f>IFERROR(VALUE(MID(tblMatriculas[[#This Row],[Clases]],FIND("/",tblMatriculas[[#This Row],[Clases]])+1,5)),"")</f>
        <v>30</v>
      </c>
      <c r="N19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1953" s="14">
        <f>IF(OR(tblMatriculas[[#This Row],[Estado]]&lt;&gt;"activa",tblMatriculas[[#This Row],[Clases dictadas]]=""),"",MAX(0,tblMatriculas[[#This Row],[Clases dictadas]]-tblMatriculas[[#This Row],[Asistidas]]))</f>
        <v>2</v>
      </c>
      <c r="P1953" s="1">
        <f>IF(OR(tblMatriculas[[#This Row],[Estado]]&lt;&gt;"activa",tblMatriculas[[#This Row],[Asistidas]]=""),"",tblMatriculas[[#This Row],[Asistencia]])</f>
        <v>0.1</v>
      </c>
      <c r="Q1953" t="b">
        <f>AND(tblMatriculas[[#This Row],[Estado]]="activa",ISNUMBER(tblMatriculas[[#This Row],[% asistencia]]),NOT(ISNUMBER(SEARCH(pPrueba,tblMatriculas[[#This Row],[Nombre]]))))</f>
        <v>1</v>
      </c>
      <c r="R19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3" s="23" t="str" cm="1">
        <f t="array" ref="S19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3" s="23" t="str" cm="1">
        <f t="array" ref="T19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3" s="14" t="str" cm="1">
        <f t="array" ref="U19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3" t="str" cm="1">
        <f t="array" ref="V19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3" t="str" cm="1">
        <f t="array" ref="W19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3" t="str">
        <f>IF(COUNTIFS('Base Estudiantes'!$C:$C,tblMatriculas[[#This Row],[Cédula]],'Base Estudiantes'!$I:$I,tblMatriculas[[#This Row],[Código]])&gt;0,"Sí","No")</f>
        <v>Sí</v>
      </c>
      <c r="Z1953" s="23" cm="1">
        <f t="array" ref="Z1953">_xlfn.XLOOKUP(tblMatriculas[[#This Row],[Cédula]]&amp;"|"&amp;tblMatriculas[[#This Row],[Código]],tblBase[Documento]&amp;"|"&amp;tblBase[Código grupo],tblBase[Fecha matrícula],"")</f>
        <v>46281</v>
      </c>
    </row>
    <row r="1954" spans="1:26" x14ac:dyDescent="0.2">
      <c r="A1954" t="s">
        <v>4062</v>
      </c>
      <c r="B1954" t="s">
        <v>4063</v>
      </c>
      <c r="C1954" t="s">
        <v>13</v>
      </c>
      <c r="D1954" t="s">
        <v>4064</v>
      </c>
      <c r="E1954" t="s">
        <v>4065</v>
      </c>
      <c r="F1954" t="s">
        <v>111</v>
      </c>
      <c r="G1954" s="1">
        <v>0.16699999999999998</v>
      </c>
      <c r="H1954" t="s">
        <v>229</v>
      </c>
      <c r="I1954" t="s">
        <v>3833</v>
      </c>
      <c r="J1954" t="s">
        <v>4066</v>
      </c>
      <c r="K1954" t="s">
        <v>3842</v>
      </c>
      <c r="L1954" s="14">
        <f>IFERROR(VALUE(LEFT(tblMatriculas[[#This Row],[Clases]],FIND("/",tblMatriculas[[#This Row],[Clases]])-1)),"")</f>
        <v>5</v>
      </c>
      <c r="M1954" s="14">
        <f>IFERROR(VALUE(MID(tblMatriculas[[#This Row],[Clases]],FIND("/",tblMatriculas[[#This Row],[Clases]])+1,5)),"")</f>
        <v>30</v>
      </c>
      <c r="N19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4" s="14">
        <f>IF(OR(tblMatriculas[[#This Row],[Estado]]&lt;&gt;"activa",tblMatriculas[[#This Row],[Clases dictadas]]=""),"",MAX(0,tblMatriculas[[#This Row],[Clases dictadas]]-tblMatriculas[[#This Row],[Asistidas]]))</f>
        <v>1</v>
      </c>
      <c r="P1954" s="1">
        <f>IF(OR(tblMatriculas[[#This Row],[Estado]]&lt;&gt;"activa",tblMatriculas[[#This Row],[Asistidas]]=""),"",tblMatriculas[[#This Row],[Asistencia]])</f>
        <v>0.16699999999999998</v>
      </c>
      <c r="Q1954" t="b">
        <f>AND(tblMatriculas[[#This Row],[Estado]]="activa",ISNUMBER(tblMatriculas[[#This Row],[% asistencia]]),NOT(ISNUMBER(SEARCH(pPrueba,tblMatriculas[[#This Row],[Nombre]]))))</f>
        <v>1</v>
      </c>
      <c r="R19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4" s="23" t="str" cm="1">
        <f t="array" ref="S19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4" s="23" t="str" cm="1">
        <f t="array" ref="T19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4" s="14" t="str" cm="1">
        <f t="array" ref="U19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4" t="str" cm="1">
        <f t="array" ref="V19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4" t="str" cm="1">
        <f t="array" ref="W19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4" t="str">
        <f>IF(COUNTIFS('Base Estudiantes'!$C:$C,tblMatriculas[[#This Row],[Cédula]],'Base Estudiantes'!$I:$I,tblMatriculas[[#This Row],[Código]])&gt;0,"Sí","No")</f>
        <v>Sí</v>
      </c>
      <c r="Z1954" s="23" cm="1">
        <f t="array" ref="Z1954">_xlfn.XLOOKUP(tblMatriculas[[#This Row],[Cédula]]&amp;"|"&amp;tblMatriculas[[#This Row],[Código]],tblBase[Documento]&amp;"|"&amp;tblBase[Código grupo],tblBase[Fecha matrícula],"")</f>
        <v>46262</v>
      </c>
    </row>
    <row r="1955" spans="1:26" x14ac:dyDescent="0.2">
      <c r="A1955" t="s">
        <v>4067</v>
      </c>
      <c r="B1955" t="s">
        <v>4068</v>
      </c>
      <c r="C1955" t="s">
        <v>13</v>
      </c>
      <c r="D1955" t="s">
        <v>4064</v>
      </c>
      <c r="E1955" t="s">
        <v>4065</v>
      </c>
      <c r="F1955" t="s">
        <v>111</v>
      </c>
      <c r="G1955" s="1">
        <v>0.13300000000000001</v>
      </c>
      <c r="H1955" t="s">
        <v>112</v>
      </c>
      <c r="I1955" t="s">
        <v>3833</v>
      </c>
      <c r="J1955" t="s">
        <v>4066</v>
      </c>
      <c r="K1955" t="s">
        <v>24</v>
      </c>
      <c r="L1955" s="14">
        <f>IFERROR(VALUE(LEFT(tblMatriculas[[#This Row],[Clases]],FIND("/",tblMatriculas[[#This Row],[Clases]])-1)),"")</f>
        <v>4</v>
      </c>
      <c r="M1955" s="14">
        <f>IFERROR(VALUE(MID(tblMatriculas[[#This Row],[Clases]],FIND("/",tblMatriculas[[#This Row],[Clases]])+1,5)),"")</f>
        <v>30</v>
      </c>
      <c r="N19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5" s="14">
        <f>IF(OR(tblMatriculas[[#This Row],[Estado]]&lt;&gt;"activa",tblMatriculas[[#This Row],[Clases dictadas]]=""),"",MAX(0,tblMatriculas[[#This Row],[Clases dictadas]]-tblMatriculas[[#This Row],[Asistidas]]))</f>
        <v>2</v>
      </c>
      <c r="P1955" s="1">
        <f>IF(OR(tblMatriculas[[#This Row],[Estado]]&lt;&gt;"activa",tblMatriculas[[#This Row],[Asistidas]]=""),"",tblMatriculas[[#This Row],[Asistencia]])</f>
        <v>0.13300000000000001</v>
      </c>
      <c r="Q1955" t="b">
        <f>AND(tblMatriculas[[#This Row],[Estado]]="activa",ISNUMBER(tblMatriculas[[#This Row],[% asistencia]]),NOT(ISNUMBER(SEARCH(pPrueba,tblMatriculas[[#This Row],[Nombre]]))))</f>
        <v>1</v>
      </c>
      <c r="R19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5" s="23" t="str" cm="1">
        <f t="array" ref="S19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5" s="23" t="str" cm="1">
        <f t="array" ref="T19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5" s="14" t="str" cm="1">
        <f t="array" ref="U19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5" t="str" cm="1">
        <f t="array" ref="V19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5" t="str" cm="1">
        <f t="array" ref="W19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5" t="str">
        <f>IF(COUNTIFS('Base Estudiantes'!$C:$C,tblMatriculas[[#This Row],[Cédula]],'Base Estudiantes'!$I:$I,tblMatriculas[[#This Row],[Código]])&gt;0,"Sí","No")</f>
        <v>Sí</v>
      </c>
      <c r="Z1955" s="23" cm="1">
        <f t="array" ref="Z1955">_xlfn.XLOOKUP(tblMatriculas[[#This Row],[Cédula]]&amp;"|"&amp;tblMatriculas[[#This Row],[Código]],tblBase[Documento]&amp;"|"&amp;tblBase[Código grupo],tblBase[Fecha matrícula],"")</f>
        <v>46262</v>
      </c>
    </row>
    <row r="1956" spans="1:26" x14ac:dyDescent="0.2">
      <c r="A1956" t="s">
        <v>4069</v>
      </c>
      <c r="B1956" t="s">
        <v>4070</v>
      </c>
      <c r="C1956" t="s">
        <v>13</v>
      </c>
      <c r="D1956" t="s">
        <v>4064</v>
      </c>
      <c r="E1956" t="s">
        <v>4065</v>
      </c>
      <c r="F1956" t="s">
        <v>111</v>
      </c>
      <c r="G1956" s="1">
        <v>0.16699999999999998</v>
      </c>
      <c r="H1956" t="s">
        <v>229</v>
      </c>
      <c r="I1956" t="s">
        <v>3833</v>
      </c>
      <c r="J1956" t="s">
        <v>4066</v>
      </c>
      <c r="K1956" t="s">
        <v>24</v>
      </c>
      <c r="L1956" s="14">
        <f>IFERROR(VALUE(LEFT(tblMatriculas[[#This Row],[Clases]],FIND("/",tblMatriculas[[#This Row],[Clases]])-1)),"")</f>
        <v>5</v>
      </c>
      <c r="M1956" s="14">
        <f>IFERROR(VALUE(MID(tblMatriculas[[#This Row],[Clases]],FIND("/",tblMatriculas[[#This Row],[Clases]])+1,5)),"")</f>
        <v>30</v>
      </c>
      <c r="N19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6" s="14">
        <f>IF(OR(tblMatriculas[[#This Row],[Estado]]&lt;&gt;"activa",tblMatriculas[[#This Row],[Clases dictadas]]=""),"",MAX(0,tblMatriculas[[#This Row],[Clases dictadas]]-tblMatriculas[[#This Row],[Asistidas]]))</f>
        <v>1</v>
      </c>
      <c r="P1956" s="1">
        <f>IF(OR(tblMatriculas[[#This Row],[Estado]]&lt;&gt;"activa",tblMatriculas[[#This Row],[Asistidas]]=""),"",tblMatriculas[[#This Row],[Asistencia]])</f>
        <v>0.16699999999999998</v>
      </c>
      <c r="Q1956" t="b">
        <f>AND(tblMatriculas[[#This Row],[Estado]]="activa",ISNUMBER(tblMatriculas[[#This Row],[% asistencia]]),NOT(ISNUMBER(SEARCH(pPrueba,tblMatriculas[[#This Row],[Nombre]]))))</f>
        <v>1</v>
      </c>
      <c r="R19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6" s="23" t="str" cm="1">
        <f t="array" ref="S19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6" s="23" t="str" cm="1">
        <f t="array" ref="T19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6" s="14" t="str" cm="1">
        <f t="array" ref="U19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6" t="str" cm="1">
        <f t="array" ref="V19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6" t="str" cm="1">
        <f t="array" ref="W19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6" t="str">
        <f>IF(COUNTIFS('Base Estudiantes'!$C:$C,tblMatriculas[[#This Row],[Cédula]],'Base Estudiantes'!$I:$I,tblMatriculas[[#This Row],[Código]])&gt;0,"Sí","No")</f>
        <v>Sí</v>
      </c>
      <c r="Z1956" s="23" cm="1">
        <f t="array" ref="Z1956">_xlfn.XLOOKUP(tblMatriculas[[#This Row],[Cédula]]&amp;"|"&amp;tblMatriculas[[#This Row],[Código]],tblBase[Documento]&amp;"|"&amp;tblBase[Código grupo],tblBase[Fecha matrícula],"")</f>
        <v>46262</v>
      </c>
    </row>
    <row r="1957" spans="1:26" x14ac:dyDescent="0.2">
      <c r="A1957" t="s">
        <v>4071</v>
      </c>
      <c r="B1957" t="s">
        <v>4072</v>
      </c>
      <c r="C1957" t="s">
        <v>49</v>
      </c>
      <c r="D1957" t="s">
        <v>4064</v>
      </c>
      <c r="E1957" t="s">
        <v>4065</v>
      </c>
      <c r="F1957" t="s">
        <v>111</v>
      </c>
      <c r="G1957" s="1">
        <v>0</v>
      </c>
      <c r="H1957" t="s">
        <v>254</v>
      </c>
      <c r="I1957" t="s">
        <v>3833</v>
      </c>
      <c r="J1957" t="s">
        <v>4066</v>
      </c>
      <c r="K1957" t="s">
        <v>24</v>
      </c>
      <c r="L1957" s="14">
        <f>IFERROR(VALUE(LEFT(tblMatriculas[[#This Row],[Clases]],FIND("/",tblMatriculas[[#This Row],[Clases]])-1)),"")</f>
        <v>0</v>
      </c>
      <c r="M1957" s="14">
        <f>IFERROR(VALUE(MID(tblMatriculas[[#This Row],[Clases]],FIND("/",tblMatriculas[[#This Row],[Clases]])+1,5)),"")</f>
        <v>30</v>
      </c>
      <c r="N19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7" s="14" t="str">
        <f>IF(OR(tblMatriculas[[#This Row],[Estado]]&lt;&gt;"activa",tblMatriculas[[#This Row],[Clases dictadas]]=""),"",MAX(0,tblMatriculas[[#This Row],[Clases dictadas]]-tblMatriculas[[#This Row],[Asistidas]]))</f>
        <v/>
      </c>
      <c r="P1957" s="1" t="str">
        <f>IF(OR(tblMatriculas[[#This Row],[Estado]]&lt;&gt;"activa",tblMatriculas[[#This Row],[Asistidas]]=""),"",tblMatriculas[[#This Row],[Asistencia]])</f>
        <v/>
      </c>
      <c r="Q1957" t="b">
        <f>AND(tblMatriculas[[#This Row],[Estado]]="activa",ISNUMBER(tblMatriculas[[#This Row],[% asistencia]]),NOT(ISNUMBER(SEARCH(pPrueba,tblMatriculas[[#This Row],[Nombre]]))))</f>
        <v>0</v>
      </c>
      <c r="R19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57" s="23" t="str" cm="1">
        <f t="array" ref="S19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7" s="23" t="str" cm="1">
        <f t="array" ref="T19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7" s="14" t="str" cm="1">
        <f t="array" ref="U19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7" t="str" cm="1">
        <f t="array" ref="V19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7" t="str" cm="1">
        <f t="array" ref="W19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7" t="str">
        <f>IF(COUNTIFS('Base Estudiantes'!$C:$C,tblMatriculas[[#This Row],[Cédula]],'Base Estudiantes'!$I:$I,tblMatriculas[[#This Row],[Código]])&gt;0,"Sí","No")</f>
        <v>No</v>
      </c>
      <c r="Z1957" s="23" t="str" cm="1">
        <f t="array" ref="Z1957">_xlfn.XLOOKUP(tblMatriculas[[#This Row],[Cédula]]&amp;"|"&amp;tblMatriculas[[#This Row],[Código]],tblBase[Documento]&amp;"|"&amp;tblBase[Código grupo],tblBase[Fecha matrícula],"")</f>
        <v/>
      </c>
    </row>
    <row r="1958" spans="1:26" x14ac:dyDescent="0.2">
      <c r="A1958" t="s">
        <v>4073</v>
      </c>
      <c r="B1958" t="s">
        <v>4074</v>
      </c>
      <c r="C1958" t="s">
        <v>13</v>
      </c>
      <c r="D1958" t="s">
        <v>4064</v>
      </c>
      <c r="E1958" t="s">
        <v>4065</v>
      </c>
      <c r="F1958" t="s">
        <v>111</v>
      </c>
      <c r="G1958" s="1">
        <v>0.2</v>
      </c>
      <c r="H1958" t="s">
        <v>232</v>
      </c>
      <c r="I1958" t="s">
        <v>3833</v>
      </c>
      <c r="J1958" t="s">
        <v>4066</v>
      </c>
      <c r="K1958" t="s">
        <v>3842</v>
      </c>
      <c r="L1958" s="14">
        <f>IFERROR(VALUE(LEFT(tblMatriculas[[#This Row],[Clases]],FIND("/",tblMatriculas[[#This Row],[Clases]])-1)),"")</f>
        <v>6</v>
      </c>
      <c r="M1958" s="14">
        <f>IFERROR(VALUE(MID(tblMatriculas[[#This Row],[Clases]],FIND("/",tblMatriculas[[#This Row],[Clases]])+1,5)),"")</f>
        <v>30</v>
      </c>
      <c r="N19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8" s="14">
        <f>IF(OR(tblMatriculas[[#This Row],[Estado]]&lt;&gt;"activa",tblMatriculas[[#This Row],[Clases dictadas]]=""),"",MAX(0,tblMatriculas[[#This Row],[Clases dictadas]]-tblMatriculas[[#This Row],[Asistidas]]))</f>
        <v>0</v>
      </c>
      <c r="P1958" s="1">
        <f>IF(OR(tblMatriculas[[#This Row],[Estado]]&lt;&gt;"activa",tblMatriculas[[#This Row],[Asistidas]]=""),"",tblMatriculas[[#This Row],[Asistencia]])</f>
        <v>0.2</v>
      </c>
      <c r="Q1958" t="b">
        <f>AND(tblMatriculas[[#This Row],[Estado]]="activa",ISNUMBER(tblMatriculas[[#This Row],[% asistencia]]),NOT(ISNUMBER(SEARCH(pPrueba,tblMatriculas[[#This Row],[Nombre]]))))</f>
        <v>1</v>
      </c>
      <c r="R19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58" s="23" t="str" cm="1">
        <f t="array" ref="S19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8" s="23" t="str" cm="1">
        <f t="array" ref="T19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8" s="14" t="str" cm="1">
        <f t="array" ref="U19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8" t="str" cm="1">
        <f t="array" ref="V19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8" t="str" cm="1">
        <f t="array" ref="W19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5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58" t="str">
        <f>IF(COUNTIFS('Base Estudiantes'!$C:$C,tblMatriculas[[#This Row],[Cédula]],'Base Estudiantes'!$I:$I,tblMatriculas[[#This Row],[Código]])&gt;0,"Sí","No")</f>
        <v>Sí</v>
      </c>
      <c r="Z1958" s="23" cm="1">
        <f t="array" ref="Z1958">_xlfn.XLOOKUP(tblMatriculas[[#This Row],[Cédula]]&amp;"|"&amp;tblMatriculas[[#This Row],[Código]],tblBase[Documento]&amp;"|"&amp;tblBase[Código grupo],tblBase[Fecha matrícula],"")</f>
        <v>46262</v>
      </c>
    </row>
    <row r="1959" spans="1:26" x14ac:dyDescent="0.2">
      <c r="A1959" t="s">
        <v>4075</v>
      </c>
      <c r="B1959" t="s">
        <v>4076</v>
      </c>
      <c r="C1959" t="s">
        <v>13</v>
      </c>
      <c r="D1959" t="s">
        <v>4064</v>
      </c>
      <c r="E1959" t="s">
        <v>4065</v>
      </c>
      <c r="F1959" t="s">
        <v>111</v>
      </c>
      <c r="G1959" s="1">
        <v>3.3000000000000002E-2</v>
      </c>
      <c r="H1959" t="s">
        <v>225</v>
      </c>
      <c r="I1959" t="s">
        <v>3833</v>
      </c>
      <c r="J1959" t="s">
        <v>4066</v>
      </c>
      <c r="K1959" t="s">
        <v>24</v>
      </c>
      <c r="L1959" s="14">
        <f>IFERROR(VALUE(LEFT(tblMatriculas[[#This Row],[Clases]],FIND("/",tblMatriculas[[#This Row],[Clases]])-1)),"")</f>
        <v>1</v>
      </c>
      <c r="M1959" s="14">
        <f>IFERROR(VALUE(MID(tblMatriculas[[#This Row],[Clases]],FIND("/",tblMatriculas[[#This Row],[Clases]])+1,5)),"")</f>
        <v>30</v>
      </c>
      <c r="N19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59" s="14">
        <f>IF(OR(tblMatriculas[[#This Row],[Estado]]&lt;&gt;"activa",tblMatriculas[[#This Row],[Clases dictadas]]=""),"",MAX(0,tblMatriculas[[#This Row],[Clases dictadas]]-tblMatriculas[[#This Row],[Asistidas]]))</f>
        <v>5</v>
      </c>
      <c r="P1959" s="1">
        <f>IF(OR(tblMatriculas[[#This Row],[Estado]]&lt;&gt;"activa",tblMatriculas[[#This Row],[Asistidas]]=""),"",tblMatriculas[[#This Row],[Asistencia]])</f>
        <v>3.3000000000000002E-2</v>
      </c>
      <c r="Q1959" t="b">
        <f>AND(tblMatriculas[[#This Row],[Estado]]="activa",ISNUMBER(tblMatriculas[[#This Row],[% asistencia]]),NOT(ISNUMBER(SEARCH(pPrueba,tblMatriculas[[#This Row],[Nombre]]))))</f>
        <v>1</v>
      </c>
      <c r="R19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959" s="23" t="str" cm="1">
        <f t="array" ref="S19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59" s="23" t="str" cm="1">
        <f t="array" ref="T19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59" s="14" t="str" cm="1">
        <f t="array" ref="U19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59" t="str" cm="1">
        <f t="array" ref="V19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59" t="str" cm="1">
        <f t="array" ref="W19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9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959" t="str">
        <f>IF(COUNTIFS('Base Estudiantes'!$C:$C,tblMatriculas[[#This Row],[Cédula]],'Base Estudiantes'!$I:$I,tblMatriculas[[#This Row],[Código]])&gt;0,"Sí","No")</f>
        <v>Sí</v>
      </c>
      <c r="Z1959" s="23" cm="1">
        <f t="array" ref="Z1959">_xlfn.XLOOKUP(tblMatriculas[[#This Row],[Cédula]]&amp;"|"&amp;tblMatriculas[[#This Row],[Código]],tblBase[Documento]&amp;"|"&amp;tblBase[Código grupo],tblBase[Fecha matrícula],"")</f>
        <v>46262</v>
      </c>
    </row>
    <row r="1960" spans="1:26" x14ac:dyDescent="0.2">
      <c r="A1960" t="s">
        <v>4077</v>
      </c>
      <c r="B1960" t="s">
        <v>4078</v>
      </c>
      <c r="C1960" t="s">
        <v>13</v>
      </c>
      <c r="D1960" t="s">
        <v>4064</v>
      </c>
      <c r="E1960" t="s">
        <v>4065</v>
      </c>
      <c r="F1960" t="s">
        <v>111</v>
      </c>
      <c r="G1960" s="1">
        <v>0.16699999999999998</v>
      </c>
      <c r="H1960" t="s">
        <v>229</v>
      </c>
      <c r="I1960" t="s">
        <v>3833</v>
      </c>
      <c r="J1960" t="s">
        <v>4066</v>
      </c>
      <c r="K1960" t="s">
        <v>24</v>
      </c>
      <c r="L1960" s="14">
        <f>IFERROR(VALUE(LEFT(tblMatriculas[[#This Row],[Clases]],FIND("/",tblMatriculas[[#This Row],[Clases]])-1)),"")</f>
        <v>5</v>
      </c>
      <c r="M1960" s="14">
        <f>IFERROR(VALUE(MID(tblMatriculas[[#This Row],[Clases]],FIND("/",tblMatriculas[[#This Row],[Clases]])+1,5)),"")</f>
        <v>30</v>
      </c>
      <c r="N19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0" s="14">
        <f>IF(OR(tblMatriculas[[#This Row],[Estado]]&lt;&gt;"activa",tblMatriculas[[#This Row],[Clases dictadas]]=""),"",MAX(0,tblMatriculas[[#This Row],[Clases dictadas]]-tblMatriculas[[#This Row],[Asistidas]]))</f>
        <v>1</v>
      </c>
      <c r="P1960" s="1">
        <f>IF(OR(tblMatriculas[[#This Row],[Estado]]&lt;&gt;"activa",tblMatriculas[[#This Row],[Asistidas]]=""),"",tblMatriculas[[#This Row],[Asistencia]])</f>
        <v>0.16699999999999998</v>
      </c>
      <c r="Q1960" t="b">
        <f>AND(tblMatriculas[[#This Row],[Estado]]="activa",ISNUMBER(tblMatriculas[[#This Row],[% asistencia]]),NOT(ISNUMBER(SEARCH(pPrueba,tblMatriculas[[#This Row],[Nombre]]))))</f>
        <v>1</v>
      </c>
      <c r="R19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0" s="23" t="str" cm="1">
        <f t="array" ref="S19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0" s="23" t="str" cm="1">
        <f t="array" ref="T19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0" s="14" t="str" cm="1">
        <f t="array" ref="U19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0" t="str" cm="1">
        <f t="array" ref="V19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0" t="str" cm="1">
        <f t="array" ref="W19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0" t="str">
        <f>IF(COUNTIFS('Base Estudiantes'!$C:$C,tblMatriculas[[#This Row],[Cédula]],'Base Estudiantes'!$I:$I,tblMatriculas[[#This Row],[Código]])&gt;0,"Sí","No")</f>
        <v>Sí</v>
      </c>
      <c r="Z1960" s="23" cm="1">
        <f t="array" ref="Z1960">_xlfn.XLOOKUP(tblMatriculas[[#This Row],[Cédula]]&amp;"|"&amp;tblMatriculas[[#This Row],[Código]],tblBase[Documento]&amp;"|"&amp;tblBase[Código grupo],tblBase[Fecha matrícula],"")</f>
        <v>46262</v>
      </c>
    </row>
    <row r="1961" spans="1:26" x14ac:dyDescent="0.2">
      <c r="A1961" t="s">
        <v>4079</v>
      </c>
      <c r="B1961" t="s">
        <v>4080</v>
      </c>
      <c r="C1961" t="s">
        <v>13</v>
      </c>
      <c r="D1961" t="s">
        <v>4064</v>
      </c>
      <c r="E1961" t="s">
        <v>4065</v>
      </c>
      <c r="F1961" t="s">
        <v>111</v>
      </c>
      <c r="G1961" s="1">
        <v>0</v>
      </c>
      <c r="H1961" t="s">
        <v>254</v>
      </c>
      <c r="I1961" t="s">
        <v>3833</v>
      </c>
      <c r="J1961" t="s">
        <v>4066</v>
      </c>
      <c r="K1961" t="s">
        <v>24</v>
      </c>
      <c r="L1961" s="14">
        <f>IFERROR(VALUE(LEFT(tblMatriculas[[#This Row],[Clases]],FIND("/",tblMatriculas[[#This Row],[Clases]])-1)),"")</f>
        <v>0</v>
      </c>
      <c r="M1961" s="14">
        <f>IFERROR(VALUE(MID(tblMatriculas[[#This Row],[Clases]],FIND("/",tblMatriculas[[#This Row],[Clases]])+1,5)),"")</f>
        <v>30</v>
      </c>
      <c r="N19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1" s="14">
        <f>IF(OR(tblMatriculas[[#This Row],[Estado]]&lt;&gt;"activa",tblMatriculas[[#This Row],[Clases dictadas]]=""),"",MAX(0,tblMatriculas[[#This Row],[Clases dictadas]]-tblMatriculas[[#This Row],[Asistidas]]))</f>
        <v>6</v>
      </c>
      <c r="P1961" s="1">
        <f>IF(OR(tblMatriculas[[#This Row],[Estado]]&lt;&gt;"activa",tblMatriculas[[#This Row],[Asistidas]]=""),"",tblMatriculas[[#This Row],[Asistencia]])</f>
        <v>0</v>
      </c>
      <c r="Q1961" t="b">
        <f>AND(tblMatriculas[[#This Row],[Estado]]="activa",ISNUMBER(tblMatriculas[[#This Row],[% asistencia]]),NOT(ISNUMBER(SEARCH(pPrueba,tblMatriculas[[#This Row],[Nombre]]))))</f>
        <v>1</v>
      </c>
      <c r="R19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61" s="23" t="str" cm="1">
        <f t="array" ref="S19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1" s="23" t="str" cm="1">
        <f t="array" ref="T19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1" s="14" t="str" cm="1">
        <f t="array" ref="U19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1" t="str" cm="1">
        <f t="array" ref="V19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1" t="str" cm="1">
        <f t="array" ref="W19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61" t="str">
        <f>IF(COUNTIFS('Base Estudiantes'!$C:$C,tblMatriculas[[#This Row],[Cédula]],'Base Estudiantes'!$I:$I,tblMatriculas[[#This Row],[Código]])&gt;0,"Sí","No")</f>
        <v>Sí</v>
      </c>
      <c r="Z1961" s="23" cm="1">
        <f t="array" ref="Z1961">_xlfn.XLOOKUP(tblMatriculas[[#This Row],[Cédula]]&amp;"|"&amp;tblMatriculas[[#This Row],[Código]],tblBase[Documento]&amp;"|"&amp;tblBase[Código grupo],tblBase[Fecha matrícula],"")</f>
        <v>46262</v>
      </c>
    </row>
    <row r="1962" spans="1:26" x14ac:dyDescent="0.2">
      <c r="A1962" t="s">
        <v>4081</v>
      </c>
      <c r="B1962" t="s">
        <v>4082</v>
      </c>
      <c r="C1962" t="s">
        <v>13</v>
      </c>
      <c r="D1962" t="s">
        <v>4064</v>
      </c>
      <c r="E1962" t="s">
        <v>4065</v>
      </c>
      <c r="F1962" t="s">
        <v>111</v>
      </c>
      <c r="G1962" s="1">
        <v>0.16699999999999998</v>
      </c>
      <c r="H1962" t="s">
        <v>229</v>
      </c>
      <c r="I1962" t="s">
        <v>3833</v>
      </c>
      <c r="J1962" t="s">
        <v>4066</v>
      </c>
      <c r="K1962" t="s">
        <v>24</v>
      </c>
      <c r="L1962" s="14">
        <f>IFERROR(VALUE(LEFT(tblMatriculas[[#This Row],[Clases]],FIND("/",tblMatriculas[[#This Row],[Clases]])-1)),"")</f>
        <v>5</v>
      </c>
      <c r="M1962" s="14">
        <f>IFERROR(VALUE(MID(tblMatriculas[[#This Row],[Clases]],FIND("/",tblMatriculas[[#This Row],[Clases]])+1,5)),"")</f>
        <v>30</v>
      </c>
      <c r="N19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2" s="14">
        <f>IF(OR(tblMatriculas[[#This Row],[Estado]]&lt;&gt;"activa",tblMatriculas[[#This Row],[Clases dictadas]]=""),"",MAX(0,tblMatriculas[[#This Row],[Clases dictadas]]-tblMatriculas[[#This Row],[Asistidas]]))</f>
        <v>1</v>
      </c>
      <c r="P1962" s="1">
        <f>IF(OR(tblMatriculas[[#This Row],[Estado]]&lt;&gt;"activa",tblMatriculas[[#This Row],[Asistidas]]=""),"",tblMatriculas[[#This Row],[Asistencia]])</f>
        <v>0.16699999999999998</v>
      </c>
      <c r="Q1962" t="b">
        <f>AND(tblMatriculas[[#This Row],[Estado]]="activa",ISNUMBER(tblMatriculas[[#This Row],[% asistencia]]),NOT(ISNUMBER(SEARCH(pPrueba,tblMatriculas[[#This Row],[Nombre]]))))</f>
        <v>1</v>
      </c>
      <c r="R19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2" s="23" t="str" cm="1">
        <f t="array" ref="S19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2" s="23" t="str" cm="1">
        <f t="array" ref="T19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2" s="14" t="str" cm="1">
        <f t="array" ref="U19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2" t="str" cm="1">
        <f t="array" ref="V19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2" t="str" cm="1">
        <f t="array" ref="W19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2" t="str">
        <f>IF(COUNTIFS('Base Estudiantes'!$C:$C,tblMatriculas[[#This Row],[Cédula]],'Base Estudiantes'!$I:$I,tblMatriculas[[#This Row],[Código]])&gt;0,"Sí","No")</f>
        <v>Sí</v>
      </c>
      <c r="Z1962" s="23" cm="1">
        <f t="array" ref="Z1962">_xlfn.XLOOKUP(tblMatriculas[[#This Row],[Cédula]]&amp;"|"&amp;tblMatriculas[[#This Row],[Código]],tblBase[Documento]&amp;"|"&amp;tblBase[Código grupo],tblBase[Fecha matrícula],"")</f>
        <v>46262</v>
      </c>
    </row>
    <row r="1963" spans="1:26" x14ac:dyDescent="0.2">
      <c r="A1963" t="s">
        <v>4083</v>
      </c>
      <c r="B1963" t="s">
        <v>4084</v>
      </c>
      <c r="C1963" t="s">
        <v>13</v>
      </c>
      <c r="D1963" t="s">
        <v>4064</v>
      </c>
      <c r="E1963" t="s">
        <v>4065</v>
      </c>
      <c r="F1963" t="s">
        <v>111</v>
      </c>
      <c r="G1963" s="1">
        <v>0.16699999999999998</v>
      </c>
      <c r="H1963" t="s">
        <v>229</v>
      </c>
      <c r="I1963" t="s">
        <v>3833</v>
      </c>
      <c r="J1963" t="s">
        <v>4066</v>
      </c>
      <c r="K1963" t="s">
        <v>24</v>
      </c>
      <c r="L1963" s="14">
        <f>IFERROR(VALUE(LEFT(tblMatriculas[[#This Row],[Clases]],FIND("/",tblMatriculas[[#This Row],[Clases]])-1)),"")</f>
        <v>5</v>
      </c>
      <c r="M1963" s="14">
        <f>IFERROR(VALUE(MID(tblMatriculas[[#This Row],[Clases]],FIND("/",tblMatriculas[[#This Row],[Clases]])+1,5)),"")</f>
        <v>30</v>
      </c>
      <c r="N19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3" s="14">
        <f>IF(OR(tblMatriculas[[#This Row],[Estado]]&lt;&gt;"activa",tblMatriculas[[#This Row],[Clases dictadas]]=""),"",MAX(0,tblMatriculas[[#This Row],[Clases dictadas]]-tblMatriculas[[#This Row],[Asistidas]]))</f>
        <v>1</v>
      </c>
      <c r="P1963" s="1">
        <f>IF(OR(tblMatriculas[[#This Row],[Estado]]&lt;&gt;"activa",tblMatriculas[[#This Row],[Asistidas]]=""),"",tblMatriculas[[#This Row],[Asistencia]])</f>
        <v>0.16699999999999998</v>
      </c>
      <c r="Q1963" t="b">
        <f>AND(tblMatriculas[[#This Row],[Estado]]="activa",ISNUMBER(tblMatriculas[[#This Row],[% asistencia]]),NOT(ISNUMBER(SEARCH(pPrueba,tblMatriculas[[#This Row],[Nombre]]))))</f>
        <v>1</v>
      </c>
      <c r="R19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3" s="23" t="str" cm="1">
        <f t="array" ref="S19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3" s="23" t="str" cm="1">
        <f t="array" ref="T19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3" s="14" t="str" cm="1">
        <f t="array" ref="U19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3" t="str" cm="1">
        <f t="array" ref="V19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3" t="str" cm="1">
        <f t="array" ref="W19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3" t="str">
        <f>IF(COUNTIFS('Base Estudiantes'!$C:$C,tblMatriculas[[#This Row],[Cédula]],'Base Estudiantes'!$I:$I,tblMatriculas[[#This Row],[Código]])&gt;0,"Sí","No")</f>
        <v>Sí</v>
      </c>
      <c r="Z1963" s="23" cm="1">
        <f t="array" ref="Z1963">_xlfn.XLOOKUP(tblMatriculas[[#This Row],[Cédula]]&amp;"|"&amp;tblMatriculas[[#This Row],[Código]],tblBase[Documento]&amp;"|"&amp;tblBase[Código grupo],tblBase[Fecha matrícula],"")</f>
        <v>46262</v>
      </c>
    </row>
    <row r="1964" spans="1:26" x14ac:dyDescent="0.2">
      <c r="A1964" t="s">
        <v>4085</v>
      </c>
      <c r="B1964" t="s">
        <v>4086</v>
      </c>
      <c r="C1964" t="s">
        <v>13</v>
      </c>
      <c r="D1964" t="s">
        <v>4064</v>
      </c>
      <c r="E1964" t="s">
        <v>4065</v>
      </c>
      <c r="F1964" t="s">
        <v>111</v>
      </c>
      <c r="G1964" s="1">
        <v>0.16699999999999998</v>
      </c>
      <c r="H1964" t="s">
        <v>229</v>
      </c>
      <c r="I1964" t="s">
        <v>3833</v>
      </c>
      <c r="J1964" t="s">
        <v>4066</v>
      </c>
      <c r="K1964" t="s">
        <v>24</v>
      </c>
      <c r="L1964" s="14">
        <f>IFERROR(VALUE(LEFT(tblMatriculas[[#This Row],[Clases]],FIND("/",tblMatriculas[[#This Row],[Clases]])-1)),"")</f>
        <v>5</v>
      </c>
      <c r="M1964" s="14">
        <f>IFERROR(VALUE(MID(tblMatriculas[[#This Row],[Clases]],FIND("/",tblMatriculas[[#This Row],[Clases]])+1,5)),"")</f>
        <v>30</v>
      </c>
      <c r="N19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4" s="14">
        <f>IF(OR(tblMatriculas[[#This Row],[Estado]]&lt;&gt;"activa",tblMatriculas[[#This Row],[Clases dictadas]]=""),"",MAX(0,tblMatriculas[[#This Row],[Clases dictadas]]-tblMatriculas[[#This Row],[Asistidas]]))</f>
        <v>1</v>
      </c>
      <c r="P1964" s="1">
        <f>IF(OR(tblMatriculas[[#This Row],[Estado]]&lt;&gt;"activa",tblMatriculas[[#This Row],[Asistidas]]=""),"",tblMatriculas[[#This Row],[Asistencia]])</f>
        <v>0.16699999999999998</v>
      </c>
      <c r="Q1964" t="b">
        <f>AND(tblMatriculas[[#This Row],[Estado]]="activa",ISNUMBER(tblMatriculas[[#This Row],[% asistencia]]),NOT(ISNUMBER(SEARCH(pPrueba,tblMatriculas[[#This Row],[Nombre]]))))</f>
        <v>1</v>
      </c>
      <c r="R19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4" s="23" t="str" cm="1">
        <f t="array" ref="S19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4" s="23" t="str" cm="1">
        <f t="array" ref="T19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4" s="14" t="str" cm="1">
        <f t="array" ref="U19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4" t="str" cm="1">
        <f t="array" ref="V19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4" t="str" cm="1">
        <f t="array" ref="W19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4" t="str">
        <f>IF(COUNTIFS('Base Estudiantes'!$C:$C,tblMatriculas[[#This Row],[Cédula]],'Base Estudiantes'!$I:$I,tblMatriculas[[#This Row],[Código]])&gt;0,"Sí","No")</f>
        <v>Sí</v>
      </c>
      <c r="Z1964" s="23" cm="1">
        <f t="array" ref="Z1964">_xlfn.XLOOKUP(tblMatriculas[[#This Row],[Cédula]]&amp;"|"&amp;tblMatriculas[[#This Row],[Código]],tblBase[Documento]&amp;"|"&amp;tblBase[Código grupo],tblBase[Fecha matrícula],"")</f>
        <v>46262</v>
      </c>
    </row>
    <row r="1965" spans="1:26" x14ac:dyDescent="0.2">
      <c r="A1965" t="s">
        <v>4087</v>
      </c>
      <c r="B1965" t="s">
        <v>4088</v>
      </c>
      <c r="C1965" t="s">
        <v>13</v>
      </c>
      <c r="D1965" t="s">
        <v>4064</v>
      </c>
      <c r="E1965" t="s">
        <v>4065</v>
      </c>
      <c r="F1965" t="s">
        <v>111</v>
      </c>
      <c r="G1965" s="1">
        <v>0.13300000000000001</v>
      </c>
      <c r="H1965" t="s">
        <v>112</v>
      </c>
      <c r="I1965" t="s">
        <v>3833</v>
      </c>
      <c r="J1965" t="s">
        <v>4066</v>
      </c>
      <c r="K1965" t="s">
        <v>24</v>
      </c>
      <c r="L1965" s="14">
        <f>IFERROR(VALUE(LEFT(tblMatriculas[[#This Row],[Clases]],FIND("/",tblMatriculas[[#This Row],[Clases]])-1)),"")</f>
        <v>4</v>
      </c>
      <c r="M1965" s="14">
        <f>IFERROR(VALUE(MID(tblMatriculas[[#This Row],[Clases]],FIND("/",tblMatriculas[[#This Row],[Clases]])+1,5)),"")</f>
        <v>30</v>
      </c>
      <c r="N19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5" s="14">
        <f>IF(OR(tblMatriculas[[#This Row],[Estado]]&lt;&gt;"activa",tblMatriculas[[#This Row],[Clases dictadas]]=""),"",MAX(0,tblMatriculas[[#This Row],[Clases dictadas]]-tblMatriculas[[#This Row],[Asistidas]]))</f>
        <v>2</v>
      </c>
      <c r="P1965" s="1">
        <f>IF(OR(tblMatriculas[[#This Row],[Estado]]&lt;&gt;"activa",tblMatriculas[[#This Row],[Asistidas]]=""),"",tblMatriculas[[#This Row],[Asistencia]])</f>
        <v>0.13300000000000001</v>
      </c>
      <c r="Q1965" t="b">
        <f>AND(tblMatriculas[[#This Row],[Estado]]="activa",ISNUMBER(tblMatriculas[[#This Row],[% asistencia]]),NOT(ISNUMBER(SEARCH(pPrueba,tblMatriculas[[#This Row],[Nombre]]))))</f>
        <v>1</v>
      </c>
      <c r="R19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5" s="23" t="str" cm="1">
        <f t="array" ref="S19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5" s="23" t="str" cm="1">
        <f t="array" ref="T19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5" s="14" t="str" cm="1">
        <f t="array" ref="U19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5" t="str" cm="1">
        <f t="array" ref="V19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5" t="str" cm="1">
        <f t="array" ref="W19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5" t="str">
        <f>IF(COUNTIFS('Base Estudiantes'!$C:$C,tblMatriculas[[#This Row],[Cédula]],'Base Estudiantes'!$I:$I,tblMatriculas[[#This Row],[Código]])&gt;0,"Sí","No")</f>
        <v>Sí</v>
      </c>
      <c r="Z1965" s="23" cm="1">
        <f t="array" ref="Z1965">_xlfn.XLOOKUP(tblMatriculas[[#This Row],[Cédula]]&amp;"|"&amp;tblMatriculas[[#This Row],[Código]],tblBase[Documento]&amp;"|"&amp;tblBase[Código grupo],tblBase[Fecha matrícula],"")</f>
        <v>46262</v>
      </c>
    </row>
    <row r="1966" spans="1:26" x14ac:dyDescent="0.2">
      <c r="A1966" t="s">
        <v>327</v>
      </c>
      <c r="B1966" t="s">
        <v>328</v>
      </c>
      <c r="C1966" t="s">
        <v>49</v>
      </c>
      <c r="D1966" t="s">
        <v>4064</v>
      </c>
      <c r="E1966" t="s">
        <v>4065</v>
      </c>
      <c r="F1966" t="s">
        <v>111</v>
      </c>
      <c r="G1966" s="1">
        <v>0</v>
      </c>
      <c r="H1966" t="s">
        <v>254</v>
      </c>
      <c r="I1966" t="s">
        <v>3833</v>
      </c>
      <c r="J1966" t="s">
        <v>4066</v>
      </c>
      <c r="K1966" t="s">
        <v>24</v>
      </c>
      <c r="L1966" s="14">
        <f>IFERROR(VALUE(LEFT(tblMatriculas[[#This Row],[Clases]],FIND("/",tblMatriculas[[#This Row],[Clases]])-1)),"")</f>
        <v>0</v>
      </c>
      <c r="M1966" s="14">
        <f>IFERROR(VALUE(MID(tblMatriculas[[#This Row],[Clases]],FIND("/",tblMatriculas[[#This Row],[Clases]])+1,5)),"")</f>
        <v>30</v>
      </c>
      <c r="N19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6" s="14" t="str">
        <f>IF(OR(tblMatriculas[[#This Row],[Estado]]&lt;&gt;"activa",tblMatriculas[[#This Row],[Clases dictadas]]=""),"",MAX(0,tblMatriculas[[#This Row],[Clases dictadas]]-tblMatriculas[[#This Row],[Asistidas]]))</f>
        <v/>
      </c>
      <c r="P1966" s="1" t="str">
        <f>IF(OR(tblMatriculas[[#This Row],[Estado]]&lt;&gt;"activa",tblMatriculas[[#This Row],[Asistidas]]=""),"",tblMatriculas[[#This Row],[Asistencia]])</f>
        <v/>
      </c>
      <c r="Q1966" t="b">
        <f>AND(tblMatriculas[[#This Row],[Estado]]="activa",ISNUMBER(tblMatriculas[[#This Row],[% asistencia]]),NOT(ISNUMBER(SEARCH(pPrueba,tblMatriculas[[#This Row],[Nombre]]))))</f>
        <v>0</v>
      </c>
      <c r="R19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66" s="23" t="str" cm="1">
        <f t="array" ref="S19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6" s="23" t="str" cm="1">
        <f t="array" ref="T19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6" s="14" t="str" cm="1">
        <f t="array" ref="U19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6" t="str" cm="1">
        <f t="array" ref="V19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6" t="str" cm="1">
        <f t="array" ref="W19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6" t="str">
        <f>IF(COUNTIFS('Base Estudiantes'!$C:$C,tblMatriculas[[#This Row],[Cédula]],'Base Estudiantes'!$I:$I,tblMatriculas[[#This Row],[Código]])&gt;0,"Sí","No")</f>
        <v>No</v>
      </c>
      <c r="Z1966" s="23" t="str" cm="1">
        <f t="array" ref="Z1966">_xlfn.XLOOKUP(tblMatriculas[[#This Row],[Cédula]]&amp;"|"&amp;tblMatriculas[[#This Row],[Código]],tblBase[Documento]&amp;"|"&amp;tblBase[Código grupo],tblBase[Fecha matrícula],"")</f>
        <v/>
      </c>
    </row>
    <row r="1967" spans="1:26" x14ac:dyDescent="0.2">
      <c r="A1967" t="s">
        <v>4089</v>
      </c>
      <c r="B1967" t="s">
        <v>4090</v>
      </c>
      <c r="C1967" t="s">
        <v>13</v>
      </c>
      <c r="D1967" t="s">
        <v>4064</v>
      </c>
      <c r="E1967" t="s">
        <v>4065</v>
      </c>
      <c r="F1967" t="s">
        <v>111</v>
      </c>
      <c r="G1967" s="1">
        <v>0.13300000000000001</v>
      </c>
      <c r="H1967" t="s">
        <v>112</v>
      </c>
      <c r="I1967" t="s">
        <v>3833</v>
      </c>
      <c r="J1967" t="s">
        <v>4066</v>
      </c>
      <c r="K1967" t="s">
        <v>24</v>
      </c>
      <c r="L1967" s="14">
        <f>IFERROR(VALUE(LEFT(tblMatriculas[[#This Row],[Clases]],FIND("/",tblMatriculas[[#This Row],[Clases]])-1)),"")</f>
        <v>4</v>
      </c>
      <c r="M1967" s="14">
        <f>IFERROR(VALUE(MID(tblMatriculas[[#This Row],[Clases]],FIND("/",tblMatriculas[[#This Row],[Clases]])+1,5)),"")</f>
        <v>30</v>
      </c>
      <c r="N19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7" s="14">
        <f>IF(OR(tblMatriculas[[#This Row],[Estado]]&lt;&gt;"activa",tblMatriculas[[#This Row],[Clases dictadas]]=""),"",MAX(0,tblMatriculas[[#This Row],[Clases dictadas]]-tblMatriculas[[#This Row],[Asistidas]]))</f>
        <v>2</v>
      </c>
      <c r="P1967" s="1">
        <f>IF(OR(tblMatriculas[[#This Row],[Estado]]&lt;&gt;"activa",tblMatriculas[[#This Row],[Asistidas]]=""),"",tblMatriculas[[#This Row],[Asistencia]])</f>
        <v>0.13300000000000001</v>
      </c>
      <c r="Q1967" t="b">
        <f>AND(tblMatriculas[[#This Row],[Estado]]="activa",ISNUMBER(tblMatriculas[[#This Row],[% asistencia]]),NOT(ISNUMBER(SEARCH(pPrueba,tblMatriculas[[#This Row],[Nombre]]))))</f>
        <v>1</v>
      </c>
      <c r="R19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67" s="23" t="str" cm="1">
        <f t="array" ref="S19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7" s="23" t="str" cm="1">
        <f t="array" ref="T19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7" s="14" t="str" cm="1">
        <f t="array" ref="U19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7" t="str" cm="1">
        <f t="array" ref="V19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7" t="str" cm="1">
        <f t="array" ref="W19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6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67" t="str">
        <f>IF(COUNTIFS('Base Estudiantes'!$C:$C,tblMatriculas[[#This Row],[Cédula]],'Base Estudiantes'!$I:$I,tblMatriculas[[#This Row],[Código]])&gt;0,"Sí","No")</f>
        <v>Sí</v>
      </c>
      <c r="Z1967" s="23" cm="1">
        <f t="array" ref="Z1967">_xlfn.XLOOKUP(tblMatriculas[[#This Row],[Cédula]]&amp;"|"&amp;tblMatriculas[[#This Row],[Código]],tblBase[Documento]&amp;"|"&amp;tblBase[Código grupo],tblBase[Fecha matrícula],"")</f>
        <v>46262</v>
      </c>
    </row>
    <row r="1968" spans="1:26" x14ac:dyDescent="0.2">
      <c r="A1968" t="s">
        <v>4091</v>
      </c>
      <c r="B1968" t="s">
        <v>4092</v>
      </c>
      <c r="C1968" t="s">
        <v>13</v>
      </c>
      <c r="D1968" t="s">
        <v>4064</v>
      </c>
      <c r="E1968" t="s">
        <v>4065</v>
      </c>
      <c r="F1968" t="s">
        <v>111</v>
      </c>
      <c r="G1968" s="1">
        <v>0</v>
      </c>
      <c r="H1968" t="s">
        <v>254</v>
      </c>
      <c r="I1968" t="s">
        <v>3833</v>
      </c>
      <c r="J1968" t="s">
        <v>4066</v>
      </c>
      <c r="K1968" t="s">
        <v>24</v>
      </c>
      <c r="L1968" s="14">
        <f>IFERROR(VALUE(LEFT(tblMatriculas[[#This Row],[Clases]],FIND("/",tblMatriculas[[#This Row],[Clases]])-1)),"")</f>
        <v>0</v>
      </c>
      <c r="M1968" s="14">
        <f>IFERROR(VALUE(MID(tblMatriculas[[#This Row],[Clases]],FIND("/",tblMatriculas[[#This Row],[Clases]])+1,5)),"")</f>
        <v>30</v>
      </c>
      <c r="N19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8" s="14">
        <f>IF(OR(tblMatriculas[[#This Row],[Estado]]&lt;&gt;"activa",tblMatriculas[[#This Row],[Clases dictadas]]=""),"",MAX(0,tblMatriculas[[#This Row],[Clases dictadas]]-tblMatriculas[[#This Row],[Asistidas]]))</f>
        <v>6</v>
      </c>
      <c r="P1968" s="1">
        <f>IF(OR(tblMatriculas[[#This Row],[Estado]]&lt;&gt;"activa",tblMatriculas[[#This Row],[Asistidas]]=""),"",tblMatriculas[[#This Row],[Asistencia]])</f>
        <v>0</v>
      </c>
      <c r="Q1968" t="b">
        <f>AND(tblMatriculas[[#This Row],[Estado]]="activa",ISNUMBER(tblMatriculas[[#This Row],[% asistencia]]),NOT(ISNUMBER(SEARCH(pPrueba,tblMatriculas[[#This Row],[Nombre]]))))</f>
        <v>1</v>
      </c>
      <c r="R19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68" s="23" t="str" cm="1">
        <f t="array" ref="S19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8" s="23" t="str" cm="1">
        <f t="array" ref="T19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8" s="14" t="str" cm="1">
        <f t="array" ref="U19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8" t="str" cm="1">
        <f t="array" ref="V19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8" t="str" cm="1">
        <f t="array" ref="W19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68" t="str">
        <f>IF(COUNTIFS('Base Estudiantes'!$C:$C,tblMatriculas[[#This Row],[Cédula]],'Base Estudiantes'!$I:$I,tblMatriculas[[#This Row],[Código]])&gt;0,"Sí","No")</f>
        <v>Sí</v>
      </c>
      <c r="Z1968" s="23" cm="1">
        <f t="array" ref="Z1968">_xlfn.XLOOKUP(tblMatriculas[[#This Row],[Cédula]]&amp;"|"&amp;tblMatriculas[[#This Row],[Código]],tblBase[Documento]&amp;"|"&amp;tblBase[Código grupo],tblBase[Fecha matrícula],"")</f>
        <v>46262</v>
      </c>
    </row>
    <row r="1969" spans="1:26" x14ac:dyDescent="0.2">
      <c r="A1969" t="s">
        <v>4093</v>
      </c>
      <c r="B1969" t="s">
        <v>4094</v>
      </c>
      <c r="C1969" t="s">
        <v>13</v>
      </c>
      <c r="D1969" t="s">
        <v>4064</v>
      </c>
      <c r="E1969" t="s">
        <v>4065</v>
      </c>
      <c r="F1969" t="s">
        <v>111</v>
      </c>
      <c r="G1969" s="1">
        <v>0</v>
      </c>
      <c r="H1969" t="s">
        <v>254</v>
      </c>
      <c r="I1969" t="s">
        <v>3833</v>
      </c>
      <c r="J1969" t="s">
        <v>4066</v>
      </c>
      <c r="K1969" t="s">
        <v>24</v>
      </c>
      <c r="L1969" s="14">
        <f>IFERROR(VALUE(LEFT(tblMatriculas[[#This Row],[Clases]],FIND("/",tblMatriculas[[#This Row],[Clases]])-1)),"")</f>
        <v>0</v>
      </c>
      <c r="M1969" s="14">
        <f>IFERROR(VALUE(MID(tblMatriculas[[#This Row],[Clases]],FIND("/",tblMatriculas[[#This Row],[Clases]])+1,5)),"")</f>
        <v>30</v>
      </c>
      <c r="N19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69" s="14">
        <f>IF(OR(tblMatriculas[[#This Row],[Estado]]&lt;&gt;"activa",tblMatriculas[[#This Row],[Clases dictadas]]=""),"",MAX(0,tblMatriculas[[#This Row],[Clases dictadas]]-tblMatriculas[[#This Row],[Asistidas]]))</f>
        <v>6</v>
      </c>
      <c r="P1969" s="1">
        <f>IF(OR(tblMatriculas[[#This Row],[Estado]]&lt;&gt;"activa",tblMatriculas[[#This Row],[Asistidas]]=""),"",tblMatriculas[[#This Row],[Asistencia]])</f>
        <v>0</v>
      </c>
      <c r="Q1969" t="b">
        <f>AND(tblMatriculas[[#This Row],[Estado]]="activa",ISNUMBER(tblMatriculas[[#This Row],[% asistencia]]),NOT(ISNUMBER(SEARCH(pPrueba,tblMatriculas[[#This Row],[Nombre]]))))</f>
        <v>1</v>
      </c>
      <c r="R19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69" s="23" t="str" cm="1">
        <f t="array" ref="S19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69" s="23" t="str" cm="1">
        <f t="array" ref="T19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69" s="14" t="str" cm="1">
        <f t="array" ref="U19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69" t="str" cm="1">
        <f t="array" ref="V19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69" t="str" cm="1">
        <f t="array" ref="W19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69" t="str">
        <f>IF(COUNTIFS('Base Estudiantes'!$C:$C,tblMatriculas[[#This Row],[Cédula]],'Base Estudiantes'!$I:$I,tblMatriculas[[#This Row],[Código]])&gt;0,"Sí","No")</f>
        <v>Sí</v>
      </c>
      <c r="Z1969" s="23" cm="1">
        <f t="array" ref="Z1969">_xlfn.XLOOKUP(tblMatriculas[[#This Row],[Cédula]]&amp;"|"&amp;tblMatriculas[[#This Row],[Código]],tblBase[Documento]&amp;"|"&amp;tblBase[Código grupo],tblBase[Fecha matrícula],"")</f>
        <v>46262</v>
      </c>
    </row>
    <row r="1970" spans="1:26" x14ac:dyDescent="0.2">
      <c r="A1970" t="s">
        <v>2163</v>
      </c>
      <c r="B1970" t="s">
        <v>2164</v>
      </c>
      <c r="C1970" t="s">
        <v>49</v>
      </c>
      <c r="D1970" t="s">
        <v>4064</v>
      </c>
      <c r="E1970" t="s">
        <v>4065</v>
      </c>
      <c r="F1970" t="s">
        <v>111</v>
      </c>
      <c r="G1970" s="1">
        <v>0</v>
      </c>
      <c r="H1970" t="s">
        <v>254</v>
      </c>
      <c r="I1970" t="s">
        <v>3833</v>
      </c>
      <c r="J1970" t="s">
        <v>4066</v>
      </c>
      <c r="K1970" t="s">
        <v>24</v>
      </c>
      <c r="L1970" s="14">
        <f>IFERROR(VALUE(LEFT(tblMatriculas[[#This Row],[Clases]],FIND("/",tblMatriculas[[#This Row],[Clases]])-1)),"")</f>
        <v>0</v>
      </c>
      <c r="M1970" s="14">
        <f>IFERROR(VALUE(MID(tblMatriculas[[#This Row],[Clases]],FIND("/",tblMatriculas[[#This Row],[Clases]])+1,5)),"")</f>
        <v>30</v>
      </c>
      <c r="N19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0" s="14" t="str">
        <f>IF(OR(tblMatriculas[[#This Row],[Estado]]&lt;&gt;"activa",tblMatriculas[[#This Row],[Clases dictadas]]=""),"",MAX(0,tblMatriculas[[#This Row],[Clases dictadas]]-tblMatriculas[[#This Row],[Asistidas]]))</f>
        <v/>
      </c>
      <c r="P1970" s="1" t="str">
        <f>IF(OR(tblMatriculas[[#This Row],[Estado]]&lt;&gt;"activa",tblMatriculas[[#This Row],[Asistidas]]=""),"",tblMatriculas[[#This Row],[Asistencia]])</f>
        <v/>
      </c>
      <c r="Q1970" t="b">
        <f>AND(tblMatriculas[[#This Row],[Estado]]="activa",ISNUMBER(tblMatriculas[[#This Row],[% asistencia]]),NOT(ISNUMBER(SEARCH(pPrueba,tblMatriculas[[#This Row],[Nombre]]))))</f>
        <v>0</v>
      </c>
      <c r="R19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1970" s="23" t="str" cm="1">
        <f t="array" ref="S19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0" s="23" t="str" cm="1">
        <f t="array" ref="T19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0" s="14" t="str" cm="1">
        <f t="array" ref="U19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0" t="str" cm="1">
        <f t="array" ref="V19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0" t="str" cm="1">
        <f t="array" ref="W19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0" t="str">
        <f>IF(COUNTIFS('Base Estudiantes'!$C:$C,tblMatriculas[[#This Row],[Cédula]],'Base Estudiantes'!$I:$I,tblMatriculas[[#This Row],[Código]])&gt;0,"Sí","No")</f>
        <v>No</v>
      </c>
      <c r="Z1970" s="23" t="str" cm="1">
        <f t="array" ref="Z1970">_xlfn.XLOOKUP(tblMatriculas[[#This Row],[Cédula]]&amp;"|"&amp;tblMatriculas[[#This Row],[Código]],tblBase[Documento]&amp;"|"&amp;tblBase[Código grupo],tblBase[Fecha matrícula],"")</f>
        <v/>
      </c>
    </row>
    <row r="1971" spans="1:26" x14ac:dyDescent="0.2">
      <c r="A1971" t="s">
        <v>4095</v>
      </c>
      <c r="B1971" t="s">
        <v>4096</v>
      </c>
      <c r="C1971" t="s">
        <v>13</v>
      </c>
      <c r="D1971" t="s">
        <v>4064</v>
      </c>
      <c r="E1971" t="s">
        <v>4065</v>
      </c>
      <c r="F1971" t="s">
        <v>111</v>
      </c>
      <c r="G1971" s="1">
        <v>0.13300000000000001</v>
      </c>
      <c r="H1971" t="s">
        <v>112</v>
      </c>
      <c r="I1971" t="s">
        <v>3833</v>
      </c>
      <c r="J1971" t="s">
        <v>4066</v>
      </c>
      <c r="K1971" t="s">
        <v>24</v>
      </c>
      <c r="L1971" s="14">
        <f>IFERROR(VALUE(LEFT(tblMatriculas[[#This Row],[Clases]],FIND("/",tblMatriculas[[#This Row],[Clases]])-1)),"")</f>
        <v>4</v>
      </c>
      <c r="M1971" s="14">
        <f>IFERROR(VALUE(MID(tblMatriculas[[#This Row],[Clases]],FIND("/",tblMatriculas[[#This Row],[Clases]])+1,5)),"")</f>
        <v>30</v>
      </c>
      <c r="N19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1" s="14">
        <f>IF(OR(tblMatriculas[[#This Row],[Estado]]&lt;&gt;"activa",tblMatriculas[[#This Row],[Clases dictadas]]=""),"",MAX(0,tblMatriculas[[#This Row],[Clases dictadas]]-tblMatriculas[[#This Row],[Asistidas]]))</f>
        <v>2</v>
      </c>
      <c r="P1971" s="1">
        <f>IF(OR(tblMatriculas[[#This Row],[Estado]]&lt;&gt;"activa",tblMatriculas[[#This Row],[Asistidas]]=""),"",tblMatriculas[[#This Row],[Asistencia]])</f>
        <v>0.13300000000000001</v>
      </c>
      <c r="Q1971" t="b">
        <f>AND(tblMatriculas[[#This Row],[Estado]]="activa",ISNUMBER(tblMatriculas[[#This Row],[% asistencia]]),NOT(ISNUMBER(SEARCH(pPrueba,tblMatriculas[[#This Row],[Nombre]]))))</f>
        <v>1</v>
      </c>
      <c r="R19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1" s="23" t="str" cm="1">
        <f t="array" ref="S19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1" s="23" t="str" cm="1">
        <f t="array" ref="T19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1" s="14" t="str" cm="1">
        <f t="array" ref="U19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1" t="str" cm="1">
        <f t="array" ref="V19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1" t="str" cm="1">
        <f t="array" ref="W19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1" t="str">
        <f>IF(COUNTIFS('Base Estudiantes'!$C:$C,tblMatriculas[[#This Row],[Cédula]],'Base Estudiantes'!$I:$I,tblMatriculas[[#This Row],[Código]])&gt;0,"Sí","No")</f>
        <v>Sí</v>
      </c>
      <c r="Z1971" s="23" cm="1">
        <f t="array" ref="Z1971">_xlfn.XLOOKUP(tblMatriculas[[#This Row],[Cédula]]&amp;"|"&amp;tblMatriculas[[#This Row],[Código]],tblBase[Documento]&amp;"|"&amp;tblBase[Código grupo],tblBase[Fecha matrícula],"")</f>
        <v>46262</v>
      </c>
    </row>
    <row r="1972" spans="1:26" x14ac:dyDescent="0.2">
      <c r="A1972" t="s">
        <v>4097</v>
      </c>
      <c r="B1972" t="s">
        <v>4098</v>
      </c>
      <c r="C1972" t="s">
        <v>13</v>
      </c>
      <c r="D1972" t="s">
        <v>4064</v>
      </c>
      <c r="E1972" t="s">
        <v>4065</v>
      </c>
      <c r="F1972" t="s">
        <v>111</v>
      </c>
      <c r="G1972" s="1">
        <v>0.13300000000000001</v>
      </c>
      <c r="H1972" t="s">
        <v>112</v>
      </c>
      <c r="I1972" t="s">
        <v>3833</v>
      </c>
      <c r="J1972" t="s">
        <v>4066</v>
      </c>
      <c r="K1972" t="s">
        <v>24</v>
      </c>
      <c r="L1972" s="14">
        <f>IFERROR(VALUE(LEFT(tblMatriculas[[#This Row],[Clases]],FIND("/",tblMatriculas[[#This Row],[Clases]])-1)),"")</f>
        <v>4</v>
      </c>
      <c r="M1972" s="14">
        <f>IFERROR(VALUE(MID(tblMatriculas[[#This Row],[Clases]],FIND("/",tblMatriculas[[#This Row],[Clases]])+1,5)),"")</f>
        <v>30</v>
      </c>
      <c r="N19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2" s="14">
        <f>IF(OR(tblMatriculas[[#This Row],[Estado]]&lt;&gt;"activa",tblMatriculas[[#This Row],[Clases dictadas]]=""),"",MAX(0,tblMatriculas[[#This Row],[Clases dictadas]]-tblMatriculas[[#This Row],[Asistidas]]))</f>
        <v>2</v>
      </c>
      <c r="P1972" s="1">
        <f>IF(OR(tblMatriculas[[#This Row],[Estado]]&lt;&gt;"activa",tblMatriculas[[#This Row],[Asistidas]]=""),"",tblMatriculas[[#This Row],[Asistencia]])</f>
        <v>0.13300000000000001</v>
      </c>
      <c r="Q1972" t="b">
        <f>AND(tblMatriculas[[#This Row],[Estado]]="activa",ISNUMBER(tblMatriculas[[#This Row],[% asistencia]]),NOT(ISNUMBER(SEARCH(pPrueba,tblMatriculas[[#This Row],[Nombre]]))))</f>
        <v>1</v>
      </c>
      <c r="R19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2" s="23" t="str" cm="1">
        <f t="array" ref="S19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2" s="23" t="str" cm="1">
        <f t="array" ref="T19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2" s="14" t="str" cm="1">
        <f t="array" ref="U19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2" t="str" cm="1">
        <f t="array" ref="V19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2" t="str" cm="1">
        <f t="array" ref="W19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2" t="str">
        <f>IF(COUNTIFS('Base Estudiantes'!$C:$C,tblMatriculas[[#This Row],[Cédula]],'Base Estudiantes'!$I:$I,tblMatriculas[[#This Row],[Código]])&gt;0,"Sí","No")</f>
        <v>Sí</v>
      </c>
      <c r="Z1972" s="23" cm="1">
        <f t="array" ref="Z1972">_xlfn.XLOOKUP(tblMatriculas[[#This Row],[Cédula]]&amp;"|"&amp;tblMatriculas[[#This Row],[Código]],tblBase[Documento]&amp;"|"&amp;tblBase[Código grupo],tblBase[Fecha matrícula],"")</f>
        <v>46262</v>
      </c>
    </row>
    <row r="1973" spans="1:26" x14ac:dyDescent="0.2">
      <c r="A1973" t="s">
        <v>4099</v>
      </c>
      <c r="B1973" t="s">
        <v>4100</v>
      </c>
      <c r="C1973" t="s">
        <v>13</v>
      </c>
      <c r="D1973" t="s">
        <v>4064</v>
      </c>
      <c r="E1973" t="s">
        <v>4065</v>
      </c>
      <c r="F1973" t="s">
        <v>111</v>
      </c>
      <c r="G1973" s="1">
        <v>0.13300000000000001</v>
      </c>
      <c r="H1973" t="s">
        <v>112</v>
      </c>
      <c r="I1973" t="s">
        <v>3833</v>
      </c>
      <c r="J1973" t="s">
        <v>4066</v>
      </c>
      <c r="K1973" t="s">
        <v>24</v>
      </c>
      <c r="L1973" s="14">
        <f>IFERROR(VALUE(LEFT(tblMatriculas[[#This Row],[Clases]],FIND("/",tblMatriculas[[#This Row],[Clases]])-1)),"")</f>
        <v>4</v>
      </c>
      <c r="M1973" s="14">
        <f>IFERROR(VALUE(MID(tblMatriculas[[#This Row],[Clases]],FIND("/",tblMatriculas[[#This Row],[Clases]])+1,5)),"")</f>
        <v>30</v>
      </c>
      <c r="N19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3" s="14">
        <f>IF(OR(tblMatriculas[[#This Row],[Estado]]&lt;&gt;"activa",tblMatriculas[[#This Row],[Clases dictadas]]=""),"",MAX(0,tblMatriculas[[#This Row],[Clases dictadas]]-tblMatriculas[[#This Row],[Asistidas]]))</f>
        <v>2</v>
      </c>
      <c r="P1973" s="1">
        <f>IF(OR(tblMatriculas[[#This Row],[Estado]]&lt;&gt;"activa",tblMatriculas[[#This Row],[Asistidas]]=""),"",tblMatriculas[[#This Row],[Asistencia]])</f>
        <v>0.13300000000000001</v>
      </c>
      <c r="Q1973" t="b">
        <f>AND(tblMatriculas[[#This Row],[Estado]]="activa",ISNUMBER(tblMatriculas[[#This Row],[% asistencia]]),NOT(ISNUMBER(SEARCH(pPrueba,tblMatriculas[[#This Row],[Nombre]]))))</f>
        <v>1</v>
      </c>
      <c r="R19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3" s="23" t="str" cm="1">
        <f t="array" ref="S19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3" s="23" t="str" cm="1">
        <f t="array" ref="T19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3" s="14" t="str" cm="1">
        <f t="array" ref="U19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3" t="str" cm="1">
        <f t="array" ref="V19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3" t="str" cm="1">
        <f t="array" ref="W19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3" t="str">
        <f>IF(COUNTIFS('Base Estudiantes'!$C:$C,tblMatriculas[[#This Row],[Cédula]],'Base Estudiantes'!$I:$I,tblMatriculas[[#This Row],[Código]])&gt;0,"Sí","No")</f>
        <v>Sí</v>
      </c>
      <c r="Z1973" s="23" cm="1">
        <f t="array" ref="Z1973">_xlfn.XLOOKUP(tblMatriculas[[#This Row],[Cédula]]&amp;"|"&amp;tblMatriculas[[#This Row],[Código]],tblBase[Documento]&amp;"|"&amp;tblBase[Código grupo],tblBase[Fecha matrícula],"")</f>
        <v>46262</v>
      </c>
    </row>
    <row r="1974" spans="1:26" x14ac:dyDescent="0.2">
      <c r="A1974" t="s">
        <v>4101</v>
      </c>
      <c r="B1974" t="s">
        <v>4102</v>
      </c>
      <c r="C1974" t="s">
        <v>13</v>
      </c>
      <c r="D1974" t="s">
        <v>4064</v>
      </c>
      <c r="E1974" t="s">
        <v>4065</v>
      </c>
      <c r="F1974" t="s">
        <v>111</v>
      </c>
      <c r="G1974" s="1">
        <v>0.2</v>
      </c>
      <c r="H1974" t="s">
        <v>232</v>
      </c>
      <c r="I1974" t="s">
        <v>3833</v>
      </c>
      <c r="J1974" t="s">
        <v>4066</v>
      </c>
      <c r="K1974" t="s">
        <v>24</v>
      </c>
      <c r="L1974" s="14">
        <f>IFERROR(VALUE(LEFT(tblMatriculas[[#This Row],[Clases]],FIND("/",tblMatriculas[[#This Row],[Clases]])-1)),"")</f>
        <v>6</v>
      </c>
      <c r="M1974" s="14">
        <f>IFERROR(VALUE(MID(tblMatriculas[[#This Row],[Clases]],FIND("/",tblMatriculas[[#This Row],[Clases]])+1,5)),"")</f>
        <v>30</v>
      </c>
      <c r="N19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4" s="14">
        <f>IF(OR(tblMatriculas[[#This Row],[Estado]]&lt;&gt;"activa",tblMatriculas[[#This Row],[Clases dictadas]]=""),"",MAX(0,tblMatriculas[[#This Row],[Clases dictadas]]-tblMatriculas[[#This Row],[Asistidas]]))</f>
        <v>0</v>
      </c>
      <c r="P1974" s="1">
        <f>IF(OR(tblMatriculas[[#This Row],[Estado]]&lt;&gt;"activa",tblMatriculas[[#This Row],[Asistidas]]=""),"",tblMatriculas[[#This Row],[Asistencia]])</f>
        <v>0.2</v>
      </c>
      <c r="Q1974" t="b">
        <f>AND(tblMatriculas[[#This Row],[Estado]]="activa",ISNUMBER(tblMatriculas[[#This Row],[% asistencia]]),NOT(ISNUMBER(SEARCH(pPrueba,tblMatriculas[[#This Row],[Nombre]]))))</f>
        <v>1</v>
      </c>
      <c r="R19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4" s="23" t="str" cm="1">
        <f t="array" ref="S19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4" s="23" t="str" cm="1">
        <f t="array" ref="T19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4" s="14" t="str" cm="1">
        <f t="array" ref="U19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4" t="str" cm="1">
        <f t="array" ref="V19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4" t="str" cm="1">
        <f t="array" ref="W19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4" t="str">
        <f>IF(COUNTIFS('Base Estudiantes'!$C:$C,tblMatriculas[[#This Row],[Cédula]],'Base Estudiantes'!$I:$I,tblMatriculas[[#This Row],[Código]])&gt;0,"Sí","No")</f>
        <v>Sí</v>
      </c>
      <c r="Z1974" s="23" cm="1">
        <f t="array" ref="Z1974">_xlfn.XLOOKUP(tblMatriculas[[#This Row],[Cédula]]&amp;"|"&amp;tblMatriculas[[#This Row],[Código]],tblBase[Documento]&amp;"|"&amp;tblBase[Código grupo],tblBase[Fecha matrícula],"")</f>
        <v>46262</v>
      </c>
    </row>
    <row r="1975" spans="1:26" x14ac:dyDescent="0.2">
      <c r="A1975" t="s">
        <v>4103</v>
      </c>
      <c r="B1975" t="s">
        <v>4104</v>
      </c>
      <c r="C1975" t="s">
        <v>13</v>
      </c>
      <c r="D1975" t="s">
        <v>4064</v>
      </c>
      <c r="E1975" t="s">
        <v>4065</v>
      </c>
      <c r="F1975" t="s">
        <v>111</v>
      </c>
      <c r="G1975" s="1">
        <v>0.2</v>
      </c>
      <c r="H1975" t="s">
        <v>232</v>
      </c>
      <c r="I1975" t="s">
        <v>3833</v>
      </c>
      <c r="J1975" t="s">
        <v>4066</v>
      </c>
      <c r="K1975" t="s">
        <v>24</v>
      </c>
      <c r="L1975" s="14">
        <f>IFERROR(VALUE(LEFT(tblMatriculas[[#This Row],[Clases]],FIND("/",tblMatriculas[[#This Row],[Clases]])-1)),"")</f>
        <v>6</v>
      </c>
      <c r="M1975" s="14">
        <f>IFERROR(VALUE(MID(tblMatriculas[[#This Row],[Clases]],FIND("/",tblMatriculas[[#This Row],[Clases]])+1,5)),"")</f>
        <v>30</v>
      </c>
      <c r="N19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5" s="14">
        <f>IF(OR(tblMatriculas[[#This Row],[Estado]]&lt;&gt;"activa",tblMatriculas[[#This Row],[Clases dictadas]]=""),"",MAX(0,tblMatriculas[[#This Row],[Clases dictadas]]-tblMatriculas[[#This Row],[Asistidas]]))</f>
        <v>0</v>
      </c>
      <c r="P1975" s="1">
        <f>IF(OR(tblMatriculas[[#This Row],[Estado]]&lt;&gt;"activa",tblMatriculas[[#This Row],[Asistidas]]=""),"",tblMatriculas[[#This Row],[Asistencia]])</f>
        <v>0.2</v>
      </c>
      <c r="Q1975" t="b">
        <f>AND(tblMatriculas[[#This Row],[Estado]]="activa",ISNUMBER(tblMatriculas[[#This Row],[% asistencia]]),NOT(ISNUMBER(SEARCH(pPrueba,tblMatriculas[[#This Row],[Nombre]]))))</f>
        <v>1</v>
      </c>
      <c r="R19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5" s="23" t="str" cm="1">
        <f t="array" ref="S19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5" s="23" t="str" cm="1">
        <f t="array" ref="T19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5" s="14" t="str" cm="1">
        <f t="array" ref="U19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5" t="str" cm="1">
        <f t="array" ref="V19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5" t="str" cm="1">
        <f t="array" ref="W19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5" t="str">
        <f>IF(COUNTIFS('Base Estudiantes'!$C:$C,tblMatriculas[[#This Row],[Cédula]],'Base Estudiantes'!$I:$I,tblMatriculas[[#This Row],[Código]])&gt;0,"Sí","No")</f>
        <v>Sí</v>
      </c>
      <c r="Z1975" s="23" cm="1">
        <f t="array" ref="Z1975">_xlfn.XLOOKUP(tblMatriculas[[#This Row],[Cédula]]&amp;"|"&amp;tblMatriculas[[#This Row],[Código]],tblBase[Documento]&amp;"|"&amp;tblBase[Código grupo],tblBase[Fecha matrícula],"")</f>
        <v>46262</v>
      </c>
    </row>
    <row r="1976" spans="1:26" x14ac:dyDescent="0.2">
      <c r="A1976" t="s">
        <v>4105</v>
      </c>
      <c r="B1976" t="s">
        <v>4106</v>
      </c>
      <c r="C1976" t="s">
        <v>13</v>
      </c>
      <c r="D1976" t="s">
        <v>4064</v>
      </c>
      <c r="E1976" t="s">
        <v>4065</v>
      </c>
      <c r="F1976" t="s">
        <v>111</v>
      </c>
      <c r="G1976" s="1">
        <v>0</v>
      </c>
      <c r="H1976" t="s">
        <v>254</v>
      </c>
      <c r="I1976" t="s">
        <v>3833</v>
      </c>
      <c r="J1976" t="s">
        <v>4066</v>
      </c>
      <c r="K1976" t="s">
        <v>24</v>
      </c>
      <c r="L1976" s="14">
        <f>IFERROR(VALUE(LEFT(tblMatriculas[[#This Row],[Clases]],FIND("/",tblMatriculas[[#This Row],[Clases]])-1)),"")</f>
        <v>0</v>
      </c>
      <c r="M1976" s="14">
        <f>IFERROR(VALUE(MID(tblMatriculas[[#This Row],[Clases]],FIND("/",tblMatriculas[[#This Row],[Clases]])+1,5)),"")</f>
        <v>30</v>
      </c>
      <c r="N19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6" s="14">
        <f>IF(OR(tblMatriculas[[#This Row],[Estado]]&lt;&gt;"activa",tblMatriculas[[#This Row],[Clases dictadas]]=""),"",MAX(0,tblMatriculas[[#This Row],[Clases dictadas]]-tblMatriculas[[#This Row],[Asistidas]]))</f>
        <v>6</v>
      </c>
      <c r="P1976" s="1">
        <f>IF(OR(tblMatriculas[[#This Row],[Estado]]&lt;&gt;"activa",tblMatriculas[[#This Row],[Asistidas]]=""),"",tblMatriculas[[#This Row],[Asistencia]])</f>
        <v>0</v>
      </c>
      <c r="Q1976" t="b">
        <f>AND(tblMatriculas[[#This Row],[Estado]]="activa",ISNUMBER(tblMatriculas[[#This Row],[% asistencia]]),NOT(ISNUMBER(SEARCH(pPrueba,tblMatriculas[[#This Row],[Nombre]]))))</f>
        <v>1</v>
      </c>
      <c r="R19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76" s="23" t="str" cm="1">
        <f t="array" ref="S19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6" s="23" t="str" cm="1">
        <f t="array" ref="T19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6" s="14" t="str" cm="1">
        <f t="array" ref="U19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6" t="str" cm="1">
        <f t="array" ref="V19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6" t="str" cm="1">
        <f t="array" ref="W19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76" t="str">
        <f>IF(COUNTIFS('Base Estudiantes'!$C:$C,tblMatriculas[[#This Row],[Cédula]],'Base Estudiantes'!$I:$I,tblMatriculas[[#This Row],[Código]])&gt;0,"Sí","No")</f>
        <v>Sí</v>
      </c>
      <c r="Z1976" s="23" cm="1">
        <f t="array" ref="Z1976">_xlfn.XLOOKUP(tblMatriculas[[#This Row],[Cédula]]&amp;"|"&amp;tblMatriculas[[#This Row],[Código]],tblBase[Documento]&amp;"|"&amp;tblBase[Código grupo],tblBase[Fecha matrícula],"")</f>
        <v>46262</v>
      </c>
    </row>
    <row r="1977" spans="1:26" x14ac:dyDescent="0.2">
      <c r="A1977" t="s">
        <v>4107</v>
      </c>
      <c r="B1977" t="s">
        <v>4108</v>
      </c>
      <c r="C1977" t="s">
        <v>13</v>
      </c>
      <c r="D1977" t="s">
        <v>4064</v>
      </c>
      <c r="E1977" t="s">
        <v>4065</v>
      </c>
      <c r="F1977" t="s">
        <v>111</v>
      </c>
      <c r="G1977" s="1">
        <v>0.2</v>
      </c>
      <c r="H1977" t="s">
        <v>232</v>
      </c>
      <c r="I1977" t="s">
        <v>3833</v>
      </c>
      <c r="J1977" t="s">
        <v>4066</v>
      </c>
      <c r="K1977" t="s">
        <v>24</v>
      </c>
      <c r="L1977" s="14">
        <f>IFERROR(VALUE(LEFT(tblMatriculas[[#This Row],[Clases]],FIND("/",tblMatriculas[[#This Row],[Clases]])-1)),"")</f>
        <v>6</v>
      </c>
      <c r="M1977" s="14">
        <f>IFERROR(VALUE(MID(tblMatriculas[[#This Row],[Clases]],FIND("/",tblMatriculas[[#This Row],[Clases]])+1,5)),"")</f>
        <v>30</v>
      </c>
      <c r="N19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7" s="14">
        <f>IF(OR(tblMatriculas[[#This Row],[Estado]]&lt;&gt;"activa",tblMatriculas[[#This Row],[Clases dictadas]]=""),"",MAX(0,tblMatriculas[[#This Row],[Clases dictadas]]-tblMatriculas[[#This Row],[Asistidas]]))</f>
        <v>0</v>
      </c>
      <c r="P1977" s="1">
        <f>IF(OR(tblMatriculas[[#This Row],[Estado]]&lt;&gt;"activa",tblMatriculas[[#This Row],[Asistidas]]=""),"",tblMatriculas[[#This Row],[Asistencia]])</f>
        <v>0.2</v>
      </c>
      <c r="Q1977" t="b">
        <f>AND(tblMatriculas[[#This Row],[Estado]]="activa",ISNUMBER(tblMatriculas[[#This Row],[% asistencia]]),NOT(ISNUMBER(SEARCH(pPrueba,tblMatriculas[[#This Row],[Nombre]]))))</f>
        <v>1</v>
      </c>
      <c r="R19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7" s="23" t="str" cm="1">
        <f t="array" ref="S19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7" s="23" t="str" cm="1">
        <f t="array" ref="T19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7" s="14" t="str" cm="1">
        <f t="array" ref="U19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7" t="str" cm="1">
        <f t="array" ref="V19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7" t="str" cm="1">
        <f t="array" ref="W19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7" t="str">
        <f>IF(COUNTIFS('Base Estudiantes'!$C:$C,tblMatriculas[[#This Row],[Cédula]],'Base Estudiantes'!$I:$I,tblMatriculas[[#This Row],[Código]])&gt;0,"Sí","No")</f>
        <v>Sí</v>
      </c>
      <c r="Z1977" s="23" cm="1">
        <f t="array" ref="Z1977">_xlfn.XLOOKUP(tblMatriculas[[#This Row],[Cédula]]&amp;"|"&amp;tblMatriculas[[#This Row],[Código]],tblBase[Documento]&amp;"|"&amp;tblBase[Código grupo],tblBase[Fecha matrícula],"")</f>
        <v>46262</v>
      </c>
    </row>
    <row r="1978" spans="1:26" x14ac:dyDescent="0.2">
      <c r="A1978" t="s">
        <v>4109</v>
      </c>
      <c r="B1978" t="s">
        <v>4110</v>
      </c>
      <c r="C1978" t="s">
        <v>13</v>
      </c>
      <c r="D1978" t="s">
        <v>4064</v>
      </c>
      <c r="E1978" t="s">
        <v>4065</v>
      </c>
      <c r="F1978" t="s">
        <v>111</v>
      </c>
      <c r="G1978" s="1">
        <v>6.7000000000000004E-2</v>
      </c>
      <c r="H1978" t="s">
        <v>166</v>
      </c>
      <c r="I1978" t="s">
        <v>3833</v>
      </c>
      <c r="J1978" t="s">
        <v>4066</v>
      </c>
      <c r="K1978" t="s">
        <v>24</v>
      </c>
      <c r="L1978" s="14">
        <f>IFERROR(VALUE(LEFT(tblMatriculas[[#This Row],[Clases]],FIND("/",tblMatriculas[[#This Row],[Clases]])-1)),"")</f>
        <v>2</v>
      </c>
      <c r="M1978" s="14">
        <f>IFERROR(VALUE(MID(tblMatriculas[[#This Row],[Clases]],FIND("/",tblMatriculas[[#This Row],[Clases]])+1,5)),"")</f>
        <v>30</v>
      </c>
      <c r="N19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8" s="14">
        <f>IF(OR(tblMatriculas[[#This Row],[Estado]]&lt;&gt;"activa",tblMatriculas[[#This Row],[Clases dictadas]]=""),"",MAX(0,tblMatriculas[[#This Row],[Clases dictadas]]-tblMatriculas[[#This Row],[Asistidas]]))</f>
        <v>4</v>
      </c>
      <c r="P1978" s="1">
        <f>IF(OR(tblMatriculas[[#This Row],[Estado]]&lt;&gt;"activa",tblMatriculas[[#This Row],[Asistidas]]=""),"",tblMatriculas[[#This Row],[Asistencia]])</f>
        <v>6.7000000000000004E-2</v>
      </c>
      <c r="Q1978" t="b">
        <f>AND(tblMatriculas[[#This Row],[Estado]]="activa",ISNUMBER(tblMatriculas[[#This Row],[% asistencia]]),NOT(ISNUMBER(SEARCH(pPrueba,tblMatriculas[[#This Row],[Nombre]]))))</f>
        <v>1</v>
      </c>
      <c r="R19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1978" s="23" t="str" cm="1">
        <f t="array" ref="S19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8" s="23" t="str" cm="1">
        <f t="array" ref="T19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8" s="14" t="str" cm="1">
        <f t="array" ref="U19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8" t="str" cm="1">
        <f t="array" ref="V19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8" t="str" cm="1">
        <f t="array" ref="W19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19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1978" t="str">
        <f>IF(COUNTIFS('Base Estudiantes'!$C:$C,tblMatriculas[[#This Row],[Cédula]],'Base Estudiantes'!$I:$I,tblMatriculas[[#This Row],[Código]])&gt;0,"Sí","No")</f>
        <v>Sí</v>
      </c>
      <c r="Z1978" s="23" cm="1">
        <f t="array" ref="Z1978">_xlfn.XLOOKUP(tblMatriculas[[#This Row],[Cédula]]&amp;"|"&amp;tblMatriculas[[#This Row],[Código]],tblBase[Documento]&amp;"|"&amp;tblBase[Código grupo],tblBase[Fecha matrícula],"")</f>
        <v>46262</v>
      </c>
    </row>
    <row r="1979" spans="1:26" x14ac:dyDescent="0.2">
      <c r="A1979" t="s">
        <v>4111</v>
      </c>
      <c r="B1979" t="s">
        <v>4112</v>
      </c>
      <c r="C1979" t="s">
        <v>13</v>
      </c>
      <c r="D1979" t="s">
        <v>4064</v>
      </c>
      <c r="E1979" t="s">
        <v>4065</v>
      </c>
      <c r="F1979" t="s">
        <v>111</v>
      </c>
      <c r="G1979" s="1">
        <v>0.2</v>
      </c>
      <c r="H1979" t="s">
        <v>232</v>
      </c>
      <c r="I1979" t="s">
        <v>3833</v>
      </c>
      <c r="J1979" t="s">
        <v>4066</v>
      </c>
      <c r="K1979" t="s">
        <v>24</v>
      </c>
      <c r="L1979" s="14">
        <f>IFERROR(VALUE(LEFT(tblMatriculas[[#This Row],[Clases]],FIND("/",tblMatriculas[[#This Row],[Clases]])-1)),"")</f>
        <v>6</v>
      </c>
      <c r="M1979" s="14">
        <f>IFERROR(VALUE(MID(tblMatriculas[[#This Row],[Clases]],FIND("/",tblMatriculas[[#This Row],[Clases]])+1,5)),"")</f>
        <v>30</v>
      </c>
      <c r="N19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79" s="14">
        <f>IF(OR(tblMatriculas[[#This Row],[Estado]]&lt;&gt;"activa",tblMatriculas[[#This Row],[Clases dictadas]]=""),"",MAX(0,tblMatriculas[[#This Row],[Clases dictadas]]-tblMatriculas[[#This Row],[Asistidas]]))</f>
        <v>0</v>
      </c>
      <c r="P1979" s="1">
        <f>IF(OR(tblMatriculas[[#This Row],[Estado]]&lt;&gt;"activa",tblMatriculas[[#This Row],[Asistidas]]=""),"",tblMatriculas[[#This Row],[Asistencia]])</f>
        <v>0.2</v>
      </c>
      <c r="Q1979" t="b">
        <f>AND(tblMatriculas[[#This Row],[Estado]]="activa",ISNUMBER(tblMatriculas[[#This Row],[% asistencia]]),NOT(ISNUMBER(SEARCH(pPrueba,tblMatriculas[[#This Row],[Nombre]]))))</f>
        <v>1</v>
      </c>
      <c r="R19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79" s="23" t="str" cm="1">
        <f t="array" ref="S19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79" s="23" t="str" cm="1">
        <f t="array" ref="T19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79" s="14" t="str" cm="1">
        <f t="array" ref="U19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79" t="str" cm="1">
        <f t="array" ref="V19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79" t="str" cm="1">
        <f t="array" ref="W19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79" t="str">
        <f>IF(COUNTIFS('Base Estudiantes'!$C:$C,tblMatriculas[[#This Row],[Cédula]],'Base Estudiantes'!$I:$I,tblMatriculas[[#This Row],[Código]])&gt;0,"Sí","No")</f>
        <v>Sí</v>
      </c>
      <c r="Z1979" s="23" cm="1">
        <f t="array" ref="Z1979">_xlfn.XLOOKUP(tblMatriculas[[#This Row],[Cédula]]&amp;"|"&amp;tblMatriculas[[#This Row],[Código]],tblBase[Documento]&amp;"|"&amp;tblBase[Código grupo],tblBase[Fecha matrícula],"")</f>
        <v>46262</v>
      </c>
    </row>
    <row r="1980" spans="1:26" x14ac:dyDescent="0.2">
      <c r="A1980" t="s">
        <v>4113</v>
      </c>
      <c r="B1980" t="s">
        <v>4114</v>
      </c>
      <c r="C1980" t="s">
        <v>13</v>
      </c>
      <c r="D1980" t="s">
        <v>4064</v>
      </c>
      <c r="E1980" t="s">
        <v>4065</v>
      </c>
      <c r="F1980" t="s">
        <v>111</v>
      </c>
      <c r="G1980" s="1">
        <v>0.13300000000000001</v>
      </c>
      <c r="H1980" t="s">
        <v>112</v>
      </c>
      <c r="I1980" t="s">
        <v>3833</v>
      </c>
      <c r="J1980" t="s">
        <v>4066</v>
      </c>
      <c r="K1980" t="s">
        <v>24</v>
      </c>
      <c r="L1980" s="14">
        <f>IFERROR(VALUE(LEFT(tblMatriculas[[#This Row],[Clases]],FIND("/",tblMatriculas[[#This Row],[Clases]])-1)),"")</f>
        <v>4</v>
      </c>
      <c r="M1980" s="14">
        <f>IFERROR(VALUE(MID(tblMatriculas[[#This Row],[Clases]],FIND("/",tblMatriculas[[#This Row],[Clases]])+1,5)),"")</f>
        <v>30</v>
      </c>
      <c r="N19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0" s="14">
        <f>IF(OR(tblMatriculas[[#This Row],[Estado]]&lt;&gt;"activa",tblMatriculas[[#This Row],[Clases dictadas]]=""),"",MAX(0,tblMatriculas[[#This Row],[Clases dictadas]]-tblMatriculas[[#This Row],[Asistidas]]))</f>
        <v>2</v>
      </c>
      <c r="P1980" s="1">
        <f>IF(OR(tblMatriculas[[#This Row],[Estado]]&lt;&gt;"activa",tblMatriculas[[#This Row],[Asistidas]]=""),"",tblMatriculas[[#This Row],[Asistencia]])</f>
        <v>0.13300000000000001</v>
      </c>
      <c r="Q1980" t="b">
        <f>AND(tblMatriculas[[#This Row],[Estado]]="activa",ISNUMBER(tblMatriculas[[#This Row],[% asistencia]]),NOT(ISNUMBER(SEARCH(pPrueba,tblMatriculas[[#This Row],[Nombre]]))))</f>
        <v>1</v>
      </c>
      <c r="R19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0" s="23" t="str" cm="1">
        <f t="array" ref="S19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0" s="23" t="str" cm="1">
        <f t="array" ref="T19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0" s="14" t="str" cm="1">
        <f t="array" ref="U19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0" t="str" cm="1">
        <f t="array" ref="V19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0" t="str" cm="1">
        <f t="array" ref="W19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0" t="str">
        <f>IF(COUNTIFS('Base Estudiantes'!$C:$C,tblMatriculas[[#This Row],[Cédula]],'Base Estudiantes'!$I:$I,tblMatriculas[[#This Row],[Código]])&gt;0,"Sí","No")</f>
        <v>Sí</v>
      </c>
      <c r="Z1980" s="23" cm="1">
        <f t="array" ref="Z1980">_xlfn.XLOOKUP(tblMatriculas[[#This Row],[Cédula]]&amp;"|"&amp;tblMatriculas[[#This Row],[Código]],tblBase[Documento]&amp;"|"&amp;tblBase[Código grupo],tblBase[Fecha matrícula],"")</f>
        <v>46262</v>
      </c>
    </row>
    <row r="1981" spans="1:26" x14ac:dyDescent="0.2">
      <c r="A1981" t="s">
        <v>4115</v>
      </c>
      <c r="B1981" t="s">
        <v>4116</v>
      </c>
      <c r="C1981" t="s">
        <v>13</v>
      </c>
      <c r="D1981" t="s">
        <v>4064</v>
      </c>
      <c r="E1981" t="s">
        <v>4065</v>
      </c>
      <c r="F1981" t="s">
        <v>111</v>
      </c>
      <c r="G1981" s="1">
        <v>0.2</v>
      </c>
      <c r="H1981" t="s">
        <v>232</v>
      </c>
      <c r="I1981" t="s">
        <v>3833</v>
      </c>
      <c r="J1981" t="s">
        <v>4066</v>
      </c>
      <c r="K1981" t="s">
        <v>24</v>
      </c>
      <c r="L1981" s="14">
        <f>IFERROR(VALUE(LEFT(tblMatriculas[[#This Row],[Clases]],FIND("/",tblMatriculas[[#This Row],[Clases]])-1)),"")</f>
        <v>6</v>
      </c>
      <c r="M1981" s="14">
        <f>IFERROR(VALUE(MID(tblMatriculas[[#This Row],[Clases]],FIND("/",tblMatriculas[[#This Row],[Clases]])+1,5)),"")</f>
        <v>30</v>
      </c>
      <c r="N19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1" s="14">
        <f>IF(OR(tblMatriculas[[#This Row],[Estado]]&lt;&gt;"activa",tblMatriculas[[#This Row],[Clases dictadas]]=""),"",MAX(0,tblMatriculas[[#This Row],[Clases dictadas]]-tblMatriculas[[#This Row],[Asistidas]]))</f>
        <v>0</v>
      </c>
      <c r="P1981" s="1">
        <f>IF(OR(tblMatriculas[[#This Row],[Estado]]&lt;&gt;"activa",tblMatriculas[[#This Row],[Asistidas]]=""),"",tblMatriculas[[#This Row],[Asistencia]])</f>
        <v>0.2</v>
      </c>
      <c r="Q1981" t="b">
        <f>AND(tblMatriculas[[#This Row],[Estado]]="activa",ISNUMBER(tblMatriculas[[#This Row],[% asistencia]]),NOT(ISNUMBER(SEARCH(pPrueba,tblMatriculas[[#This Row],[Nombre]]))))</f>
        <v>1</v>
      </c>
      <c r="R19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1" s="23" t="str" cm="1">
        <f t="array" ref="S19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1" s="23" t="str" cm="1">
        <f t="array" ref="T19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1" s="14" t="str" cm="1">
        <f t="array" ref="U19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1" t="str" cm="1">
        <f t="array" ref="V19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1" t="str" cm="1">
        <f t="array" ref="W19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1" t="str">
        <f>IF(COUNTIFS('Base Estudiantes'!$C:$C,tblMatriculas[[#This Row],[Cédula]],'Base Estudiantes'!$I:$I,tblMatriculas[[#This Row],[Código]])&gt;0,"Sí","No")</f>
        <v>Sí</v>
      </c>
      <c r="Z1981" s="23" cm="1">
        <f t="array" ref="Z1981">_xlfn.XLOOKUP(tblMatriculas[[#This Row],[Cédula]]&amp;"|"&amp;tblMatriculas[[#This Row],[Código]],tblBase[Documento]&amp;"|"&amp;tblBase[Código grupo],tblBase[Fecha matrícula],"")</f>
        <v>46262</v>
      </c>
    </row>
    <row r="1982" spans="1:26" x14ac:dyDescent="0.2">
      <c r="A1982" t="s">
        <v>4117</v>
      </c>
      <c r="B1982" t="s">
        <v>4118</v>
      </c>
      <c r="C1982" t="s">
        <v>13</v>
      </c>
      <c r="D1982" t="s">
        <v>4064</v>
      </c>
      <c r="E1982" t="s">
        <v>4065</v>
      </c>
      <c r="F1982" t="s">
        <v>111</v>
      </c>
      <c r="G1982" s="1">
        <v>0.16699999999999998</v>
      </c>
      <c r="H1982" t="s">
        <v>229</v>
      </c>
      <c r="I1982" t="s">
        <v>3833</v>
      </c>
      <c r="J1982" t="s">
        <v>4066</v>
      </c>
      <c r="K1982" t="s">
        <v>24</v>
      </c>
      <c r="L1982" s="14">
        <f>IFERROR(VALUE(LEFT(tblMatriculas[[#This Row],[Clases]],FIND("/",tblMatriculas[[#This Row],[Clases]])-1)),"")</f>
        <v>5</v>
      </c>
      <c r="M1982" s="14">
        <f>IFERROR(VALUE(MID(tblMatriculas[[#This Row],[Clases]],FIND("/",tblMatriculas[[#This Row],[Clases]])+1,5)),"")</f>
        <v>30</v>
      </c>
      <c r="N19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2" s="14">
        <f>IF(OR(tblMatriculas[[#This Row],[Estado]]&lt;&gt;"activa",tblMatriculas[[#This Row],[Clases dictadas]]=""),"",MAX(0,tblMatriculas[[#This Row],[Clases dictadas]]-tblMatriculas[[#This Row],[Asistidas]]))</f>
        <v>1</v>
      </c>
      <c r="P1982" s="1">
        <f>IF(OR(tblMatriculas[[#This Row],[Estado]]&lt;&gt;"activa",tblMatriculas[[#This Row],[Asistidas]]=""),"",tblMatriculas[[#This Row],[Asistencia]])</f>
        <v>0.16699999999999998</v>
      </c>
      <c r="Q1982" t="b">
        <f>AND(tblMatriculas[[#This Row],[Estado]]="activa",ISNUMBER(tblMatriculas[[#This Row],[% asistencia]]),NOT(ISNUMBER(SEARCH(pPrueba,tblMatriculas[[#This Row],[Nombre]]))))</f>
        <v>1</v>
      </c>
      <c r="R19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2" s="23" t="str" cm="1">
        <f t="array" ref="S19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2" s="23" t="str" cm="1">
        <f t="array" ref="T19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2" s="14" t="str" cm="1">
        <f t="array" ref="U19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2" t="str" cm="1">
        <f t="array" ref="V19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2" t="str" cm="1">
        <f t="array" ref="W19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2" t="str">
        <f>IF(COUNTIFS('Base Estudiantes'!$C:$C,tblMatriculas[[#This Row],[Cédula]],'Base Estudiantes'!$I:$I,tblMatriculas[[#This Row],[Código]])&gt;0,"Sí","No")</f>
        <v>Sí</v>
      </c>
      <c r="Z1982" s="23" cm="1">
        <f t="array" ref="Z1982">_xlfn.XLOOKUP(tblMatriculas[[#This Row],[Cédula]]&amp;"|"&amp;tblMatriculas[[#This Row],[Código]],tblBase[Documento]&amp;"|"&amp;tblBase[Código grupo],tblBase[Fecha matrícula],"")</f>
        <v>46262</v>
      </c>
    </row>
    <row r="1983" spans="1:26" x14ac:dyDescent="0.2">
      <c r="A1983" t="s">
        <v>4119</v>
      </c>
      <c r="B1983" t="s">
        <v>4120</v>
      </c>
      <c r="C1983" t="s">
        <v>13</v>
      </c>
      <c r="D1983" t="s">
        <v>4064</v>
      </c>
      <c r="E1983" t="s">
        <v>4065</v>
      </c>
      <c r="F1983" t="s">
        <v>111</v>
      </c>
      <c r="G1983" s="1">
        <v>0.16699999999999998</v>
      </c>
      <c r="H1983" t="s">
        <v>229</v>
      </c>
      <c r="I1983" t="s">
        <v>3833</v>
      </c>
      <c r="J1983" t="s">
        <v>4066</v>
      </c>
      <c r="K1983" t="s">
        <v>24</v>
      </c>
      <c r="L1983" s="14">
        <f>IFERROR(VALUE(LEFT(tblMatriculas[[#This Row],[Clases]],FIND("/",tblMatriculas[[#This Row],[Clases]])-1)),"")</f>
        <v>5</v>
      </c>
      <c r="M1983" s="14">
        <f>IFERROR(VALUE(MID(tblMatriculas[[#This Row],[Clases]],FIND("/",tblMatriculas[[#This Row],[Clases]])+1,5)),"")</f>
        <v>30</v>
      </c>
      <c r="N19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3" s="14">
        <f>IF(OR(tblMatriculas[[#This Row],[Estado]]&lt;&gt;"activa",tblMatriculas[[#This Row],[Clases dictadas]]=""),"",MAX(0,tblMatriculas[[#This Row],[Clases dictadas]]-tblMatriculas[[#This Row],[Asistidas]]))</f>
        <v>1</v>
      </c>
      <c r="P1983" s="1">
        <f>IF(OR(tblMatriculas[[#This Row],[Estado]]&lt;&gt;"activa",tblMatriculas[[#This Row],[Asistidas]]=""),"",tblMatriculas[[#This Row],[Asistencia]])</f>
        <v>0.16699999999999998</v>
      </c>
      <c r="Q1983" t="b">
        <f>AND(tblMatriculas[[#This Row],[Estado]]="activa",ISNUMBER(tblMatriculas[[#This Row],[% asistencia]]),NOT(ISNUMBER(SEARCH(pPrueba,tblMatriculas[[#This Row],[Nombre]]))))</f>
        <v>1</v>
      </c>
      <c r="R19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3" s="23" t="str" cm="1">
        <f t="array" ref="S19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3" s="23" t="str" cm="1">
        <f t="array" ref="T19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3" s="14" t="str" cm="1">
        <f t="array" ref="U19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3" t="str" cm="1">
        <f t="array" ref="V19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3" t="str" cm="1">
        <f t="array" ref="W19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3" t="str">
        <f>IF(COUNTIFS('Base Estudiantes'!$C:$C,tblMatriculas[[#This Row],[Cédula]],'Base Estudiantes'!$I:$I,tblMatriculas[[#This Row],[Código]])&gt;0,"Sí","No")</f>
        <v>Sí</v>
      </c>
      <c r="Z1983" s="23" cm="1">
        <f t="array" ref="Z1983">_xlfn.XLOOKUP(tblMatriculas[[#This Row],[Cédula]]&amp;"|"&amp;tblMatriculas[[#This Row],[Código]],tblBase[Documento]&amp;"|"&amp;tblBase[Código grupo],tblBase[Fecha matrícula],"")</f>
        <v>46262</v>
      </c>
    </row>
    <row r="1984" spans="1:26" x14ac:dyDescent="0.2">
      <c r="A1984" t="s">
        <v>4121</v>
      </c>
      <c r="B1984" t="s">
        <v>4122</v>
      </c>
      <c r="C1984" t="s">
        <v>13</v>
      </c>
      <c r="D1984" t="s">
        <v>4064</v>
      </c>
      <c r="E1984" t="s">
        <v>4065</v>
      </c>
      <c r="F1984" t="s">
        <v>111</v>
      </c>
      <c r="G1984" s="1">
        <v>0.2</v>
      </c>
      <c r="H1984" t="s">
        <v>232</v>
      </c>
      <c r="I1984" t="s">
        <v>3833</v>
      </c>
      <c r="J1984" t="s">
        <v>4066</v>
      </c>
      <c r="K1984" t="s">
        <v>24</v>
      </c>
      <c r="L1984" s="14">
        <f>IFERROR(VALUE(LEFT(tblMatriculas[[#This Row],[Clases]],FIND("/",tblMatriculas[[#This Row],[Clases]])-1)),"")</f>
        <v>6</v>
      </c>
      <c r="M1984" s="14">
        <f>IFERROR(VALUE(MID(tblMatriculas[[#This Row],[Clases]],FIND("/",tblMatriculas[[#This Row],[Clases]])+1,5)),"")</f>
        <v>30</v>
      </c>
      <c r="N19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4" s="14">
        <f>IF(OR(tblMatriculas[[#This Row],[Estado]]&lt;&gt;"activa",tblMatriculas[[#This Row],[Clases dictadas]]=""),"",MAX(0,tblMatriculas[[#This Row],[Clases dictadas]]-tblMatriculas[[#This Row],[Asistidas]]))</f>
        <v>0</v>
      </c>
      <c r="P1984" s="1">
        <f>IF(OR(tblMatriculas[[#This Row],[Estado]]&lt;&gt;"activa",tblMatriculas[[#This Row],[Asistidas]]=""),"",tblMatriculas[[#This Row],[Asistencia]])</f>
        <v>0.2</v>
      </c>
      <c r="Q1984" t="b">
        <f>AND(tblMatriculas[[#This Row],[Estado]]="activa",ISNUMBER(tblMatriculas[[#This Row],[% asistencia]]),NOT(ISNUMBER(SEARCH(pPrueba,tblMatriculas[[#This Row],[Nombre]]))))</f>
        <v>1</v>
      </c>
      <c r="R19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4" s="23" t="str" cm="1">
        <f t="array" ref="S19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4" s="23" t="str" cm="1">
        <f t="array" ref="T19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4" s="14" t="str" cm="1">
        <f t="array" ref="U19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4" t="str" cm="1">
        <f t="array" ref="V19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4" t="str" cm="1">
        <f t="array" ref="W19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4" t="str">
        <f>IF(COUNTIFS('Base Estudiantes'!$C:$C,tblMatriculas[[#This Row],[Cédula]],'Base Estudiantes'!$I:$I,tblMatriculas[[#This Row],[Código]])&gt;0,"Sí","No")</f>
        <v>Sí</v>
      </c>
      <c r="Z1984" s="23" cm="1">
        <f t="array" ref="Z1984">_xlfn.XLOOKUP(tblMatriculas[[#This Row],[Cédula]]&amp;"|"&amp;tblMatriculas[[#This Row],[Código]],tblBase[Documento]&amp;"|"&amp;tblBase[Código grupo],tblBase[Fecha matrícula],"")</f>
        <v>46262</v>
      </c>
    </row>
    <row r="1985" spans="1:26" x14ac:dyDescent="0.2">
      <c r="A1985" t="s">
        <v>4123</v>
      </c>
      <c r="B1985" t="s">
        <v>4124</v>
      </c>
      <c r="C1985" t="s">
        <v>13</v>
      </c>
      <c r="D1985" t="s">
        <v>4064</v>
      </c>
      <c r="E1985" t="s">
        <v>4065</v>
      </c>
      <c r="F1985" t="s">
        <v>111</v>
      </c>
      <c r="G1985" s="1">
        <v>3.3000000000000002E-2</v>
      </c>
      <c r="H1985" t="s">
        <v>225</v>
      </c>
      <c r="I1985" t="s">
        <v>3833</v>
      </c>
      <c r="J1985" t="s">
        <v>4066</v>
      </c>
      <c r="K1985" t="s">
        <v>24</v>
      </c>
      <c r="L1985" s="14">
        <f>IFERROR(VALUE(LEFT(tblMatriculas[[#This Row],[Clases]],FIND("/",tblMatriculas[[#This Row],[Clases]])-1)),"")</f>
        <v>1</v>
      </c>
      <c r="M1985" s="14">
        <f>IFERROR(VALUE(MID(tblMatriculas[[#This Row],[Clases]],FIND("/",tblMatriculas[[#This Row],[Clases]])+1,5)),"")</f>
        <v>30</v>
      </c>
      <c r="N19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5" s="14">
        <f>IF(OR(tblMatriculas[[#This Row],[Estado]]&lt;&gt;"activa",tblMatriculas[[#This Row],[Clases dictadas]]=""),"",MAX(0,tblMatriculas[[#This Row],[Clases dictadas]]-tblMatriculas[[#This Row],[Asistidas]]))</f>
        <v>5</v>
      </c>
      <c r="P1985" s="1">
        <f>IF(OR(tblMatriculas[[#This Row],[Estado]]&lt;&gt;"activa",tblMatriculas[[#This Row],[Asistidas]]=""),"",tblMatriculas[[#This Row],[Asistencia]])</f>
        <v>3.3000000000000002E-2</v>
      </c>
      <c r="Q1985" t="b">
        <f>AND(tblMatriculas[[#This Row],[Estado]]="activa",ISNUMBER(tblMatriculas[[#This Row],[% asistencia]]),NOT(ISNUMBER(SEARCH(pPrueba,tblMatriculas[[#This Row],[Nombre]]))))</f>
        <v>1</v>
      </c>
      <c r="R19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1985" s="23" t="str" cm="1">
        <f t="array" ref="S19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5" s="23" t="str" cm="1">
        <f t="array" ref="T19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5" s="14" t="str" cm="1">
        <f t="array" ref="U19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5" t="str" cm="1">
        <f t="array" ref="V19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5" t="str" cm="1">
        <f t="array" ref="W19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19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1985" t="str">
        <f>IF(COUNTIFS('Base Estudiantes'!$C:$C,tblMatriculas[[#This Row],[Cédula]],'Base Estudiantes'!$I:$I,tblMatriculas[[#This Row],[Código]])&gt;0,"Sí","No")</f>
        <v>Sí</v>
      </c>
      <c r="Z1985" s="23" cm="1">
        <f t="array" ref="Z1985">_xlfn.XLOOKUP(tblMatriculas[[#This Row],[Cédula]]&amp;"|"&amp;tblMatriculas[[#This Row],[Código]],tblBase[Documento]&amp;"|"&amp;tblBase[Código grupo],tblBase[Fecha matrícula],"")</f>
        <v>46262</v>
      </c>
    </row>
    <row r="1986" spans="1:26" x14ac:dyDescent="0.2">
      <c r="A1986" t="s">
        <v>4125</v>
      </c>
      <c r="B1986" t="s">
        <v>4126</v>
      </c>
      <c r="C1986" t="s">
        <v>13</v>
      </c>
      <c r="D1986" t="s">
        <v>4064</v>
      </c>
      <c r="E1986" t="s">
        <v>4065</v>
      </c>
      <c r="F1986" t="s">
        <v>111</v>
      </c>
      <c r="G1986" s="1">
        <v>0.13300000000000001</v>
      </c>
      <c r="H1986" t="s">
        <v>112</v>
      </c>
      <c r="I1986" t="s">
        <v>3833</v>
      </c>
      <c r="J1986" t="s">
        <v>4066</v>
      </c>
      <c r="K1986" t="s">
        <v>24</v>
      </c>
      <c r="L1986" s="14">
        <f>IFERROR(VALUE(LEFT(tblMatriculas[[#This Row],[Clases]],FIND("/",tblMatriculas[[#This Row],[Clases]])-1)),"")</f>
        <v>4</v>
      </c>
      <c r="M1986" s="14">
        <f>IFERROR(VALUE(MID(tblMatriculas[[#This Row],[Clases]],FIND("/",tblMatriculas[[#This Row],[Clases]])+1,5)),"")</f>
        <v>30</v>
      </c>
      <c r="N19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6" s="14">
        <f>IF(OR(tblMatriculas[[#This Row],[Estado]]&lt;&gt;"activa",tblMatriculas[[#This Row],[Clases dictadas]]=""),"",MAX(0,tblMatriculas[[#This Row],[Clases dictadas]]-tblMatriculas[[#This Row],[Asistidas]]))</f>
        <v>2</v>
      </c>
      <c r="P1986" s="1">
        <f>IF(OR(tblMatriculas[[#This Row],[Estado]]&lt;&gt;"activa",tblMatriculas[[#This Row],[Asistidas]]=""),"",tblMatriculas[[#This Row],[Asistencia]])</f>
        <v>0.13300000000000001</v>
      </c>
      <c r="Q1986" t="b">
        <f>AND(tblMatriculas[[#This Row],[Estado]]="activa",ISNUMBER(tblMatriculas[[#This Row],[% asistencia]]),NOT(ISNUMBER(SEARCH(pPrueba,tblMatriculas[[#This Row],[Nombre]]))))</f>
        <v>1</v>
      </c>
      <c r="R19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6" s="23" t="str" cm="1">
        <f t="array" ref="S19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6" s="23" t="str" cm="1">
        <f t="array" ref="T19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6" s="14" t="str" cm="1">
        <f t="array" ref="U19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6" t="str" cm="1">
        <f t="array" ref="V19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6" t="str" cm="1">
        <f t="array" ref="W19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6" t="str">
        <f>IF(COUNTIFS('Base Estudiantes'!$C:$C,tblMatriculas[[#This Row],[Cédula]],'Base Estudiantes'!$I:$I,tblMatriculas[[#This Row],[Código]])&gt;0,"Sí","No")</f>
        <v>Sí</v>
      </c>
      <c r="Z1986" s="23" cm="1">
        <f t="array" ref="Z1986">_xlfn.XLOOKUP(tblMatriculas[[#This Row],[Cédula]]&amp;"|"&amp;tblMatriculas[[#This Row],[Código]],tblBase[Documento]&amp;"|"&amp;tblBase[Código grupo],tblBase[Fecha matrícula],"")</f>
        <v>46262</v>
      </c>
    </row>
    <row r="1987" spans="1:26" x14ac:dyDescent="0.2">
      <c r="A1987" t="s">
        <v>4127</v>
      </c>
      <c r="B1987" t="s">
        <v>4128</v>
      </c>
      <c r="C1987" t="s">
        <v>13</v>
      </c>
      <c r="D1987" t="s">
        <v>4064</v>
      </c>
      <c r="E1987" t="s">
        <v>4065</v>
      </c>
      <c r="F1987" t="s">
        <v>111</v>
      </c>
      <c r="G1987" s="1">
        <v>0.13300000000000001</v>
      </c>
      <c r="H1987" t="s">
        <v>112</v>
      </c>
      <c r="I1987" t="s">
        <v>3833</v>
      </c>
      <c r="J1987" t="s">
        <v>4066</v>
      </c>
      <c r="K1987" t="s">
        <v>24</v>
      </c>
      <c r="L1987" s="14">
        <f>IFERROR(VALUE(LEFT(tblMatriculas[[#This Row],[Clases]],FIND("/",tblMatriculas[[#This Row],[Clases]])-1)),"")</f>
        <v>4</v>
      </c>
      <c r="M1987" s="14">
        <f>IFERROR(VALUE(MID(tblMatriculas[[#This Row],[Clases]],FIND("/",tblMatriculas[[#This Row],[Clases]])+1,5)),"")</f>
        <v>30</v>
      </c>
      <c r="N19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7" s="14">
        <f>IF(OR(tblMatriculas[[#This Row],[Estado]]&lt;&gt;"activa",tblMatriculas[[#This Row],[Clases dictadas]]=""),"",MAX(0,tblMatriculas[[#This Row],[Clases dictadas]]-tblMatriculas[[#This Row],[Asistidas]]))</f>
        <v>2</v>
      </c>
      <c r="P1987" s="1">
        <f>IF(OR(tblMatriculas[[#This Row],[Estado]]&lt;&gt;"activa",tblMatriculas[[#This Row],[Asistidas]]=""),"",tblMatriculas[[#This Row],[Asistencia]])</f>
        <v>0.13300000000000001</v>
      </c>
      <c r="Q1987" t="b">
        <f>AND(tblMatriculas[[#This Row],[Estado]]="activa",ISNUMBER(tblMatriculas[[#This Row],[% asistencia]]),NOT(ISNUMBER(SEARCH(pPrueba,tblMatriculas[[#This Row],[Nombre]]))))</f>
        <v>1</v>
      </c>
      <c r="R19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7" s="23" t="str" cm="1">
        <f t="array" ref="S19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7" s="23" t="str" cm="1">
        <f t="array" ref="T19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7" s="14" t="str" cm="1">
        <f t="array" ref="U19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7" t="str" cm="1">
        <f t="array" ref="V19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7" t="str" cm="1">
        <f t="array" ref="W19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7" t="str">
        <f>IF(COUNTIFS('Base Estudiantes'!$C:$C,tblMatriculas[[#This Row],[Cédula]],'Base Estudiantes'!$I:$I,tblMatriculas[[#This Row],[Código]])&gt;0,"Sí","No")</f>
        <v>Sí</v>
      </c>
      <c r="Z1987" s="23" cm="1">
        <f t="array" ref="Z1987">_xlfn.XLOOKUP(tblMatriculas[[#This Row],[Cédula]]&amp;"|"&amp;tblMatriculas[[#This Row],[Código]],tblBase[Documento]&amp;"|"&amp;tblBase[Código grupo],tblBase[Fecha matrícula],"")</f>
        <v>46262</v>
      </c>
    </row>
    <row r="1988" spans="1:26" x14ac:dyDescent="0.2">
      <c r="A1988" t="s">
        <v>4129</v>
      </c>
      <c r="B1988" t="s">
        <v>4130</v>
      </c>
      <c r="C1988" t="s">
        <v>13</v>
      </c>
      <c r="D1988" t="s">
        <v>4064</v>
      </c>
      <c r="E1988" t="s">
        <v>4065</v>
      </c>
      <c r="F1988" t="s">
        <v>111</v>
      </c>
      <c r="G1988" s="1">
        <v>0.13300000000000001</v>
      </c>
      <c r="H1988" t="s">
        <v>112</v>
      </c>
      <c r="I1988" t="s">
        <v>3833</v>
      </c>
      <c r="J1988" t="s">
        <v>4066</v>
      </c>
      <c r="K1988" t="s">
        <v>24</v>
      </c>
      <c r="L1988" s="14">
        <f>IFERROR(VALUE(LEFT(tblMatriculas[[#This Row],[Clases]],FIND("/",tblMatriculas[[#This Row],[Clases]])-1)),"")</f>
        <v>4</v>
      </c>
      <c r="M1988" s="14">
        <f>IFERROR(VALUE(MID(tblMatriculas[[#This Row],[Clases]],FIND("/",tblMatriculas[[#This Row],[Clases]])+1,5)),"")</f>
        <v>30</v>
      </c>
      <c r="N19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8" s="14">
        <f>IF(OR(tblMatriculas[[#This Row],[Estado]]&lt;&gt;"activa",tblMatriculas[[#This Row],[Clases dictadas]]=""),"",MAX(0,tblMatriculas[[#This Row],[Clases dictadas]]-tblMatriculas[[#This Row],[Asistidas]]))</f>
        <v>2</v>
      </c>
      <c r="P1988" s="1">
        <f>IF(OR(tblMatriculas[[#This Row],[Estado]]&lt;&gt;"activa",tblMatriculas[[#This Row],[Asistidas]]=""),"",tblMatriculas[[#This Row],[Asistencia]])</f>
        <v>0.13300000000000001</v>
      </c>
      <c r="Q1988" t="b">
        <f>AND(tblMatriculas[[#This Row],[Estado]]="activa",ISNUMBER(tblMatriculas[[#This Row],[% asistencia]]),NOT(ISNUMBER(SEARCH(pPrueba,tblMatriculas[[#This Row],[Nombre]]))))</f>
        <v>1</v>
      </c>
      <c r="R19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8" s="23" t="str" cm="1">
        <f t="array" ref="S19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8" s="23" t="str" cm="1">
        <f t="array" ref="T19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8" s="14" t="str" cm="1">
        <f t="array" ref="U19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8" t="str" cm="1">
        <f t="array" ref="V19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8" t="str" cm="1">
        <f t="array" ref="W19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8" t="str">
        <f>IF(COUNTIFS('Base Estudiantes'!$C:$C,tblMatriculas[[#This Row],[Cédula]],'Base Estudiantes'!$I:$I,tblMatriculas[[#This Row],[Código]])&gt;0,"Sí","No")</f>
        <v>Sí</v>
      </c>
      <c r="Z1988" s="23" cm="1">
        <f t="array" ref="Z1988">_xlfn.XLOOKUP(tblMatriculas[[#This Row],[Cédula]]&amp;"|"&amp;tblMatriculas[[#This Row],[Código]],tblBase[Documento]&amp;"|"&amp;tblBase[Código grupo],tblBase[Fecha matrícula],"")</f>
        <v>46262</v>
      </c>
    </row>
    <row r="1989" spans="1:26" x14ac:dyDescent="0.2">
      <c r="A1989" t="s">
        <v>4131</v>
      </c>
      <c r="B1989" t="s">
        <v>4132</v>
      </c>
      <c r="C1989" t="s">
        <v>13</v>
      </c>
      <c r="D1989" t="s">
        <v>4064</v>
      </c>
      <c r="E1989" t="s">
        <v>4065</v>
      </c>
      <c r="F1989" t="s">
        <v>111</v>
      </c>
      <c r="G1989" s="1">
        <v>0.2</v>
      </c>
      <c r="H1989" t="s">
        <v>232</v>
      </c>
      <c r="I1989" t="s">
        <v>3833</v>
      </c>
      <c r="J1989" t="s">
        <v>4066</v>
      </c>
      <c r="K1989" t="s">
        <v>24</v>
      </c>
      <c r="L1989" s="14">
        <f>IFERROR(VALUE(LEFT(tblMatriculas[[#This Row],[Clases]],FIND("/",tblMatriculas[[#This Row],[Clases]])-1)),"")</f>
        <v>6</v>
      </c>
      <c r="M1989" s="14">
        <f>IFERROR(VALUE(MID(tblMatriculas[[#This Row],[Clases]],FIND("/",tblMatriculas[[#This Row],[Clases]])+1,5)),"")</f>
        <v>30</v>
      </c>
      <c r="N19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89" s="14">
        <f>IF(OR(tblMatriculas[[#This Row],[Estado]]&lt;&gt;"activa",tblMatriculas[[#This Row],[Clases dictadas]]=""),"",MAX(0,tblMatriculas[[#This Row],[Clases dictadas]]-tblMatriculas[[#This Row],[Asistidas]]))</f>
        <v>0</v>
      </c>
      <c r="P1989" s="1">
        <f>IF(OR(tblMatriculas[[#This Row],[Estado]]&lt;&gt;"activa",tblMatriculas[[#This Row],[Asistidas]]=""),"",tblMatriculas[[#This Row],[Asistencia]])</f>
        <v>0.2</v>
      </c>
      <c r="Q1989" t="b">
        <f>AND(tblMatriculas[[#This Row],[Estado]]="activa",ISNUMBER(tblMatriculas[[#This Row],[% asistencia]]),NOT(ISNUMBER(SEARCH(pPrueba,tblMatriculas[[#This Row],[Nombre]]))))</f>
        <v>1</v>
      </c>
      <c r="R19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89" s="23" t="str" cm="1">
        <f t="array" ref="S19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89" s="23" t="str" cm="1">
        <f t="array" ref="T19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89" s="14" t="str" cm="1">
        <f t="array" ref="U19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89" t="str" cm="1">
        <f t="array" ref="V19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89" t="str" cm="1">
        <f t="array" ref="W19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8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89" t="str">
        <f>IF(COUNTIFS('Base Estudiantes'!$C:$C,tblMatriculas[[#This Row],[Cédula]],'Base Estudiantes'!$I:$I,tblMatriculas[[#This Row],[Código]])&gt;0,"Sí","No")</f>
        <v>Sí</v>
      </c>
      <c r="Z1989" s="23" cm="1">
        <f t="array" ref="Z1989">_xlfn.XLOOKUP(tblMatriculas[[#This Row],[Cédula]]&amp;"|"&amp;tblMatriculas[[#This Row],[Código]],tblBase[Documento]&amp;"|"&amp;tblBase[Código grupo],tblBase[Fecha matrícula],"")</f>
        <v>46262</v>
      </c>
    </row>
    <row r="1990" spans="1:26" x14ac:dyDescent="0.2">
      <c r="A1990" t="s">
        <v>4133</v>
      </c>
      <c r="B1990" t="s">
        <v>4134</v>
      </c>
      <c r="C1990" t="s">
        <v>13</v>
      </c>
      <c r="D1990" t="s">
        <v>4064</v>
      </c>
      <c r="E1990" t="s">
        <v>4065</v>
      </c>
      <c r="F1990" t="s">
        <v>111</v>
      </c>
      <c r="G1990" s="1">
        <v>0</v>
      </c>
      <c r="H1990" t="s">
        <v>254</v>
      </c>
      <c r="I1990" t="s">
        <v>3833</v>
      </c>
      <c r="J1990" t="s">
        <v>4066</v>
      </c>
      <c r="K1990" t="s">
        <v>24</v>
      </c>
      <c r="L1990" s="14">
        <f>IFERROR(VALUE(LEFT(tblMatriculas[[#This Row],[Clases]],FIND("/",tblMatriculas[[#This Row],[Clases]])-1)),"")</f>
        <v>0</v>
      </c>
      <c r="M1990" s="14">
        <f>IFERROR(VALUE(MID(tblMatriculas[[#This Row],[Clases]],FIND("/",tblMatriculas[[#This Row],[Clases]])+1,5)),"")</f>
        <v>30</v>
      </c>
      <c r="N19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0" s="14">
        <f>IF(OR(tblMatriculas[[#This Row],[Estado]]&lt;&gt;"activa",tblMatriculas[[#This Row],[Clases dictadas]]=""),"",MAX(0,tblMatriculas[[#This Row],[Clases dictadas]]-tblMatriculas[[#This Row],[Asistidas]]))</f>
        <v>6</v>
      </c>
      <c r="P1990" s="1">
        <f>IF(OR(tblMatriculas[[#This Row],[Estado]]&lt;&gt;"activa",tblMatriculas[[#This Row],[Asistidas]]=""),"",tblMatriculas[[#This Row],[Asistencia]])</f>
        <v>0</v>
      </c>
      <c r="Q1990" t="b">
        <f>AND(tblMatriculas[[#This Row],[Estado]]="activa",ISNUMBER(tblMatriculas[[#This Row],[% asistencia]]),NOT(ISNUMBER(SEARCH(pPrueba,tblMatriculas[[#This Row],[Nombre]]))))</f>
        <v>1</v>
      </c>
      <c r="R19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1990" s="23" t="str" cm="1">
        <f t="array" ref="S19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0" s="23" t="str" cm="1">
        <f t="array" ref="T19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0" s="14" t="str" cm="1">
        <f t="array" ref="U19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0" t="str" cm="1">
        <f t="array" ref="V19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0" t="str" cm="1">
        <f t="array" ref="W19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19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1990" t="str">
        <f>IF(COUNTIFS('Base Estudiantes'!$C:$C,tblMatriculas[[#This Row],[Cédula]],'Base Estudiantes'!$I:$I,tblMatriculas[[#This Row],[Código]])&gt;0,"Sí","No")</f>
        <v>Sí</v>
      </c>
      <c r="Z1990" s="23" cm="1">
        <f t="array" ref="Z1990">_xlfn.XLOOKUP(tblMatriculas[[#This Row],[Cédula]]&amp;"|"&amp;tblMatriculas[[#This Row],[Código]],tblBase[Documento]&amp;"|"&amp;tblBase[Código grupo],tblBase[Fecha matrícula],"")</f>
        <v>46262</v>
      </c>
    </row>
    <row r="1991" spans="1:26" x14ac:dyDescent="0.2">
      <c r="A1991" t="s">
        <v>4135</v>
      </c>
      <c r="B1991" t="s">
        <v>4136</v>
      </c>
      <c r="C1991" t="s">
        <v>13</v>
      </c>
      <c r="D1991" t="s">
        <v>4064</v>
      </c>
      <c r="E1991" t="s">
        <v>4065</v>
      </c>
      <c r="F1991" t="s">
        <v>111</v>
      </c>
      <c r="G1991" s="1">
        <v>0.13300000000000001</v>
      </c>
      <c r="H1991" t="s">
        <v>112</v>
      </c>
      <c r="I1991" t="s">
        <v>3833</v>
      </c>
      <c r="J1991" t="s">
        <v>4066</v>
      </c>
      <c r="K1991" t="s">
        <v>24</v>
      </c>
      <c r="L1991" s="14">
        <f>IFERROR(VALUE(LEFT(tblMatriculas[[#This Row],[Clases]],FIND("/",tblMatriculas[[#This Row],[Clases]])-1)),"")</f>
        <v>4</v>
      </c>
      <c r="M1991" s="14">
        <f>IFERROR(VALUE(MID(tblMatriculas[[#This Row],[Clases]],FIND("/",tblMatriculas[[#This Row],[Clases]])+1,5)),"")</f>
        <v>30</v>
      </c>
      <c r="N19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1" s="14">
        <f>IF(OR(tblMatriculas[[#This Row],[Estado]]&lt;&gt;"activa",tblMatriculas[[#This Row],[Clases dictadas]]=""),"",MAX(0,tblMatriculas[[#This Row],[Clases dictadas]]-tblMatriculas[[#This Row],[Asistidas]]))</f>
        <v>2</v>
      </c>
      <c r="P1991" s="1">
        <f>IF(OR(tblMatriculas[[#This Row],[Estado]]&lt;&gt;"activa",tblMatriculas[[#This Row],[Asistidas]]=""),"",tblMatriculas[[#This Row],[Asistencia]])</f>
        <v>0.13300000000000001</v>
      </c>
      <c r="Q1991" t="b">
        <f>AND(tblMatriculas[[#This Row],[Estado]]="activa",ISNUMBER(tblMatriculas[[#This Row],[% asistencia]]),NOT(ISNUMBER(SEARCH(pPrueba,tblMatriculas[[#This Row],[Nombre]]))))</f>
        <v>1</v>
      </c>
      <c r="R19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1" s="23" t="str" cm="1">
        <f t="array" ref="S19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1" s="23" t="str" cm="1">
        <f t="array" ref="T19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1" s="14" t="str" cm="1">
        <f t="array" ref="U19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1" t="str" cm="1">
        <f t="array" ref="V19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1" t="str" cm="1">
        <f t="array" ref="W19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1" t="str">
        <f>IF(COUNTIFS('Base Estudiantes'!$C:$C,tblMatriculas[[#This Row],[Cédula]],'Base Estudiantes'!$I:$I,tblMatriculas[[#This Row],[Código]])&gt;0,"Sí","No")</f>
        <v>Sí</v>
      </c>
      <c r="Z1991" s="23" cm="1">
        <f t="array" ref="Z1991">_xlfn.XLOOKUP(tblMatriculas[[#This Row],[Cédula]]&amp;"|"&amp;tblMatriculas[[#This Row],[Código]],tblBase[Documento]&amp;"|"&amp;tblBase[Código grupo],tblBase[Fecha matrícula],"")</f>
        <v>46262</v>
      </c>
    </row>
    <row r="1992" spans="1:26" x14ac:dyDescent="0.2">
      <c r="A1992" t="s">
        <v>4137</v>
      </c>
      <c r="B1992" t="s">
        <v>4138</v>
      </c>
      <c r="C1992" t="s">
        <v>13</v>
      </c>
      <c r="D1992" t="s">
        <v>4064</v>
      </c>
      <c r="E1992" t="s">
        <v>4065</v>
      </c>
      <c r="F1992" t="s">
        <v>111</v>
      </c>
      <c r="G1992" s="1">
        <v>0.13300000000000001</v>
      </c>
      <c r="H1992" t="s">
        <v>112</v>
      </c>
      <c r="I1992" t="s">
        <v>3833</v>
      </c>
      <c r="J1992" t="s">
        <v>4066</v>
      </c>
      <c r="K1992" t="s">
        <v>24</v>
      </c>
      <c r="L1992" s="14">
        <f>IFERROR(VALUE(LEFT(tblMatriculas[[#This Row],[Clases]],FIND("/",tblMatriculas[[#This Row],[Clases]])-1)),"")</f>
        <v>4</v>
      </c>
      <c r="M1992" s="14">
        <f>IFERROR(VALUE(MID(tblMatriculas[[#This Row],[Clases]],FIND("/",tblMatriculas[[#This Row],[Clases]])+1,5)),"")</f>
        <v>30</v>
      </c>
      <c r="N19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2" s="14">
        <f>IF(OR(tblMatriculas[[#This Row],[Estado]]&lt;&gt;"activa",tblMatriculas[[#This Row],[Clases dictadas]]=""),"",MAX(0,tblMatriculas[[#This Row],[Clases dictadas]]-tblMatriculas[[#This Row],[Asistidas]]))</f>
        <v>2</v>
      </c>
      <c r="P1992" s="1">
        <f>IF(OR(tblMatriculas[[#This Row],[Estado]]&lt;&gt;"activa",tblMatriculas[[#This Row],[Asistidas]]=""),"",tblMatriculas[[#This Row],[Asistencia]])</f>
        <v>0.13300000000000001</v>
      </c>
      <c r="Q1992" t="b">
        <f>AND(tblMatriculas[[#This Row],[Estado]]="activa",ISNUMBER(tblMatriculas[[#This Row],[% asistencia]]),NOT(ISNUMBER(SEARCH(pPrueba,tblMatriculas[[#This Row],[Nombre]]))))</f>
        <v>1</v>
      </c>
      <c r="R19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2" s="23" t="str" cm="1">
        <f t="array" ref="S19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2" s="23" t="str" cm="1">
        <f t="array" ref="T19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2" s="14" t="str" cm="1">
        <f t="array" ref="U19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2" t="str" cm="1">
        <f t="array" ref="V19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2" t="str" cm="1">
        <f t="array" ref="W19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2" t="str">
        <f>IF(COUNTIFS('Base Estudiantes'!$C:$C,tblMatriculas[[#This Row],[Cédula]],'Base Estudiantes'!$I:$I,tblMatriculas[[#This Row],[Código]])&gt;0,"Sí","No")</f>
        <v>Sí</v>
      </c>
      <c r="Z1992" s="23" cm="1">
        <f t="array" ref="Z1992">_xlfn.XLOOKUP(tblMatriculas[[#This Row],[Cédula]]&amp;"|"&amp;tblMatriculas[[#This Row],[Código]],tblBase[Documento]&amp;"|"&amp;tblBase[Código grupo],tblBase[Fecha matrícula],"")</f>
        <v>46262</v>
      </c>
    </row>
    <row r="1993" spans="1:26" x14ac:dyDescent="0.2">
      <c r="A1993" t="s">
        <v>4139</v>
      </c>
      <c r="B1993" t="s">
        <v>4140</v>
      </c>
      <c r="C1993" t="s">
        <v>13</v>
      </c>
      <c r="D1993" t="s">
        <v>4064</v>
      </c>
      <c r="E1993" t="s">
        <v>4065</v>
      </c>
      <c r="F1993" t="s">
        <v>111</v>
      </c>
      <c r="G1993" s="1">
        <v>0.16699999999999998</v>
      </c>
      <c r="H1993" t="s">
        <v>229</v>
      </c>
      <c r="I1993" t="s">
        <v>3833</v>
      </c>
      <c r="J1993" t="s">
        <v>4066</v>
      </c>
      <c r="K1993" t="s">
        <v>24</v>
      </c>
      <c r="L1993" s="14">
        <f>IFERROR(VALUE(LEFT(tblMatriculas[[#This Row],[Clases]],FIND("/",tblMatriculas[[#This Row],[Clases]])-1)),"")</f>
        <v>5</v>
      </c>
      <c r="M1993" s="14">
        <f>IFERROR(VALUE(MID(tblMatriculas[[#This Row],[Clases]],FIND("/",tblMatriculas[[#This Row],[Clases]])+1,5)),"")</f>
        <v>30</v>
      </c>
      <c r="N19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3" s="14">
        <f>IF(OR(tblMatriculas[[#This Row],[Estado]]&lt;&gt;"activa",tblMatriculas[[#This Row],[Clases dictadas]]=""),"",MAX(0,tblMatriculas[[#This Row],[Clases dictadas]]-tblMatriculas[[#This Row],[Asistidas]]))</f>
        <v>1</v>
      </c>
      <c r="P1993" s="1">
        <f>IF(OR(tblMatriculas[[#This Row],[Estado]]&lt;&gt;"activa",tblMatriculas[[#This Row],[Asistidas]]=""),"",tblMatriculas[[#This Row],[Asistencia]])</f>
        <v>0.16699999999999998</v>
      </c>
      <c r="Q1993" t="b">
        <f>AND(tblMatriculas[[#This Row],[Estado]]="activa",ISNUMBER(tblMatriculas[[#This Row],[% asistencia]]),NOT(ISNUMBER(SEARCH(pPrueba,tblMatriculas[[#This Row],[Nombre]]))))</f>
        <v>1</v>
      </c>
      <c r="R19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3" s="23" t="str" cm="1">
        <f t="array" ref="S19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3" s="23" t="str" cm="1">
        <f t="array" ref="T19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3" s="14" t="str" cm="1">
        <f t="array" ref="U19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3" t="str" cm="1">
        <f t="array" ref="V19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3" t="str" cm="1">
        <f t="array" ref="W19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3" t="str">
        <f>IF(COUNTIFS('Base Estudiantes'!$C:$C,tblMatriculas[[#This Row],[Cédula]],'Base Estudiantes'!$I:$I,tblMatriculas[[#This Row],[Código]])&gt;0,"Sí","No")</f>
        <v>Sí</v>
      </c>
      <c r="Z1993" s="23" cm="1">
        <f t="array" ref="Z1993">_xlfn.XLOOKUP(tblMatriculas[[#This Row],[Cédula]]&amp;"|"&amp;tblMatriculas[[#This Row],[Código]],tblBase[Documento]&amp;"|"&amp;tblBase[Código grupo],tblBase[Fecha matrícula],"")</f>
        <v>46262</v>
      </c>
    </row>
    <row r="1994" spans="1:26" x14ac:dyDescent="0.2">
      <c r="A1994" t="s">
        <v>4141</v>
      </c>
      <c r="B1994" t="s">
        <v>4142</v>
      </c>
      <c r="C1994" t="s">
        <v>13</v>
      </c>
      <c r="D1994" t="s">
        <v>4064</v>
      </c>
      <c r="E1994" t="s">
        <v>4065</v>
      </c>
      <c r="F1994" t="s">
        <v>111</v>
      </c>
      <c r="G1994" s="1">
        <v>0.2</v>
      </c>
      <c r="H1994" t="s">
        <v>232</v>
      </c>
      <c r="I1994" t="s">
        <v>3833</v>
      </c>
      <c r="J1994" t="s">
        <v>4066</v>
      </c>
      <c r="K1994" t="s">
        <v>3842</v>
      </c>
      <c r="L1994" s="14">
        <f>IFERROR(VALUE(LEFT(tblMatriculas[[#This Row],[Clases]],FIND("/",tblMatriculas[[#This Row],[Clases]])-1)),"")</f>
        <v>6</v>
      </c>
      <c r="M1994" s="14">
        <f>IFERROR(VALUE(MID(tblMatriculas[[#This Row],[Clases]],FIND("/",tblMatriculas[[#This Row],[Clases]])+1,5)),"")</f>
        <v>30</v>
      </c>
      <c r="N19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4" s="14">
        <f>IF(OR(tblMatriculas[[#This Row],[Estado]]&lt;&gt;"activa",tblMatriculas[[#This Row],[Clases dictadas]]=""),"",MAX(0,tblMatriculas[[#This Row],[Clases dictadas]]-tblMatriculas[[#This Row],[Asistidas]]))</f>
        <v>0</v>
      </c>
      <c r="P1994" s="1">
        <f>IF(OR(tblMatriculas[[#This Row],[Estado]]&lt;&gt;"activa",tblMatriculas[[#This Row],[Asistidas]]=""),"",tblMatriculas[[#This Row],[Asistencia]])</f>
        <v>0.2</v>
      </c>
      <c r="Q1994" t="b">
        <f>AND(tblMatriculas[[#This Row],[Estado]]="activa",ISNUMBER(tblMatriculas[[#This Row],[% asistencia]]),NOT(ISNUMBER(SEARCH(pPrueba,tblMatriculas[[#This Row],[Nombre]]))))</f>
        <v>1</v>
      </c>
      <c r="R19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4" s="23" t="str" cm="1">
        <f t="array" ref="S19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4" s="23" t="str" cm="1">
        <f t="array" ref="T19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4" s="14" t="str" cm="1">
        <f t="array" ref="U19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4" t="str" cm="1">
        <f t="array" ref="V19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4" t="str" cm="1">
        <f t="array" ref="W19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4" t="str">
        <f>IF(COUNTIFS('Base Estudiantes'!$C:$C,tblMatriculas[[#This Row],[Cédula]],'Base Estudiantes'!$I:$I,tblMatriculas[[#This Row],[Código]])&gt;0,"Sí","No")</f>
        <v>Sí</v>
      </c>
      <c r="Z1994" s="23" cm="1">
        <f t="array" ref="Z1994">_xlfn.XLOOKUP(tblMatriculas[[#This Row],[Cédula]]&amp;"|"&amp;tblMatriculas[[#This Row],[Código]],tblBase[Documento]&amp;"|"&amp;tblBase[Código grupo],tblBase[Fecha matrícula],"")</f>
        <v>46262</v>
      </c>
    </row>
    <row r="1995" spans="1:26" x14ac:dyDescent="0.2">
      <c r="A1995" t="s">
        <v>4143</v>
      </c>
      <c r="B1995" t="s">
        <v>4144</v>
      </c>
      <c r="C1995" t="s">
        <v>13</v>
      </c>
      <c r="D1995" t="s">
        <v>4064</v>
      </c>
      <c r="E1995" t="s">
        <v>4065</v>
      </c>
      <c r="F1995" t="s">
        <v>111</v>
      </c>
      <c r="G1995" s="1">
        <v>0.13300000000000001</v>
      </c>
      <c r="H1995" t="s">
        <v>112</v>
      </c>
      <c r="I1995" t="s">
        <v>3833</v>
      </c>
      <c r="J1995" t="s">
        <v>4066</v>
      </c>
      <c r="K1995" t="s">
        <v>3842</v>
      </c>
      <c r="L1995" s="14">
        <f>IFERROR(VALUE(LEFT(tblMatriculas[[#This Row],[Clases]],FIND("/",tblMatriculas[[#This Row],[Clases]])-1)),"")</f>
        <v>4</v>
      </c>
      <c r="M1995" s="14">
        <f>IFERROR(VALUE(MID(tblMatriculas[[#This Row],[Clases]],FIND("/",tblMatriculas[[#This Row],[Clases]])+1,5)),"")</f>
        <v>30</v>
      </c>
      <c r="N19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5" s="14">
        <f>IF(OR(tblMatriculas[[#This Row],[Estado]]&lt;&gt;"activa",tblMatriculas[[#This Row],[Clases dictadas]]=""),"",MAX(0,tblMatriculas[[#This Row],[Clases dictadas]]-tblMatriculas[[#This Row],[Asistidas]]))</f>
        <v>2</v>
      </c>
      <c r="P1995" s="1">
        <f>IF(OR(tblMatriculas[[#This Row],[Estado]]&lt;&gt;"activa",tblMatriculas[[#This Row],[Asistidas]]=""),"",tblMatriculas[[#This Row],[Asistencia]])</f>
        <v>0.13300000000000001</v>
      </c>
      <c r="Q1995" t="b">
        <f>AND(tblMatriculas[[#This Row],[Estado]]="activa",ISNUMBER(tblMatriculas[[#This Row],[% asistencia]]),NOT(ISNUMBER(SEARCH(pPrueba,tblMatriculas[[#This Row],[Nombre]]))))</f>
        <v>1</v>
      </c>
      <c r="R19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5" s="23" t="str" cm="1">
        <f t="array" ref="S19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5" s="23" t="str" cm="1">
        <f t="array" ref="T19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5" s="14" t="str" cm="1">
        <f t="array" ref="U19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5" t="str" cm="1">
        <f t="array" ref="V19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5" t="str" cm="1">
        <f t="array" ref="W19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5" t="str">
        <f>IF(COUNTIFS('Base Estudiantes'!$C:$C,tblMatriculas[[#This Row],[Cédula]],'Base Estudiantes'!$I:$I,tblMatriculas[[#This Row],[Código]])&gt;0,"Sí","No")</f>
        <v>Sí</v>
      </c>
      <c r="Z1995" s="23" cm="1">
        <f t="array" ref="Z1995">_xlfn.XLOOKUP(tblMatriculas[[#This Row],[Cédula]]&amp;"|"&amp;tblMatriculas[[#This Row],[Código]],tblBase[Documento]&amp;"|"&amp;tblBase[Código grupo],tblBase[Fecha matrícula],"")</f>
        <v>46262</v>
      </c>
    </row>
    <row r="1996" spans="1:26" x14ac:dyDescent="0.2">
      <c r="A1996" t="s">
        <v>4145</v>
      </c>
      <c r="B1996" t="s">
        <v>4146</v>
      </c>
      <c r="C1996" t="s">
        <v>13</v>
      </c>
      <c r="D1996" t="s">
        <v>4064</v>
      </c>
      <c r="E1996" t="s">
        <v>4065</v>
      </c>
      <c r="F1996" t="s">
        <v>111</v>
      </c>
      <c r="G1996" s="1">
        <v>0.2</v>
      </c>
      <c r="H1996" t="s">
        <v>232</v>
      </c>
      <c r="I1996" t="s">
        <v>3833</v>
      </c>
      <c r="J1996" t="s">
        <v>4066</v>
      </c>
      <c r="K1996" t="s">
        <v>3842</v>
      </c>
      <c r="L1996" s="14">
        <f>IFERROR(VALUE(LEFT(tblMatriculas[[#This Row],[Clases]],FIND("/",tblMatriculas[[#This Row],[Clases]])-1)),"")</f>
        <v>6</v>
      </c>
      <c r="M1996" s="14">
        <f>IFERROR(VALUE(MID(tblMatriculas[[#This Row],[Clases]],FIND("/",tblMatriculas[[#This Row],[Clases]])+1,5)),"")</f>
        <v>30</v>
      </c>
      <c r="N19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6" s="14">
        <f>IF(OR(tblMatriculas[[#This Row],[Estado]]&lt;&gt;"activa",tblMatriculas[[#This Row],[Clases dictadas]]=""),"",MAX(0,tblMatriculas[[#This Row],[Clases dictadas]]-tblMatriculas[[#This Row],[Asistidas]]))</f>
        <v>0</v>
      </c>
      <c r="P1996" s="1">
        <f>IF(OR(tblMatriculas[[#This Row],[Estado]]&lt;&gt;"activa",tblMatriculas[[#This Row],[Asistidas]]=""),"",tblMatriculas[[#This Row],[Asistencia]])</f>
        <v>0.2</v>
      </c>
      <c r="Q1996" t="b">
        <f>AND(tblMatriculas[[#This Row],[Estado]]="activa",ISNUMBER(tblMatriculas[[#This Row],[% asistencia]]),NOT(ISNUMBER(SEARCH(pPrueba,tblMatriculas[[#This Row],[Nombre]]))))</f>
        <v>1</v>
      </c>
      <c r="R19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6" s="23" t="str" cm="1">
        <f t="array" ref="S19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6" s="23" t="str" cm="1">
        <f t="array" ref="T19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6" s="14" t="str" cm="1">
        <f t="array" ref="U19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6" t="str" cm="1">
        <f t="array" ref="V19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6" t="str" cm="1">
        <f t="array" ref="W19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6" t="str">
        <f>IF(COUNTIFS('Base Estudiantes'!$C:$C,tblMatriculas[[#This Row],[Cédula]],'Base Estudiantes'!$I:$I,tblMatriculas[[#This Row],[Código]])&gt;0,"Sí","No")</f>
        <v>Sí</v>
      </c>
      <c r="Z1996" s="23" cm="1">
        <f t="array" ref="Z1996">_xlfn.XLOOKUP(tblMatriculas[[#This Row],[Cédula]]&amp;"|"&amp;tblMatriculas[[#This Row],[Código]],tblBase[Documento]&amp;"|"&amp;tblBase[Código grupo],tblBase[Fecha matrícula],"")</f>
        <v>46262</v>
      </c>
    </row>
    <row r="1997" spans="1:26" x14ac:dyDescent="0.2">
      <c r="A1997" t="s">
        <v>4147</v>
      </c>
      <c r="B1997" t="s">
        <v>4148</v>
      </c>
      <c r="C1997" t="s">
        <v>13</v>
      </c>
      <c r="D1997" t="s">
        <v>4064</v>
      </c>
      <c r="E1997" t="s">
        <v>4065</v>
      </c>
      <c r="F1997" t="s">
        <v>111</v>
      </c>
      <c r="G1997" s="1">
        <v>0.13300000000000001</v>
      </c>
      <c r="H1997" t="s">
        <v>112</v>
      </c>
      <c r="I1997" t="s">
        <v>3833</v>
      </c>
      <c r="J1997" t="s">
        <v>4066</v>
      </c>
      <c r="K1997" t="s">
        <v>3842</v>
      </c>
      <c r="L1997" s="14">
        <f>IFERROR(VALUE(LEFT(tblMatriculas[[#This Row],[Clases]],FIND("/",tblMatriculas[[#This Row],[Clases]])-1)),"")</f>
        <v>4</v>
      </c>
      <c r="M1997" s="14">
        <f>IFERROR(VALUE(MID(tblMatriculas[[#This Row],[Clases]],FIND("/",tblMatriculas[[#This Row],[Clases]])+1,5)),"")</f>
        <v>30</v>
      </c>
      <c r="N19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7" s="14">
        <f>IF(OR(tblMatriculas[[#This Row],[Estado]]&lt;&gt;"activa",tblMatriculas[[#This Row],[Clases dictadas]]=""),"",MAX(0,tblMatriculas[[#This Row],[Clases dictadas]]-tblMatriculas[[#This Row],[Asistidas]]))</f>
        <v>2</v>
      </c>
      <c r="P1997" s="1">
        <f>IF(OR(tblMatriculas[[#This Row],[Estado]]&lt;&gt;"activa",tblMatriculas[[#This Row],[Asistidas]]=""),"",tblMatriculas[[#This Row],[Asistencia]])</f>
        <v>0.13300000000000001</v>
      </c>
      <c r="Q1997" t="b">
        <f>AND(tblMatriculas[[#This Row],[Estado]]="activa",ISNUMBER(tblMatriculas[[#This Row],[% asistencia]]),NOT(ISNUMBER(SEARCH(pPrueba,tblMatriculas[[#This Row],[Nombre]]))))</f>
        <v>1</v>
      </c>
      <c r="R19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7" s="23" t="str" cm="1">
        <f t="array" ref="S19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7" s="23" t="str" cm="1">
        <f t="array" ref="T19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7" s="14" t="str" cm="1">
        <f t="array" ref="U19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7" t="str" cm="1">
        <f t="array" ref="V19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7" t="str" cm="1">
        <f t="array" ref="W19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7" t="str">
        <f>IF(COUNTIFS('Base Estudiantes'!$C:$C,tblMatriculas[[#This Row],[Cédula]],'Base Estudiantes'!$I:$I,tblMatriculas[[#This Row],[Código]])&gt;0,"Sí","No")</f>
        <v>Sí</v>
      </c>
      <c r="Z1997" s="23" cm="1">
        <f t="array" ref="Z1997">_xlfn.XLOOKUP(tblMatriculas[[#This Row],[Cédula]]&amp;"|"&amp;tblMatriculas[[#This Row],[Código]],tblBase[Documento]&amp;"|"&amp;tblBase[Código grupo],tblBase[Fecha matrícula],"")</f>
        <v>46262</v>
      </c>
    </row>
    <row r="1998" spans="1:26" x14ac:dyDescent="0.2">
      <c r="A1998" t="s">
        <v>4149</v>
      </c>
      <c r="B1998" t="s">
        <v>4150</v>
      </c>
      <c r="C1998" t="s">
        <v>13</v>
      </c>
      <c r="D1998" t="s">
        <v>4064</v>
      </c>
      <c r="E1998" t="s">
        <v>4065</v>
      </c>
      <c r="F1998" t="s">
        <v>111</v>
      </c>
      <c r="G1998" s="1">
        <v>0.16699999999999998</v>
      </c>
      <c r="H1998" t="s">
        <v>229</v>
      </c>
      <c r="I1998" t="s">
        <v>3833</v>
      </c>
      <c r="J1998" t="s">
        <v>4066</v>
      </c>
      <c r="K1998" t="s">
        <v>3842</v>
      </c>
      <c r="L1998" s="14">
        <f>IFERROR(VALUE(LEFT(tblMatriculas[[#This Row],[Clases]],FIND("/",tblMatriculas[[#This Row],[Clases]])-1)),"")</f>
        <v>5</v>
      </c>
      <c r="M1998" s="14">
        <f>IFERROR(VALUE(MID(tblMatriculas[[#This Row],[Clases]],FIND("/",tblMatriculas[[#This Row],[Clases]])+1,5)),"")</f>
        <v>30</v>
      </c>
      <c r="N19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8" s="14">
        <f>IF(OR(tblMatriculas[[#This Row],[Estado]]&lt;&gt;"activa",tblMatriculas[[#This Row],[Clases dictadas]]=""),"",MAX(0,tblMatriculas[[#This Row],[Clases dictadas]]-tblMatriculas[[#This Row],[Asistidas]]))</f>
        <v>1</v>
      </c>
      <c r="P1998" s="1">
        <f>IF(OR(tblMatriculas[[#This Row],[Estado]]&lt;&gt;"activa",tblMatriculas[[#This Row],[Asistidas]]=""),"",tblMatriculas[[#This Row],[Asistencia]])</f>
        <v>0.16699999999999998</v>
      </c>
      <c r="Q1998" t="b">
        <f>AND(tblMatriculas[[#This Row],[Estado]]="activa",ISNUMBER(tblMatriculas[[#This Row],[% asistencia]]),NOT(ISNUMBER(SEARCH(pPrueba,tblMatriculas[[#This Row],[Nombre]]))))</f>
        <v>1</v>
      </c>
      <c r="R19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8" s="23" t="str" cm="1">
        <f t="array" ref="S19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8" s="23" t="str" cm="1">
        <f t="array" ref="T19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8" s="14" t="str" cm="1">
        <f t="array" ref="U19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8" t="str" cm="1">
        <f t="array" ref="V19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8" t="str" cm="1">
        <f t="array" ref="W19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8" t="str">
        <f>IF(COUNTIFS('Base Estudiantes'!$C:$C,tblMatriculas[[#This Row],[Cédula]],'Base Estudiantes'!$I:$I,tblMatriculas[[#This Row],[Código]])&gt;0,"Sí","No")</f>
        <v>Sí</v>
      </c>
      <c r="Z1998" s="23" cm="1">
        <f t="array" ref="Z1998">_xlfn.XLOOKUP(tblMatriculas[[#This Row],[Cédula]]&amp;"|"&amp;tblMatriculas[[#This Row],[Código]],tblBase[Documento]&amp;"|"&amp;tblBase[Código grupo],tblBase[Fecha matrícula],"")</f>
        <v>46262</v>
      </c>
    </row>
    <row r="1999" spans="1:26" x14ac:dyDescent="0.2">
      <c r="A1999" t="s">
        <v>4151</v>
      </c>
      <c r="B1999" t="s">
        <v>4152</v>
      </c>
      <c r="C1999" t="s">
        <v>13</v>
      </c>
      <c r="D1999" t="s">
        <v>4064</v>
      </c>
      <c r="E1999" t="s">
        <v>4065</v>
      </c>
      <c r="F1999" t="s">
        <v>111</v>
      </c>
      <c r="G1999" s="1">
        <v>0.16699999999999998</v>
      </c>
      <c r="H1999" t="s">
        <v>229</v>
      </c>
      <c r="I1999" t="s">
        <v>3833</v>
      </c>
      <c r="J1999" t="s">
        <v>4066</v>
      </c>
      <c r="K1999" t="s">
        <v>3842</v>
      </c>
      <c r="L1999" s="14">
        <f>IFERROR(VALUE(LEFT(tblMatriculas[[#This Row],[Clases]],FIND("/",tblMatriculas[[#This Row],[Clases]])-1)),"")</f>
        <v>5</v>
      </c>
      <c r="M1999" s="14">
        <f>IFERROR(VALUE(MID(tblMatriculas[[#This Row],[Clases]],FIND("/",tblMatriculas[[#This Row],[Clases]])+1,5)),"")</f>
        <v>30</v>
      </c>
      <c r="N19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1999" s="14">
        <f>IF(OR(tblMatriculas[[#This Row],[Estado]]&lt;&gt;"activa",tblMatriculas[[#This Row],[Clases dictadas]]=""),"",MAX(0,tblMatriculas[[#This Row],[Clases dictadas]]-tblMatriculas[[#This Row],[Asistidas]]))</f>
        <v>1</v>
      </c>
      <c r="P1999" s="1">
        <f>IF(OR(tblMatriculas[[#This Row],[Estado]]&lt;&gt;"activa",tblMatriculas[[#This Row],[Asistidas]]=""),"",tblMatriculas[[#This Row],[Asistencia]])</f>
        <v>0.16699999999999998</v>
      </c>
      <c r="Q1999" t="b">
        <f>AND(tblMatriculas[[#This Row],[Estado]]="activa",ISNUMBER(tblMatriculas[[#This Row],[% asistencia]]),NOT(ISNUMBER(SEARCH(pPrueba,tblMatriculas[[#This Row],[Nombre]]))))</f>
        <v>1</v>
      </c>
      <c r="R19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1999" s="23" t="str" cm="1">
        <f t="array" ref="S19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1999" s="23" t="str" cm="1">
        <f t="array" ref="T19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1999" s="14" t="str" cm="1">
        <f t="array" ref="U19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1999" t="str" cm="1">
        <f t="array" ref="V19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1999" t="str" cm="1">
        <f t="array" ref="W19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199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1999" t="str">
        <f>IF(COUNTIFS('Base Estudiantes'!$C:$C,tblMatriculas[[#This Row],[Cédula]],'Base Estudiantes'!$I:$I,tblMatriculas[[#This Row],[Código]])&gt;0,"Sí","No")</f>
        <v>Sí</v>
      </c>
      <c r="Z1999" s="23" cm="1">
        <f t="array" ref="Z1999">_xlfn.XLOOKUP(tblMatriculas[[#This Row],[Cédula]]&amp;"|"&amp;tblMatriculas[[#This Row],[Código]],tblBase[Documento]&amp;"|"&amp;tblBase[Código grupo],tblBase[Fecha matrícula],"")</f>
        <v>46262</v>
      </c>
    </row>
    <row r="2000" spans="1:26" x14ac:dyDescent="0.2">
      <c r="A2000" t="s">
        <v>4153</v>
      </c>
      <c r="B2000" t="s">
        <v>4154</v>
      </c>
      <c r="C2000" t="s">
        <v>13</v>
      </c>
      <c r="D2000" t="s">
        <v>4064</v>
      </c>
      <c r="E2000" t="s">
        <v>4065</v>
      </c>
      <c r="F2000" t="s">
        <v>111</v>
      </c>
      <c r="G2000" s="1">
        <v>0.16699999999999998</v>
      </c>
      <c r="H2000" t="s">
        <v>229</v>
      </c>
      <c r="I2000" t="s">
        <v>3833</v>
      </c>
      <c r="J2000" t="s">
        <v>4066</v>
      </c>
      <c r="K2000" t="s">
        <v>3842</v>
      </c>
      <c r="L2000" s="14">
        <f>IFERROR(VALUE(LEFT(tblMatriculas[[#This Row],[Clases]],FIND("/",tblMatriculas[[#This Row],[Clases]])-1)),"")</f>
        <v>5</v>
      </c>
      <c r="M2000" s="14">
        <f>IFERROR(VALUE(MID(tblMatriculas[[#This Row],[Clases]],FIND("/",tblMatriculas[[#This Row],[Clases]])+1,5)),"")</f>
        <v>30</v>
      </c>
      <c r="N20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0" s="14">
        <f>IF(OR(tblMatriculas[[#This Row],[Estado]]&lt;&gt;"activa",tblMatriculas[[#This Row],[Clases dictadas]]=""),"",MAX(0,tblMatriculas[[#This Row],[Clases dictadas]]-tblMatriculas[[#This Row],[Asistidas]]))</f>
        <v>1</v>
      </c>
      <c r="P2000" s="1">
        <f>IF(OR(tblMatriculas[[#This Row],[Estado]]&lt;&gt;"activa",tblMatriculas[[#This Row],[Asistidas]]=""),"",tblMatriculas[[#This Row],[Asistencia]])</f>
        <v>0.16699999999999998</v>
      </c>
      <c r="Q2000" t="b">
        <f>AND(tblMatriculas[[#This Row],[Estado]]="activa",ISNUMBER(tblMatriculas[[#This Row],[% asistencia]]),NOT(ISNUMBER(SEARCH(pPrueba,tblMatriculas[[#This Row],[Nombre]]))))</f>
        <v>1</v>
      </c>
      <c r="R20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0" s="23" t="str" cm="1">
        <f t="array" ref="S20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0" s="23" t="str" cm="1">
        <f t="array" ref="T20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0" s="14" t="str" cm="1">
        <f t="array" ref="U20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0" t="str" cm="1">
        <f t="array" ref="V20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0" t="str" cm="1">
        <f t="array" ref="W20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0" t="str">
        <f>IF(COUNTIFS('Base Estudiantes'!$C:$C,tblMatriculas[[#This Row],[Cédula]],'Base Estudiantes'!$I:$I,tblMatriculas[[#This Row],[Código]])&gt;0,"Sí","No")</f>
        <v>Sí</v>
      </c>
      <c r="Z2000" s="23" cm="1">
        <f t="array" ref="Z2000">_xlfn.XLOOKUP(tblMatriculas[[#This Row],[Cédula]]&amp;"|"&amp;tblMatriculas[[#This Row],[Código]],tblBase[Documento]&amp;"|"&amp;tblBase[Código grupo],tblBase[Fecha matrícula],"")</f>
        <v>46262</v>
      </c>
    </row>
    <row r="2001" spans="1:26" x14ac:dyDescent="0.2">
      <c r="A2001" t="s">
        <v>4155</v>
      </c>
      <c r="B2001" t="s">
        <v>4156</v>
      </c>
      <c r="C2001" t="s">
        <v>13</v>
      </c>
      <c r="D2001" t="s">
        <v>4064</v>
      </c>
      <c r="E2001" t="s">
        <v>4065</v>
      </c>
      <c r="F2001" t="s">
        <v>111</v>
      </c>
      <c r="G2001" s="1">
        <v>0.2</v>
      </c>
      <c r="H2001" t="s">
        <v>232</v>
      </c>
      <c r="I2001" t="s">
        <v>3833</v>
      </c>
      <c r="J2001" t="s">
        <v>4066</v>
      </c>
      <c r="K2001" t="s">
        <v>3847</v>
      </c>
      <c r="L2001" s="14">
        <f>IFERROR(VALUE(LEFT(tblMatriculas[[#This Row],[Clases]],FIND("/",tblMatriculas[[#This Row],[Clases]])-1)),"")</f>
        <v>6</v>
      </c>
      <c r="M2001" s="14">
        <f>IFERROR(VALUE(MID(tblMatriculas[[#This Row],[Clases]],FIND("/",tblMatriculas[[#This Row],[Clases]])+1,5)),"")</f>
        <v>30</v>
      </c>
      <c r="N20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1" s="14">
        <f>IF(OR(tblMatriculas[[#This Row],[Estado]]&lt;&gt;"activa",tblMatriculas[[#This Row],[Clases dictadas]]=""),"",MAX(0,tblMatriculas[[#This Row],[Clases dictadas]]-tblMatriculas[[#This Row],[Asistidas]]))</f>
        <v>0</v>
      </c>
      <c r="P2001" s="1">
        <f>IF(OR(tblMatriculas[[#This Row],[Estado]]&lt;&gt;"activa",tblMatriculas[[#This Row],[Asistidas]]=""),"",tblMatriculas[[#This Row],[Asistencia]])</f>
        <v>0.2</v>
      </c>
      <c r="Q2001" t="b">
        <f>AND(tblMatriculas[[#This Row],[Estado]]="activa",ISNUMBER(tblMatriculas[[#This Row],[% asistencia]]),NOT(ISNUMBER(SEARCH(pPrueba,tblMatriculas[[#This Row],[Nombre]]))))</f>
        <v>1</v>
      </c>
      <c r="R20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1" s="23" t="str" cm="1">
        <f t="array" ref="S20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1" s="23" t="str" cm="1">
        <f t="array" ref="T20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1" s="14" t="str" cm="1">
        <f t="array" ref="U20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1" t="str" cm="1">
        <f t="array" ref="V20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1" t="str" cm="1">
        <f t="array" ref="W20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1" t="str">
        <f>IF(COUNTIFS('Base Estudiantes'!$C:$C,tblMatriculas[[#This Row],[Cédula]],'Base Estudiantes'!$I:$I,tblMatriculas[[#This Row],[Código]])&gt;0,"Sí","No")</f>
        <v>Sí</v>
      </c>
      <c r="Z2001" s="23" cm="1">
        <f t="array" ref="Z2001">_xlfn.XLOOKUP(tblMatriculas[[#This Row],[Cédula]]&amp;"|"&amp;tblMatriculas[[#This Row],[Código]],tblBase[Documento]&amp;"|"&amp;tblBase[Código grupo],tblBase[Fecha matrícula],"")</f>
        <v>46262</v>
      </c>
    </row>
    <row r="2002" spans="1:26" x14ac:dyDescent="0.2">
      <c r="A2002" t="s">
        <v>4157</v>
      </c>
      <c r="B2002" t="s">
        <v>4158</v>
      </c>
      <c r="C2002" t="s">
        <v>13</v>
      </c>
      <c r="D2002" t="s">
        <v>4064</v>
      </c>
      <c r="E2002" t="s">
        <v>4065</v>
      </c>
      <c r="F2002" t="s">
        <v>111</v>
      </c>
      <c r="G2002" s="1">
        <v>0.16699999999999998</v>
      </c>
      <c r="H2002" t="s">
        <v>229</v>
      </c>
      <c r="I2002" t="s">
        <v>3833</v>
      </c>
      <c r="J2002" t="s">
        <v>4066</v>
      </c>
      <c r="K2002" t="s">
        <v>3981</v>
      </c>
      <c r="L2002" s="14">
        <f>IFERROR(VALUE(LEFT(tblMatriculas[[#This Row],[Clases]],FIND("/",tblMatriculas[[#This Row],[Clases]])-1)),"")</f>
        <v>5</v>
      </c>
      <c r="M2002" s="14">
        <f>IFERROR(VALUE(MID(tblMatriculas[[#This Row],[Clases]],FIND("/",tblMatriculas[[#This Row],[Clases]])+1,5)),"")</f>
        <v>30</v>
      </c>
      <c r="N20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2" s="14">
        <f>IF(OR(tblMatriculas[[#This Row],[Estado]]&lt;&gt;"activa",tblMatriculas[[#This Row],[Clases dictadas]]=""),"",MAX(0,tblMatriculas[[#This Row],[Clases dictadas]]-tblMatriculas[[#This Row],[Asistidas]]))</f>
        <v>1</v>
      </c>
      <c r="P2002" s="1">
        <f>IF(OR(tblMatriculas[[#This Row],[Estado]]&lt;&gt;"activa",tblMatriculas[[#This Row],[Asistidas]]=""),"",tblMatriculas[[#This Row],[Asistencia]])</f>
        <v>0.16699999999999998</v>
      </c>
      <c r="Q2002" t="b">
        <f>AND(tblMatriculas[[#This Row],[Estado]]="activa",ISNUMBER(tblMatriculas[[#This Row],[% asistencia]]),NOT(ISNUMBER(SEARCH(pPrueba,tblMatriculas[[#This Row],[Nombre]]))))</f>
        <v>1</v>
      </c>
      <c r="R20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2" s="23" t="str" cm="1">
        <f t="array" ref="S20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2" s="23" t="str" cm="1">
        <f t="array" ref="T20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2" s="14" t="str" cm="1">
        <f t="array" ref="U20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2" t="str" cm="1">
        <f t="array" ref="V20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2" t="str" cm="1">
        <f t="array" ref="W20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2" t="str">
        <f>IF(COUNTIFS('Base Estudiantes'!$C:$C,tblMatriculas[[#This Row],[Cédula]],'Base Estudiantes'!$I:$I,tblMatriculas[[#This Row],[Código]])&gt;0,"Sí","No")</f>
        <v>Sí</v>
      </c>
      <c r="Z2002" s="23" cm="1">
        <f t="array" ref="Z2002">_xlfn.XLOOKUP(tblMatriculas[[#This Row],[Cédula]]&amp;"|"&amp;tblMatriculas[[#This Row],[Código]],tblBase[Documento]&amp;"|"&amp;tblBase[Código grupo],tblBase[Fecha matrícula],"")</f>
        <v>46262</v>
      </c>
    </row>
    <row r="2003" spans="1:26" x14ac:dyDescent="0.2">
      <c r="A2003" t="s">
        <v>4159</v>
      </c>
      <c r="B2003" t="s">
        <v>4160</v>
      </c>
      <c r="C2003" t="s">
        <v>13</v>
      </c>
      <c r="D2003" t="s">
        <v>4064</v>
      </c>
      <c r="E2003" t="s">
        <v>4065</v>
      </c>
      <c r="F2003" t="s">
        <v>111</v>
      </c>
      <c r="G2003" s="1">
        <v>0.16699999999999998</v>
      </c>
      <c r="H2003" t="s">
        <v>229</v>
      </c>
      <c r="I2003" t="s">
        <v>3833</v>
      </c>
      <c r="J2003" t="s">
        <v>4066</v>
      </c>
      <c r="K2003" t="s">
        <v>3981</v>
      </c>
      <c r="L2003" s="14">
        <f>IFERROR(VALUE(LEFT(tblMatriculas[[#This Row],[Clases]],FIND("/",tblMatriculas[[#This Row],[Clases]])-1)),"")</f>
        <v>5</v>
      </c>
      <c r="M2003" s="14">
        <f>IFERROR(VALUE(MID(tblMatriculas[[#This Row],[Clases]],FIND("/",tblMatriculas[[#This Row],[Clases]])+1,5)),"")</f>
        <v>30</v>
      </c>
      <c r="N20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3" s="14">
        <f>IF(OR(tblMatriculas[[#This Row],[Estado]]&lt;&gt;"activa",tblMatriculas[[#This Row],[Clases dictadas]]=""),"",MAX(0,tblMatriculas[[#This Row],[Clases dictadas]]-tblMatriculas[[#This Row],[Asistidas]]))</f>
        <v>1</v>
      </c>
      <c r="P2003" s="1">
        <f>IF(OR(tblMatriculas[[#This Row],[Estado]]&lt;&gt;"activa",tblMatriculas[[#This Row],[Asistidas]]=""),"",tblMatriculas[[#This Row],[Asistencia]])</f>
        <v>0.16699999999999998</v>
      </c>
      <c r="Q2003" t="b">
        <f>AND(tblMatriculas[[#This Row],[Estado]]="activa",ISNUMBER(tblMatriculas[[#This Row],[% asistencia]]),NOT(ISNUMBER(SEARCH(pPrueba,tblMatriculas[[#This Row],[Nombre]]))))</f>
        <v>1</v>
      </c>
      <c r="R20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3" s="23" t="str" cm="1">
        <f t="array" ref="S20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3" s="23" t="str" cm="1">
        <f t="array" ref="T20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3" s="14" t="str" cm="1">
        <f t="array" ref="U20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3" t="str" cm="1">
        <f t="array" ref="V20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3" t="str" cm="1">
        <f t="array" ref="W20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3" t="str">
        <f>IF(COUNTIFS('Base Estudiantes'!$C:$C,tblMatriculas[[#This Row],[Cédula]],'Base Estudiantes'!$I:$I,tblMatriculas[[#This Row],[Código]])&gt;0,"Sí","No")</f>
        <v>Sí</v>
      </c>
      <c r="Z2003" s="23" cm="1">
        <f t="array" ref="Z2003">_xlfn.XLOOKUP(tblMatriculas[[#This Row],[Cédula]]&amp;"|"&amp;tblMatriculas[[#This Row],[Código]],tblBase[Documento]&amp;"|"&amp;tblBase[Código grupo],tblBase[Fecha matrícula],"")</f>
        <v>46262</v>
      </c>
    </row>
    <row r="2004" spans="1:26" x14ac:dyDescent="0.2">
      <c r="A2004" t="s">
        <v>4161</v>
      </c>
      <c r="B2004" t="s">
        <v>4162</v>
      </c>
      <c r="C2004" t="s">
        <v>13</v>
      </c>
      <c r="D2004" t="s">
        <v>4064</v>
      </c>
      <c r="E2004" t="s">
        <v>4065</v>
      </c>
      <c r="F2004" t="s">
        <v>111</v>
      </c>
      <c r="G2004" s="1">
        <v>0.16699999999999998</v>
      </c>
      <c r="H2004" t="s">
        <v>229</v>
      </c>
      <c r="I2004" t="s">
        <v>3833</v>
      </c>
      <c r="J2004" t="s">
        <v>4066</v>
      </c>
      <c r="K2004" t="s">
        <v>3981</v>
      </c>
      <c r="L2004" s="14">
        <f>IFERROR(VALUE(LEFT(tblMatriculas[[#This Row],[Clases]],FIND("/",tblMatriculas[[#This Row],[Clases]])-1)),"")</f>
        <v>5</v>
      </c>
      <c r="M2004" s="14">
        <f>IFERROR(VALUE(MID(tblMatriculas[[#This Row],[Clases]],FIND("/",tblMatriculas[[#This Row],[Clases]])+1,5)),"")</f>
        <v>30</v>
      </c>
      <c r="N20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4" s="14">
        <f>IF(OR(tblMatriculas[[#This Row],[Estado]]&lt;&gt;"activa",tblMatriculas[[#This Row],[Clases dictadas]]=""),"",MAX(0,tblMatriculas[[#This Row],[Clases dictadas]]-tblMatriculas[[#This Row],[Asistidas]]))</f>
        <v>1</v>
      </c>
      <c r="P2004" s="1">
        <f>IF(OR(tblMatriculas[[#This Row],[Estado]]&lt;&gt;"activa",tblMatriculas[[#This Row],[Asistidas]]=""),"",tblMatriculas[[#This Row],[Asistencia]])</f>
        <v>0.16699999999999998</v>
      </c>
      <c r="Q2004" t="b">
        <f>AND(tblMatriculas[[#This Row],[Estado]]="activa",ISNUMBER(tblMatriculas[[#This Row],[% asistencia]]),NOT(ISNUMBER(SEARCH(pPrueba,tblMatriculas[[#This Row],[Nombre]]))))</f>
        <v>1</v>
      </c>
      <c r="R20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4" s="23" t="str" cm="1">
        <f t="array" ref="S20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4" s="23" t="str" cm="1">
        <f t="array" ref="T20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4" s="14" t="str" cm="1">
        <f t="array" ref="U20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4" t="str" cm="1">
        <f t="array" ref="V20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4" t="str" cm="1">
        <f t="array" ref="W20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4" t="str">
        <f>IF(COUNTIFS('Base Estudiantes'!$C:$C,tblMatriculas[[#This Row],[Cédula]],'Base Estudiantes'!$I:$I,tblMatriculas[[#This Row],[Código]])&gt;0,"Sí","No")</f>
        <v>Sí</v>
      </c>
      <c r="Z2004" s="23" cm="1">
        <f t="array" ref="Z2004">_xlfn.XLOOKUP(tblMatriculas[[#This Row],[Cédula]]&amp;"|"&amp;tblMatriculas[[#This Row],[Código]],tblBase[Documento]&amp;"|"&amp;tblBase[Código grupo],tblBase[Fecha matrícula],"")</f>
        <v>46262</v>
      </c>
    </row>
    <row r="2005" spans="1:26" x14ac:dyDescent="0.2">
      <c r="A2005" t="s">
        <v>4163</v>
      </c>
      <c r="B2005" t="s">
        <v>4164</v>
      </c>
      <c r="C2005" t="s">
        <v>13</v>
      </c>
      <c r="D2005" t="s">
        <v>4165</v>
      </c>
      <c r="E2005" t="s">
        <v>4166</v>
      </c>
      <c r="F2005" t="s">
        <v>807</v>
      </c>
      <c r="G2005" s="1">
        <v>0.125</v>
      </c>
      <c r="H2005" t="s">
        <v>862</v>
      </c>
      <c r="I2005" t="s">
        <v>3833</v>
      </c>
      <c r="J2005" t="s">
        <v>3834</v>
      </c>
      <c r="K2005" t="s">
        <v>24</v>
      </c>
      <c r="L2005" s="14">
        <f>IFERROR(VALUE(LEFT(tblMatriculas[[#This Row],[Clases]],FIND("/",tblMatriculas[[#This Row],[Clases]])-1)),"")</f>
        <v>5</v>
      </c>
      <c r="M2005" s="14">
        <f>IFERROR(VALUE(MID(tblMatriculas[[#This Row],[Clases]],FIND("/",tblMatriculas[[#This Row],[Clases]])+1,5)),"")</f>
        <v>40</v>
      </c>
      <c r="N20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5" s="14">
        <f>IF(OR(tblMatriculas[[#This Row],[Estado]]&lt;&gt;"activa",tblMatriculas[[#This Row],[Clases dictadas]]=""),"",MAX(0,tblMatriculas[[#This Row],[Clases dictadas]]-tblMatriculas[[#This Row],[Asistidas]]))</f>
        <v>1</v>
      </c>
      <c r="P2005" s="1">
        <f>IF(OR(tblMatriculas[[#This Row],[Estado]]&lt;&gt;"activa",tblMatriculas[[#This Row],[Asistidas]]=""),"",tblMatriculas[[#This Row],[Asistencia]])</f>
        <v>0.125</v>
      </c>
      <c r="Q2005" t="b">
        <f>AND(tblMatriculas[[#This Row],[Estado]]="activa",ISNUMBER(tblMatriculas[[#This Row],[% asistencia]]),NOT(ISNUMBER(SEARCH(pPrueba,tblMatriculas[[#This Row],[Nombre]]))))</f>
        <v>1</v>
      </c>
      <c r="R20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5" s="23" t="str" cm="1">
        <f t="array" ref="S20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5" s="23" t="str" cm="1">
        <f t="array" ref="T20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5" s="14" t="str" cm="1">
        <f t="array" ref="U20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5" t="str" cm="1">
        <f t="array" ref="V20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5" t="str" cm="1">
        <f t="array" ref="W20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5" t="str">
        <f>IF(COUNTIFS('Base Estudiantes'!$C:$C,tblMatriculas[[#This Row],[Cédula]],'Base Estudiantes'!$I:$I,tblMatriculas[[#This Row],[Código]])&gt;0,"Sí","No")</f>
        <v>Sí</v>
      </c>
      <c r="Z2005" s="23" cm="1">
        <f t="array" ref="Z2005">_xlfn.XLOOKUP(tblMatriculas[[#This Row],[Cédula]]&amp;"|"&amp;tblMatriculas[[#This Row],[Código]],tblBase[Documento]&amp;"|"&amp;tblBase[Código grupo],tblBase[Fecha matrícula],"")</f>
        <v>46262</v>
      </c>
    </row>
    <row r="2006" spans="1:26" x14ac:dyDescent="0.2">
      <c r="A2006" t="s">
        <v>4167</v>
      </c>
      <c r="B2006" t="s">
        <v>4168</v>
      </c>
      <c r="C2006" t="s">
        <v>13</v>
      </c>
      <c r="D2006" t="s">
        <v>4165</v>
      </c>
      <c r="E2006" t="s">
        <v>4166</v>
      </c>
      <c r="F2006" t="s">
        <v>807</v>
      </c>
      <c r="G2006" s="1">
        <v>0.05</v>
      </c>
      <c r="H2006" t="s">
        <v>870</v>
      </c>
      <c r="I2006" t="s">
        <v>3833</v>
      </c>
      <c r="J2006" t="s">
        <v>3834</v>
      </c>
      <c r="K2006" t="s">
        <v>24</v>
      </c>
      <c r="L2006" s="14">
        <f>IFERROR(VALUE(LEFT(tblMatriculas[[#This Row],[Clases]],FIND("/",tblMatriculas[[#This Row],[Clases]])-1)),"")</f>
        <v>2</v>
      </c>
      <c r="M2006" s="14">
        <f>IFERROR(VALUE(MID(tblMatriculas[[#This Row],[Clases]],FIND("/",tblMatriculas[[#This Row],[Clases]])+1,5)),"")</f>
        <v>40</v>
      </c>
      <c r="N20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6" s="14">
        <f>IF(OR(tblMatriculas[[#This Row],[Estado]]&lt;&gt;"activa",tblMatriculas[[#This Row],[Clases dictadas]]=""),"",MAX(0,tblMatriculas[[#This Row],[Clases dictadas]]-tblMatriculas[[#This Row],[Asistidas]]))</f>
        <v>4</v>
      </c>
      <c r="P2006" s="1">
        <f>IF(OR(tblMatriculas[[#This Row],[Estado]]&lt;&gt;"activa",tblMatriculas[[#This Row],[Asistidas]]=""),"",tblMatriculas[[#This Row],[Asistencia]])</f>
        <v>0.05</v>
      </c>
      <c r="Q2006" t="b">
        <f>AND(tblMatriculas[[#This Row],[Estado]]="activa",ISNUMBER(tblMatriculas[[#This Row],[% asistencia]]),NOT(ISNUMBER(SEARCH(pPrueba,tblMatriculas[[#This Row],[Nombre]]))))</f>
        <v>1</v>
      </c>
      <c r="R20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06" s="23" t="str" cm="1">
        <f t="array" ref="S20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6" s="23" t="str" cm="1">
        <f t="array" ref="T20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6" s="14" t="str" cm="1">
        <f t="array" ref="U20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6" t="str" cm="1">
        <f t="array" ref="V20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6" t="str" cm="1">
        <f t="array" ref="W20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06" t="str">
        <f>IF(COUNTIFS('Base Estudiantes'!$C:$C,tblMatriculas[[#This Row],[Cédula]],'Base Estudiantes'!$I:$I,tblMatriculas[[#This Row],[Código]])&gt;0,"Sí","No")</f>
        <v>Sí</v>
      </c>
      <c r="Z2006" s="23" cm="1">
        <f t="array" ref="Z2006">_xlfn.XLOOKUP(tblMatriculas[[#This Row],[Cédula]]&amp;"|"&amp;tblMatriculas[[#This Row],[Código]],tblBase[Documento]&amp;"|"&amp;tblBase[Código grupo],tblBase[Fecha matrícula],"")</f>
        <v>46262</v>
      </c>
    </row>
    <row r="2007" spans="1:26" x14ac:dyDescent="0.2">
      <c r="A2007" t="s">
        <v>4169</v>
      </c>
      <c r="B2007" t="s">
        <v>4170</v>
      </c>
      <c r="C2007" t="s">
        <v>13</v>
      </c>
      <c r="D2007" t="s">
        <v>4165</v>
      </c>
      <c r="E2007" t="s">
        <v>4166</v>
      </c>
      <c r="F2007" t="s">
        <v>807</v>
      </c>
      <c r="G2007" s="1">
        <v>2.5000000000000001E-2</v>
      </c>
      <c r="H2007" t="s">
        <v>921</v>
      </c>
      <c r="I2007" t="s">
        <v>3833</v>
      </c>
      <c r="J2007" t="s">
        <v>3834</v>
      </c>
      <c r="K2007" t="s">
        <v>24</v>
      </c>
      <c r="L2007" s="14">
        <f>IFERROR(VALUE(LEFT(tblMatriculas[[#This Row],[Clases]],FIND("/",tblMatriculas[[#This Row],[Clases]])-1)),"")</f>
        <v>1</v>
      </c>
      <c r="M2007" s="14">
        <f>IFERROR(VALUE(MID(tblMatriculas[[#This Row],[Clases]],FIND("/",tblMatriculas[[#This Row],[Clases]])+1,5)),"")</f>
        <v>40</v>
      </c>
      <c r="N20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7" s="14">
        <f>IF(OR(tblMatriculas[[#This Row],[Estado]]&lt;&gt;"activa",tblMatriculas[[#This Row],[Clases dictadas]]=""),"",MAX(0,tblMatriculas[[#This Row],[Clases dictadas]]-tblMatriculas[[#This Row],[Asistidas]]))</f>
        <v>5</v>
      </c>
      <c r="P2007" s="1">
        <f>IF(OR(tblMatriculas[[#This Row],[Estado]]&lt;&gt;"activa",tblMatriculas[[#This Row],[Asistidas]]=""),"",tblMatriculas[[#This Row],[Asistencia]])</f>
        <v>2.5000000000000001E-2</v>
      </c>
      <c r="Q2007" t="b">
        <f>AND(tblMatriculas[[#This Row],[Estado]]="activa",ISNUMBER(tblMatriculas[[#This Row],[% asistencia]]),NOT(ISNUMBER(SEARCH(pPrueba,tblMatriculas[[#This Row],[Nombre]]))))</f>
        <v>1</v>
      </c>
      <c r="R20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07" s="23" t="str" cm="1">
        <f t="array" ref="S20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7" s="23" t="str" cm="1">
        <f t="array" ref="T20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7" s="14" t="str" cm="1">
        <f t="array" ref="U20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7" t="str" cm="1">
        <f t="array" ref="V20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7" t="str" cm="1">
        <f t="array" ref="W20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0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07" t="str">
        <f>IF(COUNTIFS('Base Estudiantes'!$C:$C,tblMatriculas[[#This Row],[Cédula]],'Base Estudiantes'!$I:$I,tblMatriculas[[#This Row],[Código]])&gt;0,"Sí","No")</f>
        <v>Sí</v>
      </c>
      <c r="Z2007" s="23" cm="1">
        <f t="array" ref="Z2007">_xlfn.XLOOKUP(tblMatriculas[[#This Row],[Cédula]]&amp;"|"&amp;tblMatriculas[[#This Row],[Código]],tblBase[Documento]&amp;"|"&amp;tblBase[Código grupo],tblBase[Fecha matrícula],"")</f>
        <v>46262</v>
      </c>
    </row>
    <row r="2008" spans="1:26" x14ac:dyDescent="0.2">
      <c r="A2008" t="s">
        <v>4171</v>
      </c>
      <c r="B2008" t="s">
        <v>4172</v>
      </c>
      <c r="C2008" t="s">
        <v>13</v>
      </c>
      <c r="D2008" t="s">
        <v>4165</v>
      </c>
      <c r="E2008" t="s">
        <v>4166</v>
      </c>
      <c r="F2008" t="s">
        <v>807</v>
      </c>
      <c r="G2008" s="1">
        <v>0.15</v>
      </c>
      <c r="H2008" t="s">
        <v>852</v>
      </c>
      <c r="I2008" t="s">
        <v>3833</v>
      </c>
      <c r="J2008" t="s">
        <v>3834</v>
      </c>
      <c r="K2008" t="s">
        <v>24</v>
      </c>
      <c r="L2008" s="14">
        <f>IFERROR(VALUE(LEFT(tblMatriculas[[#This Row],[Clases]],FIND("/",tblMatriculas[[#This Row],[Clases]])-1)),"")</f>
        <v>6</v>
      </c>
      <c r="M2008" s="14">
        <f>IFERROR(VALUE(MID(tblMatriculas[[#This Row],[Clases]],FIND("/",tblMatriculas[[#This Row],[Clases]])+1,5)),"")</f>
        <v>40</v>
      </c>
      <c r="N20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8" s="14">
        <f>IF(OR(tblMatriculas[[#This Row],[Estado]]&lt;&gt;"activa",tblMatriculas[[#This Row],[Clases dictadas]]=""),"",MAX(0,tblMatriculas[[#This Row],[Clases dictadas]]-tblMatriculas[[#This Row],[Asistidas]]))</f>
        <v>0</v>
      </c>
      <c r="P2008" s="1">
        <f>IF(OR(tblMatriculas[[#This Row],[Estado]]&lt;&gt;"activa",tblMatriculas[[#This Row],[Asistidas]]=""),"",tblMatriculas[[#This Row],[Asistencia]])</f>
        <v>0.15</v>
      </c>
      <c r="Q2008" t="b">
        <f>AND(tblMatriculas[[#This Row],[Estado]]="activa",ISNUMBER(tblMatriculas[[#This Row],[% asistencia]]),NOT(ISNUMBER(SEARCH(pPrueba,tblMatriculas[[#This Row],[Nombre]]))))</f>
        <v>1</v>
      </c>
      <c r="R20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08" s="23" t="str" cm="1">
        <f t="array" ref="S20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8" s="23" t="str" cm="1">
        <f t="array" ref="T20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8" s="14" t="str" cm="1">
        <f t="array" ref="U20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8" t="str" cm="1">
        <f t="array" ref="V20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8" t="str" cm="1">
        <f t="array" ref="W20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0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08" t="str">
        <f>IF(COUNTIFS('Base Estudiantes'!$C:$C,tblMatriculas[[#This Row],[Cédula]],'Base Estudiantes'!$I:$I,tblMatriculas[[#This Row],[Código]])&gt;0,"Sí","No")</f>
        <v>Sí</v>
      </c>
      <c r="Z2008" s="23" cm="1">
        <f t="array" ref="Z2008">_xlfn.XLOOKUP(tblMatriculas[[#This Row],[Cédula]]&amp;"|"&amp;tblMatriculas[[#This Row],[Código]],tblBase[Documento]&amp;"|"&amp;tblBase[Código grupo],tblBase[Fecha matrícula],"")</f>
        <v>46262</v>
      </c>
    </row>
    <row r="2009" spans="1:26" x14ac:dyDescent="0.2">
      <c r="A2009" t="s">
        <v>4173</v>
      </c>
      <c r="B2009" t="s">
        <v>4174</v>
      </c>
      <c r="C2009" t="s">
        <v>13</v>
      </c>
      <c r="D2009" t="s">
        <v>4165</v>
      </c>
      <c r="E2009" t="s">
        <v>4166</v>
      </c>
      <c r="F2009" t="s">
        <v>807</v>
      </c>
      <c r="G2009" s="1">
        <v>0</v>
      </c>
      <c r="H2009" t="s">
        <v>918</v>
      </c>
      <c r="I2009" t="s">
        <v>3833</v>
      </c>
      <c r="J2009" t="s">
        <v>3834</v>
      </c>
      <c r="K2009" t="s">
        <v>24</v>
      </c>
      <c r="L2009" s="14">
        <f>IFERROR(VALUE(LEFT(tblMatriculas[[#This Row],[Clases]],FIND("/",tblMatriculas[[#This Row],[Clases]])-1)),"")</f>
        <v>0</v>
      </c>
      <c r="M2009" s="14">
        <f>IFERROR(VALUE(MID(tblMatriculas[[#This Row],[Clases]],FIND("/",tblMatriculas[[#This Row],[Clases]])+1,5)),"")</f>
        <v>40</v>
      </c>
      <c r="N20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09" s="14">
        <f>IF(OR(tblMatriculas[[#This Row],[Estado]]&lt;&gt;"activa",tblMatriculas[[#This Row],[Clases dictadas]]=""),"",MAX(0,tblMatriculas[[#This Row],[Clases dictadas]]-tblMatriculas[[#This Row],[Asistidas]]))</f>
        <v>6</v>
      </c>
      <c r="P2009" s="1">
        <f>IF(OR(tblMatriculas[[#This Row],[Estado]]&lt;&gt;"activa",tblMatriculas[[#This Row],[Asistidas]]=""),"",tblMatriculas[[#This Row],[Asistencia]])</f>
        <v>0</v>
      </c>
      <c r="Q2009" t="b">
        <f>AND(tblMatriculas[[#This Row],[Estado]]="activa",ISNUMBER(tblMatriculas[[#This Row],[% asistencia]]),NOT(ISNUMBER(SEARCH(pPrueba,tblMatriculas[[#This Row],[Nombre]]))))</f>
        <v>1</v>
      </c>
      <c r="R20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09" s="23" t="str" cm="1">
        <f t="array" ref="S20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09" s="23" t="str" cm="1">
        <f t="array" ref="T20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09" s="14" t="str" cm="1">
        <f t="array" ref="U20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09" t="str" cm="1">
        <f t="array" ref="V20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09" t="str" cm="1">
        <f t="array" ref="W20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09" t="str">
        <f>IF(COUNTIFS('Base Estudiantes'!$C:$C,tblMatriculas[[#This Row],[Cédula]],'Base Estudiantes'!$I:$I,tblMatriculas[[#This Row],[Código]])&gt;0,"Sí","No")</f>
        <v>Sí</v>
      </c>
      <c r="Z2009" s="23" cm="1">
        <f t="array" ref="Z2009">_xlfn.XLOOKUP(tblMatriculas[[#This Row],[Cédula]]&amp;"|"&amp;tblMatriculas[[#This Row],[Código]],tblBase[Documento]&amp;"|"&amp;tblBase[Código grupo],tblBase[Fecha matrícula],"")</f>
        <v>46262</v>
      </c>
    </row>
    <row r="2010" spans="1:26" x14ac:dyDescent="0.2">
      <c r="A2010" t="s">
        <v>4175</v>
      </c>
      <c r="B2010" t="s">
        <v>4176</v>
      </c>
      <c r="C2010" t="s">
        <v>13</v>
      </c>
      <c r="D2010" t="s">
        <v>4165</v>
      </c>
      <c r="E2010" t="s">
        <v>4166</v>
      </c>
      <c r="F2010" t="s">
        <v>807</v>
      </c>
      <c r="G2010" s="1">
        <v>7.4999999999999997E-2</v>
      </c>
      <c r="H2010" t="s">
        <v>881</v>
      </c>
      <c r="I2010" t="s">
        <v>3833</v>
      </c>
      <c r="J2010" t="s">
        <v>3834</v>
      </c>
      <c r="K2010" t="s">
        <v>24</v>
      </c>
      <c r="L2010" s="14">
        <f>IFERROR(VALUE(LEFT(tblMatriculas[[#This Row],[Clases]],FIND("/",tblMatriculas[[#This Row],[Clases]])-1)),"")</f>
        <v>3</v>
      </c>
      <c r="M2010" s="14">
        <f>IFERROR(VALUE(MID(tblMatriculas[[#This Row],[Clases]],FIND("/",tblMatriculas[[#This Row],[Clases]])+1,5)),"")</f>
        <v>40</v>
      </c>
      <c r="N20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0" s="14">
        <f>IF(OR(tblMatriculas[[#This Row],[Estado]]&lt;&gt;"activa",tblMatriculas[[#This Row],[Clases dictadas]]=""),"",MAX(0,tblMatriculas[[#This Row],[Clases dictadas]]-tblMatriculas[[#This Row],[Asistidas]]))</f>
        <v>3</v>
      </c>
      <c r="P2010" s="1">
        <f>IF(OR(tblMatriculas[[#This Row],[Estado]]&lt;&gt;"activa",tblMatriculas[[#This Row],[Asistidas]]=""),"",tblMatriculas[[#This Row],[Asistencia]])</f>
        <v>7.4999999999999997E-2</v>
      </c>
      <c r="Q2010" t="b">
        <f>AND(tblMatriculas[[#This Row],[Estado]]="activa",ISNUMBER(tblMatriculas[[#This Row],[% asistencia]]),NOT(ISNUMBER(SEARCH(pPrueba,tblMatriculas[[#This Row],[Nombre]]))))</f>
        <v>1</v>
      </c>
      <c r="R20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0" s="23" t="str" cm="1">
        <f t="array" ref="S20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0" s="23" t="str" cm="1">
        <f t="array" ref="T20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0" s="14" t="str" cm="1">
        <f t="array" ref="U20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0" t="str" cm="1">
        <f t="array" ref="V20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0" t="str" cm="1">
        <f t="array" ref="W20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0" t="str">
        <f>IF(COUNTIFS('Base Estudiantes'!$C:$C,tblMatriculas[[#This Row],[Cédula]],'Base Estudiantes'!$I:$I,tblMatriculas[[#This Row],[Código]])&gt;0,"Sí","No")</f>
        <v>Sí</v>
      </c>
      <c r="Z2010" s="23" cm="1">
        <f t="array" ref="Z2010">_xlfn.XLOOKUP(tblMatriculas[[#This Row],[Cédula]]&amp;"|"&amp;tblMatriculas[[#This Row],[Código]],tblBase[Documento]&amp;"|"&amp;tblBase[Código grupo],tblBase[Fecha matrícula],"")</f>
        <v>46262</v>
      </c>
    </row>
    <row r="2011" spans="1:26" x14ac:dyDescent="0.2">
      <c r="A2011" t="s">
        <v>4177</v>
      </c>
      <c r="B2011" t="s">
        <v>4178</v>
      </c>
      <c r="C2011" t="s">
        <v>13</v>
      </c>
      <c r="D2011" t="s">
        <v>4165</v>
      </c>
      <c r="E2011" t="s">
        <v>4166</v>
      </c>
      <c r="F2011" t="s">
        <v>807</v>
      </c>
      <c r="G2011" s="1">
        <v>0.15</v>
      </c>
      <c r="H2011" t="s">
        <v>852</v>
      </c>
      <c r="I2011" t="s">
        <v>3833</v>
      </c>
      <c r="J2011" t="s">
        <v>3834</v>
      </c>
      <c r="K2011" t="s">
        <v>24</v>
      </c>
      <c r="L2011" s="14">
        <f>IFERROR(VALUE(LEFT(tblMatriculas[[#This Row],[Clases]],FIND("/",tblMatriculas[[#This Row],[Clases]])-1)),"")</f>
        <v>6</v>
      </c>
      <c r="M2011" s="14">
        <f>IFERROR(VALUE(MID(tblMatriculas[[#This Row],[Clases]],FIND("/",tblMatriculas[[#This Row],[Clases]])+1,5)),"")</f>
        <v>40</v>
      </c>
      <c r="N20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1" s="14">
        <f>IF(OR(tblMatriculas[[#This Row],[Estado]]&lt;&gt;"activa",tblMatriculas[[#This Row],[Clases dictadas]]=""),"",MAX(0,tblMatriculas[[#This Row],[Clases dictadas]]-tblMatriculas[[#This Row],[Asistidas]]))</f>
        <v>0</v>
      </c>
      <c r="P2011" s="1">
        <f>IF(OR(tblMatriculas[[#This Row],[Estado]]&lt;&gt;"activa",tblMatriculas[[#This Row],[Asistidas]]=""),"",tblMatriculas[[#This Row],[Asistencia]])</f>
        <v>0.15</v>
      </c>
      <c r="Q2011" t="b">
        <f>AND(tblMatriculas[[#This Row],[Estado]]="activa",ISNUMBER(tblMatriculas[[#This Row],[% asistencia]]),NOT(ISNUMBER(SEARCH(pPrueba,tblMatriculas[[#This Row],[Nombre]]))))</f>
        <v>1</v>
      </c>
      <c r="R20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1" s="23" t="str" cm="1">
        <f t="array" ref="S20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1" s="23" t="str" cm="1">
        <f t="array" ref="T20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1" s="14" t="str" cm="1">
        <f t="array" ref="U20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1" t="str" cm="1">
        <f t="array" ref="V20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1" t="str" cm="1">
        <f t="array" ref="W20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1" t="str">
        <f>IF(COUNTIFS('Base Estudiantes'!$C:$C,tblMatriculas[[#This Row],[Cédula]],'Base Estudiantes'!$I:$I,tblMatriculas[[#This Row],[Código]])&gt;0,"Sí","No")</f>
        <v>Sí</v>
      </c>
      <c r="Z2011" s="23" cm="1">
        <f t="array" ref="Z2011">_xlfn.XLOOKUP(tblMatriculas[[#This Row],[Cédula]]&amp;"|"&amp;tblMatriculas[[#This Row],[Código]],tblBase[Documento]&amp;"|"&amp;tblBase[Código grupo],tblBase[Fecha matrícula],"")</f>
        <v>46262</v>
      </c>
    </row>
    <row r="2012" spans="1:26" x14ac:dyDescent="0.2">
      <c r="A2012" t="s">
        <v>4179</v>
      </c>
      <c r="B2012" t="s">
        <v>4180</v>
      </c>
      <c r="C2012" t="s">
        <v>13</v>
      </c>
      <c r="D2012" t="s">
        <v>4165</v>
      </c>
      <c r="E2012" t="s">
        <v>4166</v>
      </c>
      <c r="F2012" t="s">
        <v>807</v>
      </c>
      <c r="G2012" s="1">
        <v>0.125</v>
      </c>
      <c r="H2012" t="s">
        <v>862</v>
      </c>
      <c r="I2012" t="s">
        <v>3833</v>
      </c>
      <c r="J2012" t="s">
        <v>3834</v>
      </c>
      <c r="K2012" t="s">
        <v>24</v>
      </c>
      <c r="L2012" s="14">
        <f>IFERROR(VALUE(LEFT(tblMatriculas[[#This Row],[Clases]],FIND("/",tblMatriculas[[#This Row],[Clases]])-1)),"")</f>
        <v>5</v>
      </c>
      <c r="M2012" s="14">
        <f>IFERROR(VALUE(MID(tblMatriculas[[#This Row],[Clases]],FIND("/",tblMatriculas[[#This Row],[Clases]])+1,5)),"")</f>
        <v>40</v>
      </c>
      <c r="N20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2" s="14">
        <f>IF(OR(tblMatriculas[[#This Row],[Estado]]&lt;&gt;"activa",tblMatriculas[[#This Row],[Clases dictadas]]=""),"",MAX(0,tblMatriculas[[#This Row],[Clases dictadas]]-tblMatriculas[[#This Row],[Asistidas]]))</f>
        <v>1</v>
      </c>
      <c r="P2012" s="1">
        <f>IF(OR(tblMatriculas[[#This Row],[Estado]]&lt;&gt;"activa",tblMatriculas[[#This Row],[Asistidas]]=""),"",tblMatriculas[[#This Row],[Asistencia]])</f>
        <v>0.125</v>
      </c>
      <c r="Q2012" t="b">
        <f>AND(tblMatriculas[[#This Row],[Estado]]="activa",ISNUMBER(tblMatriculas[[#This Row],[% asistencia]]),NOT(ISNUMBER(SEARCH(pPrueba,tblMatriculas[[#This Row],[Nombre]]))))</f>
        <v>1</v>
      </c>
      <c r="R20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2" s="23" t="str" cm="1">
        <f t="array" ref="S20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2" s="23" t="str" cm="1">
        <f t="array" ref="T20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2" s="14" t="str" cm="1">
        <f t="array" ref="U20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2" t="str" cm="1">
        <f t="array" ref="V20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2" t="str" cm="1">
        <f t="array" ref="W20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2" t="str">
        <f>IF(COUNTIFS('Base Estudiantes'!$C:$C,tblMatriculas[[#This Row],[Cédula]],'Base Estudiantes'!$I:$I,tblMatriculas[[#This Row],[Código]])&gt;0,"Sí","No")</f>
        <v>Sí</v>
      </c>
      <c r="Z2012" s="23" cm="1">
        <f t="array" ref="Z2012">_xlfn.XLOOKUP(tblMatriculas[[#This Row],[Cédula]]&amp;"|"&amp;tblMatriculas[[#This Row],[Código]],tblBase[Documento]&amp;"|"&amp;tblBase[Código grupo],tblBase[Fecha matrícula],"")</f>
        <v>46262</v>
      </c>
    </row>
    <row r="2013" spans="1:26" x14ac:dyDescent="0.2">
      <c r="A2013" t="s">
        <v>4181</v>
      </c>
      <c r="B2013" t="s">
        <v>4182</v>
      </c>
      <c r="C2013" t="s">
        <v>13</v>
      </c>
      <c r="D2013" t="s">
        <v>4165</v>
      </c>
      <c r="E2013" t="s">
        <v>4166</v>
      </c>
      <c r="F2013" t="s">
        <v>807</v>
      </c>
      <c r="G2013" s="1">
        <v>0.15</v>
      </c>
      <c r="H2013" t="s">
        <v>852</v>
      </c>
      <c r="I2013" t="s">
        <v>3833</v>
      </c>
      <c r="J2013" t="s">
        <v>3834</v>
      </c>
      <c r="K2013" t="s">
        <v>24</v>
      </c>
      <c r="L2013" s="14">
        <f>IFERROR(VALUE(LEFT(tblMatriculas[[#This Row],[Clases]],FIND("/",tblMatriculas[[#This Row],[Clases]])-1)),"")</f>
        <v>6</v>
      </c>
      <c r="M2013" s="14">
        <f>IFERROR(VALUE(MID(tblMatriculas[[#This Row],[Clases]],FIND("/",tblMatriculas[[#This Row],[Clases]])+1,5)),"")</f>
        <v>40</v>
      </c>
      <c r="N20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3" s="14">
        <f>IF(OR(tblMatriculas[[#This Row],[Estado]]&lt;&gt;"activa",tblMatriculas[[#This Row],[Clases dictadas]]=""),"",MAX(0,tblMatriculas[[#This Row],[Clases dictadas]]-tblMatriculas[[#This Row],[Asistidas]]))</f>
        <v>0</v>
      </c>
      <c r="P2013" s="1">
        <f>IF(OR(tblMatriculas[[#This Row],[Estado]]&lt;&gt;"activa",tblMatriculas[[#This Row],[Asistidas]]=""),"",tblMatriculas[[#This Row],[Asistencia]])</f>
        <v>0.15</v>
      </c>
      <c r="Q2013" t="b">
        <f>AND(tblMatriculas[[#This Row],[Estado]]="activa",ISNUMBER(tblMatriculas[[#This Row],[% asistencia]]),NOT(ISNUMBER(SEARCH(pPrueba,tblMatriculas[[#This Row],[Nombre]]))))</f>
        <v>1</v>
      </c>
      <c r="R20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3" s="23" t="str" cm="1">
        <f t="array" ref="S20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3" s="23" t="str" cm="1">
        <f t="array" ref="T20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3" s="14" t="str" cm="1">
        <f t="array" ref="U20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3" t="str" cm="1">
        <f t="array" ref="V20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3" t="str" cm="1">
        <f t="array" ref="W20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3" t="str">
        <f>IF(COUNTIFS('Base Estudiantes'!$C:$C,tblMatriculas[[#This Row],[Cédula]],'Base Estudiantes'!$I:$I,tblMatriculas[[#This Row],[Código]])&gt;0,"Sí","No")</f>
        <v>Sí</v>
      </c>
      <c r="Z2013" s="23" cm="1">
        <f t="array" ref="Z2013">_xlfn.XLOOKUP(tblMatriculas[[#This Row],[Cédula]]&amp;"|"&amp;tblMatriculas[[#This Row],[Código]],tblBase[Documento]&amp;"|"&amp;tblBase[Código grupo],tblBase[Fecha matrícula],"")</f>
        <v>46262</v>
      </c>
    </row>
    <row r="2014" spans="1:26" x14ac:dyDescent="0.2">
      <c r="A2014" t="s">
        <v>4183</v>
      </c>
      <c r="B2014" t="s">
        <v>4184</v>
      </c>
      <c r="C2014" t="s">
        <v>13</v>
      </c>
      <c r="D2014" t="s">
        <v>4165</v>
      </c>
      <c r="E2014" t="s">
        <v>4166</v>
      </c>
      <c r="F2014" t="s">
        <v>807</v>
      </c>
      <c r="G2014" s="1">
        <v>0</v>
      </c>
      <c r="H2014" t="s">
        <v>918</v>
      </c>
      <c r="I2014" t="s">
        <v>3833</v>
      </c>
      <c r="J2014" t="s">
        <v>3834</v>
      </c>
      <c r="K2014" t="s">
        <v>24</v>
      </c>
      <c r="L2014" s="14">
        <f>IFERROR(VALUE(LEFT(tblMatriculas[[#This Row],[Clases]],FIND("/",tblMatriculas[[#This Row],[Clases]])-1)),"")</f>
        <v>0</v>
      </c>
      <c r="M2014" s="14">
        <f>IFERROR(VALUE(MID(tblMatriculas[[#This Row],[Clases]],FIND("/",tblMatriculas[[#This Row],[Clases]])+1,5)),"")</f>
        <v>40</v>
      </c>
      <c r="N20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4" s="14">
        <f>IF(OR(tblMatriculas[[#This Row],[Estado]]&lt;&gt;"activa",tblMatriculas[[#This Row],[Clases dictadas]]=""),"",MAX(0,tblMatriculas[[#This Row],[Clases dictadas]]-tblMatriculas[[#This Row],[Asistidas]]))</f>
        <v>6</v>
      </c>
      <c r="P2014" s="1">
        <f>IF(OR(tblMatriculas[[#This Row],[Estado]]&lt;&gt;"activa",tblMatriculas[[#This Row],[Asistidas]]=""),"",tblMatriculas[[#This Row],[Asistencia]])</f>
        <v>0</v>
      </c>
      <c r="Q2014" t="b">
        <f>AND(tblMatriculas[[#This Row],[Estado]]="activa",ISNUMBER(tblMatriculas[[#This Row],[% asistencia]]),NOT(ISNUMBER(SEARCH(pPrueba,tblMatriculas[[#This Row],[Nombre]]))))</f>
        <v>1</v>
      </c>
      <c r="R20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14" s="23" t="str" cm="1">
        <f t="array" ref="S20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4" s="23" t="str" cm="1">
        <f t="array" ref="T20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4" s="14" t="str" cm="1">
        <f t="array" ref="U20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4" t="str" cm="1">
        <f t="array" ref="V20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4" t="str" cm="1">
        <f t="array" ref="W20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1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14" t="str">
        <f>IF(COUNTIFS('Base Estudiantes'!$C:$C,tblMatriculas[[#This Row],[Cédula]],'Base Estudiantes'!$I:$I,tblMatriculas[[#This Row],[Código]])&gt;0,"Sí","No")</f>
        <v>Sí</v>
      </c>
      <c r="Z2014" s="23" cm="1">
        <f t="array" ref="Z2014">_xlfn.XLOOKUP(tblMatriculas[[#This Row],[Cédula]]&amp;"|"&amp;tblMatriculas[[#This Row],[Código]],tblBase[Documento]&amp;"|"&amp;tblBase[Código grupo],tblBase[Fecha matrícula],"")</f>
        <v>46262</v>
      </c>
    </row>
    <row r="2015" spans="1:26" x14ac:dyDescent="0.2">
      <c r="A2015" t="s">
        <v>4185</v>
      </c>
      <c r="B2015" t="s">
        <v>4186</v>
      </c>
      <c r="C2015" t="s">
        <v>13</v>
      </c>
      <c r="D2015" t="s">
        <v>4165</v>
      </c>
      <c r="E2015" t="s">
        <v>4166</v>
      </c>
      <c r="F2015" t="s">
        <v>807</v>
      </c>
      <c r="G2015" s="1">
        <v>0.1</v>
      </c>
      <c r="H2015" t="s">
        <v>867</v>
      </c>
      <c r="I2015" t="s">
        <v>3833</v>
      </c>
      <c r="J2015" t="s">
        <v>3834</v>
      </c>
      <c r="K2015" t="s">
        <v>24</v>
      </c>
      <c r="L2015" s="14">
        <f>IFERROR(VALUE(LEFT(tblMatriculas[[#This Row],[Clases]],FIND("/",tblMatriculas[[#This Row],[Clases]])-1)),"")</f>
        <v>4</v>
      </c>
      <c r="M2015" s="14">
        <f>IFERROR(VALUE(MID(tblMatriculas[[#This Row],[Clases]],FIND("/",tblMatriculas[[#This Row],[Clases]])+1,5)),"")</f>
        <v>40</v>
      </c>
      <c r="N20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5" s="14">
        <f>IF(OR(tblMatriculas[[#This Row],[Estado]]&lt;&gt;"activa",tblMatriculas[[#This Row],[Clases dictadas]]=""),"",MAX(0,tblMatriculas[[#This Row],[Clases dictadas]]-tblMatriculas[[#This Row],[Asistidas]]))</f>
        <v>2</v>
      </c>
      <c r="P2015" s="1">
        <f>IF(OR(tblMatriculas[[#This Row],[Estado]]&lt;&gt;"activa",tblMatriculas[[#This Row],[Asistidas]]=""),"",tblMatriculas[[#This Row],[Asistencia]])</f>
        <v>0.1</v>
      </c>
      <c r="Q2015" t="b">
        <f>AND(tblMatriculas[[#This Row],[Estado]]="activa",ISNUMBER(tblMatriculas[[#This Row],[% asistencia]]),NOT(ISNUMBER(SEARCH(pPrueba,tblMatriculas[[#This Row],[Nombre]]))))</f>
        <v>1</v>
      </c>
      <c r="R20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5" s="23" t="str" cm="1">
        <f t="array" ref="S20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5" s="23" t="str" cm="1">
        <f t="array" ref="T20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5" s="14" t="str" cm="1">
        <f t="array" ref="U20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5" t="str" cm="1">
        <f t="array" ref="V20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5" t="str" cm="1">
        <f t="array" ref="W20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5" t="str">
        <f>IF(COUNTIFS('Base Estudiantes'!$C:$C,tblMatriculas[[#This Row],[Cédula]],'Base Estudiantes'!$I:$I,tblMatriculas[[#This Row],[Código]])&gt;0,"Sí","No")</f>
        <v>Sí</v>
      </c>
      <c r="Z2015" s="23" cm="1">
        <f t="array" ref="Z2015">_xlfn.XLOOKUP(tblMatriculas[[#This Row],[Cédula]]&amp;"|"&amp;tblMatriculas[[#This Row],[Código]],tblBase[Documento]&amp;"|"&amp;tblBase[Código grupo],tblBase[Fecha matrícula],"")</f>
        <v>46262</v>
      </c>
    </row>
    <row r="2016" spans="1:26" x14ac:dyDescent="0.2">
      <c r="A2016" t="s">
        <v>4187</v>
      </c>
      <c r="B2016" t="s">
        <v>4188</v>
      </c>
      <c r="C2016" t="s">
        <v>13</v>
      </c>
      <c r="D2016" t="s">
        <v>4165</v>
      </c>
      <c r="E2016" t="s">
        <v>4166</v>
      </c>
      <c r="F2016" t="s">
        <v>807</v>
      </c>
      <c r="G2016" s="1">
        <v>0.05</v>
      </c>
      <c r="H2016" t="s">
        <v>870</v>
      </c>
      <c r="I2016" t="s">
        <v>3833</v>
      </c>
      <c r="J2016" t="s">
        <v>3834</v>
      </c>
      <c r="K2016" t="s">
        <v>24</v>
      </c>
      <c r="L2016" s="14">
        <f>IFERROR(VALUE(LEFT(tblMatriculas[[#This Row],[Clases]],FIND("/",tblMatriculas[[#This Row],[Clases]])-1)),"")</f>
        <v>2</v>
      </c>
      <c r="M2016" s="14">
        <f>IFERROR(VALUE(MID(tblMatriculas[[#This Row],[Clases]],FIND("/",tblMatriculas[[#This Row],[Clases]])+1,5)),"")</f>
        <v>40</v>
      </c>
      <c r="N20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6" s="14">
        <f>IF(OR(tblMatriculas[[#This Row],[Estado]]&lt;&gt;"activa",tblMatriculas[[#This Row],[Clases dictadas]]=""),"",MAX(0,tblMatriculas[[#This Row],[Clases dictadas]]-tblMatriculas[[#This Row],[Asistidas]]))</f>
        <v>4</v>
      </c>
      <c r="P2016" s="1">
        <f>IF(OR(tblMatriculas[[#This Row],[Estado]]&lt;&gt;"activa",tblMatriculas[[#This Row],[Asistidas]]=""),"",tblMatriculas[[#This Row],[Asistencia]])</f>
        <v>0.05</v>
      </c>
      <c r="Q2016" t="b">
        <f>AND(tblMatriculas[[#This Row],[Estado]]="activa",ISNUMBER(tblMatriculas[[#This Row],[% asistencia]]),NOT(ISNUMBER(SEARCH(pPrueba,tblMatriculas[[#This Row],[Nombre]]))))</f>
        <v>1</v>
      </c>
      <c r="R20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16" s="23" t="str" cm="1">
        <f t="array" ref="S20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6" s="23" t="str" cm="1">
        <f t="array" ref="T20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6" s="14" t="str" cm="1">
        <f t="array" ref="U20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6" t="str" cm="1">
        <f t="array" ref="V20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6" t="str" cm="1">
        <f t="array" ref="W20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1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16" t="str">
        <f>IF(COUNTIFS('Base Estudiantes'!$C:$C,tblMatriculas[[#This Row],[Cédula]],'Base Estudiantes'!$I:$I,tblMatriculas[[#This Row],[Código]])&gt;0,"Sí","No")</f>
        <v>Sí</v>
      </c>
      <c r="Z2016" s="23" cm="1">
        <f t="array" ref="Z2016">_xlfn.XLOOKUP(tblMatriculas[[#This Row],[Cédula]]&amp;"|"&amp;tblMatriculas[[#This Row],[Código]],tblBase[Documento]&amp;"|"&amp;tblBase[Código grupo],tblBase[Fecha matrícula],"")</f>
        <v>46262</v>
      </c>
    </row>
    <row r="2017" spans="1:26" x14ac:dyDescent="0.2">
      <c r="A2017" t="s">
        <v>4189</v>
      </c>
      <c r="B2017" t="s">
        <v>4190</v>
      </c>
      <c r="C2017" t="s">
        <v>13</v>
      </c>
      <c r="D2017" t="s">
        <v>4165</v>
      </c>
      <c r="E2017" t="s">
        <v>4166</v>
      </c>
      <c r="F2017" t="s">
        <v>807</v>
      </c>
      <c r="G2017" s="1">
        <v>0</v>
      </c>
      <c r="H2017" t="s">
        <v>918</v>
      </c>
      <c r="I2017" t="s">
        <v>3833</v>
      </c>
      <c r="J2017" t="s">
        <v>3834</v>
      </c>
      <c r="K2017" t="s">
        <v>24</v>
      </c>
      <c r="L2017" s="14">
        <f>IFERROR(VALUE(LEFT(tblMatriculas[[#This Row],[Clases]],FIND("/",tblMatriculas[[#This Row],[Clases]])-1)),"")</f>
        <v>0</v>
      </c>
      <c r="M2017" s="14">
        <f>IFERROR(VALUE(MID(tblMatriculas[[#This Row],[Clases]],FIND("/",tblMatriculas[[#This Row],[Clases]])+1,5)),"")</f>
        <v>40</v>
      </c>
      <c r="N20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7" s="14">
        <f>IF(OR(tblMatriculas[[#This Row],[Estado]]&lt;&gt;"activa",tblMatriculas[[#This Row],[Clases dictadas]]=""),"",MAX(0,tblMatriculas[[#This Row],[Clases dictadas]]-tblMatriculas[[#This Row],[Asistidas]]))</f>
        <v>6</v>
      </c>
      <c r="P2017" s="1">
        <f>IF(OR(tblMatriculas[[#This Row],[Estado]]&lt;&gt;"activa",tblMatriculas[[#This Row],[Asistidas]]=""),"",tblMatriculas[[#This Row],[Asistencia]])</f>
        <v>0</v>
      </c>
      <c r="Q2017" t="b">
        <f>AND(tblMatriculas[[#This Row],[Estado]]="activa",ISNUMBER(tblMatriculas[[#This Row],[% asistencia]]),NOT(ISNUMBER(SEARCH(pPrueba,tblMatriculas[[#This Row],[Nombre]]))))</f>
        <v>1</v>
      </c>
      <c r="R20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17" s="23" t="str" cm="1">
        <f t="array" ref="S20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7" s="23" t="str" cm="1">
        <f t="array" ref="T20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7" s="14" t="str" cm="1">
        <f t="array" ref="U20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7" t="str" cm="1">
        <f t="array" ref="V20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7" t="str" cm="1">
        <f t="array" ref="W20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1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17" t="str">
        <f>IF(COUNTIFS('Base Estudiantes'!$C:$C,tblMatriculas[[#This Row],[Cédula]],'Base Estudiantes'!$I:$I,tblMatriculas[[#This Row],[Código]])&gt;0,"Sí","No")</f>
        <v>Sí</v>
      </c>
      <c r="Z2017" s="23" cm="1">
        <f t="array" ref="Z2017">_xlfn.XLOOKUP(tblMatriculas[[#This Row],[Cédula]]&amp;"|"&amp;tblMatriculas[[#This Row],[Código]],tblBase[Documento]&amp;"|"&amp;tblBase[Código grupo],tblBase[Fecha matrícula],"")</f>
        <v>46262</v>
      </c>
    </row>
    <row r="2018" spans="1:26" x14ac:dyDescent="0.2">
      <c r="A2018" t="s">
        <v>4191</v>
      </c>
      <c r="B2018" t="s">
        <v>4192</v>
      </c>
      <c r="C2018" t="s">
        <v>13</v>
      </c>
      <c r="D2018" t="s">
        <v>4165</v>
      </c>
      <c r="E2018" t="s">
        <v>4166</v>
      </c>
      <c r="F2018" t="s">
        <v>807</v>
      </c>
      <c r="G2018" s="1">
        <v>0.125</v>
      </c>
      <c r="H2018" t="s">
        <v>862</v>
      </c>
      <c r="I2018" t="s">
        <v>3833</v>
      </c>
      <c r="J2018" t="s">
        <v>3834</v>
      </c>
      <c r="K2018" t="s">
        <v>24</v>
      </c>
      <c r="L2018" s="14">
        <f>IFERROR(VALUE(LEFT(tblMatriculas[[#This Row],[Clases]],FIND("/",tblMatriculas[[#This Row],[Clases]])-1)),"")</f>
        <v>5</v>
      </c>
      <c r="M2018" s="14">
        <f>IFERROR(VALUE(MID(tblMatriculas[[#This Row],[Clases]],FIND("/",tblMatriculas[[#This Row],[Clases]])+1,5)),"")</f>
        <v>40</v>
      </c>
      <c r="N20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8" s="14">
        <f>IF(OR(tblMatriculas[[#This Row],[Estado]]&lt;&gt;"activa",tblMatriculas[[#This Row],[Clases dictadas]]=""),"",MAX(0,tblMatriculas[[#This Row],[Clases dictadas]]-tblMatriculas[[#This Row],[Asistidas]]))</f>
        <v>1</v>
      </c>
      <c r="P2018" s="1">
        <f>IF(OR(tblMatriculas[[#This Row],[Estado]]&lt;&gt;"activa",tblMatriculas[[#This Row],[Asistidas]]=""),"",tblMatriculas[[#This Row],[Asistencia]])</f>
        <v>0.125</v>
      </c>
      <c r="Q2018" t="b">
        <f>AND(tblMatriculas[[#This Row],[Estado]]="activa",ISNUMBER(tblMatriculas[[#This Row],[% asistencia]]),NOT(ISNUMBER(SEARCH(pPrueba,tblMatriculas[[#This Row],[Nombre]]))))</f>
        <v>1</v>
      </c>
      <c r="R20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8" s="23" t="str" cm="1">
        <f t="array" ref="S20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8" s="23" t="str" cm="1">
        <f t="array" ref="T20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8" s="14" t="str" cm="1">
        <f t="array" ref="U20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8" t="str" cm="1">
        <f t="array" ref="V20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8" t="str" cm="1">
        <f t="array" ref="W20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8" t="str">
        <f>IF(COUNTIFS('Base Estudiantes'!$C:$C,tblMatriculas[[#This Row],[Cédula]],'Base Estudiantes'!$I:$I,tblMatriculas[[#This Row],[Código]])&gt;0,"Sí","No")</f>
        <v>Sí</v>
      </c>
      <c r="Z2018" s="23" cm="1">
        <f t="array" ref="Z2018">_xlfn.XLOOKUP(tblMatriculas[[#This Row],[Cédula]]&amp;"|"&amp;tblMatriculas[[#This Row],[Código]],tblBase[Documento]&amp;"|"&amp;tblBase[Código grupo],tblBase[Fecha matrícula],"")</f>
        <v>46262</v>
      </c>
    </row>
    <row r="2019" spans="1:26" x14ac:dyDescent="0.2">
      <c r="A2019" t="s">
        <v>4193</v>
      </c>
      <c r="B2019" t="s">
        <v>4194</v>
      </c>
      <c r="C2019" t="s">
        <v>13</v>
      </c>
      <c r="D2019" t="s">
        <v>4165</v>
      </c>
      <c r="E2019" t="s">
        <v>4166</v>
      </c>
      <c r="F2019" t="s">
        <v>807</v>
      </c>
      <c r="G2019" s="1">
        <v>0.15</v>
      </c>
      <c r="H2019" t="s">
        <v>852</v>
      </c>
      <c r="I2019" t="s">
        <v>3833</v>
      </c>
      <c r="J2019" t="s">
        <v>3834</v>
      </c>
      <c r="K2019" t="s">
        <v>24</v>
      </c>
      <c r="L2019" s="14">
        <f>IFERROR(VALUE(LEFT(tblMatriculas[[#This Row],[Clases]],FIND("/",tblMatriculas[[#This Row],[Clases]])-1)),"")</f>
        <v>6</v>
      </c>
      <c r="M2019" s="14">
        <f>IFERROR(VALUE(MID(tblMatriculas[[#This Row],[Clases]],FIND("/",tblMatriculas[[#This Row],[Clases]])+1,5)),"")</f>
        <v>40</v>
      </c>
      <c r="N20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19" s="14">
        <f>IF(OR(tblMatriculas[[#This Row],[Estado]]&lt;&gt;"activa",tblMatriculas[[#This Row],[Clases dictadas]]=""),"",MAX(0,tblMatriculas[[#This Row],[Clases dictadas]]-tblMatriculas[[#This Row],[Asistidas]]))</f>
        <v>0</v>
      </c>
      <c r="P2019" s="1">
        <f>IF(OR(tblMatriculas[[#This Row],[Estado]]&lt;&gt;"activa",tblMatriculas[[#This Row],[Asistidas]]=""),"",tblMatriculas[[#This Row],[Asistencia]])</f>
        <v>0.15</v>
      </c>
      <c r="Q2019" t="b">
        <f>AND(tblMatriculas[[#This Row],[Estado]]="activa",ISNUMBER(tblMatriculas[[#This Row],[% asistencia]]),NOT(ISNUMBER(SEARCH(pPrueba,tblMatriculas[[#This Row],[Nombre]]))))</f>
        <v>1</v>
      </c>
      <c r="R20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19" s="23" t="str" cm="1">
        <f t="array" ref="S20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19" s="23" t="str" cm="1">
        <f t="array" ref="T20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19" s="14" t="str" cm="1">
        <f t="array" ref="U20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19" t="str" cm="1">
        <f t="array" ref="V20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19" t="str" cm="1">
        <f t="array" ref="W20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19" t="str">
        <f>IF(COUNTIFS('Base Estudiantes'!$C:$C,tblMatriculas[[#This Row],[Cédula]],'Base Estudiantes'!$I:$I,tblMatriculas[[#This Row],[Código]])&gt;0,"Sí","No")</f>
        <v>Sí</v>
      </c>
      <c r="Z2019" s="23" cm="1">
        <f t="array" ref="Z2019">_xlfn.XLOOKUP(tblMatriculas[[#This Row],[Cédula]]&amp;"|"&amp;tblMatriculas[[#This Row],[Código]],tblBase[Documento]&amp;"|"&amp;tblBase[Código grupo],tblBase[Fecha matrícula],"")</f>
        <v>46262</v>
      </c>
    </row>
    <row r="2020" spans="1:26" x14ac:dyDescent="0.2">
      <c r="A2020" t="s">
        <v>4195</v>
      </c>
      <c r="B2020" t="s">
        <v>4196</v>
      </c>
      <c r="C2020" t="s">
        <v>13</v>
      </c>
      <c r="D2020" t="s">
        <v>4165</v>
      </c>
      <c r="E2020" t="s">
        <v>4166</v>
      </c>
      <c r="F2020" t="s">
        <v>807</v>
      </c>
      <c r="G2020" s="1">
        <v>0.15</v>
      </c>
      <c r="H2020" t="s">
        <v>852</v>
      </c>
      <c r="I2020" t="s">
        <v>3833</v>
      </c>
      <c r="J2020" t="s">
        <v>3834</v>
      </c>
      <c r="K2020" t="s">
        <v>24</v>
      </c>
      <c r="L2020" s="14">
        <f>IFERROR(VALUE(LEFT(tblMatriculas[[#This Row],[Clases]],FIND("/",tblMatriculas[[#This Row],[Clases]])-1)),"")</f>
        <v>6</v>
      </c>
      <c r="M2020" s="14">
        <f>IFERROR(VALUE(MID(tblMatriculas[[#This Row],[Clases]],FIND("/",tblMatriculas[[#This Row],[Clases]])+1,5)),"")</f>
        <v>40</v>
      </c>
      <c r="N20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0" s="14">
        <f>IF(OR(tblMatriculas[[#This Row],[Estado]]&lt;&gt;"activa",tblMatriculas[[#This Row],[Clases dictadas]]=""),"",MAX(0,tblMatriculas[[#This Row],[Clases dictadas]]-tblMatriculas[[#This Row],[Asistidas]]))</f>
        <v>0</v>
      </c>
      <c r="P2020" s="1">
        <f>IF(OR(tblMatriculas[[#This Row],[Estado]]&lt;&gt;"activa",tblMatriculas[[#This Row],[Asistidas]]=""),"",tblMatriculas[[#This Row],[Asistencia]])</f>
        <v>0.15</v>
      </c>
      <c r="Q2020" t="b">
        <f>AND(tblMatriculas[[#This Row],[Estado]]="activa",ISNUMBER(tblMatriculas[[#This Row],[% asistencia]]),NOT(ISNUMBER(SEARCH(pPrueba,tblMatriculas[[#This Row],[Nombre]]))))</f>
        <v>1</v>
      </c>
      <c r="R20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0" s="23" t="str" cm="1">
        <f t="array" ref="S20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0" s="23" t="str" cm="1">
        <f t="array" ref="T20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0" s="14" t="str" cm="1">
        <f t="array" ref="U20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0" t="str" cm="1">
        <f t="array" ref="V20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0" t="str" cm="1">
        <f t="array" ref="W20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0" t="str">
        <f>IF(COUNTIFS('Base Estudiantes'!$C:$C,tblMatriculas[[#This Row],[Cédula]],'Base Estudiantes'!$I:$I,tblMatriculas[[#This Row],[Código]])&gt;0,"Sí","No")</f>
        <v>Sí</v>
      </c>
      <c r="Z2020" s="23" cm="1">
        <f t="array" ref="Z2020">_xlfn.XLOOKUP(tblMatriculas[[#This Row],[Cédula]]&amp;"|"&amp;tblMatriculas[[#This Row],[Código]],tblBase[Documento]&amp;"|"&amp;tblBase[Código grupo],tblBase[Fecha matrícula],"")</f>
        <v>46262</v>
      </c>
    </row>
    <row r="2021" spans="1:26" x14ac:dyDescent="0.2">
      <c r="A2021" t="s">
        <v>4197</v>
      </c>
      <c r="B2021" t="s">
        <v>4198</v>
      </c>
      <c r="C2021" t="s">
        <v>13</v>
      </c>
      <c r="D2021" t="s">
        <v>4165</v>
      </c>
      <c r="E2021" t="s">
        <v>4166</v>
      </c>
      <c r="F2021" t="s">
        <v>807</v>
      </c>
      <c r="G2021" s="1">
        <v>0.125</v>
      </c>
      <c r="H2021" t="s">
        <v>862</v>
      </c>
      <c r="I2021" t="s">
        <v>3833</v>
      </c>
      <c r="J2021" t="s">
        <v>3834</v>
      </c>
      <c r="K2021" t="s">
        <v>24</v>
      </c>
      <c r="L2021" s="14">
        <f>IFERROR(VALUE(LEFT(tblMatriculas[[#This Row],[Clases]],FIND("/",tblMatriculas[[#This Row],[Clases]])-1)),"")</f>
        <v>5</v>
      </c>
      <c r="M2021" s="14">
        <f>IFERROR(VALUE(MID(tblMatriculas[[#This Row],[Clases]],FIND("/",tblMatriculas[[#This Row],[Clases]])+1,5)),"")</f>
        <v>40</v>
      </c>
      <c r="N20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1" s="14">
        <f>IF(OR(tblMatriculas[[#This Row],[Estado]]&lt;&gt;"activa",tblMatriculas[[#This Row],[Clases dictadas]]=""),"",MAX(0,tblMatriculas[[#This Row],[Clases dictadas]]-tblMatriculas[[#This Row],[Asistidas]]))</f>
        <v>1</v>
      </c>
      <c r="P2021" s="1">
        <f>IF(OR(tblMatriculas[[#This Row],[Estado]]&lt;&gt;"activa",tblMatriculas[[#This Row],[Asistidas]]=""),"",tblMatriculas[[#This Row],[Asistencia]])</f>
        <v>0.125</v>
      </c>
      <c r="Q2021" t="b">
        <f>AND(tblMatriculas[[#This Row],[Estado]]="activa",ISNUMBER(tblMatriculas[[#This Row],[% asistencia]]),NOT(ISNUMBER(SEARCH(pPrueba,tblMatriculas[[#This Row],[Nombre]]))))</f>
        <v>1</v>
      </c>
      <c r="R20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1" s="23" t="str" cm="1">
        <f t="array" ref="S20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1" s="23" t="str" cm="1">
        <f t="array" ref="T20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1" s="14" t="str" cm="1">
        <f t="array" ref="U20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1" t="str" cm="1">
        <f t="array" ref="V20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1" t="str" cm="1">
        <f t="array" ref="W20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1" t="str">
        <f>IF(COUNTIFS('Base Estudiantes'!$C:$C,tblMatriculas[[#This Row],[Cédula]],'Base Estudiantes'!$I:$I,tblMatriculas[[#This Row],[Código]])&gt;0,"Sí","No")</f>
        <v>Sí</v>
      </c>
      <c r="Z2021" s="23" cm="1">
        <f t="array" ref="Z2021">_xlfn.XLOOKUP(tblMatriculas[[#This Row],[Cédula]]&amp;"|"&amp;tblMatriculas[[#This Row],[Código]],tblBase[Documento]&amp;"|"&amp;tblBase[Código grupo],tblBase[Fecha matrícula],"")</f>
        <v>46262</v>
      </c>
    </row>
    <row r="2022" spans="1:26" x14ac:dyDescent="0.2">
      <c r="A2022" t="s">
        <v>4199</v>
      </c>
      <c r="B2022" t="s">
        <v>4200</v>
      </c>
      <c r="C2022" t="s">
        <v>13</v>
      </c>
      <c r="D2022" t="s">
        <v>4165</v>
      </c>
      <c r="E2022" t="s">
        <v>4166</v>
      </c>
      <c r="F2022" t="s">
        <v>807</v>
      </c>
      <c r="G2022" s="1">
        <v>0.15</v>
      </c>
      <c r="H2022" t="s">
        <v>852</v>
      </c>
      <c r="I2022" t="s">
        <v>3833</v>
      </c>
      <c r="J2022" t="s">
        <v>3834</v>
      </c>
      <c r="K2022" t="s">
        <v>24</v>
      </c>
      <c r="L2022" s="14">
        <f>IFERROR(VALUE(LEFT(tblMatriculas[[#This Row],[Clases]],FIND("/",tblMatriculas[[#This Row],[Clases]])-1)),"")</f>
        <v>6</v>
      </c>
      <c r="M2022" s="14">
        <f>IFERROR(VALUE(MID(tblMatriculas[[#This Row],[Clases]],FIND("/",tblMatriculas[[#This Row],[Clases]])+1,5)),"")</f>
        <v>40</v>
      </c>
      <c r="N20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2" s="14">
        <f>IF(OR(tblMatriculas[[#This Row],[Estado]]&lt;&gt;"activa",tblMatriculas[[#This Row],[Clases dictadas]]=""),"",MAX(0,tblMatriculas[[#This Row],[Clases dictadas]]-tblMatriculas[[#This Row],[Asistidas]]))</f>
        <v>0</v>
      </c>
      <c r="P2022" s="1">
        <f>IF(OR(tblMatriculas[[#This Row],[Estado]]&lt;&gt;"activa",tblMatriculas[[#This Row],[Asistidas]]=""),"",tblMatriculas[[#This Row],[Asistencia]])</f>
        <v>0.15</v>
      </c>
      <c r="Q2022" t="b">
        <f>AND(tblMatriculas[[#This Row],[Estado]]="activa",ISNUMBER(tblMatriculas[[#This Row],[% asistencia]]),NOT(ISNUMBER(SEARCH(pPrueba,tblMatriculas[[#This Row],[Nombre]]))))</f>
        <v>1</v>
      </c>
      <c r="R20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2" s="23" t="str" cm="1">
        <f t="array" ref="S20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2" s="23" t="str" cm="1">
        <f t="array" ref="T20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2" s="14" t="str" cm="1">
        <f t="array" ref="U20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2" t="str" cm="1">
        <f t="array" ref="V20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2" t="str" cm="1">
        <f t="array" ref="W20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2" t="str">
        <f>IF(COUNTIFS('Base Estudiantes'!$C:$C,tblMatriculas[[#This Row],[Cédula]],'Base Estudiantes'!$I:$I,tblMatriculas[[#This Row],[Código]])&gt;0,"Sí","No")</f>
        <v>Sí</v>
      </c>
      <c r="Z2022" s="23" cm="1">
        <f t="array" ref="Z2022">_xlfn.XLOOKUP(tblMatriculas[[#This Row],[Cédula]]&amp;"|"&amp;tblMatriculas[[#This Row],[Código]],tblBase[Documento]&amp;"|"&amp;tblBase[Código grupo],tblBase[Fecha matrícula],"")</f>
        <v>46262</v>
      </c>
    </row>
    <row r="2023" spans="1:26" x14ac:dyDescent="0.2">
      <c r="A2023" t="s">
        <v>4201</v>
      </c>
      <c r="B2023" t="s">
        <v>4202</v>
      </c>
      <c r="C2023" t="s">
        <v>13</v>
      </c>
      <c r="D2023" t="s">
        <v>4165</v>
      </c>
      <c r="E2023" t="s">
        <v>4166</v>
      </c>
      <c r="F2023" t="s">
        <v>807</v>
      </c>
      <c r="G2023" s="1">
        <v>0.15</v>
      </c>
      <c r="H2023" t="s">
        <v>852</v>
      </c>
      <c r="I2023" t="s">
        <v>3833</v>
      </c>
      <c r="J2023" t="s">
        <v>3834</v>
      </c>
      <c r="K2023" t="s">
        <v>24</v>
      </c>
      <c r="L2023" s="14">
        <f>IFERROR(VALUE(LEFT(tblMatriculas[[#This Row],[Clases]],FIND("/",tblMatriculas[[#This Row],[Clases]])-1)),"")</f>
        <v>6</v>
      </c>
      <c r="M2023" s="14">
        <f>IFERROR(VALUE(MID(tblMatriculas[[#This Row],[Clases]],FIND("/",tblMatriculas[[#This Row],[Clases]])+1,5)),"")</f>
        <v>40</v>
      </c>
      <c r="N20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3" s="14">
        <f>IF(OR(tblMatriculas[[#This Row],[Estado]]&lt;&gt;"activa",tblMatriculas[[#This Row],[Clases dictadas]]=""),"",MAX(0,tblMatriculas[[#This Row],[Clases dictadas]]-tblMatriculas[[#This Row],[Asistidas]]))</f>
        <v>0</v>
      </c>
      <c r="P2023" s="1">
        <f>IF(OR(tblMatriculas[[#This Row],[Estado]]&lt;&gt;"activa",tblMatriculas[[#This Row],[Asistidas]]=""),"",tblMatriculas[[#This Row],[Asistencia]])</f>
        <v>0.15</v>
      </c>
      <c r="Q2023" t="b">
        <f>AND(tblMatriculas[[#This Row],[Estado]]="activa",ISNUMBER(tblMatriculas[[#This Row],[% asistencia]]),NOT(ISNUMBER(SEARCH(pPrueba,tblMatriculas[[#This Row],[Nombre]]))))</f>
        <v>1</v>
      </c>
      <c r="R20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3" s="23" t="str" cm="1">
        <f t="array" ref="S20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3" s="23" t="str" cm="1">
        <f t="array" ref="T20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3" s="14" t="str" cm="1">
        <f t="array" ref="U20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3" t="str" cm="1">
        <f t="array" ref="V20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3" t="str" cm="1">
        <f t="array" ref="W20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3" t="str">
        <f>IF(COUNTIFS('Base Estudiantes'!$C:$C,tblMatriculas[[#This Row],[Cédula]],'Base Estudiantes'!$I:$I,tblMatriculas[[#This Row],[Código]])&gt;0,"Sí","No")</f>
        <v>Sí</v>
      </c>
      <c r="Z2023" s="23" cm="1">
        <f t="array" ref="Z2023">_xlfn.XLOOKUP(tblMatriculas[[#This Row],[Cédula]]&amp;"|"&amp;tblMatriculas[[#This Row],[Código]],tblBase[Documento]&amp;"|"&amp;tblBase[Código grupo],tblBase[Fecha matrícula],"")</f>
        <v>46262</v>
      </c>
    </row>
    <row r="2024" spans="1:26" x14ac:dyDescent="0.2">
      <c r="A2024" t="s">
        <v>4203</v>
      </c>
      <c r="B2024" t="s">
        <v>4204</v>
      </c>
      <c r="C2024" t="s">
        <v>13</v>
      </c>
      <c r="D2024" t="s">
        <v>4165</v>
      </c>
      <c r="E2024" t="s">
        <v>4166</v>
      </c>
      <c r="F2024" t="s">
        <v>807</v>
      </c>
      <c r="G2024" s="1">
        <v>0.15</v>
      </c>
      <c r="H2024" t="s">
        <v>852</v>
      </c>
      <c r="I2024" t="s">
        <v>3833</v>
      </c>
      <c r="J2024" t="s">
        <v>3834</v>
      </c>
      <c r="K2024" t="s">
        <v>24</v>
      </c>
      <c r="L2024" s="14">
        <f>IFERROR(VALUE(LEFT(tblMatriculas[[#This Row],[Clases]],FIND("/",tblMatriculas[[#This Row],[Clases]])-1)),"")</f>
        <v>6</v>
      </c>
      <c r="M2024" s="14">
        <f>IFERROR(VALUE(MID(tblMatriculas[[#This Row],[Clases]],FIND("/",tblMatriculas[[#This Row],[Clases]])+1,5)),"")</f>
        <v>40</v>
      </c>
      <c r="N20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4" s="14">
        <f>IF(OR(tblMatriculas[[#This Row],[Estado]]&lt;&gt;"activa",tblMatriculas[[#This Row],[Clases dictadas]]=""),"",MAX(0,tblMatriculas[[#This Row],[Clases dictadas]]-tblMatriculas[[#This Row],[Asistidas]]))</f>
        <v>0</v>
      </c>
      <c r="P2024" s="1">
        <f>IF(OR(tblMatriculas[[#This Row],[Estado]]&lt;&gt;"activa",tblMatriculas[[#This Row],[Asistidas]]=""),"",tblMatriculas[[#This Row],[Asistencia]])</f>
        <v>0.15</v>
      </c>
      <c r="Q2024" t="b">
        <f>AND(tblMatriculas[[#This Row],[Estado]]="activa",ISNUMBER(tblMatriculas[[#This Row],[% asistencia]]),NOT(ISNUMBER(SEARCH(pPrueba,tblMatriculas[[#This Row],[Nombre]]))))</f>
        <v>1</v>
      </c>
      <c r="R20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4" s="23" t="str" cm="1">
        <f t="array" ref="S20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4" s="23" t="str" cm="1">
        <f t="array" ref="T20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4" s="14" t="str" cm="1">
        <f t="array" ref="U20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4" t="str" cm="1">
        <f t="array" ref="V20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4" t="str" cm="1">
        <f t="array" ref="W20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4" t="str">
        <f>IF(COUNTIFS('Base Estudiantes'!$C:$C,tblMatriculas[[#This Row],[Cédula]],'Base Estudiantes'!$I:$I,tblMatriculas[[#This Row],[Código]])&gt;0,"Sí","No")</f>
        <v>Sí</v>
      </c>
      <c r="Z2024" s="23" cm="1">
        <f t="array" ref="Z2024">_xlfn.XLOOKUP(tblMatriculas[[#This Row],[Cédula]]&amp;"|"&amp;tblMatriculas[[#This Row],[Código]],tblBase[Documento]&amp;"|"&amp;tblBase[Código grupo],tblBase[Fecha matrícula],"")</f>
        <v>46262</v>
      </c>
    </row>
    <row r="2025" spans="1:26" x14ac:dyDescent="0.2">
      <c r="A2025" t="s">
        <v>4205</v>
      </c>
      <c r="B2025" t="s">
        <v>4206</v>
      </c>
      <c r="C2025" t="s">
        <v>13</v>
      </c>
      <c r="D2025" t="s">
        <v>4165</v>
      </c>
      <c r="E2025" t="s">
        <v>4166</v>
      </c>
      <c r="F2025" t="s">
        <v>807</v>
      </c>
      <c r="G2025" s="1">
        <v>0.15</v>
      </c>
      <c r="H2025" t="s">
        <v>852</v>
      </c>
      <c r="I2025" t="s">
        <v>3833</v>
      </c>
      <c r="J2025" t="s">
        <v>3834</v>
      </c>
      <c r="K2025" t="s">
        <v>3928</v>
      </c>
      <c r="L2025" s="14">
        <f>IFERROR(VALUE(LEFT(tblMatriculas[[#This Row],[Clases]],FIND("/",tblMatriculas[[#This Row],[Clases]])-1)),"")</f>
        <v>6</v>
      </c>
      <c r="M2025" s="14">
        <f>IFERROR(VALUE(MID(tblMatriculas[[#This Row],[Clases]],FIND("/",tblMatriculas[[#This Row],[Clases]])+1,5)),"")</f>
        <v>40</v>
      </c>
      <c r="N20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5" s="14">
        <f>IF(OR(tblMatriculas[[#This Row],[Estado]]&lt;&gt;"activa",tblMatriculas[[#This Row],[Clases dictadas]]=""),"",MAX(0,tblMatriculas[[#This Row],[Clases dictadas]]-tblMatriculas[[#This Row],[Asistidas]]))</f>
        <v>0</v>
      </c>
      <c r="P2025" s="1">
        <f>IF(OR(tblMatriculas[[#This Row],[Estado]]&lt;&gt;"activa",tblMatriculas[[#This Row],[Asistidas]]=""),"",tblMatriculas[[#This Row],[Asistencia]])</f>
        <v>0.15</v>
      </c>
      <c r="Q2025" t="b">
        <f>AND(tblMatriculas[[#This Row],[Estado]]="activa",ISNUMBER(tblMatriculas[[#This Row],[% asistencia]]),NOT(ISNUMBER(SEARCH(pPrueba,tblMatriculas[[#This Row],[Nombre]]))))</f>
        <v>1</v>
      </c>
      <c r="R20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5" s="23" t="str" cm="1">
        <f t="array" ref="S20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5" s="23" t="str" cm="1">
        <f t="array" ref="T20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5" s="14" t="str" cm="1">
        <f t="array" ref="U20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5" t="str" cm="1">
        <f t="array" ref="V20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5" t="str" cm="1">
        <f t="array" ref="W20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5" t="str">
        <f>IF(COUNTIFS('Base Estudiantes'!$C:$C,tblMatriculas[[#This Row],[Cédula]],'Base Estudiantes'!$I:$I,tblMatriculas[[#This Row],[Código]])&gt;0,"Sí","No")</f>
        <v>Sí</v>
      </c>
      <c r="Z2025" s="23" cm="1">
        <f t="array" ref="Z2025">_xlfn.XLOOKUP(tblMatriculas[[#This Row],[Cédula]]&amp;"|"&amp;tblMatriculas[[#This Row],[Código]],tblBase[Documento]&amp;"|"&amp;tblBase[Código grupo],tblBase[Fecha matrícula],"")</f>
        <v>46262</v>
      </c>
    </row>
    <row r="2026" spans="1:26" x14ac:dyDescent="0.2">
      <c r="A2026" t="s">
        <v>4207</v>
      </c>
      <c r="B2026" t="s">
        <v>4208</v>
      </c>
      <c r="C2026" t="s">
        <v>13</v>
      </c>
      <c r="D2026" t="s">
        <v>4165</v>
      </c>
      <c r="E2026" t="s">
        <v>4166</v>
      </c>
      <c r="F2026" t="s">
        <v>807</v>
      </c>
      <c r="G2026" s="1">
        <v>0.15</v>
      </c>
      <c r="H2026" t="s">
        <v>852</v>
      </c>
      <c r="I2026" t="s">
        <v>3833</v>
      </c>
      <c r="J2026" t="s">
        <v>3834</v>
      </c>
      <c r="K2026" t="s">
        <v>3928</v>
      </c>
      <c r="L2026" s="14">
        <f>IFERROR(VALUE(LEFT(tblMatriculas[[#This Row],[Clases]],FIND("/",tblMatriculas[[#This Row],[Clases]])-1)),"")</f>
        <v>6</v>
      </c>
      <c r="M2026" s="14">
        <f>IFERROR(VALUE(MID(tblMatriculas[[#This Row],[Clases]],FIND("/",tblMatriculas[[#This Row],[Clases]])+1,5)),"")</f>
        <v>40</v>
      </c>
      <c r="N20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6" s="14">
        <f>IF(OR(tblMatriculas[[#This Row],[Estado]]&lt;&gt;"activa",tblMatriculas[[#This Row],[Clases dictadas]]=""),"",MAX(0,tblMatriculas[[#This Row],[Clases dictadas]]-tblMatriculas[[#This Row],[Asistidas]]))</f>
        <v>0</v>
      </c>
      <c r="P2026" s="1">
        <f>IF(OR(tblMatriculas[[#This Row],[Estado]]&lt;&gt;"activa",tblMatriculas[[#This Row],[Asistidas]]=""),"",tblMatriculas[[#This Row],[Asistencia]])</f>
        <v>0.15</v>
      </c>
      <c r="Q2026" t="b">
        <f>AND(tblMatriculas[[#This Row],[Estado]]="activa",ISNUMBER(tblMatriculas[[#This Row],[% asistencia]]),NOT(ISNUMBER(SEARCH(pPrueba,tblMatriculas[[#This Row],[Nombre]]))))</f>
        <v>1</v>
      </c>
      <c r="R20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6" s="23" t="str" cm="1">
        <f t="array" ref="S20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6" s="23" t="str" cm="1">
        <f t="array" ref="T20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6" s="14" t="str" cm="1">
        <f t="array" ref="U20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6" t="str" cm="1">
        <f t="array" ref="V20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6" t="str" cm="1">
        <f t="array" ref="W20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6" t="str">
        <f>IF(COUNTIFS('Base Estudiantes'!$C:$C,tblMatriculas[[#This Row],[Cédula]],'Base Estudiantes'!$I:$I,tblMatriculas[[#This Row],[Código]])&gt;0,"Sí","No")</f>
        <v>Sí</v>
      </c>
      <c r="Z2026" s="23" cm="1">
        <f t="array" ref="Z2026">_xlfn.XLOOKUP(tblMatriculas[[#This Row],[Cédula]]&amp;"|"&amp;tblMatriculas[[#This Row],[Código]],tblBase[Documento]&amp;"|"&amp;tblBase[Código grupo],tblBase[Fecha matrícula],"")</f>
        <v>46262</v>
      </c>
    </row>
    <row r="2027" spans="1:26" x14ac:dyDescent="0.2">
      <c r="A2027" t="s">
        <v>4209</v>
      </c>
      <c r="B2027" t="s">
        <v>4210</v>
      </c>
      <c r="C2027" t="s">
        <v>49</v>
      </c>
      <c r="D2027" t="s">
        <v>4165</v>
      </c>
      <c r="E2027" t="s">
        <v>4166</v>
      </c>
      <c r="F2027" t="s">
        <v>807</v>
      </c>
      <c r="G2027" s="1">
        <v>0</v>
      </c>
      <c r="H2027" t="s">
        <v>918</v>
      </c>
      <c r="I2027" t="s">
        <v>3833</v>
      </c>
      <c r="J2027" t="s">
        <v>3834</v>
      </c>
      <c r="K2027" t="s">
        <v>24</v>
      </c>
      <c r="L2027" s="14">
        <f>IFERROR(VALUE(LEFT(tblMatriculas[[#This Row],[Clases]],FIND("/",tblMatriculas[[#This Row],[Clases]])-1)),"")</f>
        <v>0</v>
      </c>
      <c r="M2027" s="14">
        <f>IFERROR(VALUE(MID(tblMatriculas[[#This Row],[Clases]],FIND("/",tblMatriculas[[#This Row],[Clases]])+1,5)),"")</f>
        <v>40</v>
      </c>
      <c r="N20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7" s="14" t="str">
        <f>IF(OR(tblMatriculas[[#This Row],[Estado]]&lt;&gt;"activa",tblMatriculas[[#This Row],[Clases dictadas]]=""),"",MAX(0,tblMatriculas[[#This Row],[Clases dictadas]]-tblMatriculas[[#This Row],[Asistidas]]))</f>
        <v/>
      </c>
      <c r="P2027" s="1" t="str">
        <f>IF(OR(tblMatriculas[[#This Row],[Estado]]&lt;&gt;"activa",tblMatriculas[[#This Row],[Asistidas]]=""),"",tblMatriculas[[#This Row],[Asistencia]])</f>
        <v/>
      </c>
      <c r="Q2027" t="b">
        <f>AND(tblMatriculas[[#This Row],[Estado]]="activa",ISNUMBER(tblMatriculas[[#This Row],[% asistencia]]),NOT(ISNUMBER(SEARCH(pPrueba,tblMatriculas[[#This Row],[Nombre]]))))</f>
        <v>0</v>
      </c>
      <c r="R20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027" s="23" t="str" cm="1">
        <f t="array" ref="S20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7" s="23" t="str" cm="1">
        <f t="array" ref="T20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7" s="14" t="str" cm="1">
        <f t="array" ref="U20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7" t="str" cm="1">
        <f t="array" ref="V20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7" t="str" cm="1">
        <f t="array" ref="W20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7" t="str">
        <f>IF(COUNTIFS('Base Estudiantes'!$C:$C,tblMatriculas[[#This Row],[Cédula]],'Base Estudiantes'!$I:$I,tblMatriculas[[#This Row],[Código]])&gt;0,"Sí","No")</f>
        <v>No</v>
      </c>
      <c r="Z2027" s="23" t="str" cm="1">
        <f t="array" ref="Z2027">_xlfn.XLOOKUP(tblMatriculas[[#This Row],[Cédula]]&amp;"|"&amp;tblMatriculas[[#This Row],[Código]],tblBase[Documento]&amp;"|"&amp;tblBase[Código grupo],tblBase[Fecha matrícula],"")</f>
        <v/>
      </c>
    </row>
    <row r="2028" spans="1:26" x14ac:dyDescent="0.2">
      <c r="A2028" t="s">
        <v>4211</v>
      </c>
      <c r="B2028" t="s">
        <v>4212</v>
      </c>
      <c r="C2028" t="s">
        <v>13</v>
      </c>
      <c r="D2028" t="s">
        <v>4165</v>
      </c>
      <c r="E2028" t="s">
        <v>4166</v>
      </c>
      <c r="F2028" t="s">
        <v>807</v>
      </c>
      <c r="G2028" s="1">
        <v>0</v>
      </c>
      <c r="H2028" t="s">
        <v>918</v>
      </c>
      <c r="I2028" t="s">
        <v>3833</v>
      </c>
      <c r="J2028" t="s">
        <v>3834</v>
      </c>
      <c r="K2028" t="s">
        <v>24</v>
      </c>
      <c r="L2028" s="14">
        <f>IFERROR(VALUE(LEFT(tblMatriculas[[#This Row],[Clases]],FIND("/",tblMatriculas[[#This Row],[Clases]])-1)),"")</f>
        <v>0</v>
      </c>
      <c r="M2028" s="14">
        <f>IFERROR(VALUE(MID(tblMatriculas[[#This Row],[Clases]],FIND("/",tblMatriculas[[#This Row],[Clases]])+1,5)),"")</f>
        <v>40</v>
      </c>
      <c r="N20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8" s="14">
        <f>IF(OR(tblMatriculas[[#This Row],[Estado]]&lt;&gt;"activa",tblMatriculas[[#This Row],[Clases dictadas]]=""),"",MAX(0,tblMatriculas[[#This Row],[Clases dictadas]]-tblMatriculas[[#This Row],[Asistidas]]))</f>
        <v>6</v>
      </c>
      <c r="P2028" s="1">
        <f>IF(OR(tblMatriculas[[#This Row],[Estado]]&lt;&gt;"activa",tblMatriculas[[#This Row],[Asistidas]]=""),"",tblMatriculas[[#This Row],[Asistencia]])</f>
        <v>0</v>
      </c>
      <c r="Q2028" t="b">
        <f>AND(tblMatriculas[[#This Row],[Estado]]="activa",ISNUMBER(tblMatriculas[[#This Row],[% asistencia]]),NOT(ISNUMBER(SEARCH(pPrueba,tblMatriculas[[#This Row],[Nombre]]))))</f>
        <v>1</v>
      </c>
      <c r="R20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28" s="23" t="str" cm="1">
        <f t="array" ref="S20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8" s="23" t="str" cm="1">
        <f t="array" ref="T20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8" s="14" t="str" cm="1">
        <f t="array" ref="U20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8" t="str" cm="1">
        <f t="array" ref="V20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8" t="str" cm="1">
        <f t="array" ref="W20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28" t="str">
        <f>IF(COUNTIFS('Base Estudiantes'!$C:$C,tblMatriculas[[#This Row],[Cédula]],'Base Estudiantes'!$I:$I,tblMatriculas[[#This Row],[Código]])&gt;0,"Sí","No")</f>
        <v>Sí</v>
      </c>
      <c r="Z2028" s="23" cm="1">
        <f t="array" ref="Z2028">_xlfn.XLOOKUP(tblMatriculas[[#This Row],[Cédula]]&amp;"|"&amp;tblMatriculas[[#This Row],[Código]],tblBase[Documento]&amp;"|"&amp;tblBase[Código grupo],tblBase[Fecha matrícula],"")</f>
        <v>46262</v>
      </c>
    </row>
    <row r="2029" spans="1:26" x14ac:dyDescent="0.2">
      <c r="A2029" t="s">
        <v>4213</v>
      </c>
      <c r="B2029" t="s">
        <v>4214</v>
      </c>
      <c r="C2029" t="s">
        <v>13</v>
      </c>
      <c r="D2029" t="s">
        <v>4165</v>
      </c>
      <c r="E2029" t="s">
        <v>4166</v>
      </c>
      <c r="F2029" t="s">
        <v>807</v>
      </c>
      <c r="G2029" s="1">
        <v>0.125</v>
      </c>
      <c r="H2029" t="s">
        <v>862</v>
      </c>
      <c r="I2029" t="s">
        <v>3833</v>
      </c>
      <c r="J2029" t="s">
        <v>3834</v>
      </c>
      <c r="K2029" t="s">
        <v>24</v>
      </c>
      <c r="L2029" s="14">
        <f>IFERROR(VALUE(LEFT(tblMatriculas[[#This Row],[Clases]],FIND("/",tblMatriculas[[#This Row],[Clases]])-1)),"")</f>
        <v>5</v>
      </c>
      <c r="M2029" s="14">
        <f>IFERROR(VALUE(MID(tblMatriculas[[#This Row],[Clases]],FIND("/",tblMatriculas[[#This Row],[Clases]])+1,5)),"")</f>
        <v>40</v>
      </c>
      <c r="N202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29" s="14">
        <f>IF(OR(tblMatriculas[[#This Row],[Estado]]&lt;&gt;"activa",tblMatriculas[[#This Row],[Clases dictadas]]=""),"",MAX(0,tblMatriculas[[#This Row],[Clases dictadas]]-tblMatriculas[[#This Row],[Asistidas]]))</f>
        <v>1</v>
      </c>
      <c r="P2029" s="1">
        <f>IF(OR(tblMatriculas[[#This Row],[Estado]]&lt;&gt;"activa",tblMatriculas[[#This Row],[Asistidas]]=""),"",tblMatriculas[[#This Row],[Asistencia]])</f>
        <v>0.125</v>
      </c>
      <c r="Q2029" t="b">
        <f>AND(tblMatriculas[[#This Row],[Estado]]="activa",ISNUMBER(tblMatriculas[[#This Row],[% asistencia]]),NOT(ISNUMBER(SEARCH(pPrueba,tblMatriculas[[#This Row],[Nombre]]))))</f>
        <v>1</v>
      </c>
      <c r="R202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29" s="23" t="str" cm="1">
        <f t="array" ref="S202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29" s="23" t="str" cm="1">
        <f t="array" ref="T202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29" s="14" t="str" cm="1">
        <f t="array" ref="U202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29" t="str" cm="1">
        <f t="array" ref="V202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29" t="str" cm="1">
        <f t="array" ref="W202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2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29" t="str">
        <f>IF(COUNTIFS('Base Estudiantes'!$C:$C,tblMatriculas[[#This Row],[Cédula]],'Base Estudiantes'!$I:$I,tblMatriculas[[#This Row],[Código]])&gt;0,"Sí","No")</f>
        <v>Sí</v>
      </c>
      <c r="Z2029" s="23" cm="1">
        <f t="array" ref="Z2029">_xlfn.XLOOKUP(tblMatriculas[[#This Row],[Cédula]]&amp;"|"&amp;tblMatriculas[[#This Row],[Código]],tblBase[Documento]&amp;"|"&amp;tblBase[Código grupo],tblBase[Fecha matrícula],"")</f>
        <v>46262</v>
      </c>
    </row>
    <row r="2030" spans="1:26" x14ac:dyDescent="0.2">
      <c r="A2030" t="s">
        <v>4215</v>
      </c>
      <c r="B2030" t="s">
        <v>4216</v>
      </c>
      <c r="C2030" t="s">
        <v>13</v>
      </c>
      <c r="D2030" t="s">
        <v>4165</v>
      </c>
      <c r="E2030" t="s">
        <v>4166</v>
      </c>
      <c r="F2030" t="s">
        <v>807</v>
      </c>
      <c r="G2030" s="1">
        <v>0.15</v>
      </c>
      <c r="H2030" t="s">
        <v>852</v>
      </c>
      <c r="I2030" t="s">
        <v>3833</v>
      </c>
      <c r="J2030" t="s">
        <v>3834</v>
      </c>
      <c r="K2030" t="s">
        <v>3928</v>
      </c>
      <c r="L2030" s="14">
        <f>IFERROR(VALUE(LEFT(tblMatriculas[[#This Row],[Clases]],FIND("/",tblMatriculas[[#This Row],[Clases]])-1)),"")</f>
        <v>6</v>
      </c>
      <c r="M2030" s="14">
        <f>IFERROR(VALUE(MID(tblMatriculas[[#This Row],[Clases]],FIND("/",tblMatriculas[[#This Row],[Clases]])+1,5)),"")</f>
        <v>40</v>
      </c>
      <c r="N203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0" s="14">
        <f>IF(OR(tblMatriculas[[#This Row],[Estado]]&lt;&gt;"activa",tblMatriculas[[#This Row],[Clases dictadas]]=""),"",MAX(0,tblMatriculas[[#This Row],[Clases dictadas]]-tblMatriculas[[#This Row],[Asistidas]]))</f>
        <v>0</v>
      </c>
      <c r="P2030" s="1">
        <f>IF(OR(tblMatriculas[[#This Row],[Estado]]&lt;&gt;"activa",tblMatriculas[[#This Row],[Asistidas]]=""),"",tblMatriculas[[#This Row],[Asistencia]])</f>
        <v>0.15</v>
      </c>
      <c r="Q2030" t="b">
        <f>AND(tblMatriculas[[#This Row],[Estado]]="activa",ISNUMBER(tblMatriculas[[#This Row],[% asistencia]]),NOT(ISNUMBER(SEARCH(pPrueba,tblMatriculas[[#This Row],[Nombre]]))))</f>
        <v>1</v>
      </c>
      <c r="R203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0" s="23" t="str" cm="1">
        <f t="array" ref="S203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0" s="23" t="str" cm="1">
        <f t="array" ref="T203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0" s="14" t="str" cm="1">
        <f t="array" ref="U203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0" t="str" cm="1">
        <f t="array" ref="V203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0" t="str" cm="1">
        <f t="array" ref="W203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0" t="str">
        <f>IF(COUNTIFS('Base Estudiantes'!$C:$C,tblMatriculas[[#This Row],[Cédula]],'Base Estudiantes'!$I:$I,tblMatriculas[[#This Row],[Código]])&gt;0,"Sí","No")</f>
        <v>Sí</v>
      </c>
      <c r="Z2030" s="23" cm="1">
        <f t="array" ref="Z2030">_xlfn.XLOOKUP(tblMatriculas[[#This Row],[Cédula]]&amp;"|"&amp;tblMatriculas[[#This Row],[Código]],tblBase[Documento]&amp;"|"&amp;tblBase[Código grupo],tblBase[Fecha matrícula],"")</f>
        <v>46262</v>
      </c>
    </row>
    <row r="2031" spans="1:26" x14ac:dyDescent="0.2">
      <c r="A2031" t="s">
        <v>4217</v>
      </c>
      <c r="B2031" t="s">
        <v>4218</v>
      </c>
      <c r="C2031" t="s">
        <v>13</v>
      </c>
      <c r="D2031" t="s">
        <v>4165</v>
      </c>
      <c r="E2031" t="s">
        <v>4166</v>
      </c>
      <c r="F2031" t="s">
        <v>807</v>
      </c>
      <c r="G2031" s="1">
        <v>7.0999999999999994E-2</v>
      </c>
      <c r="H2031" t="s">
        <v>2356</v>
      </c>
      <c r="I2031" t="s">
        <v>3833</v>
      </c>
      <c r="J2031" t="s">
        <v>3834</v>
      </c>
      <c r="K2031" t="s">
        <v>3842</v>
      </c>
      <c r="L2031" s="14">
        <f>IFERROR(VALUE(LEFT(tblMatriculas[[#This Row],[Clases]],FIND("/",tblMatriculas[[#This Row],[Clases]])-1)),"")</f>
        <v>5</v>
      </c>
      <c r="M2031" s="14">
        <f>IFERROR(VALUE(MID(tblMatriculas[[#This Row],[Clases]],FIND("/",tblMatriculas[[#This Row],[Clases]])+1,5)),"")</f>
        <v>70</v>
      </c>
      <c r="N203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11</v>
      </c>
      <c r="O2031" s="14">
        <f>IF(OR(tblMatriculas[[#This Row],[Estado]]&lt;&gt;"activa",tblMatriculas[[#This Row],[Clases dictadas]]=""),"",MAX(0,tblMatriculas[[#This Row],[Clases dictadas]]-tblMatriculas[[#This Row],[Asistidas]]))</f>
        <v>6</v>
      </c>
      <c r="P2031" s="1">
        <f>IF(OR(tblMatriculas[[#This Row],[Estado]]&lt;&gt;"activa",tblMatriculas[[#This Row],[Asistidas]]=""),"",tblMatriculas[[#This Row],[Asistencia]])</f>
        <v>7.0999999999999994E-2</v>
      </c>
      <c r="Q2031" t="b">
        <f>AND(tblMatriculas[[#This Row],[Estado]]="activa",ISNUMBER(tblMatriculas[[#This Row],[% asistencia]]),NOT(ISNUMBER(SEARCH(pPrueba,tblMatriculas[[#This Row],[Nombre]]))))</f>
        <v>1</v>
      </c>
      <c r="R203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1" s="23" t="str" cm="1">
        <f t="array" ref="S203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1" s="23" t="str" cm="1">
        <f t="array" ref="T203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1" s="14" t="str" cm="1">
        <f t="array" ref="U203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1" t="str" cm="1">
        <f t="array" ref="V203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1" t="str" cm="1">
        <f t="array" ref="W203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1" t="str">
        <f>IF(COUNTIFS('Base Estudiantes'!$C:$C,tblMatriculas[[#This Row],[Cédula]],'Base Estudiantes'!$I:$I,tblMatriculas[[#This Row],[Código]])&gt;0,"Sí","No")</f>
        <v>Sí</v>
      </c>
      <c r="Z2031" s="23" cm="1">
        <f t="array" ref="Z2031">_xlfn.XLOOKUP(tblMatriculas[[#This Row],[Cédula]]&amp;"|"&amp;tblMatriculas[[#This Row],[Código]],tblBase[Documento]&amp;"|"&amp;tblBase[Código grupo],tblBase[Fecha matrícula],"")</f>
        <v>46262</v>
      </c>
    </row>
    <row r="2032" spans="1:26" x14ac:dyDescent="0.2">
      <c r="A2032" t="s">
        <v>4219</v>
      </c>
      <c r="B2032" t="s">
        <v>4220</v>
      </c>
      <c r="C2032" t="s">
        <v>13</v>
      </c>
      <c r="D2032" t="s">
        <v>4165</v>
      </c>
      <c r="E2032" t="s">
        <v>4166</v>
      </c>
      <c r="F2032" t="s">
        <v>807</v>
      </c>
      <c r="G2032" s="1">
        <v>0</v>
      </c>
      <c r="H2032" t="s">
        <v>918</v>
      </c>
      <c r="I2032" t="s">
        <v>3833</v>
      </c>
      <c r="J2032" t="s">
        <v>3834</v>
      </c>
      <c r="K2032" t="s">
        <v>24</v>
      </c>
      <c r="L2032" s="14">
        <f>IFERROR(VALUE(LEFT(tblMatriculas[[#This Row],[Clases]],FIND("/",tblMatriculas[[#This Row],[Clases]])-1)),"")</f>
        <v>0</v>
      </c>
      <c r="M2032" s="14">
        <f>IFERROR(VALUE(MID(tblMatriculas[[#This Row],[Clases]],FIND("/",tblMatriculas[[#This Row],[Clases]])+1,5)),"")</f>
        <v>40</v>
      </c>
      <c r="N203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2" s="14">
        <f>IF(OR(tblMatriculas[[#This Row],[Estado]]&lt;&gt;"activa",tblMatriculas[[#This Row],[Clases dictadas]]=""),"",MAX(0,tblMatriculas[[#This Row],[Clases dictadas]]-tblMatriculas[[#This Row],[Asistidas]]))</f>
        <v>6</v>
      </c>
      <c r="P2032" s="1">
        <f>IF(OR(tblMatriculas[[#This Row],[Estado]]&lt;&gt;"activa",tblMatriculas[[#This Row],[Asistidas]]=""),"",tblMatriculas[[#This Row],[Asistencia]])</f>
        <v>0</v>
      </c>
      <c r="Q2032" t="b">
        <f>AND(tblMatriculas[[#This Row],[Estado]]="activa",ISNUMBER(tblMatriculas[[#This Row],[% asistencia]]),NOT(ISNUMBER(SEARCH(pPrueba,tblMatriculas[[#This Row],[Nombre]]))))</f>
        <v>1</v>
      </c>
      <c r="R203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32" s="23" t="str" cm="1">
        <f t="array" ref="S203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2" s="23" t="str" cm="1">
        <f t="array" ref="T203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2" s="14" t="str" cm="1">
        <f t="array" ref="U203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2" t="str" cm="1">
        <f t="array" ref="V203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2" t="str" cm="1">
        <f t="array" ref="W203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3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32" t="str">
        <f>IF(COUNTIFS('Base Estudiantes'!$C:$C,tblMatriculas[[#This Row],[Cédula]],'Base Estudiantes'!$I:$I,tblMatriculas[[#This Row],[Código]])&gt;0,"Sí","No")</f>
        <v>Sí</v>
      </c>
      <c r="Z2032" s="23" cm="1">
        <f t="array" ref="Z2032">_xlfn.XLOOKUP(tblMatriculas[[#This Row],[Cédula]]&amp;"|"&amp;tblMatriculas[[#This Row],[Código]],tblBase[Documento]&amp;"|"&amp;tblBase[Código grupo],tblBase[Fecha matrícula],"")</f>
        <v>46262</v>
      </c>
    </row>
    <row r="2033" spans="1:26" x14ac:dyDescent="0.2">
      <c r="A2033" t="s">
        <v>4221</v>
      </c>
      <c r="B2033" t="s">
        <v>4222</v>
      </c>
      <c r="C2033" t="s">
        <v>13</v>
      </c>
      <c r="D2033" t="s">
        <v>4165</v>
      </c>
      <c r="E2033" t="s">
        <v>4166</v>
      </c>
      <c r="F2033" t="s">
        <v>807</v>
      </c>
      <c r="G2033" s="1">
        <v>0.15</v>
      </c>
      <c r="H2033" t="s">
        <v>852</v>
      </c>
      <c r="I2033" t="s">
        <v>3833</v>
      </c>
      <c r="J2033" t="s">
        <v>3834</v>
      </c>
      <c r="K2033" t="s">
        <v>24</v>
      </c>
      <c r="L2033" s="14">
        <f>IFERROR(VALUE(LEFT(tblMatriculas[[#This Row],[Clases]],FIND("/",tblMatriculas[[#This Row],[Clases]])-1)),"")</f>
        <v>6</v>
      </c>
      <c r="M2033" s="14">
        <f>IFERROR(VALUE(MID(tblMatriculas[[#This Row],[Clases]],FIND("/",tblMatriculas[[#This Row],[Clases]])+1,5)),"")</f>
        <v>40</v>
      </c>
      <c r="N203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3" s="14">
        <f>IF(OR(tblMatriculas[[#This Row],[Estado]]&lt;&gt;"activa",tblMatriculas[[#This Row],[Clases dictadas]]=""),"",MAX(0,tblMatriculas[[#This Row],[Clases dictadas]]-tblMatriculas[[#This Row],[Asistidas]]))</f>
        <v>0</v>
      </c>
      <c r="P2033" s="1">
        <f>IF(OR(tblMatriculas[[#This Row],[Estado]]&lt;&gt;"activa",tblMatriculas[[#This Row],[Asistidas]]=""),"",tblMatriculas[[#This Row],[Asistencia]])</f>
        <v>0.15</v>
      </c>
      <c r="Q2033" t="b">
        <f>AND(tblMatriculas[[#This Row],[Estado]]="activa",ISNUMBER(tblMatriculas[[#This Row],[% asistencia]]),NOT(ISNUMBER(SEARCH(pPrueba,tblMatriculas[[#This Row],[Nombre]]))))</f>
        <v>1</v>
      </c>
      <c r="R203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3" s="23" t="str" cm="1">
        <f t="array" ref="S203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3" s="23" t="str" cm="1">
        <f t="array" ref="T203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3" s="14" t="str" cm="1">
        <f t="array" ref="U203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3" t="str" cm="1">
        <f t="array" ref="V203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3" t="str" cm="1">
        <f t="array" ref="W203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3" t="str">
        <f>IF(COUNTIFS('Base Estudiantes'!$C:$C,tblMatriculas[[#This Row],[Cédula]],'Base Estudiantes'!$I:$I,tblMatriculas[[#This Row],[Código]])&gt;0,"Sí","No")</f>
        <v>Sí</v>
      </c>
      <c r="Z2033" s="23" cm="1">
        <f t="array" ref="Z2033">_xlfn.XLOOKUP(tblMatriculas[[#This Row],[Cédula]]&amp;"|"&amp;tblMatriculas[[#This Row],[Código]],tblBase[Documento]&amp;"|"&amp;tblBase[Código grupo],tblBase[Fecha matrícula],"")</f>
        <v>46262</v>
      </c>
    </row>
    <row r="2034" spans="1:26" x14ac:dyDescent="0.2">
      <c r="A2034" t="s">
        <v>4223</v>
      </c>
      <c r="B2034" t="s">
        <v>4224</v>
      </c>
      <c r="C2034" t="s">
        <v>13</v>
      </c>
      <c r="D2034" t="s">
        <v>4165</v>
      </c>
      <c r="E2034" t="s">
        <v>4166</v>
      </c>
      <c r="F2034" t="s">
        <v>807</v>
      </c>
      <c r="G2034" s="1">
        <v>0</v>
      </c>
      <c r="H2034" t="s">
        <v>918</v>
      </c>
      <c r="I2034" t="s">
        <v>3833</v>
      </c>
      <c r="J2034" t="s">
        <v>3834</v>
      </c>
      <c r="K2034" t="s">
        <v>24</v>
      </c>
      <c r="L2034" s="14">
        <f>IFERROR(VALUE(LEFT(tblMatriculas[[#This Row],[Clases]],FIND("/",tblMatriculas[[#This Row],[Clases]])-1)),"")</f>
        <v>0</v>
      </c>
      <c r="M2034" s="14">
        <f>IFERROR(VALUE(MID(tblMatriculas[[#This Row],[Clases]],FIND("/",tblMatriculas[[#This Row],[Clases]])+1,5)),"")</f>
        <v>40</v>
      </c>
      <c r="N203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4" s="14">
        <f>IF(OR(tblMatriculas[[#This Row],[Estado]]&lt;&gt;"activa",tblMatriculas[[#This Row],[Clases dictadas]]=""),"",MAX(0,tblMatriculas[[#This Row],[Clases dictadas]]-tblMatriculas[[#This Row],[Asistidas]]))</f>
        <v>6</v>
      </c>
      <c r="P2034" s="1">
        <f>IF(OR(tblMatriculas[[#This Row],[Estado]]&lt;&gt;"activa",tblMatriculas[[#This Row],[Asistidas]]=""),"",tblMatriculas[[#This Row],[Asistencia]])</f>
        <v>0</v>
      </c>
      <c r="Q2034" t="b">
        <f>AND(tblMatriculas[[#This Row],[Estado]]="activa",ISNUMBER(tblMatriculas[[#This Row],[% asistencia]]),NOT(ISNUMBER(SEARCH(pPrueba,tblMatriculas[[#This Row],[Nombre]]))))</f>
        <v>1</v>
      </c>
      <c r="R203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34" s="23" t="str" cm="1">
        <f t="array" ref="S203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4" s="23" t="str" cm="1">
        <f t="array" ref="T203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4" s="14" t="str" cm="1">
        <f t="array" ref="U203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4" t="str" cm="1">
        <f t="array" ref="V203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4" t="str" cm="1">
        <f t="array" ref="W203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3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34" t="str">
        <f>IF(COUNTIFS('Base Estudiantes'!$C:$C,tblMatriculas[[#This Row],[Cédula]],'Base Estudiantes'!$I:$I,tblMatriculas[[#This Row],[Código]])&gt;0,"Sí","No")</f>
        <v>Sí</v>
      </c>
      <c r="Z2034" s="23" cm="1">
        <f t="array" ref="Z2034">_xlfn.XLOOKUP(tblMatriculas[[#This Row],[Cédula]]&amp;"|"&amp;tblMatriculas[[#This Row],[Código]],tblBase[Documento]&amp;"|"&amp;tblBase[Código grupo],tblBase[Fecha matrícula],"")</f>
        <v>46262</v>
      </c>
    </row>
    <row r="2035" spans="1:26" x14ac:dyDescent="0.2">
      <c r="A2035" t="s">
        <v>4225</v>
      </c>
      <c r="B2035" t="s">
        <v>4226</v>
      </c>
      <c r="C2035" t="s">
        <v>13</v>
      </c>
      <c r="D2035" t="s">
        <v>4165</v>
      </c>
      <c r="E2035" t="s">
        <v>4166</v>
      </c>
      <c r="F2035" t="s">
        <v>807</v>
      </c>
      <c r="G2035" s="1">
        <v>0.15</v>
      </c>
      <c r="H2035" t="s">
        <v>852</v>
      </c>
      <c r="I2035" t="s">
        <v>3833</v>
      </c>
      <c r="J2035" t="s">
        <v>3834</v>
      </c>
      <c r="K2035" t="s">
        <v>24</v>
      </c>
      <c r="L2035" s="14">
        <f>IFERROR(VALUE(LEFT(tblMatriculas[[#This Row],[Clases]],FIND("/",tblMatriculas[[#This Row],[Clases]])-1)),"")</f>
        <v>6</v>
      </c>
      <c r="M2035" s="14">
        <f>IFERROR(VALUE(MID(tblMatriculas[[#This Row],[Clases]],FIND("/",tblMatriculas[[#This Row],[Clases]])+1,5)),"")</f>
        <v>40</v>
      </c>
      <c r="N203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5" s="14">
        <f>IF(OR(tblMatriculas[[#This Row],[Estado]]&lt;&gt;"activa",tblMatriculas[[#This Row],[Clases dictadas]]=""),"",MAX(0,tblMatriculas[[#This Row],[Clases dictadas]]-tblMatriculas[[#This Row],[Asistidas]]))</f>
        <v>0</v>
      </c>
      <c r="P2035" s="1">
        <f>IF(OR(tblMatriculas[[#This Row],[Estado]]&lt;&gt;"activa",tblMatriculas[[#This Row],[Asistidas]]=""),"",tblMatriculas[[#This Row],[Asistencia]])</f>
        <v>0.15</v>
      </c>
      <c r="Q2035" t="b">
        <f>AND(tblMatriculas[[#This Row],[Estado]]="activa",ISNUMBER(tblMatriculas[[#This Row],[% asistencia]]),NOT(ISNUMBER(SEARCH(pPrueba,tblMatriculas[[#This Row],[Nombre]]))))</f>
        <v>1</v>
      </c>
      <c r="R203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5" s="23" t="str" cm="1">
        <f t="array" ref="S203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5" s="23" t="str" cm="1">
        <f t="array" ref="T203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5" s="14" t="str" cm="1">
        <f t="array" ref="U203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5" t="str" cm="1">
        <f t="array" ref="V203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5" t="str" cm="1">
        <f t="array" ref="W203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5" t="str">
        <f>IF(COUNTIFS('Base Estudiantes'!$C:$C,tblMatriculas[[#This Row],[Cédula]],'Base Estudiantes'!$I:$I,tblMatriculas[[#This Row],[Código]])&gt;0,"Sí","No")</f>
        <v>Sí</v>
      </c>
      <c r="Z2035" s="23" cm="1">
        <f t="array" ref="Z2035">_xlfn.XLOOKUP(tblMatriculas[[#This Row],[Cédula]]&amp;"|"&amp;tblMatriculas[[#This Row],[Código]],tblBase[Documento]&amp;"|"&amp;tblBase[Código grupo],tblBase[Fecha matrícula],"")</f>
        <v>46262</v>
      </c>
    </row>
    <row r="2036" spans="1:26" x14ac:dyDescent="0.2">
      <c r="A2036" t="s">
        <v>4227</v>
      </c>
      <c r="B2036" t="s">
        <v>4228</v>
      </c>
      <c r="C2036" t="s">
        <v>13</v>
      </c>
      <c r="D2036" t="s">
        <v>4165</v>
      </c>
      <c r="E2036" t="s">
        <v>4166</v>
      </c>
      <c r="F2036" t="s">
        <v>807</v>
      </c>
      <c r="G2036" s="1">
        <v>0.15</v>
      </c>
      <c r="H2036" t="s">
        <v>852</v>
      </c>
      <c r="I2036" t="s">
        <v>3833</v>
      </c>
      <c r="J2036" t="s">
        <v>3834</v>
      </c>
      <c r="K2036" t="s">
        <v>24</v>
      </c>
      <c r="L2036" s="14">
        <f>IFERROR(VALUE(LEFT(tblMatriculas[[#This Row],[Clases]],FIND("/",tblMatriculas[[#This Row],[Clases]])-1)),"")</f>
        <v>6</v>
      </c>
      <c r="M2036" s="14">
        <f>IFERROR(VALUE(MID(tblMatriculas[[#This Row],[Clases]],FIND("/",tblMatriculas[[#This Row],[Clases]])+1,5)),"")</f>
        <v>40</v>
      </c>
      <c r="N203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6" s="14">
        <f>IF(OR(tblMatriculas[[#This Row],[Estado]]&lt;&gt;"activa",tblMatriculas[[#This Row],[Clases dictadas]]=""),"",MAX(0,tblMatriculas[[#This Row],[Clases dictadas]]-tblMatriculas[[#This Row],[Asistidas]]))</f>
        <v>0</v>
      </c>
      <c r="P2036" s="1">
        <f>IF(OR(tblMatriculas[[#This Row],[Estado]]&lt;&gt;"activa",tblMatriculas[[#This Row],[Asistidas]]=""),"",tblMatriculas[[#This Row],[Asistencia]])</f>
        <v>0.15</v>
      </c>
      <c r="Q2036" t="b">
        <f>AND(tblMatriculas[[#This Row],[Estado]]="activa",ISNUMBER(tblMatriculas[[#This Row],[% asistencia]]),NOT(ISNUMBER(SEARCH(pPrueba,tblMatriculas[[#This Row],[Nombre]]))))</f>
        <v>1</v>
      </c>
      <c r="R203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6" s="23" t="str" cm="1">
        <f t="array" ref="S203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6" s="23" t="str" cm="1">
        <f t="array" ref="T203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6" s="14" t="str" cm="1">
        <f t="array" ref="U203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6" t="str" cm="1">
        <f t="array" ref="V203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6" t="str" cm="1">
        <f t="array" ref="W203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6" t="str">
        <f>IF(COUNTIFS('Base Estudiantes'!$C:$C,tblMatriculas[[#This Row],[Cédula]],'Base Estudiantes'!$I:$I,tblMatriculas[[#This Row],[Código]])&gt;0,"Sí","No")</f>
        <v>Sí</v>
      </c>
      <c r="Z2036" s="23" cm="1">
        <f t="array" ref="Z2036">_xlfn.XLOOKUP(tblMatriculas[[#This Row],[Cédula]]&amp;"|"&amp;tblMatriculas[[#This Row],[Código]],tblBase[Documento]&amp;"|"&amp;tblBase[Código grupo],tblBase[Fecha matrícula],"")</f>
        <v>46262</v>
      </c>
    </row>
    <row r="2037" spans="1:26" x14ac:dyDescent="0.2">
      <c r="A2037" t="s">
        <v>4229</v>
      </c>
      <c r="B2037" t="s">
        <v>4230</v>
      </c>
      <c r="C2037" t="s">
        <v>13</v>
      </c>
      <c r="D2037" t="s">
        <v>4165</v>
      </c>
      <c r="E2037" t="s">
        <v>4166</v>
      </c>
      <c r="F2037" t="s">
        <v>807</v>
      </c>
      <c r="G2037" s="1">
        <v>0</v>
      </c>
      <c r="H2037" t="s">
        <v>918</v>
      </c>
      <c r="I2037" t="s">
        <v>3833</v>
      </c>
      <c r="J2037" t="s">
        <v>3834</v>
      </c>
      <c r="K2037" t="s">
        <v>24</v>
      </c>
      <c r="L2037" s="14">
        <f>IFERROR(VALUE(LEFT(tblMatriculas[[#This Row],[Clases]],FIND("/",tblMatriculas[[#This Row],[Clases]])-1)),"")</f>
        <v>0</v>
      </c>
      <c r="M2037" s="14">
        <f>IFERROR(VALUE(MID(tblMatriculas[[#This Row],[Clases]],FIND("/",tblMatriculas[[#This Row],[Clases]])+1,5)),"")</f>
        <v>40</v>
      </c>
      <c r="N203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7" s="14">
        <f>IF(OR(tblMatriculas[[#This Row],[Estado]]&lt;&gt;"activa",tblMatriculas[[#This Row],[Clases dictadas]]=""),"",MAX(0,tblMatriculas[[#This Row],[Clases dictadas]]-tblMatriculas[[#This Row],[Asistidas]]))</f>
        <v>6</v>
      </c>
      <c r="P2037" s="1">
        <f>IF(OR(tblMatriculas[[#This Row],[Estado]]&lt;&gt;"activa",tblMatriculas[[#This Row],[Asistidas]]=""),"",tblMatriculas[[#This Row],[Asistencia]])</f>
        <v>0</v>
      </c>
      <c r="Q2037" t="b">
        <f>AND(tblMatriculas[[#This Row],[Estado]]="activa",ISNUMBER(tblMatriculas[[#This Row],[% asistencia]]),NOT(ISNUMBER(SEARCH(pPrueba,tblMatriculas[[#This Row],[Nombre]]))))</f>
        <v>1</v>
      </c>
      <c r="R203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37" s="23" t="str" cm="1">
        <f t="array" ref="S203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7" s="23" t="str" cm="1">
        <f t="array" ref="T203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7" s="14" t="str" cm="1">
        <f t="array" ref="U203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7" t="str" cm="1">
        <f t="array" ref="V203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7" t="str" cm="1">
        <f t="array" ref="W203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3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37" t="str">
        <f>IF(COUNTIFS('Base Estudiantes'!$C:$C,tblMatriculas[[#This Row],[Cédula]],'Base Estudiantes'!$I:$I,tblMatriculas[[#This Row],[Código]])&gt;0,"Sí","No")</f>
        <v>Sí</v>
      </c>
      <c r="Z2037" s="23" cm="1">
        <f t="array" ref="Z2037">_xlfn.XLOOKUP(tblMatriculas[[#This Row],[Cédula]]&amp;"|"&amp;tblMatriculas[[#This Row],[Código]],tblBase[Documento]&amp;"|"&amp;tblBase[Código grupo],tblBase[Fecha matrícula],"")</f>
        <v>46262</v>
      </c>
    </row>
    <row r="2038" spans="1:26" x14ac:dyDescent="0.2">
      <c r="A2038" t="s">
        <v>4231</v>
      </c>
      <c r="B2038" t="s">
        <v>4232</v>
      </c>
      <c r="C2038" t="s">
        <v>13</v>
      </c>
      <c r="D2038" t="s">
        <v>4165</v>
      </c>
      <c r="E2038" t="s">
        <v>4166</v>
      </c>
      <c r="F2038" t="s">
        <v>807</v>
      </c>
      <c r="G2038" s="1">
        <v>0.125</v>
      </c>
      <c r="H2038" t="s">
        <v>862</v>
      </c>
      <c r="I2038" t="s">
        <v>3833</v>
      </c>
      <c r="J2038" t="s">
        <v>3834</v>
      </c>
      <c r="K2038" t="s">
        <v>24</v>
      </c>
      <c r="L2038" s="14">
        <f>IFERROR(VALUE(LEFT(tblMatriculas[[#This Row],[Clases]],FIND("/",tblMatriculas[[#This Row],[Clases]])-1)),"")</f>
        <v>5</v>
      </c>
      <c r="M2038" s="14">
        <f>IFERROR(VALUE(MID(tblMatriculas[[#This Row],[Clases]],FIND("/",tblMatriculas[[#This Row],[Clases]])+1,5)),"")</f>
        <v>40</v>
      </c>
      <c r="N203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8" s="14">
        <f>IF(OR(tblMatriculas[[#This Row],[Estado]]&lt;&gt;"activa",tblMatriculas[[#This Row],[Clases dictadas]]=""),"",MAX(0,tblMatriculas[[#This Row],[Clases dictadas]]-tblMatriculas[[#This Row],[Asistidas]]))</f>
        <v>1</v>
      </c>
      <c r="P2038" s="1">
        <f>IF(OR(tblMatriculas[[#This Row],[Estado]]&lt;&gt;"activa",tblMatriculas[[#This Row],[Asistidas]]=""),"",tblMatriculas[[#This Row],[Asistencia]])</f>
        <v>0.125</v>
      </c>
      <c r="Q2038" t="b">
        <f>AND(tblMatriculas[[#This Row],[Estado]]="activa",ISNUMBER(tblMatriculas[[#This Row],[% asistencia]]),NOT(ISNUMBER(SEARCH(pPrueba,tblMatriculas[[#This Row],[Nombre]]))))</f>
        <v>1</v>
      </c>
      <c r="R203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8" s="23" t="str" cm="1">
        <f t="array" ref="S203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8" s="23" t="str" cm="1">
        <f t="array" ref="T203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8" s="14" t="str" cm="1">
        <f t="array" ref="U203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8" t="str" cm="1">
        <f t="array" ref="V203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8" t="str" cm="1">
        <f t="array" ref="W203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8" t="str">
        <f>IF(COUNTIFS('Base Estudiantes'!$C:$C,tblMatriculas[[#This Row],[Cédula]],'Base Estudiantes'!$I:$I,tblMatriculas[[#This Row],[Código]])&gt;0,"Sí","No")</f>
        <v>Sí</v>
      </c>
      <c r="Z2038" s="23" cm="1">
        <f t="array" ref="Z2038">_xlfn.XLOOKUP(tblMatriculas[[#This Row],[Cédula]]&amp;"|"&amp;tblMatriculas[[#This Row],[Código]],tblBase[Documento]&amp;"|"&amp;tblBase[Código grupo],tblBase[Fecha matrícula],"")</f>
        <v>46262</v>
      </c>
    </row>
    <row r="2039" spans="1:26" x14ac:dyDescent="0.2">
      <c r="A2039" t="s">
        <v>4233</v>
      </c>
      <c r="B2039" t="s">
        <v>4234</v>
      </c>
      <c r="C2039" t="s">
        <v>13</v>
      </c>
      <c r="D2039" t="s">
        <v>4165</v>
      </c>
      <c r="E2039" t="s">
        <v>4166</v>
      </c>
      <c r="F2039" t="s">
        <v>807</v>
      </c>
      <c r="G2039" s="1">
        <v>0.1</v>
      </c>
      <c r="H2039" t="s">
        <v>867</v>
      </c>
      <c r="I2039" t="s">
        <v>3833</v>
      </c>
      <c r="J2039" t="s">
        <v>3834</v>
      </c>
      <c r="K2039" t="s">
        <v>24</v>
      </c>
      <c r="L2039" s="14">
        <f>IFERROR(VALUE(LEFT(tblMatriculas[[#This Row],[Clases]],FIND("/",tblMatriculas[[#This Row],[Clases]])-1)),"")</f>
        <v>4</v>
      </c>
      <c r="M2039" s="14">
        <f>IFERROR(VALUE(MID(tblMatriculas[[#This Row],[Clases]],FIND("/",tblMatriculas[[#This Row],[Clases]])+1,5)),"")</f>
        <v>40</v>
      </c>
      <c r="N203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39" s="14">
        <f>IF(OR(tblMatriculas[[#This Row],[Estado]]&lt;&gt;"activa",tblMatriculas[[#This Row],[Clases dictadas]]=""),"",MAX(0,tblMatriculas[[#This Row],[Clases dictadas]]-tblMatriculas[[#This Row],[Asistidas]]))</f>
        <v>2</v>
      </c>
      <c r="P2039" s="1">
        <f>IF(OR(tblMatriculas[[#This Row],[Estado]]&lt;&gt;"activa",tblMatriculas[[#This Row],[Asistidas]]=""),"",tblMatriculas[[#This Row],[Asistencia]])</f>
        <v>0.1</v>
      </c>
      <c r="Q2039" t="b">
        <f>AND(tblMatriculas[[#This Row],[Estado]]="activa",ISNUMBER(tblMatriculas[[#This Row],[% asistencia]]),NOT(ISNUMBER(SEARCH(pPrueba,tblMatriculas[[#This Row],[Nombre]]))))</f>
        <v>1</v>
      </c>
      <c r="R203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39" s="23" t="str" cm="1">
        <f t="array" ref="S203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39" s="23" t="str" cm="1">
        <f t="array" ref="T203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39" s="14" t="str" cm="1">
        <f t="array" ref="U203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39" t="str" cm="1">
        <f t="array" ref="V203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39" t="str" cm="1">
        <f t="array" ref="W203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3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39" t="str">
        <f>IF(COUNTIFS('Base Estudiantes'!$C:$C,tblMatriculas[[#This Row],[Cédula]],'Base Estudiantes'!$I:$I,tblMatriculas[[#This Row],[Código]])&gt;0,"Sí","No")</f>
        <v>Sí</v>
      </c>
      <c r="Z2039" s="23" cm="1">
        <f t="array" ref="Z2039">_xlfn.XLOOKUP(tblMatriculas[[#This Row],[Cédula]]&amp;"|"&amp;tblMatriculas[[#This Row],[Código]],tblBase[Documento]&amp;"|"&amp;tblBase[Código grupo],tblBase[Fecha matrícula],"")</f>
        <v>46262</v>
      </c>
    </row>
    <row r="2040" spans="1:26" x14ac:dyDescent="0.2">
      <c r="A2040" t="s">
        <v>4235</v>
      </c>
      <c r="B2040" t="s">
        <v>4236</v>
      </c>
      <c r="C2040" t="s">
        <v>13</v>
      </c>
      <c r="D2040" t="s">
        <v>4165</v>
      </c>
      <c r="E2040" t="s">
        <v>4166</v>
      </c>
      <c r="F2040" t="s">
        <v>807</v>
      </c>
      <c r="G2040" s="1">
        <v>0.15</v>
      </c>
      <c r="H2040" t="s">
        <v>852</v>
      </c>
      <c r="I2040" t="s">
        <v>3833</v>
      </c>
      <c r="J2040" t="s">
        <v>3834</v>
      </c>
      <c r="K2040" t="s">
        <v>24</v>
      </c>
      <c r="L2040" s="14">
        <f>IFERROR(VALUE(LEFT(tblMatriculas[[#This Row],[Clases]],FIND("/",tblMatriculas[[#This Row],[Clases]])-1)),"")</f>
        <v>6</v>
      </c>
      <c r="M2040" s="14">
        <f>IFERROR(VALUE(MID(tblMatriculas[[#This Row],[Clases]],FIND("/",tblMatriculas[[#This Row],[Clases]])+1,5)),"")</f>
        <v>40</v>
      </c>
      <c r="N204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0" s="14">
        <f>IF(OR(tblMatriculas[[#This Row],[Estado]]&lt;&gt;"activa",tblMatriculas[[#This Row],[Clases dictadas]]=""),"",MAX(0,tblMatriculas[[#This Row],[Clases dictadas]]-tblMatriculas[[#This Row],[Asistidas]]))</f>
        <v>0</v>
      </c>
      <c r="P2040" s="1">
        <f>IF(OR(tblMatriculas[[#This Row],[Estado]]&lt;&gt;"activa",tblMatriculas[[#This Row],[Asistidas]]=""),"",tblMatriculas[[#This Row],[Asistencia]])</f>
        <v>0.15</v>
      </c>
      <c r="Q2040" t="b">
        <f>AND(tblMatriculas[[#This Row],[Estado]]="activa",ISNUMBER(tblMatriculas[[#This Row],[% asistencia]]),NOT(ISNUMBER(SEARCH(pPrueba,tblMatriculas[[#This Row],[Nombre]]))))</f>
        <v>1</v>
      </c>
      <c r="R204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0" s="23" t="str" cm="1">
        <f t="array" ref="S204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0" s="23" t="str" cm="1">
        <f t="array" ref="T204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0" s="14" t="str" cm="1">
        <f t="array" ref="U204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0" t="str" cm="1">
        <f t="array" ref="V204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0" t="str" cm="1">
        <f t="array" ref="W204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0" t="str">
        <f>IF(COUNTIFS('Base Estudiantes'!$C:$C,tblMatriculas[[#This Row],[Cédula]],'Base Estudiantes'!$I:$I,tblMatriculas[[#This Row],[Código]])&gt;0,"Sí","No")</f>
        <v>Sí</v>
      </c>
      <c r="Z2040" s="23" cm="1">
        <f t="array" ref="Z2040">_xlfn.XLOOKUP(tblMatriculas[[#This Row],[Cédula]]&amp;"|"&amp;tblMatriculas[[#This Row],[Código]],tblBase[Documento]&amp;"|"&amp;tblBase[Código grupo],tblBase[Fecha matrícula],"")</f>
        <v>46262</v>
      </c>
    </row>
    <row r="2041" spans="1:26" x14ac:dyDescent="0.2">
      <c r="A2041" t="s">
        <v>4237</v>
      </c>
      <c r="B2041" t="s">
        <v>4238</v>
      </c>
      <c r="C2041" t="s">
        <v>13</v>
      </c>
      <c r="D2041" t="s">
        <v>4165</v>
      </c>
      <c r="E2041" t="s">
        <v>4166</v>
      </c>
      <c r="F2041" t="s">
        <v>807</v>
      </c>
      <c r="G2041" s="1">
        <v>0.15</v>
      </c>
      <c r="H2041" t="s">
        <v>852</v>
      </c>
      <c r="I2041" t="s">
        <v>3833</v>
      </c>
      <c r="J2041" t="s">
        <v>3834</v>
      </c>
      <c r="K2041" t="s">
        <v>24</v>
      </c>
      <c r="L2041" s="14">
        <f>IFERROR(VALUE(LEFT(tblMatriculas[[#This Row],[Clases]],FIND("/",tblMatriculas[[#This Row],[Clases]])-1)),"")</f>
        <v>6</v>
      </c>
      <c r="M2041" s="14">
        <f>IFERROR(VALUE(MID(tblMatriculas[[#This Row],[Clases]],FIND("/",tblMatriculas[[#This Row],[Clases]])+1,5)),"")</f>
        <v>40</v>
      </c>
      <c r="N204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1" s="14">
        <f>IF(OR(tblMatriculas[[#This Row],[Estado]]&lt;&gt;"activa",tblMatriculas[[#This Row],[Clases dictadas]]=""),"",MAX(0,tblMatriculas[[#This Row],[Clases dictadas]]-tblMatriculas[[#This Row],[Asistidas]]))</f>
        <v>0</v>
      </c>
      <c r="P2041" s="1">
        <f>IF(OR(tblMatriculas[[#This Row],[Estado]]&lt;&gt;"activa",tblMatriculas[[#This Row],[Asistidas]]=""),"",tblMatriculas[[#This Row],[Asistencia]])</f>
        <v>0.15</v>
      </c>
      <c r="Q2041" t="b">
        <f>AND(tblMatriculas[[#This Row],[Estado]]="activa",ISNUMBER(tblMatriculas[[#This Row],[% asistencia]]),NOT(ISNUMBER(SEARCH(pPrueba,tblMatriculas[[#This Row],[Nombre]]))))</f>
        <v>1</v>
      </c>
      <c r="R204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1" s="23" t="str" cm="1">
        <f t="array" ref="S204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1" s="23" t="str" cm="1">
        <f t="array" ref="T204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1" s="14" t="str" cm="1">
        <f t="array" ref="U204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1" t="str" cm="1">
        <f t="array" ref="V204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1" t="str" cm="1">
        <f t="array" ref="W204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1" t="str">
        <f>IF(COUNTIFS('Base Estudiantes'!$C:$C,tblMatriculas[[#This Row],[Cédula]],'Base Estudiantes'!$I:$I,tblMatriculas[[#This Row],[Código]])&gt;0,"Sí","No")</f>
        <v>Sí</v>
      </c>
      <c r="Z2041" s="23" cm="1">
        <f t="array" ref="Z2041">_xlfn.XLOOKUP(tblMatriculas[[#This Row],[Cédula]]&amp;"|"&amp;tblMatriculas[[#This Row],[Código]],tblBase[Documento]&amp;"|"&amp;tblBase[Código grupo],tblBase[Fecha matrícula],"")</f>
        <v>46262</v>
      </c>
    </row>
    <row r="2042" spans="1:26" x14ac:dyDescent="0.2">
      <c r="A2042" t="s">
        <v>4239</v>
      </c>
      <c r="B2042" t="s">
        <v>4240</v>
      </c>
      <c r="C2042" t="s">
        <v>13</v>
      </c>
      <c r="D2042" t="s">
        <v>4165</v>
      </c>
      <c r="E2042" t="s">
        <v>4166</v>
      </c>
      <c r="F2042" t="s">
        <v>807</v>
      </c>
      <c r="G2042" s="1">
        <v>0.1</v>
      </c>
      <c r="H2042" t="s">
        <v>867</v>
      </c>
      <c r="I2042" t="s">
        <v>3833</v>
      </c>
      <c r="J2042" t="s">
        <v>3834</v>
      </c>
      <c r="K2042" t="s">
        <v>24</v>
      </c>
      <c r="L2042" s="14">
        <f>IFERROR(VALUE(LEFT(tblMatriculas[[#This Row],[Clases]],FIND("/",tblMatriculas[[#This Row],[Clases]])-1)),"")</f>
        <v>4</v>
      </c>
      <c r="M2042" s="14">
        <f>IFERROR(VALUE(MID(tblMatriculas[[#This Row],[Clases]],FIND("/",tblMatriculas[[#This Row],[Clases]])+1,5)),"")</f>
        <v>40</v>
      </c>
      <c r="N204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2" s="14">
        <f>IF(OR(tblMatriculas[[#This Row],[Estado]]&lt;&gt;"activa",tblMatriculas[[#This Row],[Clases dictadas]]=""),"",MAX(0,tblMatriculas[[#This Row],[Clases dictadas]]-tblMatriculas[[#This Row],[Asistidas]]))</f>
        <v>2</v>
      </c>
      <c r="P2042" s="1">
        <f>IF(OR(tblMatriculas[[#This Row],[Estado]]&lt;&gt;"activa",tblMatriculas[[#This Row],[Asistidas]]=""),"",tblMatriculas[[#This Row],[Asistencia]])</f>
        <v>0.1</v>
      </c>
      <c r="Q2042" t="b">
        <f>AND(tblMatriculas[[#This Row],[Estado]]="activa",ISNUMBER(tblMatriculas[[#This Row],[% asistencia]]),NOT(ISNUMBER(SEARCH(pPrueba,tblMatriculas[[#This Row],[Nombre]]))))</f>
        <v>1</v>
      </c>
      <c r="R204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2" s="23" t="str" cm="1">
        <f t="array" ref="S204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2" s="23" t="str" cm="1">
        <f t="array" ref="T204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2" s="14" t="str" cm="1">
        <f t="array" ref="U204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2" t="str" cm="1">
        <f t="array" ref="V204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2" t="str" cm="1">
        <f t="array" ref="W204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2" t="str">
        <f>IF(COUNTIFS('Base Estudiantes'!$C:$C,tblMatriculas[[#This Row],[Cédula]],'Base Estudiantes'!$I:$I,tblMatriculas[[#This Row],[Código]])&gt;0,"Sí","No")</f>
        <v>Sí</v>
      </c>
      <c r="Z2042" s="23" cm="1">
        <f t="array" ref="Z2042">_xlfn.XLOOKUP(tblMatriculas[[#This Row],[Cédula]]&amp;"|"&amp;tblMatriculas[[#This Row],[Código]],tblBase[Documento]&amp;"|"&amp;tblBase[Código grupo],tblBase[Fecha matrícula],"")</f>
        <v>46262</v>
      </c>
    </row>
    <row r="2043" spans="1:26" x14ac:dyDescent="0.2">
      <c r="A2043" t="s">
        <v>4241</v>
      </c>
      <c r="B2043" t="s">
        <v>4242</v>
      </c>
      <c r="C2043" t="s">
        <v>13</v>
      </c>
      <c r="D2043" t="s">
        <v>4165</v>
      </c>
      <c r="E2043" t="s">
        <v>4166</v>
      </c>
      <c r="F2043" t="s">
        <v>807</v>
      </c>
      <c r="G2043" s="1">
        <v>0.125</v>
      </c>
      <c r="H2043" t="s">
        <v>862</v>
      </c>
      <c r="I2043" t="s">
        <v>3833</v>
      </c>
      <c r="J2043" t="s">
        <v>3834</v>
      </c>
      <c r="K2043" t="s">
        <v>24</v>
      </c>
      <c r="L2043" s="14">
        <f>IFERROR(VALUE(LEFT(tblMatriculas[[#This Row],[Clases]],FIND("/",tblMatriculas[[#This Row],[Clases]])-1)),"")</f>
        <v>5</v>
      </c>
      <c r="M2043" s="14">
        <f>IFERROR(VALUE(MID(tblMatriculas[[#This Row],[Clases]],FIND("/",tblMatriculas[[#This Row],[Clases]])+1,5)),"")</f>
        <v>40</v>
      </c>
      <c r="N204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3" s="14">
        <f>IF(OR(tblMatriculas[[#This Row],[Estado]]&lt;&gt;"activa",tblMatriculas[[#This Row],[Clases dictadas]]=""),"",MAX(0,tblMatriculas[[#This Row],[Clases dictadas]]-tblMatriculas[[#This Row],[Asistidas]]))</f>
        <v>1</v>
      </c>
      <c r="P2043" s="1">
        <f>IF(OR(tblMatriculas[[#This Row],[Estado]]&lt;&gt;"activa",tblMatriculas[[#This Row],[Asistidas]]=""),"",tblMatriculas[[#This Row],[Asistencia]])</f>
        <v>0.125</v>
      </c>
      <c r="Q2043" t="b">
        <f>AND(tblMatriculas[[#This Row],[Estado]]="activa",ISNUMBER(tblMatriculas[[#This Row],[% asistencia]]),NOT(ISNUMBER(SEARCH(pPrueba,tblMatriculas[[#This Row],[Nombre]]))))</f>
        <v>1</v>
      </c>
      <c r="R204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3" s="23" t="str" cm="1">
        <f t="array" ref="S204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3" s="23" t="str" cm="1">
        <f t="array" ref="T204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3" s="14" t="str" cm="1">
        <f t="array" ref="U204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3" t="str" cm="1">
        <f t="array" ref="V204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3" t="str" cm="1">
        <f t="array" ref="W204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3" t="str">
        <f>IF(COUNTIFS('Base Estudiantes'!$C:$C,tblMatriculas[[#This Row],[Cédula]],'Base Estudiantes'!$I:$I,tblMatriculas[[#This Row],[Código]])&gt;0,"Sí","No")</f>
        <v>Sí</v>
      </c>
      <c r="Z2043" s="23" cm="1">
        <f t="array" ref="Z2043">_xlfn.XLOOKUP(tblMatriculas[[#This Row],[Cédula]]&amp;"|"&amp;tblMatriculas[[#This Row],[Código]],tblBase[Documento]&amp;"|"&amp;tblBase[Código grupo],tblBase[Fecha matrícula],"")</f>
        <v>46262</v>
      </c>
    </row>
    <row r="2044" spans="1:26" x14ac:dyDescent="0.2">
      <c r="A2044" t="s">
        <v>4243</v>
      </c>
      <c r="B2044" t="s">
        <v>4244</v>
      </c>
      <c r="C2044" t="s">
        <v>13</v>
      </c>
      <c r="D2044" t="s">
        <v>4165</v>
      </c>
      <c r="E2044" t="s">
        <v>4166</v>
      </c>
      <c r="F2044" t="s">
        <v>807</v>
      </c>
      <c r="G2044" s="1">
        <v>0.15</v>
      </c>
      <c r="H2044" t="s">
        <v>852</v>
      </c>
      <c r="I2044" t="s">
        <v>3833</v>
      </c>
      <c r="J2044" t="s">
        <v>3834</v>
      </c>
      <c r="K2044" t="s">
        <v>3981</v>
      </c>
      <c r="L2044" s="14">
        <f>IFERROR(VALUE(LEFT(tblMatriculas[[#This Row],[Clases]],FIND("/",tblMatriculas[[#This Row],[Clases]])-1)),"")</f>
        <v>6</v>
      </c>
      <c r="M2044" s="14">
        <f>IFERROR(VALUE(MID(tblMatriculas[[#This Row],[Clases]],FIND("/",tblMatriculas[[#This Row],[Clases]])+1,5)),"")</f>
        <v>40</v>
      </c>
      <c r="N204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4" s="14">
        <f>IF(OR(tblMatriculas[[#This Row],[Estado]]&lt;&gt;"activa",tblMatriculas[[#This Row],[Clases dictadas]]=""),"",MAX(0,tblMatriculas[[#This Row],[Clases dictadas]]-tblMatriculas[[#This Row],[Asistidas]]))</f>
        <v>0</v>
      </c>
      <c r="P2044" s="1">
        <f>IF(OR(tblMatriculas[[#This Row],[Estado]]&lt;&gt;"activa",tblMatriculas[[#This Row],[Asistidas]]=""),"",tblMatriculas[[#This Row],[Asistencia]])</f>
        <v>0.15</v>
      </c>
      <c r="Q2044" t="b">
        <f>AND(tblMatriculas[[#This Row],[Estado]]="activa",ISNUMBER(tblMatriculas[[#This Row],[% asistencia]]),NOT(ISNUMBER(SEARCH(pPrueba,tblMatriculas[[#This Row],[Nombre]]))))</f>
        <v>1</v>
      </c>
      <c r="R204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4" s="23" t="str" cm="1">
        <f t="array" ref="S204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4" s="23" t="str" cm="1">
        <f t="array" ref="T204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4" s="14" t="str" cm="1">
        <f t="array" ref="U204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4" t="str" cm="1">
        <f t="array" ref="V204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4" t="str" cm="1">
        <f t="array" ref="W204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4" t="str">
        <f>IF(COUNTIFS('Base Estudiantes'!$C:$C,tblMatriculas[[#This Row],[Cédula]],'Base Estudiantes'!$I:$I,tblMatriculas[[#This Row],[Código]])&gt;0,"Sí","No")</f>
        <v>Sí</v>
      </c>
      <c r="Z2044" s="23" cm="1">
        <f t="array" ref="Z2044">_xlfn.XLOOKUP(tblMatriculas[[#This Row],[Cédula]]&amp;"|"&amp;tblMatriculas[[#This Row],[Código]],tblBase[Documento]&amp;"|"&amp;tblBase[Código grupo],tblBase[Fecha matrícula],"")</f>
        <v>46262</v>
      </c>
    </row>
    <row r="2045" spans="1:26" x14ac:dyDescent="0.2">
      <c r="A2045" t="s">
        <v>4245</v>
      </c>
      <c r="B2045" t="s">
        <v>4246</v>
      </c>
      <c r="C2045" t="s">
        <v>13</v>
      </c>
      <c r="D2045" t="s">
        <v>4165</v>
      </c>
      <c r="E2045" t="s">
        <v>4166</v>
      </c>
      <c r="F2045" t="s">
        <v>807</v>
      </c>
      <c r="G2045" s="1">
        <v>0.1</v>
      </c>
      <c r="H2045" t="s">
        <v>867</v>
      </c>
      <c r="I2045" t="s">
        <v>3833</v>
      </c>
      <c r="J2045" t="s">
        <v>3834</v>
      </c>
      <c r="K2045" t="s">
        <v>3981</v>
      </c>
      <c r="L2045" s="14">
        <f>IFERROR(VALUE(LEFT(tblMatriculas[[#This Row],[Clases]],FIND("/",tblMatriculas[[#This Row],[Clases]])-1)),"")</f>
        <v>4</v>
      </c>
      <c r="M2045" s="14">
        <f>IFERROR(VALUE(MID(tblMatriculas[[#This Row],[Clases]],FIND("/",tblMatriculas[[#This Row],[Clases]])+1,5)),"")</f>
        <v>40</v>
      </c>
      <c r="N204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045" s="14">
        <f>IF(OR(tblMatriculas[[#This Row],[Estado]]&lt;&gt;"activa",tblMatriculas[[#This Row],[Clases dictadas]]=""),"",MAX(0,tblMatriculas[[#This Row],[Clases dictadas]]-tblMatriculas[[#This Row],[Asistidas]]))</f>
        <v>2</v>
      </c>
      <c r="P2045" s="1">
        <f>IF(OR(tblMatriculas[[#This Row],[Estado]]&lt;&gt;"activa",tblMatriculas[[#This Row],[Asistidas]]=""),"",tblMatriculas[[#This Row],[Asistencia]])</f>
        <v>0.1</v>
      </c>
      <c r="Q2045" t="b">
        <f>AND(tblMatriculas[[#This Row],[Estado]]="activa",ISNUMBER(tblMatriculas[[#This Row],[% asistencia]]),NOT(ISNUMBER(SEARCH(pPrueba,tblMatriculas[[#This Row],[Nombre]]))))</f>
        <v>1</v>
      </c>
      <c r="R204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45" s="23" t="str" cm="1">
        <f t="array" ref="S204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5" s="23" t="str" cm="1">
        <f t="array" ref="T204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5" s="14" t="str" cm="1">
        <f t="array" ref="U204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5" t="str" cm="1">
        <f t="array" ref="V204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5" t="str" cm="1">
        <f t="array" ref="W204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5" t="str">
        <f>IF(COUNTIFS('Base Estudiantes'!$C:$C,tblMatriculas[[#This Row],[Cédula]],'Base Estudiantes'!$I:$I,tblMatriculas[[#This Row],[Código]])&gt;0,"Sí","No")</f>
        <v>Sí</v>
      </c>
      <c r="Z2045" s="23" cm="1">
        <f t="array" ref="Z2045">_xlfn.XLOOKUP(tblMatriculas[[#This Row],[Cédula]]&amp;"|"&amp;tblMatriculas[[#This Row],[Código]],tblBase[Documento]&amp;"|"&amp;tblBase[Código grupo],tblBase[Fecha matrícula],"")</f>
        <v>46262</v>
      </c>
    </row>
    <row r="2046" spans="1:26" x14ac:dyDescent="0.2">
      <c r="A2046" t="s">
        <v>1439</v>
      </c>
      <c r="B2046" t="s">
        <v>1440</v>
      </c>
      <c r="C2046" t="s">
        <v>13</v>
      </c>
      <c r="D2046" t="s">
        <v>4165</v>
      </c>
      <c r="E2046" t="s">
        <v>4166</v>
      </c>
      <c r="F2046" t="s">
        <v>807</v>
      </c>
      <c r="G2046" s="1">
        <v>2.8999999999999998E-2</v>
      </c>
      <c r="H2046" t="s">
        <v>952</v>
      </c>
      <c r="I2046" t="s">
        <v>3833</v>
      </c>
      <c r="J2046" t="s">
        <v>3834</v>
      </c>
      <c r="K2046" t="s">
        <v>3838</v>
      </c>
      <c r="L2046" s="14">
        <f>IFERROR(VALUE(LEFT(tblMatriculas[[#This Row],[Clases]],FIND("/",tblMatriculas[[#This Row],[Clases]])-1)),"")</f>
        <v>2</v>
      </c>
      <c r="M2046" s="14">
        <f>IFERROR(VALUE(MID(tblMatriculas[[#This Row],[Clases]],FIND("/",tblMatriculas[[#This Row],[Clases]])+1,5)),"")</f>
        <v>70</v>
      </c>
      <c r="N204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2046" s="14">
        <f>IF(OR(tblMatriculas[[#This Row],[Estado]]&lt;&gt;"activa",tblMatriculas[[#This Row],[Clases dictadas]]=""),"",MAX(0,tblMatriculas[[#This Row],[Clases dictadas]]-tblMatriculas[[#This Row],[Asistidas]]))</f>
        <v>6</v>
      </c>
      <c r="P2046" s="1">
        <f>IF(OR(tblMatriculas[[#This Row],[Estado]]&lt;&gt;"activa",tblMatriculas[[#This Row],[Asistidas]]=""),"",tblMatriculas[[#This Row],[Asistencia]])</f>
        <v>2.8999999999999998E-2</v>
      </c>
      <c r="Q2046" t="b">
        <f>AND(tblMatriculas[[#This Row],[Estado]]="activa",ISNUMBER(tblMatriculas[[#This Row],[% asistencia]]),NOT(ISNUMBER(SEARCH(pPrueba,tblMatriculas[[#This Row],[Nombre]]))))</f>
        <v>1</v>
      </c>
      <c r="R204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46" s="23" t="str" cm="1">
        <f t="array" ref="S204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6" s="23" t="str" cm="1">
        <f t="array" ref="T204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6" s="14" t="str" cm="1">
        <f t="array" ref="U204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6" t="str" cm="1">
        <f t="array" ref="V204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6" t="str" cm="1">
        <f t="array" ref="W204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4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46" t="str">
        <f>IF(COUNTIFS('Base Estudiantes'!$C:$C,tblMatriculas[[#This Row],[Cédula]],'Base Estudiantes'!$I:$I,tblMatriculas[[#This Row],[Código]])&gt;0,"Sí","No")</f>
        <v>Sí</v>
      </c>
      <c r="Z2046" s="23" cm="1">
        <f t="array" ref="Z2046">_xlfn.XLOOKUP(tblMatriculas[[#This Row],[Cédula]]&amp;"|"&amp;tblMatriculas[[#This Row],[Código]],tblBase[Documento]&amp;"|"&amp;tblBase[Código grupo],tblBase[Fecha matrícula],"")</f>
        <v>46275</v>
      </c>
    </row>
    <row r="2047" spans="1:26" x14ac:dyDescent="0.2">
      <c r="A2047" t="s">
        <v>3081</v>
      </c>
      <c r="B2047" t="s">
        <v>3082</v>
      </c>
      <c r="C2047" t="s">
        <v>49</v>
      </c>
      <c r="D2047" t="s">
        <v>4247</v>
      </c>
      <c r="E2047" t="s">
        <v>4248</v>
      </c>
      <c r="F2047" t="s">
        <v>516</v>
      </c>
      <c r="G2047" s="1">
        <v>3.3000000000000002E-2</v>
      </c>
      <c r="H2047" t="s">
        <v>2826</v>
      </c>
      <c r="I2047" t="s">
        <v>3833</v>
      </c>
      <c r="J2047" t="s">
        <v>4249</v>
      </c>
      <c r="K2047" t="s">
        <v>24</v>
      </c>
      <c r="L2047" s="14">
        <f>IFERROR(VALUE(LEFT(tblMatriculas[[#This Row],[Clases]],FIND("/",tblMatriculas[[#This Row],[Clases]])-1)),"")</f>
        <v>2</v>
      </c>
      <c r="M2047" s="14">
        <f>IFERROR(VALUE(MID(tblMatriculas[[#This Row],[Clases]],FIND("/",tblMatriculas[[#This Row],[Clases]])+1,5)),"")</f>
        <v>60</v>
      </c>
      <c r="N204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047" s="14" t="str">
        <f>IF(OR(tblMatriculas[[#This Row],[Estado]]&lt;&gt;"activa",tblMatriculas[[#This Row],[Clases dictadas]]=""),"",MAX(0,tblMatriculas[[#This Row],[Clases dictadas]]-tblMatriculas[[#This Row],[Asistidas]]))</f>
        <v/>
      </c>
      <c r="P2047" s="1" t="str">
        <f>IF(OR(tblMatriculas[[#This Row],[Estado]]&lt;&gt;"activa",tblMatriculas[[#This Row],[Asistidas]]=""),"",tblMatriculas[[#This Row],[Asistencia]])</f>
        <v/>
      </c>
      <c r="Q2047" t="b">
        <f>AND(tblMatriculas[[#This Row],[Estado]]="activa",ISNUMBER(tblMatriculas[[#This Row],[% asistencia]]),NOT(ISNUMBER(SEARCH(pPrueba,tblMatriculas[[#This Row],[Nombre]]))))</f>
        <v>0</v>
      </c>
      <c r="R204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047" s="23" t="str" cm="1">
        <f t="array" ref="S204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7" s="23" t="str" cm="1">
        <f t="array" ref="T204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7" s="14" t="str" cm="1">
        <f t="array" ref="U204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7" t="str" cm="1">
        <f t="array" ref="V204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7" t="str" cm="1">
        <f t="array" ref="W204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4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47" t="str">
        <f>IF(COUNTIFS('Base Estudiantes'!$C:$C,tblMatriculas[[#This Row],[Cédula]],'Base Estudiantes'!$I:$I,tblMatriculas[[#This Row],[Código]])&gt;0,"Sí","No")</f>
        <v>No</v>
      </c>
      <c r="Z2047" s="23" t="str" cm="1">
        <f t="array" ref="Z2047">_xlfn.XLOOKUP(tblMatriculas[[#This Row],[Cédula]]&amp;"|"&amp;tblMatriculas[[#This Row],[Código]],tblBase[Documento]&amp;"|"&amp;tblBase[Código grupo],tblBase[Fecha matrícula],"")</f>
        <v/>
      </c>
    </row>
    <row r="2048" spans="1:26" x14ac:dyDescent="0.2">
      <c r="A2048" t="s">
        <v>4250</v>
      </c>
      <c r="B2048" t="s">
        <v>4251</v>
      </c>
      <c r="C2048" t="s">
        <v>13</v>
      </c>
      <c r="D2048" t="s">
        <v>4247</v>
      </c>
      <c r="E2048" t="s">
        <v>4248</v>
      </c>
      <c r="F2048" t="s">
        <v>516</v>
      </c>
      <c r="G2048" s="1">
        <v>6.7000000000000004E-2</v>
      </c>
      <c r="H2048" t="s">
        <v>166</v>
      </c>
      <c r="I2048" t="s">
        <v>3833</v>
      </c>
      <c r="J2048" t="s">
        <v>4249</v>
      </c>
      <c r="K2048" t="s">
        <v>24</v>
      </c>
      <c r="L2048" s="14">
        <f>IFERROR(VALUE(LEFT(tblMatriculas[[#This Row],[Clases]],FIND("/",tblMatriculas[[#This Row],[Clases]])-1)),"")</f>
        <v>2</v>
      </c>
      <c r="M2048" s="14">
        <f>IFERROR(VALUE(MID(tblMatriculas[[#This Row],[Clases]],FIND("/",tblMatriculas[[#This Row],[Clases]])+1,5)),"")</f>
        <v>30</v>
      </c>
      <c r="N204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48" s="14">
        <f>IF(OR(tblMatriculas[[#This Row],[Estado]]&lt;&gt;"activa",tblMatriculas[[#This Row],[Clases dictadas]]=""),"",MAX(0,tblMatriculas[[#This Row],[Clases dictadas]]-tblMatriculas[[#This Row],[Asistidas]]))</f>
        <v>0</v>
      </c>
      <c r="P2048" s="1">
        <f>IF(OR(tblMatriculas[[#This Row],[Estado]]&lt;&gt;"activa",tblMatriculas[[#This Row],[Asistidas]]=""),"",tblMatriculas[[#This Row],[Asistencia]])</f>
        <v>6.7000000000000004E-2</v>
      </c>
      <c r="Q2048" t="b">
        <f>AND(tblMatriculas[[#This Row],[Estado]]="activa",ISNUMBER(tblMatriculas[[#This Row],[% asistencia]]),NOT(ISNUMBER(SEARCH(pPrueba,tblMatriculas[[#This Row],[Nombre]]))))</f>
        <v>1</v>
      </c>
      <c r="R204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48" s="23" t="str" cm="1">
        <f t="array" ref="S204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8" s="23" t="str" cm="1">
        <f t="array" ref="T204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8" s="14" t="str" cm="1">
        <f t="array" ref="U204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8" t="str" cm="1">
        <f t="array" ref="V204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8" t="str" cm="1">
        <f t="array" ref="W204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4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48" t="str">
        <f>IF(COUNTIFS('Base Estudiantes'!$C:$C,tblMatriculas[[#This Row],[Cédula]],'Base Estudiantes'!$I:$I,tblMatriculas[[#This Row],[Código]])&gt;0,"Sí","No")</f>
        <v>Sí</v>
      </c>
      <c r="Z2048" s="23" cm="1">
        <f t="array" ref="Z2048">_xlfn.XLOOKUP(tblMatriculas[[#This Row],[Cédula]]&amp;"|"&amp;tblMatriculas[[#This Row],[Código]],tblBase[Documento]&amp;"|"&amp;tblBase[Código grupo],tblBase[Fecha matrícula],"")</f>
        <v>46262</v>
      </c>
    </row>
    <row r="2049" spans="1:26" x14ac:dyDescent="0.2">
      <c r="A2049" t="s">
        <v>4252</v>
      </c>
      <c r="B2049" t="s">
        <v>4253</v>
      </c>
      <c r="C2049" t="s">
        <v>13</v>
      </c>
      <c r="D2049" t="s">
        <v>4247</v>
      </c>
      <c r="E2049" t="s">
        <v>4248</v>
      </c>
      <c r="F2049" t="s">
        <v>516</v>
      </c>
      <c r="G2049" s="1">
        <v>6.7000000000000004E-2</v>
      </c>
      <c r="H2049" t="s">
        <v>166</v>
      </c>
      <c r="I2049" t="s">
        <v>3833</v>
      </c>
      <c r="J2049" t="s">
        <v>4249</v>
      </c>
      <c r="K2049" t="s">
        <v>24</v>
      </c>
      <c r="L2049" s="14">
        <f>IFERROR(VALUE(LEFT(tblMatriculas[[#This Row],[Clases]],FIND("/",tblMatriculas[[#This Row],[Clases]])-1)),"")</f>
        <v>2</v>
      </c>
      <c r="M2049" s="14">
        <f>IFERROR(VALUE(MID(tblMatriculas[[#This Row],[Clases]],FIND("/",tblMatriculas[[#This Row],[Clases]])+1,5)),"")</f>
        <v>30</v>
      </c>
      <c r="N204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49" s="14">
        <f>IF(OR(tblMatriculas[[#This Row],[Estado]]&lt;&gt;"activa",tblMatriculas[[#This Row],[Clases dictadas]]=""),"",MAX(0,tblMatriculas[[#This Row],[Clases dictadas]]-tblMatriculas[[#This Row],[Asistidas]]))</f>
        <v>0</v>
      </c>
      <c r="P2049" s="1">
        <f>IF(OR(tblMatriculas[[#This Row],[Estado]]&lt;&gt;"activa",tblMatriculas[[#This Row],[Asistidas]]=""),"",tblMatriculas[[#This Row],[Asistencia]])</f>
        <v>6.7000000000000004E-2</v>
      </c>
      <c r="Q2049" t="b">
        <f>AND(tblMatriculas[[#This Row],[Estado]]="activa",ISNUMBER(tblMatriculas[[#This Row],[% asistencia]]),NOT(ISNUMBER(SEARCH(pPrueba,tblMatriculas[[#This Row],[Nombre]]))))</f>
        <v>1</v>
      </c>
      <c r="R204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49" s="23" t="str" cm="1">
        <f t="array" ref="S204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49" s="23" t="str" cm="1">
        <f t="array" ref="T204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49" s="14" t="str" cm="1">
        <f t="array" ref="U204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49" t="str" cm="1">
        <f t="array" ref="V204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49" t="str" cm="1">
        <f t="array" ref="W204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4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49" t="str">
        <f>IF(COUNTIFS('Base Estudiantes'!$C:$C,tblMatriculas[[#This Row],[Cédula]],'Base Estudiantes'!$I:$I,tblMatriculas[[#This Row],[Código]])&gt;0,"Sí","No")</f>
        <v>Sí</v>
      </c>
      <c r="Z2049" s="23" cm="1">
        <f t="array" ref="Z2049">_xlfn.XLOOKUP(tblMatriculas[[#This Row],[Cédula]]&amp;"|"&amp;tblMatriculas[[#This Row],[Código]],tblBase[Documento]&amp;"|"&amp;tblBase[Código grupo],tblBase[Fecha matrícula],"")</f>
        <v>46262</v>
      </c>
    </row>
    <row r="2050" spans="1:26" x14ac:dyDescent="0.2">
      <c r="A2050" t="s">
        <v>4254</v>
      </c>
      <c r="B2050" t="s">
        <v>4255</v>
      </c>
      <c r="C2050" t="s">
        <v>13</v>
      </c>
      <c r="D2050" t="s">
        <v>4247</v>
      </c>
      <c r="E2050" t="s">
        <v>4248</v>
      </c>
      <c r="F2050" t="s">
        <v>516</v>
      </c>
      <c r="G2050" s="1">
        <v>6.7000000000000004E-2</v>
      </c>
      <c r="H2050" t="s">
        <v>166</v>
      </c>
      <c r="I2050" t="s">
        <v>3833</v>
      </c>
      <c r="J2050" t="s">
        <v>4249</v>
      </c>
      <c r="K2050" t="s">
        <v>24</v>
      </c>
      <c r="L2050" s="14">
        <f>IFERROR(VALUE(LEFT(tblMatriculas[[#This Row],[Clases]],FIND("/",tblMatriculas[[#This Row],[Clases]])-1)),"")</f>
        <v>2</v>
      </c>
      <c r="M2050" s="14">
        <f>IFERROR(VALUE(MID(tblMatriculas[[#This Row],[Clases]],FIND("/",tblMatriculas[[#This Row],[Clases]])+1,5)),"")</f>
        <v>30</v>
      </c>
      <c r="N205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0" s="14">
        <f>IF(OR(tblMatriculas[[#This Row],[Estado]]&lt;&gt;"activa",tblMatriculas[[#This Row],[Clases dictadas]]=""),"",MAX(0,tblMatriculas[[#This Row],[Clases dictadas]]-tblMatriculas[[#This Row],[Asistidas]]))</f>
        <v>0</v>
      </c>
      <c r="P2050" s="1">
        <f>IF(OR(tblMatriculas[[#This Row],[Estado]]&lt;&gt;"activa",tblMatriculas[[#This Row],[Asistidas]]=""),"",tblMatriculas[[#This Row],[Asistencia]])</f>
        <v>6.7000000000000004E-2</v>
      </c>
      <c r="Q2050" t="b">
        <f>AND(tblMatriculas[[#This Row],[Estado]]="activa",ISNUMBER(tblMatriculas[[#This Row],[% asistencia]]),NOT(ISNUMBER(SEARCH(pPrueba,tblMatriculas[[#This Row],[Nombre]]))))</f>
        <v>1</v>
      </c>
      <c r="R205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50" s="23" t="str" cm="1">
        <f t="array" ref="S205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0" s="23" t="str" cm="1">
        <f t="array" ref="T205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0" s="14" t="str" cm="1">
        <f t="array" ref="U205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0" t="str" cm="1">
        <f t="array" ref="V205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0" t="str" cm="1">
        <f t="array" ref="W205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5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50" t="str">
        <f>IF(COUNTIFS('Base Estudiantes'!$C:$C,tblMatriculas[[#This Row],[Cédula]],'Base Estudiantes'!$I:$I,tblMatriculas[[#This Row],[Código]])&gt;0,"Sí","No")</f>
        <v>Sí</v>
      </c>
      <c r="Z2050" s="23" cm="1">
        <f t="array" ref="Z2050">_xlfn.XLOOKUP(tblMatriculas[[#This Row],[Cédula]]&amp;"|"&amp;tblMatriculas[[#This Row],[Código]],tblBase[Documento]&amp;"|"&amp;tblBase[Código grupo],tblBase[Fecha matrícula],"")</f>
        <v>46262</v>
      </c>
    </row>
    <row r="2051" spans="1:26" x14ac:dyDescent="0.2">
      <c r="A2051" t="s">
        <v>4256</v>
      </c>
      <c r="B2051" t="s">
        <v>4257</v>
      </c>
      <c r="C2051" t="s">
        <v>13</v>
      </c>
      <c r="D2051" t="s">
        <v>4247</v>
      </c>
      <c r="E2051" t="s">
        <v>4248</v>
      </c>
      <c r="F2051" t="s">
        <v>516</v>
      </c>
      <c r="G2051" s="1">
        <v>6.7000000000000004E-2</v>
      </c>
      <c r="H2051" t="s">
        <v>166</v>
      </c>
      <c r="I2051" t="s">
        <v>3833</v>
      </c>
      <c r="J2051" t="s">
        <v>4249</v>
      </c>
      <c r="K2051" t="s">
        <v>24</v>
      </c>
      <c r="L2051" s="14">
        <f>IFERROR(VALUE(LEFT(tblMatriculas[[#This Row],[Clases]],FIND("/",tblMatriculas[[#This Row],[Clases]])-1)),"")</f>
        <v>2</v>
      </c>
      <c r="M2051" s="14">
        <f>IFERROR(VALUE(MID(tblMatriculas[[#This Row],[Clases]],FIND("/",tblMatriculas[[#This Row],[Clases]])+1,5)),"")</f>
        <v>30</v>
      </c>
      <c r="N205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1" s="14">
        <f>IF(OR(tblMatriculas[[#This Row],[Estado]]&lt;&gt;"activa",tblMatriculas[[#This Row],[Clases dictadas]]=""),"",MAX(0,tblMatriculas[[#This Row],[Clases dictadas]]-tblMatriculas[[#This Row],[Asistidas]]))</f>
        <v>0</v>
      </c>
      <c r="P2051" s="1">
        <f>IF(OR(tblMatriculas[[#This Row],[Estado]]&lt;&gt;"activa",tblMatriculas[[#This Row],[Asistidas]]=""),"",tblMatriculas[[#This Row],[Asistencia]])</f>
        <v>6.7000000000000004E-2</v>
      </c>
      <c r="Q2051" t="b">
        <f>AND(tblMatriculas[[#This Row],[Estado]]="activa",ISNUMBER(tblMatriculas[[#This Row],[% asistencia]]),NOT(ISNUMBER(SEARCH(pPrueba,tblMatriculas[[#This Row],[Nombre]]))))</f>
        <v>1</v>
      </c>
      <c r="R205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51" s="23" t="str" cm="1">
        <f t="array" ref="S205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1" s="23" t="str" cm="1">
        <f t="array" ref="T205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1" s="14" t="str" cm="1">
        <f t="array" ref="U205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1" t="str" cm="1">
        <f t="array" ref="V205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1" t="str" cm="1">
        <f t="array" ref="W205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5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51" t="str">
        <f>IF(COUNTIFS('Base Estudiantes'!$C:$C,tblMatriculas[[#This Row],[Cédula]],'Base Estudiantes'!$I:$I,tblMatriculas[[#This Row],[Código]])&gt;0,"Sí","No")</f>
        <v>Sí</v>
      </c>
      <c r="Z2051" s="23" cm="1">
        <f t="array" ref="Z2051">_xlfn.XLOOKUP(tblMatriculas[[#This Row],[Cédula]]&amp;"|"&amp;tblMatriculas[[#This Row],[Código]],tblBase[Documento]&amp;"|"&amp;tblBase[Código grupo],tblBase[Fecha matrícula],"")</f>
        <v>46262</v>
      </c>
    </row>
    <row r="2052" spans="1:26" x14ac:dyDescent="0.2">
      <c r="A2052" t="s">
        <v>4258</v>
      </c>
      <c r="B2052" t="s">
        <v>4259</v>
      </c>
      <c r="C2052" t="s">
        <v>13</v>
      </c>
      <c r="D2052" t="s">
        <v>4247</v>
      </c>
      <c r="E2052" t="s">
        <v>4248</v>
      </c>
      <c r="F2052" t="s">
        <v>516</v>
      </c>
      <c r="G2052" s="1">
        <v>6.7000000000000004E-2</v>
      </c>
      <c r="H2052" t="s">
        <v>166</v>
      </c>
      <c r="I2052" t="s">
        <v>3833</v>
      </c>
      <c r="J2052" t="s">
        <v>4249</v>
      </c>
      <c r="K2052" t="s">
        <v>24</v>
      </c>
      <c r="L2052" s="14">
        <f>IFERROR(VALUE(LEFT(tblMatriculas[[#This Row],[Clases]],FIND("/",tblMatriculas[[#This Row],[Clases]])-1)),"")</f>
        <v>2</v>
      </c>
      <c r="M2052" s="14">
        <f>IFERROR(VALUE(MID(tblMatriculas[[#This Row],[Clases]],FIND("/",tblMatriculas[[#This Row],[Clases]])+1,5)),"")</f>
        <v>30</v>
      </c>
      <c r="N205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2" s="14">
        <f>IF(OR(tblMatriculas[[#This Row],[Estado]]&lt;&gt;"activa",tblMatriculas[[#This Row],[Clases dictadas]]=""),"",MAX(0,tblMatriculas[[#This Row],[Clases dictadas]]-tblMatriculas[[#This Row],[Asistidas]]))</f>
        <v>0</v>
      </c>
      <c r="P2052" s="1">
        <f>IF(OR(tblMatriculas[[#This Row],[Estado]]&lt;&gt;"activa",tblMatriculas[[#This Row],[Asistidas]]=""),"",tblMatriculas[[#This Row],[Asistencia]])</f>
        <v>6.7000000000000004E-2</v>
      </c>
      <c r="Q2052" t="b">
        <f>AND(tblMatriculas[[#This Row],[Estado]]="activa",ISNUMBER(tblMatriculas[[#This Row],[% asistencia]]),NOT(ISNUMBER(SEARCH(pPrueba,tblMatriculas[[#This Row],[Nombre]]))))</f>
        <v>1</v>
      </c>
      <c r="R205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52" s="23" t="str" cm="1">
        <f t="array" ref="S205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2" s="23" t="str" cm="1">
        <f t="array" ref="T205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2" s="14" t="str" cm="1">
        <f t="array" ref="U205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2" t="str" cm="1">
        <f t="array" ref="V205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2" t="str" cm="1">
        <f t="array" ref="W205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5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52" t="str">
        <f>IF(COUNTIFS('Base Estudiantes'!$C:$C,tblMatriculas[[#This Row],[Cédula]],'Base Estudiantes'!$I:$I,tblMatriculas[[#This Row],[Código]])&gt;0,"Sí","No")</f>
        <v>Sí</v>
      </c>
      <c r="Z2052" s="23" cm="1">
        <f t="array" ref="Z2052">_xlfn.XLOOKUP(tblMatriculas[[#This Row],[Cédula]]&amp;"|"&amp;tblMatriculas[[#This Row],[Código]],tblBase[Documento]&amp;"|"&amp;tblBase[Código grupo],tblBase[Fecha matrícula],"")</f>
        <v>46262</v>
      </c>
    </row>
    <row r="2053" spans="1:26" x14ac:dyDescent="0.2">
      <c r="A2053" t="s">
        <v>4260</v>
      </c>
      <c r="B2053" t="s">
        <v>4261</v>
      </c>
      <c r="C2053" t="s">
        <v>13</v>
      </c>
      <c r="D2053" t="s">
        <v>4247</v>
      </c>
      <c r="E2053" t="s">
        <v>4248</v>
      </c>
      <c r="F2053" t="s">
        <v>516</v>
      </c>
      <c r="G2053" s="1">
        <v>6.7000000000000004E-2</v>
      </c>
      <c r="H2053" t="s">
        <v>166</v>
      </c>
      <c r="I2053" t="s">
        <v>3833</v>
      </c>
      <c r="J2053" t="s">
        <v>4249</v>
      </c>
      <c r="K2053" t="s">
        <v>24</v>
      </c>
      <c r="L2053" s="14">
        <f>IFERROR(VALUE(LEFT(tblMatriculas[[#This Row],[Clases]],FIND("/",tblMatriculas[[#This Row],[Clases]])-1)),"")</f>
        <v>2</v>
      </c>
      <c r="M2053" s="14">
        <f>IFERROR(VALUE(MID(tblMatriculas[[#This Row],[Clases]],FIND("/",tblMatriculas[[#This Row],[Clases]])+1,5)),"")</f>
        <v>30</v>
      </c>
      <c r="N205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3" s="14">
        <f>IF(OR(tblMatriculas[[#This Row],[Estado]]&lt;&gt;"activa",tblMatriculas[[#This Row],[Clases dictadas]]=""),"",MAX(0,tblMatriculas[[#This Row],[Clases dictadas]]-tblMatriculas[[#This Row],[Asistidas]]))</f>
        <v>0</v>
      </c>
      <c r="P2053" s="1">
        <f>IF(OR(tblMatriculas[[#This Row],[Estado]]&lt;&gt;"activa",tblMatriculas[[#This Row],[Asistidas]]=""),"",tblMatriculas[[#This Row],[Asistencia]])</f>
        <v>6.7000000000000004E-2</v>
      </c>
      <c r="Q2053" t="b">
        <f>AND(tblMatriculas[[#This Row],[Estado]]="activa",ISNUMBER(tblMatriculas[[#This Row],[% asistencia]]),NOT(ISNUMBER(SEARCH(pPrueba,tblMatriculas[[#This Row],[Nombre]]))))</f>
        <v>1</v>
      </c>
      <c r="R205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53" s="23" t="str" cm="1">
        <f t="array" ref="S205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3" s="23" t="str" cm="1">
        <f t="array" ref="T205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3" s="14" t="str" cm="1">
        <f t="array" ref="U205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3" t="str" cm="1">
        <f t="array" ref="V205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3" t="str" cm="1">
        <f t="array" ref="W205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5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53" t="str">
        <f>IF(COUNTIFS('Base Estudiantes'!$C:$C,tblMatriculas[[#This Row],[Cédula]],'Base Estudiantes'!$I:$I,tblMatriculas[[#This Row],[Código]])&gt;0,"Sí","No")</f>
        <v>Sí</v>
      </c>
      <c r="Z2053" s="23" cm="1">
        <f t="array" ref="Z2053">_xlfn.XLOOKUP(tblMatriculas[[#This Row],[Cédula]]&amp;"|"&amp;tblMatriculas[[#This Row],[Código]],tblBase[Documento]&amp;"|"&amp;tblBase[Código grupo],tblBase[Fecha matrícula],"")</f>
        <v>46262</v>
      </c>
    </row>
    <row r="2054" spans="1:26" x14ac:dyDescent="0.2">
      <c r="A2054" t="s">
        <v>4262</v>
      </c>
      <c r="B2054" t="s">
        <v>4263</v>
      </c>
      <c r="C2054" t="s">
        <v>13</v>
      </c>
      <c r="D2054" t="s">
        <v>4247</v>
      </c>
      <c r="E2054" t="s">
        <v>4248</v>
      </c>
      <c r="F2054" t="s">
        <v>516</v>
      </c>
      <c r="G2054" s="1">
        <v>3.3000000000000002E-2</v>
      </c>
      <c r="H2054" t="s">
        <v>225</v>
      </c>
      <c r="I2054" t="s">
        <v>3833</v>
      </c>
      <c r="J2054" t="s">
        <v>4249</v>
      </c>
      <c r="K2054" t="s">
        <v>24</v>
      </c>
      <c r="L2054" s="14">
        <f>IFERROR(VALUE(LEFT(tblMatriculas[[#This Row],[Clases]],FIND("/",tblMatriculas[[#This Row],[Clases]])-1)),"")</f>
        <v>1</v>
      </c>
      <c r="M2054" s="14">
        <f>IFERROR(VALUE(MID(tblMatriculas[[#This Row],[Clases]],FIND("/",tblMatriculas[[#This Row],[Clases]])+1,5)),"")</f>
        <v>30</v>
      </c>
      <c r="N205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4" s="14">
        <f>IF(OR(tblMatriculas[[#This Row],[Estado]]&lt;&gt;"activa",tblMatriculas[[#This Row],[Clases dictadas]]=""),"",MAX(0,tblMatriculas[[#This Row],[Clases dictadas]]-tblMatriculas[[#This Row],[Asistidas]]))</f>
        <v>1</v>
      </c>
      <c r="P2054" s="1">
        <f>IF(OR(tblMatriculas[[#This Row],[Estado]]&lt;&gt;"activa",tblMatriculas[[#This Row],[Asistidas]]=""),"",tblMatriculas[[#This Row],[Asistencia]])</f>
        <v>3.3000000000000002E-2</v>
      </c>
      <c r="Q2054" t="b">
        <f>AND(tblMatriculas[[#This Row],[Estado]]="activa",ISNUMBER(tblMatriculas[[#This Row],[% asistencia]]),NOT(ISNUMBER(SEARCH(pPrueba,tblMatriculas[[#This Row],[Nombre]]))))</f>
        <v>1</v>
      </c>
      <c r="R205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54" s="23" t="str" cm="1">
        <f t="array" ref="S205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4" s="23" t="str" cm="1">
        <f t="array" ref="T205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4" s="14" t="str" cm="1">
        <f t="array" ref="U205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4" t="str" cm="1">
        <f t="array" ref="V205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4" t="str" cm="1">
        <f t="array" ref="W205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5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54" t="str">
        <f>IF(COUNTIFS('Base Estudiantes'!$C:$C,tblMatriculas[[#This Row],[Cédula]],'Base Estudiantes'!$I:$I,tblMatriculas[[#This Row],[Código]])&gt;0,"Sí","No")</f>
        <v>Sí</v>
      </c>
      <c r="Z2054" s="23" cm="1">
        <f t="array" ref="Z2054">_xlfn.XLOOKUP(tblMatriculas[[#This Row],[Cédula]]&amp;"|"&amp;tblMatriculas[[#This Row],[Código]],tblBase[Documento]&amp;"|"&amp;tblBase[Código grupo],tblBase[Fecha matrícula],"")</f>
        <v>46262</v>
      </c>
    </row>
    <row r="2055" spans="1:26" x14ac:dyDescent="0.2">
      <c r="A2055" t="s">
        <v>4264</v>
      </c>
      <c r="B2055" t="s">
        <v>4265</v>
      </c>
      <c r="C2055" t="s">
        <v>13</v>
      </c>
      <c r="D2055" t="s">
        <v>4247</v>
      </c>
      <c r="E2055" t="s">
        <v>4248</v>
      </c>
      <c r="F2055" t="s">
        <v>516</v>
      </c>
      <c r="G2055" s="1">
        <v>6.7000000000000004E-2</v>
      </c>
      <c r="H2055" t="s">
        <v>166</v>
      </c>
      <c r="I2055" t="s">
        <v>3833</v>
      </c>
      <c r="J2055" t="s">
        <v>4249</v>
      </c>
      <c r="K2055" t="s">
        <v>24</v>
      </c>
      <c r="L2055" s="14">
        <f>IFERROR(VALUE(LEFT(tblMatriculas[[#This Row],[Clases]],FIND("/",tblMatriculas[[#This Row],[Clases]])-1)),"")</f>
        <v>2</v>
      </c>
      <c r="M2055" s="14">
        <f>IFERROR(VALUE(MID(tblMatriculas[[#This Row],[Clases]],FIND("/",tblMatriculas[[#This Row],[Clases]])+1,5)),"")</f>
        <v>30</v>
      </c>
      <c r="N205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5" s="14">
        <f>IF(OR(tblMatriculas[[#This Row],[Estado]]&lt;&gt;"activa",tblMatriculas[[#This Row],[Clases dictadas]]=""),"",MAX(0,tblMatriculas[[#This Row],[Clases dictadas]]-tblMatriculas[[#This Row],[Asistidas]]))</f>
        <v>0</v>
      </c>
      <c r="P2055" s="1">
        <f>IF(OR(tblMatriculas[[#This Row],[Estado]]&lt;&gt;"activa",tblMatriculas[[#This Row],[Asistidas]]=""),"",tblMatriculas[[#This Row],[Asistencia]])</f>
        <v>6.7000000000000004E-2</v>
      </c>
      <c r="Q2055" t="b">
        <f>AND(tblMatriculas[[#This Row],[Estado]]="activa",ISNUMBER(tblMatriculas[[#This Row],[% asistencia]]),NOT(ISNUMBER(SEARCH(pPrueba,tblMatriculas[[#This Row],[Nombre]]))))</f>
        <v>1</v>
      </c>
      <c r="R205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55" s="23" t="str" cm="1">
        <f t="array" ref="S205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5" s="23" t="str" cm="1">
        <f t="array" ref="T205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5" s="14" t="str" cm="1">
        <f t="array" ref="U205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5" t="str" cm="1">
        <f t="array" ref="V205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5" t="str" cm="1">
        <f t="array" ref="W205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5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55" t="str">
        <f>IF(COUNTIFS('Base Estudiantes'!$C:$C,tblMatriculas[[#This Row],[Cédula]],'Base Estudiantes'!$I:$I,tblMatriculas[[#This Row],[Código]])&gt;0,"Sí","No")</f>
        <v>Sí</v>
      </c>
      <c r="Z2055" s="23" cm="1">
        <f t="array" ref="Z2055">_xlfn.XLOOKUP(tblMatriculas[[#This Row],[Cédula]]&amp;"|"&amp;tblMatriculas[[#This Row],[Código]],tblBase[Documento]&amp;"|"&amp;tblBase[Código grupo],tblBase[Fecha matrícula],"")</f>
        <v>46262</v>
      </c>
    </row>
    <row r="2056" spans="1:26" x14ac:dyDescent="0.2">
      <c r="A2056" t="s">
        <v>4266</v>
      </c>
      <c r="B2056" t="s">
        <v>4267</v>
      </c>
      <c r="C2056" t="s">
        <v>13</v>
      </c>
      <c r="D2056" t="s">
        <v>4247</v>
      </c>
      <c r="E2056" t="s">
        <v>4248</v>
      </c>
      <c r="F2056" t="s">
        <v>516</v>
      </c>
      <c r="G2056" s="1">
        <v>0</v>
      </c>
      <c r="H2056" t="s">
        <v>254</v>
      </c>
      <c r="I2056" t="s">
        <v>3833</v>
      </c>
      <c r="J2056" t="s">
        <v>4249</v>
      </c>
      <c r="K2056" t="s">
        <v>24</v>
      </c>
      <c r="L2056" s="14">
        <f>IFERROR(VALUE(LEFT(tblMatriculas[[#This Row],[Clases]],FIND("/",tblMatriculas[[#This Row],[Clases]])-1)),"")</f>
        <v>0</v>
      </c>
      <c r="M2056" s="14">
        <f>IFERROR(VALUE(MID(tblMatriculas[[#This Row],[Clases]],FIND("/",tblMatriculas[[#This Row],[Clases]])+1,5)),"")</f>
        <v>30</v>
      </c>
      <c r="N205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6" s="14">
        <f>IF(OR(tblMatriculas[[#This Row],[Estado]]&lt;&gt;"activa",tblMatriculas[[#This Row],[Clases dictadas]]=""),"",MAX(0,tblMatriculas[[#This Row],[Clases dictadas]]-tblMatriculas[[#This Row],[Asistidas]]))</f>
        <v>2</v>
      </c>
      <c r="P2056" s="1">
        <f>IF(OR(tblMatriculas[[#This Row],[Estado]]&lt;&gt;"activa",tblMatriculas[[#This Row],[Asistidas]]=""),"",tblMatriculas[[#This Row],[Asistencia]])</f>
        <v>0</v>
      </c>
      <c r="Q2056" t="b">
        <f>AND(tblMatriculas[[#This Row],[Estado]]="activa",ISNUMBER(tblMatriculas[[#This Row],[% asistencia]]),NOT(ISNUMBER(SEARCH(pPrueba,tblMatriculas[[#This Row],[Nombre]]))))</f>
        <v>1</v>
      </c>
      <c r="R205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56" s="23" t="str" cm="1">
        <f t="array" ref="S205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6" s="23" t="str" cm="1">
        <f t="array" ref="T205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6" s="14" t="str" cm="1">
        <f t="array" ref="U205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6" t="str" cm="1">
        <f t="array" ref="V205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6" t="str" cm="1">
        <f t="array" ref="W205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5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56" t="str">
        <f>IF(COUNTIFS('Base Estudiantes'!$C:$C,tblMatriculas[[#This Row],[Cédula]],'Base Estudiantes'!$I:$I,tblMatriculas[[#This Row],[Código]])&gt;0,"Sí","No")</f>
        <v>Sí</v>
      </c>
      <c r="Z2056" s="23" cm="1">
        <f t="array" ref="Z2056">_xlfn.XLOOKUP(tblMatriculas[[#This Row],[Cédula]]&amp;"|"&amp;tblMatriculas[[#This Row],[Código]],tblBase[Documento]&amp;"|"&amp;tblBase[Código grupo],tblBase[Fecha matrícula],"")</f>
        <v>46262</v>
      </c>
    </row>
    <row r="2057" spans="1:26" x14ac:dyDescent="0.2">
      <c r="A2057" t="s">
        <v>4268</v>
      </c>
      <c r="B2057" t="s">
        <v>4269</v>
      </c>
      <c r="C2057" t="s">
        <v>13</v>
      </c>
      <c r="D2057" t="s">
        <v>4247</v>
      </c>
      <c r="E2057" t="s">
        <v>4248</v>
      </c>
      <c r="F2057" t="s">
        <v>516</v>
      </c>
      <c r="G2057" s="1">
        <v>0</v>
      </c>
      <c r="H2057" t="s">
        <v>254</v>
      </c>
      <c r="I2057" t="s">
        <v>3833</v>
      </c>
      <c r="J2057" t="s">
        <v>4249</v>
      </c>
      <c r="K2057" t="s">
        <v>24</v>
      </c>
      <c r="L2057" s="14">
        <f>IFERROR(VALUE(LEFT(tblMatriculas[[#This Row],[Clases]],FIND("/",tblMatriculas[[#This Row],[Clases]])-1)),"")</f>
        <v>0</v>
      </c>
      <c r="M2057" s="14">
        <f>IFERROR(VALUE(MID(tblMatriculas[[#This Row],[Clases]],FIND("/",tblMatriculas[[#This Row],[Clases]])+1,5)),"")</f>
        <v>30</v>
      </c>
      <c r="N205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7" s="14">
        <f>IF(OR(tblMatriculas[[#This Row],[Estado]]&lt;&gt;"activa",tblMatriculas[[#This Row],[Clases dictadas]]=""),"",MAX(0,tblMatriculas[[#This Row],[Clases dictadas]]-tblMatriculas[[#This Row],[Asistidas]]))</f>
        <v>2</v>
      </c>
      <c r="P2057" s="1">
        <f>IF(OR(tblMatriculas[[#This Row],[Estado]]&lt;&gt;"activa",tblMatriculas[[#This Row],[Asistidas]]=""),"",tblMatriculas[[#This Row],[Asistencia]])</f>
        <v>0</v>
      </c>
      <c r="Q2057" t="b">
        <f>AND(tblMatriculas[[#This Row],[Estado]]="activa",ISNUMBER(tblMatriculas[[#This Row],[% asistencia]]),NOT(ISNUMBER(SEARCH(pPrueba,tblMatriculas[[#This Row],[Nombre]]))))</f>
        <v>1</v>
      </c>
      <c r="R205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57" s="23" t="str" cm="1">
        <f t="array" ref="S205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7" s="23" t="str" cm="1">
        <f t="array" ref="T205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7" s="14" t="str" cm="1">
        <f t="array" ref="U205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7" t="str" cm="1">
        <f t="array" ref="V205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7" t="str" cm="1">
        <f t="array" ref="W205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5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57" t="str">
        <f>IF(COUNTIFS('Base Estudiantes'!$C:$C,tblMatriculas[[#This Row],[Cédula]],'Base Estudiantes'!$I:$I,tblMatriculas[[#This Row],[Código]])&gt;0,"Sí","No")</f>
        <v>Sí</v>
      </c>
      <c r="Z2057" s="23" cm="1">
        <f t="array" ref="Z2057">_xlfn.XLOOKUP(tblMatriculas[[#This Row],[Cédula]]&amp;"|"&amp;tblMatriculas[[#This Row],[Código]],tblBase[Documento]&amp;"|"&amp;tblBase[Código grupo],tblBase[Fecha matrícula],"")</f>
        <v>46262</v>
      </c>
    </row>
    <row r="2058" spans="1:26" x14ac:dyDescent="0.2">
      <c r="A2058" t="s">
        <v>4270</v>
      </c>
      <c r="B2058" t="s">
        <v>4271</v>
      </c>
      <c r="C2058" t="s">
        <v>13</v>
      </c>
      <c r="D2058" t="s">
        <v>4247</v>
      </c>
      <c r="E2058" t="s">
        <v>4248</v>
      </c>
      <c r="F2058" t="s">
        <v>516</v>
      </c>
      <c r="G2058" s="1">
        <v>3.3000000000000002E-2</v>
      </c>
      <c r="H2058" t="s">
        <v>225</v>
      </c>
      <c r="I2058" t="s">
        <v>3833</v>
      </c>
      <c r="J2058" t="s">
        <v>4249</v>
      </c>
      <c r="K2058" t="s">
        <v>24</v>
      </c>
      <c r="L2058" s="14">
        <f>IFERROR(VALUE(LEFT(tblMatriculas[[#This Row],[Clases]],FIND("/",tblMatriculas[[#This Row],[Clases]])-1)),"")</f>
        <v>1</v>
      </c>
      <c r="M2058" s="14">
        <f>IFERROR(VALUE(MID(tblMatriculas[[#This Row],[Clases]],FIND("/",tblMatriculas[[#This Row],[Clases]])+1,5)),"")</f>
        <v>30</v>
      </c>
      <c r="N205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8" s="14">
        <f>IF(OR(tblMatriculas[[#This Row],[Estado]]&lt;&gt;"activa",tblMatriculas[[#This Row],[Clases dictadas]]=""),"",MAX(0,tblMatriculas[[#This Row],[Clases dictadas]]-tblMatriculas[[#This Row],[Asistidas]]))</f>
        <v>1</v>
      </c>
      <c r="P2058" s="1">
        <f>IF(OR(tblMatriculas[[#This Row],[Estado]]&lt;&gt;"activa",tblMatriculas[[#This Row],[Asistidas]]=""),"",tblMatriculas[[#This Row],[Asistencia]])</f>
        <v>3.3000000000000002E-2</v>
      </c>
      <c r="Q2058" t="b">
        <f>AND(tblMatriculas[[#This Row],[Estado]]="activa",ISNUMBER(tblMatriculas[[#This Row],[% asistencia]]),NOT(ISNUMBER(SEARCH(pPrueba,tblMatriculas[[#This Row],[Nombre]]))))</f>
        <v>1</v>
      </c>
      <c r="R205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58" s="23" t="str" cm="1">
        <f t="array" ref="S205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8" s="23" t="str" cm="1">
        <f t="array" ref="T205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8" s="14" t="str" cm="1">
        <f t="array" ref="U205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8" t="str" cm="1">
        <f t="array" ref="V205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8" t="str" cm="1">
        <f t="array" ref="W205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5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58" t="str">
        <f>IF(COUNTIFS('Base Estudiantes'!$C:$C,tblMatriculas[[#This Row],[Cédula]],'Base Estudiantes'!$I:$I,tblMatriculas[[#This Row],[Código]])&gt;0,"Sí","No")</f>
        <v>Sí</v>
      </c>
      <c r="Z2058" s="23" cm="1">
        <f t="array" ref="Z2058">_xlfn.XLOOKUP(tblMatriculas[[#This Row],[Cédula]]&amp;"|"&amp;tblMatriculas[[#This Row],[Código]],tblBase[Documento]&amp;"|"&amp;tblBase[Código grupo],tblBase[Fecha matrícula],"")</f>
        <v>46262</v>
      </c>
    </row>
    <row r="2059" spans="1:26" x14ac:dyDescent="0.2">
      <c r="A2059" t="s">
        <v>4272</v>
      </c>
      <c r="B2059" t="s">
        <v>4273</v>
      </c>
      <c r="C2059" t="s">
        <v>13</v>
      </c>
      <c r="D2059" t="s">
        <v>4247</v>
      </c>
      <c r="E2059" t="s">
        <v>4248</v>
      </c>
      <c r="F2059" t="s">
        <v>516</v>
      </c>
      <c r="G2059" s="1">
        <v>3.3000000000000002E-2</v>
      </c>
      <c r="H2059" t="s">
        <v>225</v>
      </c>
      <c r="I2059" t="s">
        <v>3833</v>
      </c>
      <c r="J2059" t="s">
        <v>4249</v>
      </c>
      <c r="K2059" t="s">
        <v>24</v>
      </c>
      <c r="L2059" s="14">
        <f>IFERROR(VALUE(LEFT(tblMatriculas[[#This Row],[Clases]],FIND("/",tblMatriculas[[#This Row],[Clases]])-1)),"")</f>
        <v>1</v>
      </c>
      <c r="M2059" s="14">
        <f>IFERROR(VALUE(MID(tblMatriculas[[#This Row],[Clases]],FIND("/",tblMatriculas[[#This Row],[Clases]])+1,5)),"")</f>
        <v>30</v>
      </c>
      <c r="N205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59" s="14">
        <f>IF(OR(tblMatriculas[[#This Row],[Estado]]&lt;&gt;"activa",tblMatriculas[[#This Row],[Clases dictadas]]=""),"",MAX(0,tblMatriculas[[#This Row],[Clases dictadas]]-tblMatriculas[[#This Row],[Asistidas]]))</f>
        <v>1</v>
      </c>
      <c r="P2059" s="1">
        <f>IF(OR(tblMatriculas[[#This Row],[Estado]]&lt;&gt;"activa",tblMatriculas[[#This Row],[Asistidas]]=""),"",tblMatriculas[[#This Row],[Asistencia]])</f>
        <v>3.3000000000000002E-2</v>
      </c>
      <c r="Q2059" t="b">
        <f>AND(tblMatriculas[[#This Row],[Estado]]="activa",ISNUMBER(tblMatriculas[[#This Row],[% asistencia]]),NOT(ISNUMBER(SEARCH(pPrueba,tblMatriculas[[#This Row],[Nombre]]))))</f>
        <v>1</v>
      </c>
      <c r="R205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59" s="23" t="str" cm="1">
        <f t="array" ref="S205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59" s="23" t="str" cm="1">
        <f t="array" ref="T205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59" s="14" t="str" cm="1">
        <f t="array" ref="U205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59" t="str" cm="1">
        <f t="array" ref="V205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59" t="str" cm="1">
        <f t="array" ref="W205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5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59" t="str">
        <f>IF(COUNTIFS('Base Estudiantes'!$C:$C,tblMatriculas[[#This Row],[Cédula]],'Base Estudiantes'!$I:$I,tblMatriculas[[#This Row],[Código]])&gt;0,"Sí","No")</f>
        <v>Sí</v>
      </c>
      <c r="Z2059" s="23" cm="1">
        <f t="array" ref="Z2059">_xlfn.XLOOKUP(tblMatriculas[[#This Row],[Cédula]]&amp;"|"&amp;tblMatriculas[[#This Row],[Código]],tblBase[Documento]&amp;"|"&amp;tblBase[Código grupo],tblBase[Fecha matrícula],"")</f>
        <v>46262</v>
      </c>
    </row>
    <row r="2060" spans="1:26" x14ac:dyDescent="0.2">
      <c r="A2060" t="s">
        <v>4274</v>
      </c>
      <c r="B2060" t="s">
        <v>4275</v>
      </c>
      <c r="C2060" t="s">
        <v>13</v>
      </c>
      <c r="D2060" t="s">
        <v>4247</v>
      </c>
      <c r="E2060" t="s">
        <v>4248</v>
      </c>
      <c r="F2060" t="s">
        <v>516</v>
      </c>
      <c r="G2060" s="1">
        <v>6.7000000000000004E-2</v>
      </c>
      <c r="H2060" t="s">
        <v>166</v>
      </c>
      <c r="I2060" t="s">
        <v>3833</v>
      </c>
      <c r="J2060" t="s">
        <v>4249</v>
      </c>
      <c r="K2060" t="s">
        <v>24</v>
      </c>
      <c r="L2060" s="14">
        <f>IFERROR(VALUE(LEFT(tblMatriculas[[#This Row],[Clases]],FIND("/",tblMatriculas[[#This Row],[Clases]])-1)),"")</f>
        <v>2</v>
      </c>
      <c r="M2060" s="14">
        <f>IFERROR(VALUE(MID(tblMatriculas[[#This Row],[Clases]],FIND("/",tblMatriculas[[#This Row],[Clases]])+1,5)),"")</f>
        <v>30</v>
      </c>
      <c r="N206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0" s="14">
        <f>IF(OR(tblMatriculas[[#This Row],[Estado]]&lt;&gt;"activa",tblMatriculas[[#This Row],[Clases dictadas]]=""),"",MAX(0,tblMatriculas[[#This Row],[Clases dictadas]]-tblMatriculas[[#This Row],[Asistidas]]))</f>
        <v>0</v>
      </c>
      <c r="P2060" s="1">
        <f>IF(OR(tblMatriculas[[#This Row],[Estado]]&lt;&gt;"activa",tblMatriculas[[#This Row],[Asistidas]]=""),"",tblMatriculas[[#This Row],[Asistencia]])</f>
        <v>6.7000000000000004E-2</v>
      </c>
      <c r="Q2060" t="b">
        <f>AND(tblMatriculas[[#This Row],[Estado]]="activa",ISNUMBER(tblMatriculas[[#This Row],[% asistencia]]),NOT(ISNUMBER(SEARCH(pPrueba,tblMatriculas[[#This Row],[Nombre]]))))</f>
        <v>1</v>
      </c>
      <c r="R206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0" s="23" t="str" cm="1">
        <f t="array" ref="S206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0" s="23" t="str" cm="1">
        <f t="array" ref="T206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0" s="14" t="str" cm="1">
        <f t="array" ref="U206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0" t="str" cm="1">
        <f t="array" ref="V206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0" t="str" cm="1">
        <f t="array" ref="W206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0" t="str">
        <f>IF(COUNTIFS('Base Estudiantes'!$C:$C,tblMatriculas[[#This Row],[Cédula]],'Base Estudiantes'!$I:$I,tblMatriculas[[#This Row],[Código]])&gt;0,"Sí","No")</f>
        <v>Sí</v>
      </c>
      <c r="Z2060" s="23" cm="1">
        <f t="array" ref="Z2060">_xlfn.XLOOKUP(tblMatriculas[[#This Row],[Cédula]]&amp;"|"&amp;tblMatriculas[[#This Row],[Código]],tblBase[Documento]&amp;"|"&amp;tblBase[Código grupo],tblBase[Fecha matrícula],"")</f>
        <v>46262</v>
      </c>
    </row>
    <row r="2061" spans="1:26" x14ac:dyDescent="0.2">
      <c r="A2061" t="s">
        <v>4276</v>
      </c>
      <c r="B2061" t="s">
        <v>4277</v>
      </c>
      <c r="C2061" t="s">
        <v>13</v>
      </c>
      <c r="D2061" t="s">
        <v>4247</v>
      </c>
      <c r="E2061" t="s">
        <v>4248</v>
      </c>
      <c r="F2061" t="s">
        <v>516</v>
      </c>
      <c r="G2061" s="1">
        <v>6.7000000000000004E-2</v>
      </c>
      <c r="H2061" t="s">
        <v>166</v>
      </c>
      <c r="I2061" t="s">
        <v>3833</v>
      </c>
      <c r="J2061" t="s">
        <v>4249</v>
      </c>
      <c r="K2061" t="s">
        <v>24</v>
      </c>
      <c r="L2061" s="14">
        <f>IFERROR(VALUE(LEFT(tblMatriculas[[#This Row],[Clases]],FIND("/",tblMatriculas[[#This Row],[Clases]])-1)),"")</f>
        <v>2</v>
      </c>
      <c r="M2061" s="14">
        <f>IFERROR(VALUE(MID(tblMatriculas[[#This Row],[Clases]],FIND("/",tblMatriculas[[#This Row],[Clases]])+1,5)),"")</f>
        <v>30</v>
      </c>
      <c r="N206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1" s="14">
        <f>IF(OR(tblMatriculas[[#This Row],[Estado]]&lt;&gt;"activa",tblMatriculas[[#This Row],[Clases dictadas]]=""),"",MAX(0,tblMatriculas[[#This Row],[Clases dictadas]]-tblMatriculas[[#This Row],[Asistidas]]))</f>
        <v>0</v>
      </c>
      <c r="P2061" s="1">
        <f>IF(OR(tblMatriculas[[#This Row],[Estado]]&lt;&gt;"activa",tblMatriculas[[#This Row],[Asistidas]]=""),"",tblMatriculas[[#This Row],[Asistencia]])</f>
        <v>6.7000000000000004E-2</v>
      </c>
      <c r="Q2061" t="b">
        <f>AND(tblMatriculas[[#This Row],[Estado]]="activa",ISNUMBER(tblMatriculas[[#This Row],[% asistencia]]),NOT(ISNUMBER(SEARCH(pPrueba,tblMatriculas[[#This Row],[Nombre]]))))</f>
        <v>1</v>
      </c>
      <c r="R206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1" s="23" t="str" cm="1">
        <f t="array" ref="S206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1" s="23" t="str" cm="1">
        <f t="array" ref="T206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1" s="14" t="str" cm="1">
        <f t="array" ref="U206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1" t="str" cm="1">
        <f t="array" ref="V206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1" t="str" cm="1">
        <f t="array" ref="W206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1" t="str">
        <f>IF(COUNTIFS('Base Estudiantes'!$C:$C,tblMatriculas[[#This Row],[Cédula]],'Base Estudiantes'!$I:$I,tblMatriculas[[#This Row],[Código]])&gt;0,"Sí","No")</f>
        <v>Sí</v>
      </c>
      <c r="Z2061" s="23" cm="1">
        <f t="array" ref="Z2061">_xlfn.XLOOKUP(tblMatriculas[[#This Row],[Cédula]]&amp;"|"&amp;tblMatriculas[[#This Row],[Código]],tblBase[Documento]&amp;"|"&amp;tblBase[Código grupo],tblBase[Fecha matrícula],"")</f>
        <v>46262</v>
      </c>
    </row>
    <row r="2062" spans="1:26" x14ac:dyDescent="0.2">
      <c r="A2062" t="s">
        <v>4278</v>
      </c>
      <c r="B2062" t="s">
        <v>4279</v>
      </c>
      <c r="C2062" t="s">
        <v>13</v>
      </c>
      <c r="D2062" t="s">
        <v>4247</v>
      </c>
      <c r="E2062" t="s">
        <v>4248</v>
      </c>
      <c r="F2062" t="s">
        <v>516</v>
      </c>
      <c r="G2062" s="1">
        <v>6.7000000000000004E-2</v>
      </c>
      <c r="H2062" t="s">
        <v>166</v>
      </c>
      <c r="I2062" t="s">
        <v>3833</v>
      </c>
      <c r="J2062" t="s">
        <v>4249</v>
      </c>
      <c r="K2062" t="s">
        <v>24</v>
      </c>
      <c r="L2062" s="14">
        <f>IFERROR(VALUE(LEFT(tblMatriculas[[#This Row],[Clases]],FIND("/",tblMatriculas[[#This Row],[Clases]])-1)),"")</f>
        <v>2</v>
      </c>
      <c r="M2062" s="14">
        <f>IFERROR(VALUE(MID(tblMatriculas[[#This Row],[Clases]],FIND("/",tblMatriculas[[#This Row],[Clases]])+1,5)),"")</f>
        <v>30</v>
      </c>
      <c r="N206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2" s="14">
        <f>IF(OR(tblMatriculas[[#This Row],[Estado]]&lt;&gt;"activa",tblMatriculas[[#This Row],[Clases dictadas]]=""),"",MAX(0,tblMatriculas[[#This Row],[Clases dictadas]]-tblMatriculas[[#This Row],[Asistidas]]))</f>
        <v>0</v>
      </c>
      <c r="P2062" s="1">
        <f>IF(OR(tblMatriculas[[#This Row],[Estado]]&lt;&gt;"activa",tblMatriculas[[#This Row],[Asistidas]]=""),"",tblMatriculas[[#This Row],[Asistencia]])</f>
        <v>6.7000000000000004E-2</v>
      </c>
      <c r="Q2062" t="b">
        <f>AND(tblMatriculas[[#This Row],[Estado]]="activa",ISNUMBER(tblMatriculas[[#This Row],[% asistencia]]),NOT(ISNUMBER(SEARCH(pPrueba,tblMatriculas[[#This Row],[Nombre]]))))</f>
        <v>1</v>
      </c>
      <c r="R206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2" s="23" t="str" cm="1">
        <f t="array" ref="S206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2" s="23" t="str" cm="1">
        <f t="array" ref="T206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2" s="14" t="str" cm="1">
        <f t="array" ref="U206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2" t="str" cm="1">
        <f t="array" ref="V206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2" t="str" cm="1">
        <f t="array" ref="W206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2" t="str">
        <f>IF(COUNTIFS('Base Estudiantes'!$C:$C,tblMatriculas[[#This Row],[Cédula]],'Base Estudiantes'!$I:$I,tblMatriculas[[#This Row],[Código]])&gt;0,"Sí","No")</f>
        <v>Sí</v>
      </c>
      <c r="Z2062" s="23" cm="1">
        <f t="array" ref="Z2062">_xlfn.XLOOKUP(tblMatriculas[[#This Row],[Cédula]]&amp;"|"&amp;tblMatriculas[[#This Row],[Código]],tblBase[Documento]&amp;"|"&amp;tblBase[Código grupo],tblBase[Fecha matrícula],"")</f>
        <v>46262</v>
      </c>
    </row>
    <row r="2063" spans="1:26" x14ac:dyDescent="0.2">
      <c r="A2063" t="s">
        <v>4280</v>
      </c>
      <c r="B2063" t="s">
        <v>4281</v>
      </c>
      <c r="C2063" t="s">
        <v>13</v>
      </c>
      <c r="D2063" t="s">
        <v>4247</v>
      </c>
      <c r="E2063" t="s">
        <v>4248</v>
      </c>
      <c r="F2063" t="s">
        <v>516</v>
      </c>
      <c r="G2063" s="1">
        <v>3.3000000000000002E-2</v>
      </c>
      <c r="H2063" t="s">
        <v>225</v>
      </c>
      <c r="I2063" t="s">
        <v>3833</v>
      </c>
      <c r="J2063" t="s">
        <v>4249</v>
      </c>
      <c r="K2063" t="s">
        <v>24</v>
      </c>
      <c r="L2063" s="14">
        <f>IFERROR(VALUE(LEFT(tblMatriculas[[#This Row],[Clases]],FIND("/",tblMatriculas[[#This Row],[Clases]])-1)),"")</f>
        <v>1</v>
      </c>
      <c r="M2063" s="14">
        <f>IFERROR(VALUE(MID(tblMatriculas[[#This Row],[Clases]],FIND("/",tblMatriculas[[#This Row],[Clases]])+1,5)),"")</f>
        <v>30</v>
      </c>
      <c r="N206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3" s="14">
        <f>IF(OR(tblMatriculas[[#This Row],[Estado]]&lt;&gt;"activa",tblMatriculas[[#This Row],[Clases dictadas]]=""),"",MAX(0,tblMatriculas[[#This Row],[Clases dictadas]]-tblMatriculas[[#This Row],[Asistidas]]))</f>
        <v>1</v>
      </c>
      <c r="P2063" s="1">
        <f>IF(OR(tblMatriculas[[#This Row],[Estado]]&lt;&gt;"activa",tblMatriculas[[#This Row],[Asistidas]]=""),"",tblMatriculas[[#This Row],[Asistencia]])</f>
        <v>3.3000000000000002E-2</v>
      </c>
      <c r="Q2063" t="b">
        <f>AND(tblMatriculas[[#This Row],[Estado]]="activa",ISNUMBER(tblMatriculas[[#This Row],[% asistencia]]),NOT(ISNUMBER(SEARCH(pPrueba,tblMatriculas[[#This Row],[Nombre]]))))</f>
        <v>1</v>
      </c>
      <c r="R206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63" s="23" t="str" cm="1">
        <f t="array" ref="S206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3" s="23" t="str" cm="1">
        <f t="array" ref="T206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3" s="14" t="str" cm="1">
        <f t="array" ref="U206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3" t="str" cm="1">
        <f t="array" ref="V206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3" t="str" cm="1">
        <f t="array" ref="W206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6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63" t="str">
        <f>IF(COUNTIFS('Base Estudiantes'!$C:$C,tblMatriculas[[#This Row],[Cédula]],'Base Estudiantes'!$I:$I,tblMatriculas[[#This Row],[Código]])&gt;0,"Sí","No")</f>
        <v>Sí</v>
      </c>
      <c r="Z2063" s="23" cm="1">
        <f t="array" ref="Z2063">_xlfn.XLOOKUP(tblMatriculas[[#This Row],[Cédula]]&amp;"|"&amp;tblMatriculas[[#This Row],[Código]],tblBase[Documento]&amp;"|"&amp;tblBase[Código grupo],tblBase[Fecha matrícula],"")</f>
        <v>46262</v>
      </c>
    </row>
    <row r="2064" spans="1:26" x14ac:dyDescent="0.2">
      <c r="A2064" t="s">
        <v>4282</v>
      </c>
      <c r="B2064" t="s">
        <v>4283</v>
      </c>
      <c r="C2064" t="s">
        <v>13</v>
      </c>
      <c r="D2064" t="s">
        <v>4247</v>
      </c>
      <c r="E2064" t="s">
        <v>4248</v>
      </c>
      <c r="F2064" t="s">
        <v>516</v>
      </c>
      <c r="G2064" s="1">
        <v>3.3000000000000002E-2</v>
      </c>
      <c r="H2064" t="s">
        <v>225</v>
      </c>
      <c r="I2064" t="s">
        <v>3833</v>
      </c>
      <c r="J2064" t="s">
        <v>4249</v>
      </c>
      <c r="K2064" t="s">
        <v>24</v>
      </c>
      <c r="L2064" s="14">
        <f>IFERROR(VALUE(LEFT(tblMatriculas[[#This Row],[Clases]],FIND("/",tblMatriculas[[#This Row],[Clases]])-1)),"")</f>
        <v>1</v>
      </c>
      <c r="M2064" s="14">
        <f>IFERROR(VALUE(MID(tblMatriculas[[#This Row],[Clases]],FIND("/",tblMatriculas[[#This Row],[Clases]])+1,5)),"")</f>
        <v>30</v>
      </c>
      <c r="N206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4" s="14">
        <f>IF(OR(tblMatriculas[[#This Row],[Estado]]&lt;&gt;"activa",tblMatriculas[[#This Row],[Clases dictadas]]=""),"",MAX(0,tblMatriculas[[#This Row],[Clases dictadas]]-tblMatriculas[[#This Row],[Asistidas]]))</f>
        <v>1</v>
      </c>
      <c r="P2064" s="1">
        <f>IF(OR(tblMatriculas[[#This Row],[Estado]]&lt;&gt;"activa",tblMatriculas[[#This Row],[Asistidas]]=""),"",tblMatriculas[[#This Row],[Asistencia]])</f>
        <v>3.3000000000000002E-2</v>
      </c>
      <c r="Q2064" t="b">
        <f>AND(tblMatriculas[[#This Row],[Estado]]="activa",ISNUMBER(tblMatriculas[[#This Row],[% asistencia]]),NOT(ISNUMBER(SEARCH(pPrueba,tblMatriculas[[#This Row],[Nombre]]))))</f>
        <v>1</v>
      </c>
      <c r="R206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64" s="23" t="str" cm="1">
        <f t="array" ref="S206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4" s="23" t="str" cm="1">
        <f t="array" ref="T206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4" s="14" t="str" cm="1">
        <f t="array" ref="U206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4" t="str" cm="1">
        <f t="array" ref="V206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4" t="str" cm="1">
        <f t="array" ref="W206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6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64" t="str">
        <f>IF(COUNTIFS('Base Estudiantes'!$C:$C,tblMatriculas[[#This Row],[Cédula]],'Base Estudiantes'!$I:$I,tblMatriculas[[#This Row],[Código]])&gt;0,"Sí","No")</f>
        <v>Sí</v>
      </c>
      <c r="Z2064" s="23" cm="1">
        <f t="array" ref="Z2064">_xlfn.XLOOKUP(tblMatriculas[[#This Row],[Cédula]]&amp;"|"&amp;tblMatriculas[[#This Row],[Código]],tblBase[Documento]&amp;"|"&amp;tblBase[Código grupo],tblBase[Fecha matrícula],"")</f>
        <v>46262</v>
      </c>
    </row>
    <row r="2065" spans="1:26" x14ac:dyDescent="0.2">
      <c r="A2065" t="s">
        <v>4284</v>
      </c>
      <c r="B2065" t="s">
        <v>4285</v>
      </c>
      <c r="C2065" t="s">
        <v>13</v>
      </c>
      <c r="D2065" t="s">
        <v>4247</v>
      </c>
      <c r="E2065" t="s">
        <v>4248</v>
      </c>
      <c r="F2065" t="s">
        <v>516</v>
      </c>
      <c r="G2065" s="1">
        <v>6.7000000000000004E-2</v>
      </c>
      <c r="H2065" t="s">
        <v>166</v>
      </c>
      <c r="I2065" t="s">
        <v>3833</v>
      </c>
      <c r="J2065" t="s">
        <v>4249</v>
      </c>
      <c r="K2065" t="s">
        <v>24</v>
      </c>
      <c r="L2065" s="14">
        <f>IFERROR(VALUE(LEFT(tblMatriculas[[#This Row],[Clases]],FIND("/",tblMatriculas[[#This Row],[Clases]])-1)),"")</f>
        <v>2</v>
      </c>
      <c r="M2065" s="14">
        <f>IFERROR(VALUE(MID(tblMatriculas[[#This Row],[Clases]],FIND("/",tblMatriculas[[#This Row],[Clases]])+1,5)),"")</f>
        <v>30</v>
      </c>
      <c r="N206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5" s="14">
        <f>IF(OR(tblMatriculas[[#This Row],[Estado]]&lt;&gt;"activa",tblMatriculas[[#This Row],[Clases dictadas]]=""),"",MAX(0,tblMatriculas[[#This Row],[Clases dictadas]]-tblMatriculas[[#This Row],[Asistidas]]))</f>
        <v>0</v>
      </c>
      <c r="P2065" s="1">
        <f>IF(OR(tblMatriculas[[#This Row],[Estado]]&lt;&gt;"activa",tblMatriculas[[#This Row],[Asistidas]]=""),"",tblMatriculas[[#This Row],[Asistencia]])</f>
        <v>6.7000000000000004E-2</v>
      </c>
      <c r="Q2065" t="b">
        <f>AND(tblMatriculas[[#This Row],[Estado]]="activa",ISNUMBER(tblMatriculas[[#This Row],[% asistencia]]),NOT(ISNUMBER(SEARCH(pPrueba,tblMatriculas[[#This Row],[Nombre]]))))</f>
        <v>1</v>
      </c>
      <c r="R206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5" s="23" t="str" cm="1">
        <f t="array" ref="S206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5" s="23" t="str" cm="1">
        <f t="array" ref="T206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5" s="14" t="str" cm="1">
        <f t="array" ref="U206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5" t="str" cm="1">
        <f t="array" ref="V206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5" t="str" cm="1">
        <f t="array" ref="W206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5" t="str">
        <f>IF(COUNTIFS('Base Estudiantes'!$C:$C,tblMatriculas[[#This Row],[Cédula]],'Base Estudiantes'!$I:$I,tblMatriculas[[#This Row],[Código]])&gt;0,"Sí","No")</f>
        <v>Sí</v>
      </c>
      <c r="Z2065" s="23" cm="1">
        <f t="array" ref="Z2065">_xlfn.XLOOKUP(tblMatriculas[[#This Row],[Cédula]]&amp;"|"&amp;tblMatriculas[[#This Row],[Código]],tblBase[Documento]&amp;"|"&amp;tblBase[Código grupo],tblBase[Fecha matrícula],"")</f>
        <v>46262</v>
      </c>
    </row>
    <row r="2066" spans="1:26" x14ac:dyDescent="0.2">
      <c r="A2066" t="s">
        <v>2165</v>
      </c>
      <c r="B2066" t="s">
        <v>2166</v>
      </c>
      <c r="C2066" t="s">
        <v>49</v>
      </c>
      <c r="D2066" t="s">
        <v>4247</v>
      </c>
      <c r="E2066" t="s">
        <v>4248</v>
      </c>
      <c r="F2066" t="s">
        <v>516</v>
      </c>
      <c r="G2066" s="1">
        <v>4.2999999999999997E-2</v>
      </c>
      <c r="H2066" t="s">
        <v>3920</v>
      </c>
      <c r="I2066" t="s">
        <v>3833</v>
      </c>
      <c r="J2066" t="s">
        <v>4249</v>
      </c>
      <c r="K2066" t="s">
        <v>24</v>
      </c>
      <c r="L2066" s="14">
        <f>IFERROR(VALUE(LEFT(tblMatriculas[[#This Row],[Clases]],FIND("/",tblMatriculas[[#This Row],[Clases]])-1)),"")</f>
        <v>3</v>
      </c>
      <c r="M2066" s="14">
        <f>IFERROR(VALUE(MID(tblMatriculas[[#This Row],[Clases]],FIND("/",tblMatriculas[[#This Row],[Clases]])+1,5)),"")</f>
        <v>70</v>
      </c>
      <c r="N206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5</v>
      </c>
      <c r="O2066" s="14" t="str">
        <f>IF(OR(tblMatriculas[[#This Row],[Estado]]&lt;&gt;"activa",tblMatriculas[[#This Row],[Clases dictadas]]=""),"",MAX(0,tblMatriculas[[#This Row],[Clases dictadas]]-tblMatriculas[[#This Row],[Asistidas]]))</f>
        <v/>
      </c>
      <c r="P2066" s="1" t="str">
        <f>IF(OR(tblMatriculas[[#This Row],[Estado]]&lt;&gt;"activa",tblMatriculas[[#This Row],[Asistidas]]=""),"",tblMatriculas[[#This Row],[Asistencia]])</f>
        <v/>
      </c>
      <c r="Q2066" t="b">
        <f>AND(tblMatriculas[[#This Row],[Estado]]="activa",ISNUMBER(tblMatriculas[[#This Row],[% asistencia]]),NOT(ISNUMBER(SEARCH(pPrueba,tblMatriculas[[#This Row],[Nombre]]))))</f>
        <v>0</v>
      </c>
      <c r="R206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066" s="23" t="str" cm="1">
        <f t="array" ref="S206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6" s="23" t="str" cm="1">
        <f t="array" ref="T206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6" s="14" t="str" cm="1">
        <f t="array" ref="U206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6" t="str" cm="1">
        <f t="array" ref="V206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6" t="str" cm="1">
        <f t="array" ref="W206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6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66" t="str">
        <f>IF(COUNTIFS('Base Estudiantes'!$C:$C,tblMatriculas[[#This Row],[Cédula]],'Base Estudiantes'!$I:$I,tblMatriculas[[#This Row],[Código]])&gt;0,"Sí","No")</f>
        <v>No</v>
      </c>
      <c r="Z2066" s="23" t="str" cm="1">
        <f t="array" ref="Z2066">_xlfn.XLOOKUP(tblMatriculas[[#This Row],[Cédula]]&amp;"|"&amp;tblMatriculas[[#This Row],[Código]],tblBase[Documento]&amp;"|"&amp;tblBase[Código grupo],tblBase[Fecha matrícula],"")</f>
        <v/>
      </c>
    </row>
    <row r="2067" spans="1:26" x14ac:dyDescent="0.2">
      <c r="A2067" t="s">
        <v>4286</v>
      </c>
      <c r="B2067" t="s">
        <v>4287</v>
      </c>
      <c r="C2067" t="s">
        <v>13</v>
      </c>
      <c r="D2067" t="s">
        <v>4247</v>
      </c>
      <c r="E2067" t="s">
        <v>4248</v>
      </c>
      <c r="F2067" t="s">
        <v>516</v>
      </c>
      <c r="G2067" s="1">
        <v>6.7000000000000004E-2</v>
      </c>
      <c r="H2067" t="s">
        <v>166</v>
      </c>
      <c r="I2067" t="s">
        <v>3833</v>
      </c>
      <c r="J2067" t="s">
        <v>4249</v>
      </c>
      <c r="K2067" t="s">
        <v>24</v>
      </c>
      <c r="L2067" s="14">
        <f>IFERROR(VALUE(LEFT(tblMatriculas[[#This Row],[Clases]],FIND("/",tblMatriculas[[#This Row],[Clases]])-1)),"")</f>
        <v>2</v>
      </c>
      <c r="M2067" s="14">
        <f>IFERROR(VALUE(MID(tblMatriculas[[#This Row],[Clases]],FIND("/",tblMatriculas[[#This Row],[Clases]])+1,5)),"")</f>
        <v>30</v>
      </c>
      <c r="N206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7" s="14">
        <f>IF(OR(tblMatriculas[[#This Row],[Estado]]&lt;&gt;"activa",tblMatriculas[[#This Row],[Clases dictadas]]=""),"",MAX(0,tblMatriculas[[#This Row],[Clases dictadas]]-tblMatriculas[[#This Row],[Asistidas]]))</f>
        <v>0</v>
      </c>
      <c r="P2067" s="1">
        <f>IF(OR(tblMatriculas[[#This Row],[Estado]]&lt;&gt;"activa",tblMatriculas[[#This Row],[Asistidas]]=""),"",tblMatriculas[[#This Row],[Asistencia]])</f>
        <v>6.7000000000000004E-2</v>
      </c>
      <c r="Q2067" t="b">
        <f>AND(tblMatriculas[[#This Row],[Estado]]="activa",ISNUMBER(tblMatriculas[[#This Row],[% asistencia]]),NOT(ISNUMBER(SEARCH(pPrueba,tblMatriculas[[#This Row],[Nombre]]))))</f>
        <v>1</v>
      </c>
      <c r="R206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7" s="23" t="str" cm="1">
        <f t="array" ref="S206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7" s="23" t="str" cm="1">
        <f t="array" ref="T206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7" s="14" t="str" cm="1">
        <f t="array" ref="U206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7" t="str" cm="1">
        <f t="array" ref="V206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7" t="str" cm="1">
        <f t="array" ref="W206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7" t="str">
        <f>IF(COUNTIFS('Base Estudiantes'!$C:$C,tblMatriculas[[#This Row],[Cédula]],'Base Estudiantes'!$I:$I,tblMatriculas[[#This Row],[Código]])&gt;0,"Sí","No")</f>
        <v>Sí</v>
      </c>
      <c r="Z2067" s="23" cm="1">
        <f t="array" ref="Z2067">_xlfn.XLOOKUP(tblMatriculas[[#This Row],[Cédula]]&amp;"|"&amp;tblMatriculas[[#This Row],[Código]],tblBase[Documento]&amp;"|"&amp;tblBase[Código grupo],tblBase[Fecha matrícula],"")</f>
        <v>46262</v>
      </c>
    </row>
    <row r="2068" spans="1:26" x14ac:dyDescent="0.2">
      <c r="A2068" t="s">
        <v>4288</v>
      </c>
      <c r="B2068" t="s">
        <v>4289</v>
      </c>
      <c r="C2068" t="s">
        <v>13</v>
      </c>
      <c r="D2068" t="s">
        <v>4247</v>
      </c>
      <c r="E2068" t="s">
        <v>4248</v>
      </c>
      <c r="F2068" t="s">
        <v>516</v>
      </c>
      <c r="G2068" s="1">
        <v>6.7000000000000004E-2</v>
      </c>
      <c r="H2068" t="s">
        <v>166</v>
      </c>
      <c r="I2068" t="s">
        <v>3833</v>
      </c>
      <c r="J2068" t="s">
        <v>4249</v>
      </c>
      <c r="K2068" t="s">
        <v>24</v>
      </c>
      <c r="L2068" s="14">
        <f>IFERROR(VALUE(LEFT(tblMatriculas[[#This Row],[Clases]],FIND("/",tblMatriculas[[#This Row],[Clases]])-1)),"")</f>
        <v>2</v>
      </c>
      <c r="M2068" s="14">
        <f>IFERROR(VALUE(MID(tblMatriculas[[#This Row],[Clases]],FIND("/",tblMatriculas[[#This Row],[Clases]])+1,5)),"")</f>
        <v>30</v>
      </c>
      <c r="N206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8" s="14">
        <f>IF(OR(tblMatriculas[[#This Row],[Estado]]&lt;&gt;"activa",tblMatriculas[[#This Row],[Clases dictadas]]=""),"",MAX(0,tblMatriculas[[#This Row],[Clases dictadas]]-tblMatriculas[[#This Row],[Asistidas]]))</f>
        <v>0</v>
      </c>
      <c r="P2068" s="1">
        <f>IF(OR(tblMatriculas[[#This Row],[Estado]]&lt;&gt;"activa",tblMatriculas[[#This Row],[Asistidas]]=""),"",tblMatriculas[[#This Row],[Asistencia]])</f>
        <v>6.7000000000000004E-2</v>
      </c>
      <c r="Q2068" t="b">
        <f>AND(tblMatriculas[[#This Row],[Estado]]="activa",ISNUMBER(tblMatriculas[[#This Row],[% asistencia]]),NOT(ISNUMBER(SEARCH(pPrueba,tblMatriculas[[#This Row],[Nombre]]))))</f>
        <v>1</v>
      </c>
      <c r="R206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8" s="23" t="str" cm="1">
        <f t="array" ref="S206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8" s="23" t="str" cm="1">
        <f t="array" ref="T206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8" s="14" t="str" cm="1">
        <f t="array" ref="U206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8" t="str" cm="1">
        <f t="array" ref="V206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8" t="str" cm="1">
        <f t="array" ref="W206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8" t="str">
        <f>IF(COUNTIFS('Base Estudiantes'!$C:$C,tblMatriculas[[#This Row],[Cédula]],'Base Estudiantes'!$I:$I,tblMatriculas[[#This Row],[Código]])&gt;0,"Sí","No")</f>
        <v>Sí</v>
      </c>
      <c r="Z2068" s="23" cm="1">
        <f t="array" ref="Z2068">_xlfn.XLOOKUP(tblMatriculas[[#This Row],[Cédula]]&amp;"|"&amp;tblMatriculas[[#This Row],[Código]],tblBase[Documento]&amp;"|"&amp;tblBase[Código grupo],tblBase[Fecha matrícula],"")</f>
        <v>46262</v>
      </c>
    </row>
    <row r="2069" spans="1:26" x14ac:dyDescent="0.2">
      <c r="A2069" t="s">
        <v>4290</v>
      </c>
      <c r="B2069" t="s">
        <v>4291</v>
      </c>
      <c r="C2069" t="s">
        <v>13</v>
      </c>
      <c r="D2069" t="s">
        <v>4247</v>
      </c>
      <c r="E2069" t="s">
        <v>4248</v>
      </c>
      <c r="F2069" t="s">
        <v>516</v>
      </c>
      <c r="G2069" s="1">
        <v>6.7000000000000004E-2</v>
      </c>
      <c r="H2069" t="s">
        <v>166</v>
      </c>
      <c r="I2069" t="s">
        <v>3833</v>
      </c>
      <c r="J2069" t="s">
        <v>4249</v>
      </c>
      <c r="K2069" t="s">
        <v>24</v>
      </c>
      <c r="L2069" s="14">
        <f>IFERROR(VALUE(LEFT(tblMatriculas[[#This Row],[Clases]],FIND("/",tblMatriculas[[#This Row],[Clases]])-1)),"")</f>
        <v>2</v>
      </c>
      <c r="M2069" s="14">
        <f>IFERROR(VALUE(MID(tblMatriculas[[#This Row],[Clases]],FIND("/",tblMatriculas[[#This Row],[Clases]])+1,5)),"")</f>
        <v>30</v>
      </c>
      <c r="N206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69" s="14">
        <f>IF(OR(tblMatriculas[[#This Row],[Estado]]&lt;&gt;"activa",tblMatriculas[[#This Row],[Clases dictadas]]=""),"",MAX(0,tblMatriculas[[#This Row],[Clases dictadas]]-tblMatriculas[[#This Row],[Asistidas]]))</f>
        <v>0</v>
      </c>
      <c r="P2069" s="1">
        <f>IF(OR(tblMatriculas[[#This Row],[Estado]]&lt;&gt;"activa",tblMatriculas[[#This Row],[Asistidas]]=""),"",tblMatriculas[[#This Row],[Asistencia]])</f>
        <v>6.7000000000000004E-2</v>
      </c>
      <c r="Q2069" t="b">
        <f>AND(tblMatriculas[[#This Row],[Estado]]="activa",ISNUMBER(tblMatriculas[[#This Row],[% asistencia]]),NOT(ISNUMBER(SEARCH(pPrueba,tblMatriculas[[#This Row],[Nombre]]))))</f>
        <v>1</v>
      </c>
      <c r="R206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69" s="23" t="str" cm="1">
        <f t="array" ref="S206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69" s="23" t="str" cm="1">
        <f t="array" ref="T206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69" s="14" t="str" cm="1">
        <f t="array" ref="U206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69" t="str" cm="1">
        <f t="array" ref="V206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69" t="str" cm="1">
        <f t="array" ref="W206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6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69" t="str">
        <f>IF(COUNTIFS('Base Estudiantes'!$C:$C,tblMatriculas[[#This Row],[Cédula]],'Base Estudiantes'!$I:$I,tblMatriculas[[#This Row],[Código]])&gt;0,"Sí","No")</f>
        <v>Sí</v>
      </c>
      <c r="Z2069" s="23" cm="1">
        <f t="array" ref="Z2069">_xlfn.XLOOKUP(tblMatriculas[[#This Row],[Cédula]]&amp;"|"&amp;tblMatriculas[[#This Row],[Código]],tblBase[Documento]&amp;"|"&amp;tblBase[Código grupo],tblBase[Fecha matrícula],"")</f>
        <v>46262</v>
      </c>
    </row>
    <row r="2070" spans="1:26" x14ac:dyDescent="0.2">
      <c r="A2070" t="s">
        <v>4292</v>
      </c>
      <c r="B2070" t="s">
        <v>4293</v>
      </c>
      <c r="C2070" t="s">
        <v>13</v>
      </c>
      <c r="D2070" t="s">
        <v>4247</v>
      </c>
      <c r="E2070" t="s">
        <v>4248</v>
      </c>
      <c r="F2070" t="s">
        <v>516</v>
      </c>
      <c r="G2070" s="1">
        <v>3.3000000000000002E-2</v>
      </c>
      <c r="H2070" t="s">
        <v>225</v>
      </c>
      <c r="I2070" t="s">
        <v>3833</v>
      </c>
      <c r="J2070" t="s">
        <v>4249</v>
      </c>
      <c r="K2070" t="s">
        <v>24</v>
      </c>
      <c r="L2070" s="14">
        <f>IFERROR(VALUE(LEFT(tblMatriculas[[#This Row],[Clases]],FIND("/",tblMatriculas[[#This Row],[Clases]])-1)),"")</f>
        <v>1</v>
      </c>
      <c r="M2070" s="14">
        <f>IFERROR(VALUE(MID(tblMatriculas[[#This Row],[Clases]],FIND("/",tblMatriculas[[#This Row],[Clases]])+1,5)),"")</f>
        <v>30</v>
      </c>
      <c r="N207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0" s="14">
        <f>IF(OR(tblMatriculas[[#This Row],[Estado]]&lt;&gt;"activa",tblMatriculas[[#This Row],[Clases dictadas]]=""),"",MAX(0,tblMatriculas[[#This Row],[Clases dictadas]]-tblMatriculas[[#This Row],[Asistidas]]))</f>
        <v>1</v>
      </c>
      <c r="P2070" s="1">
        <f>IF(OR(tblMatriculas[[#This Row],[Estado]]&lt;&gt;"activa",tblMatriculas[[#This Row],[Asistidas]]=""),"",tblMatriculas[[#This Row],[Asistencia]])</f>
        <v>3.3000000000000002E-2</v>
      </c>
      <c r="Q2070" t="b">
        <f>AND(tblMatriculas[[#This Row],[Estado]]="activa",ISNUMBER(tblMatriculas[[#This Row],[% asistencia]]),NOT(ISNUMBER(SEARCH(pPrueba,tblMatriculas[[#This Row],[Nombre]]))))</f>
        <v>1</v>
      </c>
      <c r="R207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70" s="23" t="str" cm="1">
        <f t="array" ref="S207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0" s="23" t="str" cm="1">
        <f t="array" ref="T207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0" s="14" t="str" cm="1">
        <f t="array" ref="U207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0" t="str" cm="1">
        <f t="array" ref="V207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0" t="str" cm="1">
        <f t="array" ref="W207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7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70" t="str">
        <f>IF(COUNTIFS('Base Estudiantes'!$C:$C,tblMatriculas[[#This Row],[Cédula]],'Base Estudiantes'!$I:$I,tblMatriculas[[#This Row],[Código]])&gt;0,"Sí","No")</f>
        <v>Sí</v>
      </c>
      <c r="Z2070" s="23" cm="1">
        <f t="array" ref="Z2070">_xlfn.XLOOKUP(tblMatriculas[[#This Row],[Cédula]]&amp;"|"&amp;tblMatriculas[[#This Row],[Código]],tblBase[Documento]&amp;"|"&amp;tblBase[Código grupo],tblBase[Fecha matrícula],"")</f>
        <v>46262</v>
      </c>
    </row>
    <row r="2071" spans="1:26" x14ac:dyDescent="0.2">
      <c r="A2071" t="s">
        <v>4294</v>
      </c>
      <c r="B2071" t="s">
        <v>4295</v>
      </c>
      <c r="C2071" t="s">
        <v>49</v>
      </c>
      <c r="D2071" t="s">
        <v>4247</v>
      </c>
      <c r="E2071" t="s">
        <v>4248</v>
      </c>
      <c r="F2071" t="s">
        <v>516</v>
      </c>
      <c r="G2071" s="1">
        <v>0</v>
      </c>
      <c r="H2071" t="s">
        <v>254</v>
      </c>
      <c r="I2071" t="s">
        <v>3833</v>
      </c>
      <c r="J2071" t="s">
        <v>4249</v>
      </c>
      <c r="K2071" t="s">
        <v>24</v>
      </c>
      <c r="L2071" s="14">
        <f>IFERROR(VALUE(LEFT(tblMatriculas[[#This Row],[Clases]],FIND("/",tblMatriculas[[#This Row],[Clases]])-1)),"")</f>
        <v>0</v>
      </c>
      <c r="M2071" s="14">
        <f>IFERROR(VALUE(MID(tblMatriculas[[#This Row],[Clases]],FIND("/",tblMatriculas[[#This Row],[Clases]])+1,5)),"")</f>
        <v>30</v>
      </c>
      <c r="N207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1" s="14" t="str">
        <f>IF(OR(tblMatriculas[[#This Row],[Estado]]&lt;&gt;"activa",tblMatriculas[[#This Row],[Clases dictadas]]=""),"",MAX(0,tblMatriculas[[#This Row],[Clases dictadas]]-tblMatriculas[[#This Row],[Asistidas]]))</f>
        <v/>
      </c>
      <c r="P2071" s="1" t="str">
        <f>IF(OR(tblMatriculas[[#This Row],[Estado]]&lt;&gt;"activa",tblMatriculas[[#This Row],[Asistidas]]=""),"",tblMatriculas[[#This Row],[Asistencia]])</f>
        <v/>
      </c>
      <c r="Q2071" t="b">
        <f>AND(tblMatriculas[[#This Row],[Estado]]="activa",ISNUMBER(tblMatriculas[[#This Row],[% asistencia]]),NOT(ISNUMBER(SEARCH(pPrueba,tblMatriculas[[#This Row],[Nombre]]))))</f>
        <v>0</v>
      </c>
      <c r="R207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071" s="23" t="str" cm="1">
        <f t="array" ref="S207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1" s="23" t="str" cm="1">
        <f t="array" ref="T207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1" s="14" t="str" cm="1">
        <f t="array" ref="U207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1" t="str" cm="1">
        <f t="array" ref="V207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1" t="str" cm="1">
        <f t="array" ref="W207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7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71" t="str">
        <f>IF(COUNTIFS('Base Estudiantes'!$C:$C,tblMatriculas[[#This Row],[Cédula]],'Base Estudiantes'!$I:$I,tblMatriculas[[#This Row],[Código]])&gt;0,"Sí","No")</f>
        <v>No</v>
      </c>
      <c r="Z2071" s="23" t="str" cm="1">
        <f t="array" ref="Z2071">_xlfn.XLOOKUP(tblMatriculas[[#This Row],[Cédula]]&amp;"|"&amp;tblMatriculas[[#This Row],[Código]],tblBase[Documento]&amp;"|"&amp;tblBase[Código grupo],tblBase[Fecha matrícula],"")</f>
        <v/>
      </c>
    </row>
    <row r="2072" spans="1:26" x14ac:dyDescent="0.2">
      <c r="A2072" t="s">
        <v>4296</v>
      </c>
      <c r="B2072" t="s">
        <v>4297</v>
      </c>
      <c r="C2072" t="s">
        <v>13</v>
      </c>
      <c r="D2072" t="s">
        <v>4247</v>
      </c>
      <c r="E2072" t="s">
        <v>4248</v>
      </c>
      <c r="F2072" t="s">
        <v>516</v>
      </c>
      <c r="G2072" s="1">
        <v>6.7000000000000004E-2</v>
      </c>
      <c r="H2072" t="s">
        <v>166</v>
      </c>
      <c r="I2072" t="s">
        <v>3833</v>
      </c>
      <c r="J2072" t="s">
        <v>4249</v>
      </c>
      <c r="K2072" t="s">
        <v>24</v>
      </c>
      <c r="L2072" s="14">
        <f>IFERROR(VALUE(LEFT(tblMatriculas[[#This Row],[Clases]],FIND("/",tblMatriculas[[#This Row],[Clases]])-1)),"")</f>
        <v>2</v>
      </c>
      <c r="M2072" s="14">
        <f>IFERROR(VALUE(MID(tblMatriculas[[#This Row],[Clases]],FIND("/",tblMatriculas[[#This Row],[Clases]])+1,5)),"")</f>
        <v>30</v>
      </c>
      <c r="N207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2" s="14">
        <f>IF(OR(tblMatriculas[[#This Row],[Estado]]&lt;&gt;"activa",tblMatriculas[[#This Row],[Clases dictadas]]=""),"",MAX(0,tblMatriculas[[#This Row],[Clases dictadas]]-tblMatriculas[[#This Row],[Asistidas]]))</f>
        <v>0</v>
      </c>
      <c r="P2072" s="1">
        <f>IF(OR(tblMatriculas[[#This Row],[Estado]]&lt;&gt;"activa",tblMatriculas[[#This Row],[Asistidas]]=""),"",tblMatriculas[[#This Row],[Asistencia]])</f>
        <v>6.7000000000000004E-2</v>
      </c>
      <c r="Q2072" t="b">
        <f>AND(tblMatriculas[[#This Row],[Estado]]="activa",ISNUMBER(tblMatriculas[[#This Row],[% asistencia]]),NOT(ISNUMBER(SEARCH(pPrueba,tblMatriculas[[#This Row],[Nombre]]))))</f>
        <v>1</v>
      </c>
      <c r="R207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72" s="23" t="str" cm="1">
        <f t="array" ref="S207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2" s="23" t="str" cm="1">
        <f t="array" ref="T207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2" s="14" t="str" cm="1">
        <f t="array" ref="U207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2" t="str" cm="1">
        <f t="array" ref="V207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2" t="str" cm="1">
        <f t="array" ref="W207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7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72" t="str">
        <f>IF(COUNTIFS('Base Estudiantes'!$C:$C,tblMatriculas[[#This Row],[Cédula]],'Base Estudiantes'!$I:$I,tblMatriculas[[#This Row],[Código]])&gt;0,"Sí","No")</f>
        <v>Sí</v>
      </c>
      <c r="Z2072" s="23" cm="1">
        <f t="array" ref="Z2072">_xlfn.XLOOKUP(tblMatriculas[[#This Row],[Cédula]]&amp;"|"&amp;tblMatriculas[[#This Row],[Código]],tblBase[Documento]&amp;"|"&amp;tblBase[Código grupo],tblBase[Fecha matrícula],"")</f>
        <v>46262</v>
      </c>
    </row>
    <row r="2073" spans="1:26" x14ac:dyDescent="0.2">
      <c r="A2073" t="s">
        <v>4298</v>
      </c>
      <c r="B2073" t="s">
        <v>4299</v>
      </c>
      <c r="C2073" t="s">
        <v>13</v>
      </c>
      <c r="D2073" t="s">
        <v>4247</v>
      </c>
      <c r="E2073" t="s">
        <v>4248</v>
      </c>
      <c r="F2073" t="s">
        <v>516</v>
      </c>
      <c r="G2073" s="1">
        <v>6.7000000000000004E-2</v>
      </c>
      <c r="H2073" t="s">
        <v>166</v>
      </c>
      <c r="I2073" t="s">
        <v>3833</v>
      </c>
      <c r="J2073" t="s">
        <v>4249</v>
      </c>
      <c r="K2073" t="s">
        <v>24</v>
      </c>
      <c r="L2073" s="14">
        <f>IFERROR(VALUE(LEFT(tblMatriculas[[#This Row],[Clases]],FIND("/",tblMatriculas[[#This Row],[Clases]])-1)),"")</f>
        <v>2</v>
      </c>
      <c r="M2073" s="14">
        <f>IFERROR(VALUE(MID(tblMatriculas[[#This Row],[Clases]],FIND("/",tblMatriculas[[#This Row],[Clases]])+1,5)),"")</f>
        <v>30</v>
      </c>
      <c r="N207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3" s="14">
        <f>IF(OR(tblMatriculas[[#This Row],[Estado]]&lt;&gt;"activa",tblMatriculas[[#This Row],[Clases dictadas]]=""),"",MAX(0,tblMatriculas[[#This Row],[Clases dictadas]]-tblMatriculas[[#This Row],[Asistidas]]))</f>
        <v>0</v>
      </c>
      <c r="P2073" s="1">
        <f>IF(OR(tblMatriculas[[#This Row],[Estado]]&lt;&gt;"activa",tblMatriculas[[#This Row],[Asistidas]]=""),"",tblMatriculas[[#This Row],[Asistencia]])</f>
        <v>6.7000000000000004E-2</v>
      </c>
      <c r="Q2073" t="b">
        <f>AND(tblMatriculas[[#This Row],[Estado]]="activa",ISNUMBER(tblMatriculas[[#This Row],[% asistencia]]),NOT(ISNUMBER(SEARCH(pPrueba,tblMatriculas[[#This Row],[Nombre]]))))</f>
        <v>1</v>
      </c>
      <c r="R207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73" s="23" t="str" cm="1">
        <f t="array" ref="S207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3" s="23" t="str" cm="1">
        <f t="array" ref="T207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3" s="14" t="str" cm="1">
        <f t="array" ref="U207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3" t="str" cm="1">
        <f t="array" ref="V207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3" t="str" cm="1">
        <f t="array" ref="W207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7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73" t="str">
        <f>IF(COUNTIFS('Base Estudiantes'!$C:$C,tblMatriculas[[#This Row],[Cédula]],'Base Estudiantes'!$I:$I,tblMatriculas[[#This Row],[Código]])&gt;0,"Sí","No")</f>
        <v>Sí</v>
      </c>
      <c r="Z2073" s="23" cm="1">
        <f t="array" ref="Z2073">_xlfn.XLOOKUP(tblMatriculas[[#This Row],[Cédula]]&amp;"|"&amp;tblMatriculas[[#This Row],[Código]],tblBase[Documento]&amp;"|"&amp;tblBase[Código grupo],tblBase[Fecha matrícula],"")</f>
        <v>46262</v>
      </c>
    </row>
    <row r="2074" spans="1:26" x14ac:dyDescent="0.2">
      <c r="A2074" t="s">
        <v>4300</v>
      </c>
      <c r="B2074" t="s">
        <v>4301</v>
      </c>
      <c r="C2074" t="s">
        <v>13</v>
      </c>
      <c r="D2074" t="s">
        <v>4247</v>
      </c>
      <c r="E2074" t="s">
        <v>4248</v>
      </c>
      <c r="F2074" t="s">
        <v>516</v>
      </c>
      <c r="G2074" s="1">
        <v>6.7000000000000004E-2</v>
      </c>
      <c r="H2074" t="s">
        <v>166</v>
      </c>
      <c r="I2074" t="s">
        <v>3833</v>
      </c>
      <c r="J2074" t="s">
        <v>4249</v>
      </c>
      <c r="K2074" t="s">
        <v>24</v>
      </c>
      <c r="L2074" s="14">
        <f>IFERROR(VALUE(LEFT(tblMatriculas[[#This Row],[Clases]],FIND("/",tblMatriculas[[#This Row],[Clases]])-1)),"")</f>
        <v>2</v>
      </c>
      <c r="M2074" s="14">
        <f>IFERROR(VALUE(MID(tblMatriculas[[#This Row],[Clases]],FIND("/",tblMatriculas[[#This Row],[Clases]])+1,5)),"")</f>
        <v>30</v>
      </c>
      <c r="N207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4" s="14">
        <f>IF(OR(tblMatriculas[[#This Row],[Estado]]&lt;&gt;"activa",tblMatriculas[[#This Row],[Clases dictadas]]=""),"",MAX(0,tblMatriculas[[#This Row],[Clases dictadas]]-tblMatriculas[[#This Row],[Asistidas]]))</f>
        <v>0</v>
      </c>
      <c r="P2074" s="1">
        <f>IF(OR(tblMatriculas[[#This Row],[Estado]]&lt;&gt;"activa",tblMatriculas[[#This Row],[Asistidas]]=""),"",tblMatriculas[[#This Row],[Asistencia]])</f>
        <v>6.7000000000000004E-2</v>
      </c>
      <c r="Q2074" t="b">
        <f>AND(tblMatriculas[[#This Row],[Estado]]="activa",ISNUMBER(tblMatriculas[[#This Row],[% asistencia]]),NOT(ISNUMBER(SEARCH(pPrueba,tblMatriculas[[#This Row],[Nombre]]))))</f>
        <v>1</v>
      </c>
      <c r="R207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74" s="23" t="str" cm="1">
        <f t="array" ref="S207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4" s="23" t="str" cm="1">
        <f t="array" ref="T207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4" s="14" t="str" cm="1">
        <f t="array" ref="U207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4" t="str" cm="1">
        <f t="array" ref="V207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4" t="str" cm="1">
        <f t="array" ref="W207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7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74" t="str">
        <f>IF(COUNTIFS('Base Estudiantes'!$C:$C,tblMatriculas[[#This Row],[Cédula]],'Base Estudiantes'!$I:$I,tblMatriculas[[#This Row],[Código]])&gt;0,"Sí","No")</f>
        <v>Sí</v>
      </c>
      <c r="Z2074" s="23" cm="1">
        <f t="array" ref="Z2074">_xlfn.XLOOKUP(tblMatriculas[[#This Row],[Cédula]]&amp;"|"&amp;tblMatriculas[[#This Row],[Código]],tblBase[Documento]&amp;"|"&amp;tblBase[Código grupo],tblBase[Fecha matrícula],"")</f>
        <v>46262</v>
      </c>
    </row>
    <row r="2075" spans="1:26" x14ac:dyDescent="0.2">
      <c r="A2075" t="s">
        <v>4302</v>
      </c>
      <c r="B2075" t="s">
        <v>4303</v>
      </c>
      <c r="C2075" t="s">
        <v>13</v>
      </c>
      <c r="D2075" t="s">
        <v>4247</v>
      </c>
      <c r="E2075" t="s">
        <v>4248</v>
      </c>
      <c r="F2075" t="s">
        <v>516</v>
      </c>
      <c r="G2075" s="1">
        <v>0</v>
      </c>
      <c r="H2075" t="s">
        <v>254</v>
      </c>
      <c r="I2075" t="s">
        <v>3833</v>
      </c>
      <c r="J2075" t="s">
        <v>4249</v>
      </c>
      <c r="K2075" t="s">
        <v>24</v>
      </c>
      <c r="L2075" s="14">
        <f>IFERROR(VALUE(LEFT(tblMatriculas[[#This Row],[Clases]],FIND("/",tblMatriculas[[#This Row],[Clases]])-1)),"")</f>
        <v>0</v>
      </c>
      <c r="M2075" s="14">
        <f>IFERROR(VALUE(MID(tblMatriculas[[#This Row],[Clases]],FIND("/",tblMatriculas[[#This Row],[Clases]])+1,5)),"")</f>
        <v>30</v>
      </c>
      <c r="N207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5" s="14">
        <f>IF(OR(tblMatriculas[[#This Row],[Estado]]&lt;&gt;"activa",tblMatriculas[[#This Row],[Clases dictadas]]=""),"",MAX(0,tblMatriculas[[#This Row],[Clases dictadas]]-tblMatriculas[[#This Row],[Asistidas]]))</f>
        <v>2</v>
      </c>
      <c r="P2075" s="1">
        <f>IF(OR(tblMatriculas[[#This Row],[Estado]]&lt;&gt;"activa",tblMatriculas[[#This Row],[Asistidas]]=""),"",tblMatriculas[[#This Row],[Asistencia]])</f>
        <v>0</v>
      </c>
      <c r="Q2075" t="b">
        <f>AND(tblMatriculas[[#This Row],[Estado]]="activa",ISNUMBER(tblMatriculas[[#This Row],[% asistencia]]),NOT(ISNUMBER(SEARCH(pPrueba,tblMatriculas[[#This Row],[Nombre]]))))</f>
        <v>1</v>
      </c>
      <c r="R207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75" s="23" t="str" cm="1">
        <f t="array" ref="S207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5" s="23" t="str" cm="1">
        <f t="array" ref="T207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5" s="14" t="str" cm="1">
        <f t="array" ref="U207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5" t="str" cm="1">
        <f t="array" ref="V207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5" t="str" cm="1">
        <f t="array" ref="W207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7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75" t="str">
        <f>IF(COUNTIFS('Base Estudiantes'!$C:$C,tblMatriculas[[#This Row],[Cédula]],'Base Estudiantes'!$I:$I,tblMatriculas[[#This Row],[Código]])&gt;0,"Sí","No")</f>
        <v>Sí</v>
      </c>
      <c r="Z2075" s="23" cm="1">
        <f t="array" ref="Z2075">_xlfn.XLOOKUP(tblMatriculas[[#This Row],[Cédula]]&amp;"|"&amp;tblMatriculas[[#This Row],[Código]],tblBase[Documento]&amp;"|"&amp;tblBase[Código grupo],tblBase[Fecha matrícula],"")</f>
        <v>46262</v>
      </c>
    </row>
    <row r="2076" spans="1:26" x14ac:dyDescent="0.2">
      <c r="A2076" t="s">
        <v>4304</v>
      </c>
      <c r="B2076" t="s">
        <v>4305</v>
      </c>
      <c r="C2076" t="s">
        <v>13</v>
      </c>
      <c r="D2076" t="s">
        <v>4247</v>
      </c>
      <c r="E2076" t="s">
        <v>4248</v>
      </c>
      <c r="F2076" t="s">
        <v>516</v>
      </c>
      <c r="G2076" s="1">
        <v>3.3000000000000002E-2</v>
      </c>
      <c r="H2076" t="s">
        <v>225</v>
      </c>
      <c r="I2076" t="s">
        <v>3833</v>
      </c>
      <c r="J2076" t="s">
        <v>4249</v>
      </c>
      <c r="K2076" t="s">
        <v>24</v>
      </c>
      <c r="L2076" s="14">
        <f>IFERROR(VALUE(LEFT(tblMatriculas[[#This Row],[Clases]],FIND("/",tblMatriculas[[#This Row],[Clases]])-1)),"")</f>
        <v>1</v>
      </c>
      <c r="M2076" s="14">
        <f>IFERROR(VALUE(MID(tblMatriculas[[#This Row],[Clases]],FIND("/",tblMatriculas[[#This Row],[Clases]])+1,5)),"")</f>
        <v>30</v>
      </c>
      <c r="N207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6" s="14">
        <f>IF(OR(tblMatriculas[[#This Row],[Estado]]&lt;&gt;"activa",tblMatriculas[[#This Row],[Clases dictadas]]=""),"",MAX(0,tblMatriculas[[#This Row],[Clases dictadas]]-tblMatriculas[[#This Row],[Asistidas]]))</f>
        <v>1</v>
      </c>
      <c r="P2076" s="1">
        <f>IF(OR(tblMatriculas[[#This Row],[Estado]]&lt;&gt;"activa",tblMatriculas[[#This Row],[Asistidas]]=""),"",tblMatriculas[[#This Row],[Asistencia]])</f>
        <v>3.3000000000000002E-2</v>
      </c>
      <c r="Q2076" t="b">
        <f>AND(tblMatriculas[[#This Row],[Estado]]="activa",ISNUMBER(tblMatriculas[[#This Row],[% asistencia]]),NOT(ISNUMBER(SEARCH(pPrueba,tblMatriculas[[#This Row],[Nombre]]))))</f>
        <v>1</v>
      </c>
      <c r="R207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76" s="23" t="str" cm="1">
        <f t="array" ref="S207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6" s="23" t="str" cm="1">
        <f t="array" ref="T207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6" s="14" t="str" cm="1">
        <f t="array" ref="U207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6" t="str" cm="1">
        <f t="array" ref="V207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6" t="str" cm="1">
        <f t="array" ref="W207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7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76" t="str">
        <f>IF(COUNTIFS('Base Estudiantes'!$C:$C,tblMatriculas[[#This Row],[Cédula]],'Base Estudiantes'!$I:$I,tblMatriculas[[#This Row],[Código]])&gt;0,"Sí","No")</f>
        <v>Sí</v>
      </c>
      <c r="Z2076" s="23" cm="1">
        <f t="array" ref="Z2076">_xlfn.XLOOKUP(tblMatriculas[[#This Row],[Cédula]]&amp;"|"&amp;tblMatriculas[[#This Row],[Código]],tblBase[Documento]&amp;"|"&amp;tblBase[Código grupo],tblBase[Fecha matrícula],"")</f>
        <v>46262</v>
      </c>
    </row>
    <row r="2077" spans="1:26" x14ac:dyDescent="0.2">
      <c r="A2077" t="s">
        <v>4306</v>
      </c>
      <c r="B2077" t="s">
        <v>4307</v>
      </c>
      <c r="C2077" t="s">
        <v>13</v>
      </c>
      <c r="D2077" t="s">
        <v>4247</v>
      </c>
      <c r="E2077" t="s">
        <v>4248</v>
      </c>
      <c r="F2077" t="s">
        <v>516</v>
      </c>
      <c r="G2077" s="1">
        <v>0</v>
      </c>
      <c r="H2077" t="s">
        <v>254</v>
      </c>
      <c r="I2077" t="s">
        <v>3833</v>
      </c>
      <c r="J2077" t="s">
        <v>4249</v>
      </c>
      <c r="K2077" t="s">
        <v>24</v>
      </c>
      <c r="L2077" s="14">
        <f>IFERROR(VALUE(LEFT(tblMatriculas[[#This Row],[Clases]],FIND("/",tblMatriculas[[#This Row],[Clases]])-1)),"")</f>
        <v>0</v>
      </c>
      <c r="M2077" s="14">
        <f>IFERROR(VALUE(MID(tblMatriculas[[#This Row],[Clases]],FIND("/",tblMatriculas[[#This Row],[Clases]])+1,5)),"")</f>
        <v>30</v>
      </c>
      <c r="N207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7" s="14">
        <f>IF(OR(tblMatriculas[[#This Row],[Estado]]&lt;&gt;"activa",tblMatriculas[[#This Row],[Clases dictadas]]=""),"",MAX(0,tblMatriculas[[#This Row],[Clases dictadas]]-tblMatriculas[[#This Row],[Asistidas]]))</f>
        <v>2</v>
      </c>
      <c r="P2077" s="1">
        <f>IF(OR(tblMatriculas[[#This Row],[Estado]]&lt;&gt;"activa",tblMatriculas[[#This Row],[Asistidas]]=""),"",tblMatriculas[[#This Row],[Asistencia]])</f>
        <v>0</v>
      </c>
      <c r="Q2077" t="b">
        <f>AND(tblMatriculas[[#This Row],[Estado]]="activa",ISNUMBER(tblMatriculas[[#This Row],[% asistencia]]),NOT(ISNUMBER(SEARCH(pPrueba,tblMatriculas[[#This Row],[Nombre]]))))</f>
        <v>1</v>
      </c>
      <c r="R207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77" s="23" t="str" cm="1">
        <f t="array" ref="S207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7" s="23" t="str" cm="1">
        <f t="array" ref="T207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7" s="14" t="str" cm="1">
        <f t="array" ref="U207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7" t="str" cm="1">
        <f t="array" ref="V207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7" t="str" cm="1">
        <f t="array" ref="W207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7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77" t="str">
        <f>IF(COUNTIFS('Base Estudiantes'!$C:$C,tblMatriculas[[#This Row],[Cédula]],'Base Estudiantes'!$I:$I,tblMatriculas[[#This Row],[Código]])&gt;0,"Sí","No")</f>
        <v>Sí</v>
      </c>
      <c r="Z2077" s="23" cm="1">
        <f t="array" ref="Z2077">_xlfn.XLOOKUP(tblMatriculas[[#This Row],[Cédula]]&amp;"|"&amp;tblMatriculas[[#This Row],[Código]],tblBase[Documento]&amp;"|"&amp;tblBase[Código grupo],tblBase[Fecha matrícula],"")</f>
        <v>46262</v>
      </c>
    </row>
    <row r="2078" spans="1:26" x14ac:dyDescent="0.2">
      <c r="A2078" t="s">
        <v>4308</v>
      </c>
      <c r="B2078" t="s">
        <v>4309</v>
      </c>
      <c r="C2078" t="s">
        <v>13</v>
      </c>
      <c r="D2078" t="s">
        <v>4247</v>
      </c>
      <c r="E2078" t="s">
        <v>4248</v>
      </c>
      <c r="F2078" t="s">
        <v>516</v>
      </c>
      <c r="G2078" s="1">
        <v>6.7000000000000004E-2</v>
      </c>
      <c r="H2078" t="s">
        <v>166</v>
      </c>
      <c r="I2078" t="s">
        <v>3833</v>
      </c>
      <c r="J2078" t="s">
        <v>4249</v>
      </c>
      <c r="K2078" t="s">
        <v>24</v>
      </c>
      <c r="L2078" s="14">
        <f>IFERROR(VALUE(LEFT(tblMatriculas[[#This Row],[Clases]],FIND("/",tblMatriculas[[#This Row],[Clases]])-1)),"")</f>
        <v>2</v>
      </c>
      <c r="M2078" s="14">
        <f>IFERROR(VALUE(MID(tblMatriculas[[#This Row],[Clases]],FIND("/",tblMatriculas[[#This Row],[Clases]])+1,5)),"")</f>
        <v>30</v>
      </c>
      <c r="N207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8" s="14">
        <f>IF(OR(tblMatriculas[[#This Row],[Estado]]&lt;&gt;"activa",tblMatriculas[[#This Row],[Clases dictadas]]=""),"",MAX(0,tblMatriculas[[#This Row],[Clases dictadas]]-tblMatriculas[[#This Row],[Asistidas]]))</f>
        <v>0</v>
      </c>
      <c r="P2078" s="1">
        <f>IF(OR(tblMatriculas[[#This Row],[Estado]]&lt;&gt;"activa",tblMatriculas[[#This Row],[Asistidas]]=""),"",tblMatriculas[[#This Row],[Asistencia]])</f>
        <v>6.7000000000000004E-2</v>
      </c>
      <c r="Q2078" t="b">
        <f>AND(tblMatriculas[[#This Row],[Estado]]="activa",ISNUMBER(tblMatriculas[[#This Row],[% asistencia]]),NOT(ISNUMBER(SEARCH(pPrueba,tblMatriculas[[#This Row],[Nombre]]))))</f>
        <v>1</v>
      </c>
      <c r="R207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78" s="23" t="str" cm="1">
        <f t="array" ref="S207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8" s="23" t="str" cm="1">
        <f t="array" ref="T207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8" s="14" t="str" cm="1">
        <f t="array" ref="U207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8" t="str" cm="1">
        <f t="array" ref="V207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8" t="str" cm="1">
        <f t="array" ref="W207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7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78" t="str">
        <f>IF(COUNTIFS('Base Estudiantes'!$C:$C,tblMatriculas[[#This Row],[Cédula]],'Base Estudiantes'!$I:$I,tblMatriculas[[#This Row],[Código]])&gt;0,"Sí","No")</f>
        <v>Sí</v>
      </c>
      <c r="Z2078" s="23" cm="1">
        <f t="array" ref="Z2078">_xlfn.XLOOKUP(tblMatriculas[[#This Row],[Cédula]]&amp;"|"&amp;tblMatriculas[[#This Row],[Código]],tblBase[Documento]&amp;"|"&amp;tblBase[Código grupo],tblBase[Fecha matrícula],"")</f>
        <v>46262</v>
      </c>
    </row>
    <row r="2079" spans="1:26" x14ac:dyDescent="0.2">
      <c r="A2079" t="s">
        <v>4310</v>
      </c>
      <c r="B2079" t="s">
        <v>4311</v>
      </c>
      <c r="C2079" t="s">
        <v>49</v>
      </c>
      <c r="D2079" t="s">
        <v>4247</v>
      </c>
      <c r="E2079" t="s">
        <v>4248</v>
      </c>
      <c r="F2079" t="s">
        <v>516</v>
      </c>
      <c r="G2079" s="1">
        <v>0</v>
      </c>
      <c r="H2079" t="s">
        <v>254</v>
      </c>
      <c r="I2079" t="s">
        <v>3833</v>
      </c>
      <c r="J2079" t="s">
        <v>4249</v>
      </c>
      <c r="K2079" t="s">
        <v>24</v>
      </c>
      <c r="L2079" s="14">
        <f>IFERROR(VALUE(LEFT(tblMatriculas[[#This Row],[Clases]],FIND("/",tblMatriculas[[#This Row],[Clases]])-1)),"")</f>
        <v>0</v>
      </c>
      <c r="M2079" s="14">
        <f>IFERROR(VALUE(MID(tblMatriculas[[#This Row],[Clases]],FIND("/",tblMatriculas[[#This Row],[Clases]])+1,5)),"")</f>
        <v>30</v>
      </c>
      <c r="N207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79" s="14" t="str">
        <f>IF(OR(tblMatriculas[[#This Row],[Estado]]&lt;&gt;"activa",tblMatriculas[[#This Row],[Clases dictadas]]=""),"",MAX(0,tblMatriculas[[#This Row],[Clases dictadas]]-tblMatriculas[[#This Row],[Asistidas]]))</f>
        <v/>
      </c>
      <c r="P2079" s="1" t="str">
        <f>IF(OR(tblMatriculas[[#This Row],[Estado]]&lt;&gt;"activa",tblMatriculas[[#This Row],[Asistidas]]=""),"",tblMatriculas[[#This Row],[Asistencia]])</f>
        <v/>
      </c>
      <c r="Q2079" t="b">
        <f>AND(tblMatriculas[[#This Row],[Estado]]="activa",ISNUMBER(tblMatriculas[[#This Row],[% asistencia]]),NOT(ISNUMBER(SEARCH(pPrueba,tblMatriculas[[#This Row],[Nombre]]))))</f>
        <v>0</v>
      </c>
      <c r="R207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Retirado</v>
      </c>
      <c r="S2079" s="23" t="str" cm="1">
        <f t="array" ref="S207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79" s="23" t="str" cm="1">
        <f t="array" ref="T207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79" s="14" t="str" cm="1">
        <f t="array" ref="U207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79" t="str" cm="1">
        <f t="array" ref="V207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79" t="str" cm="1">
        <f t="array" ref="W207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7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79" t="str">
        <f>IF(COUNTIFS('Base Estudiantes'!$C:$C,tblMatriculas[[#This Row],[Cédula]],'Base Estudiantes'!$I:$I,tblMatriculas[[#This Row],[Código]])&gt;0,"Sí","No")</f>
        <v>No</v>
      </c>
      <c r="Z2079" s="23" t="str" cm="1">
        <f t="array" ref="Z2079">_xlfn.XLOOKUP(tblMatriculas[[#This Row],[Cédula]]&amp;"|"&amp;tblMatriculas[[#This Row],[Código]],tblBase[Documento]&amp;"|"&amp;tblBase[Código grupo],tblBase[Fecha matrícula],"")</f>
        <v/>
      </c>
    </row>
    <row r="2080" spans="1:26" x14ac:dyDescent="0.2">
      <c r="A2080" t="s">
        <v>4312</v>
      </c>
      <c r="B2080" t="s">
        <v>4313</v>
      </c>
      <c r="C2080" t="s">
        <v>13</v>
      </c>
      <c r="D2080" t="s">
        <v>4247</v>
      </c>
      <c r="E2080" t="s">
        <v>4248</v>
      </c>
      <c r="F2080" t="s">
        <v>516</v>
      </c>
      <c r="G2080" s="1">
        <v>0</v>
      </c>
      <c r="H2080" t="s">
        <v>254</v>
      </c>
      <c r="I2080" t="s">
        <v>3833</v>
      </c>
      <c r="J2080" t="s">
        <v>4249</v>
      </c>
      <c r="K2080" t="s">
        <v>24</v>
      </c>
      <c r="L2080" s="14">
        <f>IFERROR(VALUE(LEFT(tblMatriculas[[#This Row],[Clases]],FIND("/",tblMatriculas[[#This Row],[Clases]])-1)),"")</f>
        <v>0</v>
      </c>
      <c r="M2080" s="14">
        <f>IFERROR(VALUE(MID(tblMatriculas[[#This Row],[Clases]],FIND("/",tblMatriculas[[#This Row],[Clases]])+1,5)),"")</f>
        <v>30</v>
      </c>
      <c r="N208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0" s="14">
        <f>IF(OR(tblMatriculas[[#This Row],[Estado]]&lt;&gt;"activa",tblMatriculas[[#This Row],[Clases dictadas]]=""),"",MAX(0,tblMatriculas[[#This Row],[Clases dictadas]]-tblMatriculas[[#This Row],[Asistidas]]))</f>
        <v>2</v>
      </c>
      <c r="P2080" s="1">
        <f>IF(OR(tblMatriculas[[#This Row],[Estado]]&lt;&gt;"activa",tblMatriculas[[#This Row],[Asistidas]]=""),"",tblMatriculas[[#This Row],[Asistencia]])</f>
        <v>0</v>
      </c>
      <c r="Q2080" t="b">
        <f>AND(tblMatriculas[[#This Row],[Estado]]="activa",ISNUMBER(tblMatriculas[[#This Row],[% asistencia]]),NOT(ISNUMBER(SEARCH(pPrueba,tblMatriculas[[#This Row],[Nombre]]))))</f>
        <v>1</v>
      </c>
      <c r="R208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80" s="23" t="str" cm="1">
        <f t="array" ref="S208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0" s="23" t="str" cm="1">
        <f t="array" ref="T208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0" s="14" t="str" cm="1">
        <f t="array" ref="U208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0" t="str" cm="1">
        <f t="array" ref="V208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0" t="str" cm="1">
        <f t="array" ref="W208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8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80" t="str">
        <f>IF(COUNTIFS('Base Estudiantes'!$C:$C,tblMatriculas[[#This Row],[Cédula]],'Base Estudiantes'!$I:$I,tblMatriculas[[#This Row],[Código]])&gt;0,"Sí","No")</f>
        <v>Sí</v>
      </c>
      <c r="Z2080" s="23" cm="1">
        <f t="array" ref="Z2080">_xlfn.XLOOKUP(tblMatriculas[[#This Row],[Cédula]]&amp;"|"&amp;tblMatriculas[[#This Row],[Código]],tblBase[Documento]&amp;"|"&amp;tblBase[Código grupo],tblBase[Fecha matrícula],"")</f>
        <v>46262</v>
      </c>
    </row>
    <row r="2081" spans="1:26" x14ac:dyDescent="0.2">
      <c r="A2081" t="s">
        <v>4314</v>
      </c>
      <c r="B2081" t="s">
        <v>4315</v>
      </c>
      <c r="C2081" t="s">
        <v>13</v>
      </c>
      <c r="D2081" t="s">
        <v>4247</v>
      </c>
      <c r="E2081" t="s">
        <v>4248</v>
      </c>
      <c r="F2081" t="s">
        <v>516</v>
      </c>
      <c r="G2081" s="1">
        <v>0</v>
      </c>
      <c r="H2081" t="s">
        <v>254</v>
      </c>
      <c r="I2081" t="s">
        <v>3833</v>
      </c>
      <c r="J2081" t="s">
        <v>4249</v>
      </c>
      <c r="K2081" t="s">
        <v>24</v>
      </c>
      <c r="L2081" s="14">
        <f>IFERROR(VALUE(LEFT(tblMatriculas[[#This Row],[Clases]],FIND("/",tblMatriculas[[#This Row],[Clases]])-1)),"")</f>
        <v>0</v>
      </c>
      <c r="M2081" s="14">
        <f>IFERROR(VALUE(MID(tblMatriculas[[#This Row],[Clases]],FIND("/",tblMatriculas[[#This Row],[Clases]])+1,5)),"")</f>
        <v>30</v>
      </c>
      <c r="N208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1" s="14">
        <f>IF(OR(tblMatriculas[[#This Row],[Estado]]&lt;&gt;"activa",tblMatriculas[[#This Row],[Clases dictadas]]=""),"",MAX(0,tblMatriculas[[#This Row],[Clases dictadas]]-tblMatriculas[[#This Row],[Asistidas]]))</f>
        <v>2</v>
      </c>
      <c r="P2081" s="1">
        <f>IF(OR(tblMatriculas[[#This Row],[Estado]]&lt;&gt;"activa",tblMatriculas[[#This Row],[Asistidas]]=""),"",tblMatriculas[[#This Row],[Asistencia]])</f>
        <v>0</v>
      </c>
      <c r="Q2081" t="b">
        <f>AND(tblMatriculas[[#This Row],[Estado]]="activa",ISNUMBER(tblMatriculas[[#This Row],[% asistencia]]),NOT(ISNUMBER(SEARCH(pPrueba,tblMatriculas[[#This Row],[Nombre]]))))</f>
        <v>1</v>
      </c>
      <c r="R208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81" s="23" t="str" cm="1">
        <f t="array" ref="S208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1" s="23" t="str" cm="1">
        <f t="array" ref="T208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1" s="14" t="str" cm="1">
        <f t="array" ref="U208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1" t="str" cm="1">
        <f t="array" ref="V208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1" t="str" cm="1">
        <f t="array" ref="W208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8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81" t="str">
        <f>IF(COUNTIFS('Base Estudiantes'!$C:$C,tblMatriculas[[#This Row],[Cédula]],'Base Estudiantes'!$I:$I,tblMatriculas[[#This Row],[Código]])&gt;0,"Sí","No")</f>
        <v>Sí</v>
      </c>
      <c r="Z2081" s="23" cm="1">
        <f t="array" ref="Z2081">_xlfn.XLOOKUP(tblMatriculas[[#This Row],[Cédula]]&amp;"|"&amp;tblMatriculas[[#This Row],[Código]],tblBase[Documento]&amp;"|"&amp;tblBase[Código grupo],tblBase[Fecha matrícula],"")</f>
        <v>46262</v>
      </c>
    </row>
    <row r="2082" spans="1:26" x14ac:dyDescent="0.2">
      <c r="A2082" t="s">
        <v>4316</v>
      </c>
      <c r="B2082" t="s">
        <v>4317</v>
      </c>
      <c r="C2082" t="s">
        <v>13</v>
      </c>
      <c r="D2082" t="s">
        <v>4247</v>
      </c>
      <c r="E2082" t="s">
        <v>4248</v>
      </c>
      <c r="F2082" t="s">
        <v>516</v>
      </c>
      <c r="G2082" s="1">
        <v>6.7000000000000004E-2</v>
      </c>
      <c r="H2082" t="s">
        <v>166</v>
      </c>
      <c r="I2082" t="s">
        <v>3833</v>
      </c>
      <c r="J2082" t="s">
        <v>4249</v>
      </c>
      <c r="K2082" t="s">
        <v>24</v>
      </c>
      <c r="L2082" s="14">
        <f>IFERROR(VALUE(LEFT(tblMatriculas[[#This Row],[Clases]],FIND("/",tblMatriculas[[#This Row],[Clases]])-1)),"")</f>
        <v>2</v>
      </c>
      <c r="M2082" s="14">
        <f>IFERROR(VALUE(MID(tblMatriculas[[#This Row],[Clases]],FIND("/",tblMatriculas[[#This Row],[Clases]])+1,5)),"")</f>
        <v>30</v>
      </c>
      <c r="N208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2" s="14">
        <f>IF(OR(tblMatriculas[[#This Row],[Estado]]&lt;&gt;"activa",tblMatriculas[[#This Row],[Clases dictadas]]=""),"",MAX(0,tblMatriculas[[#This Row],[Clases dictadas]]-tblMatriculas[[#This Row],[Asistidas]]))</f>
        <v>0</v>
      </c>
      <c r="P2082" s="1">
        <f>IF(OR(tblMatriculas[[#This Row],[Estado]]&lt;&gt;"activa",tblMatriculas[[#This Row],[Asistidas]]=""),"",tblMatriculas[[#This Row],[Asistencia]])</f>
        <v>6.7000000000000004E-2</v>
      </c>
      <c r="Q2082" t="b">
        <f>AND(tblMatriculas[[#This Row],[Estado]]="activa",ISNUMBER(tblMatriculas[[#This Row],[% asistencia]]),NOT(ISNUMBER(SEARCH(pPrueba,tblMatriculas[[#This Row],[Nombre]]))))</f>
        <v>1</v>
      </c>
      <c r="R208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82" s="23" t="str" cm="1">
        <f t="array" ref="S208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2" s="23" t="str" cm="1">
        <f t="array" ref="T208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2" s="14" t="str" cm="1">
        <f t="array" ref="U208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2" t="str" cm="1">
        <f t="array" ref="V208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2" t="str" cm="1">
        <f t="array" ref="W208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8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82" t="str">
        <f>IF(COUNTIFS('Base Estudiantes'!$C:$C,tblMatriculas[[#This Row],[Cédula]],'Base Estudiantes'!$I:$I,tblMatriculas[[#This Row],[Código]])&gt;0,"Sí","No")</f>
        <v>Sí</v>
      </c>
      <c r="Z2082" s="23" cm="1">
        <f t="array" ref="Z2082">_xlfn.XLOOKUP(tblMatriculas[[#This Row],[Cédula]]&amp;"|"&amp;tblMatriculas[[#This Row],[Código]],tblBase[Documento]&amp;"|"&amp;tblBase[Código grupo],tblBase[Fecha matrícula],"")</f>
        <v>46262</v>
      </c>
    </row>
    <row r="2083" spans="1:26" x14ac:dyDescent="0.2">
      <c r="A2083" t="s">
        <v>4318</v>
      </c>
      <c r="B2083" t="s">
        <v>4319</v>
      </c>
      <c r="C2083" t="s">
        <v>13</v>
      </c>
      <c r="D2083" t="s">
        <v>4247</v>
      </c>
      <c r="E2083" t="s">
        <v>4248</v>
      </c>
      <c r="F2083" t="s">
        <v>516</v>
      </c>
      <c r="G2083" s="1">
        <v>0</v>
      </c>
      <c r="H2083" t="s">
        <v>254</v>
      </c>
      <c r="I2083" t="s">
        <v>3833</v>
      </c>
      <c r="J2083" t="s">
        <v>4249</v>
      </c>
      <c r="K2083" t="s">
        <v>24</v>
      </c>
      <c r="L2083" s="14">
        <f>IFERROR(VALUE(LEFT(tblMatriculas[[#This Row],[Clases]],FIND("/",tblMatriculas[[#This Row],[Clases]])-1)),"")</f>
        <v>0</v>
      </c>
      <c r="M2083" s="14">
        <f>IFERROR(VALUE(MID(tblMatriculas[[#This Row],[Clases]],FIND("/",tblMatriculas[[#This Row],[Clases]])+1,5)),"")</f>
        <v>30</v>
      </c>
      <c r="N208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3" s="14">
        <f>IF(OR(tblMatriculas[[#This Row],[Estado]]&lt;&gt;"activa",tblMatriculas[[#This Row],[Clases dictadas]]=""),"",MAX(0,tblMatriculas[[#This Row],[Clases dictadas]]-tblMatriculas[[#This Row],[Asistidas]]))</f>
        <v>2</v>
      </c>
      <c r="P2083" s="1">
        <f>IF(OR(tblMatriculas[[#This Row],[Estado]]&lt;&gt;"activa",tblMatriculas[[#This Row],[Asistidas]]=""),"",tblMatriculas[[#This Row],[Asistencia]])</f>
        <v>0</v>
      </c>
      <c r="Q2083" t="b">
        <f>AND(tblMatriculas[[#This Row],[Estado]]="activa",ISNUMBER(tblMatriculas[[#This Row],[% asistencia]]),NOT(ISNUMBER(SEARCH(pPrueba,tblMatriculas[[#This Row],[Nombre]]))))</f>
        <v>1</v>
      </c>
      <c r="R208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83" s="23" t="str" cm="1">
        <f t="array" ref="S208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3" s="23" t="str" cm="1">
        <f t="array" ref="T208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3" s="14" t="str" cm="1">
        <f t="array" ref="U208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3" t="str" cm="1">
        <f t="array" ref="V208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3" t="str" cm="1">
        <f t="array" ref="W208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8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83" t="str">
        <f>IF(COUNTIFS('Base Estudiantes'!$C:$C,tblMatriculas[[#This Row],[Cédula]],'Base Estudiantes'!$I:$I,tblMatriculas[[#This Row],[Código]])&gt;0,"Sí","No")</f>
        <v>Sí</v>
      </c>
      <c r="Z2083" s="23" cm="1">
        <f t="array" ref="Z2083">_xlfn.XLOOKUP(tblMatriculas[[#This Row],[Cédula]]&amp;"|"&amp;tblMatriculas[[#This Row],[Código]],tblBase[Documento]&amp;"|"&amp;tblBase[Código grupo],tblBase[Fecha matrícula],"")</f>
        <v>46262</v>
      </c>
    </row>
    <row r="2084" spans="1:26" x14ac:dyDescent="0.2">
      <c r="A2084" t="s">
        <v>4320</v>
      </c>
      <c r="B2084" t="s">
        <v>4321</v>
      </c>
      <c r="C2084" t="s">
        <v>13</v>
      </c>
      <c r="D2084" t="s">
        <v>4247</v>
      </c>
      <c r="E2084" t="s">
        <v>4248</v>
      </c>
      <c r="F2084" t="s">
        <v>516</v>
      </c>
      <c r="G2084" s="1">
        <v>6.7000000000000004E-2</v>
      </c>
      <c r="H2084" t="s">
        <v>166</v>
      </c>
      <c r="I2084" t="s">
        <v>3833</v>
      </c>
      <c r="J2084" t="s">
        <v>4249</v>
      </c>
      <c r="K2084" t="s">
        <v>24</v>
      </c>
      <c r="L2084" s="14">
        <f>IFERROR(VALUE(LEFT(tblMatriculas[[#This Row],[Clases]],FIND("/",tblMatriculas[[#This Row],[Clases]])-1)),"")</f>
        <v>2</v>
      </c>
      <c r="M2084" s="14">
        <f>IFERROR(VALUE(MID(tblMatriculas[[#This Row],[Clases]],FIND("/",tblMatriculas[[#This Row],[Clases]])+1,5)),"")</f>
        <v>30</v>
      </c>
      <c r="N208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4" s="14">
        <f>IF(OR(tblMatriculas[[#This Row],[Estado]]&lt;&gt;"activa",tblMatriculas[[#This Row],[Clases dictadas]]=""),"",MAX(0,tblMatriculas[[#This Row],[Clases dictadas]]-tblMatriculas[[#This Row],[Asistidas]]))</f>
        <v>0</v>
      </c>
      <c r="P2084" s="1">
        <f>IF(OR(tblMatriculas[[#This Row],[Estado]]&lt;&gt;"activa",tblMatriculas[[#This Row],[Asistidas]]=""),"",tblMatriculas[[#This Row],[Asistencia]])</f>
        <v>6.7000000000000004E-2</v>
      </c>
      <c r="Q2084" t="b">
        <f>AND(tblMatriculas[[#This Row],[Estado]]="activa",ISNUMBER(tblMatriculas[[#This Row],[% asistencia]]),NOT(ISNUMBER(SEARCH(pPrueba,tblMatriculas[[#This Row],[Nombre]]))))</f>
        <v>1</v>
      </c>
      <c r="R208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84" s="23" t="str" cm="1">
        <f t="array" ref="S208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4" s="23" t="str" cm="1">
        <f t="array" ref="T208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4" s="14" t="str" cm="1">
        <f t="array" ref="U208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4" t="str" cm="1">
        <f t="array" ref="V208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4" t="str" cm="1">
        <f t="array" ref="W208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8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84" t="str">
        <f>IF(COUNTIFS('Base Estudiantes'!$C:$C,tblMatriculas[[#This Row],[Cédula]],'Base Estudiantes'!$I:$I,tblMatriculas[[#This Row],[Código]])&gt;0,"Sí","No")</f>
        <v>Sí</v>
      </c>
      <c r="Z2084" s="23" cm="1">
        <f t="array" ref="Z2084">_xlfn.XLOOKUP(tblMatriculas[[#This Row],[Cédula]]&amp;"|"&amp;tblMatriculas[[#This Row],[Código]],tblBase[Documento]&amp;"|"&amp;tblBase[Código grupo],tblBase[Fecha matrícula],"")</f>
        <v>46262</v>
      </c>
    </row>
    <row r="2085" spans="1:26" x14ac:dyDescent="0.2">
      <c r="A2085" t="s">
        <v>4322</v>
      </c>
      <c r="B2085" t="s">
        <v>4323</v>
      </c>
      <c r="C2085" t="s">
        <v>13</v>
      </c>
      <c r="D2085" t="s">
        <v>4247</v>
      </c>
      <c r="E2085" t="s">
        <v>4248</v>
      </c>
      <c r="F2085" t="s">
        <v>516</v>
      </c>
      <c r="G2085" s="1">
        <v>6.7000000000000004E-2</v>
      </c>
      <c r="H2085" t="s">
        <v>166</v>
      </c>
      <c r="I2085" t="s">
        <v>3833</v>
      </c>
      <c r="J2085" t="s">
        <v>4249</v>
      </c>
      <c r="K2085" t="s">
        <v>24</v>
      </c>
      <c r="L2085" s="14">
        <f>IFERROR(VALUE(LEFT(tblMatriculas[[#This Row],[Clases]],FIND("/",tblMatriculas[[#This Row],[Clases]])-1)),"")</f>
        <v>2</v>
      </c>
      <c r="M2085" s="14">
        <f>IFERROR(VALUE(MID(tblMatriculas[[#This Row],[Clases]],FIND("/",tblMatriculas[[#This Row],[Clases]])+1,5)),"")</f>
        <v>30</v>
      </c>
      <c r="N208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5" s="14">
        <f>IF(OR(tblMatriculas[[#This Row],[Estado]]&lt;&gt;"activa",tblMatriculas[[#This Row],[Clases dictadas]]=""),"",MAX(0,tblMatriculas[[#This Row],[Clases dictadas]]-tblMatriculas[[#This Row],[Asistidas]]))</f>
        <v>0</v>
      </c>
      <c r="P2085" s="1">
        <f>IF(OR(tblMatriculas[[#This Row],[Estado]]&lt;&gt;"activa",tblMatriculas[[#This Row],[Asistidas]]=""),"",tblMatriculas[[#This Row],[Asistencia]])</f>
        <v>6.7000000000000004E-2</v>
      </c>
      <c r="Q2085" t="b">
        <f>AND(tblMatriculas[[#This Row],[Estado]]="activa",ISNUMBER(tblMatriculas[[#This Row],[% asistencia]]),NOT(ISNUMBER(SEARCH(pPrueba,tblMatriculas[[#This Row],[Nombre]]))))</f>
        <v>1</v>
      </c>
      <c r="R208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85" s="23" t="str" cm="1">
        <f t="array" ref="S208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5" s="23" t="str" cm="1">
        <f t="array" ref="T208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5" s="14" t="str" cm="1">
        <f t="array" ref="U208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5" t="str" cm="1">
        <f t="array" ref="V208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5" t="str" cm="1">
        <f t="array" ref="W208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8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85" t="str">
        <f>IF(COUNTIFS('Base Estudiantes'!$C:$C,tblMatriculas[[#This Row],[Cédula]],'Base Estudiantes'!$I:$I,tblMatriculas[[#This Row],[Código]])&gt;0,"Sí","No")</f>
        <v>Sí</v>
      </c>
      <c r="Z2085" s="23" cm="1">
        <f t="array" ref="Z2085">_xlfn.XLOOKUP(tblMatriculas[[#This Row],[Cédula]]&amp;"|"&amp;tblMatriculas[[#This Row],[Código]],tblBase[Documento]&amp;"|"&amp;tblBase[Código grupo],tblBase[Fecha matrícula],"")</f>
        <v>46262</v>
      </c>
    </row>
    <row r="2086" spans="1:26" x14ac:dyDescent="0.2">
      <c r="A2086" t="s">
        <v>4324</v>
      </c>
      <c r="B2086" t="s">
        <v>4325</v>
      </c>
      <c r="C2086" t="s">
        <v>13</v>
      </c>
      <c r="D2086" t="s">
        <v>4247</v>
      </c>
      <c r="E2086" t="s">
        <v>4248</v>
      </c>
      <c r="F2086" t="s">
        <v>516</v>
      </c>
      <c r="G2086" s="1">
        <v>6.7000000000000004E-2</v>
      </c>
      <c r="H2086" t="s">
        <v>166</v>
      </c>
      <c r="I2086" t="s">
        <v>3833</v>
      </c>
      <c r="J2086" t="s">
        <v>4249</v>
      </c>
      <c r="K2086" t="s">
        <v>3928</v>
      </c>
      <c r="L2086" s="14">
        <f>IFERROR(VALUE(LEFT(tblMatriculas[[#This Row],[Clases]],FIND("/",tblMatriculas[[#This Row],[Clases]])-1)),"")</f>
        <v>2</v>
      </c>
      <c r="M2086" s="14">
        <f>IFERROR(VALUE(MID(tblMatriculas[[#This Row],[Clases]],FIND("/",tblMatriculas[[#This Row],[Clases]])+1,5)),"")</f>
        <v>30</v>
      </c>
      <c r="N208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6" s="14">
        <f>IF(OR(tblMatriculas[[#This Row],[Estado]]&lt;&gt;"activa",tblMatriculas[[#This Row],[Clases dictadas]]=""),"",MAX(0,tblMatriculas[[#This Row],[Clases dictadas]]-tblMatriculas[[#This Row],[Asistidas]]))</f>
        <v>0</v>
      </c>
      <c r="P2086" s="1">
        <f>IF(OR(tblMatriculas[[#This Row],[Estado]]&lt;&gt;"activa",tblMatriculas[[#This Row],[Asistidas]]=""),"",tblMatriculas[[#This Row],[Asistencia]])</f>
        <v>6.7000000000000004E-2</v>
      </c>
      <c r="Q2086" t="b">
        <f>AND(tblMatriculas[[#This Row],[Estado]]="activa",ISNUMBER(tblMatriculas[[#This Row],[% asistencia]]),NOT(ISNUMBER(SEARCH(pPrueba,tblMatriculas[[#This Row],[Nombre]]))))</f>
        <v>1</v>
      </c>
      <c r="R208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86" s="23" t="str" cm="1">
        <f t="array" ref="S208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6" s="23" t="str" cm="1">
        <f t="array" ref="T208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6" s="14" t="str" cm="1">
        <f t="array" ref="U208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6" t="str" cm="1">
        <f t="array" ref="V208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6" t="str" cm="1">
        <f t="array" ref="W208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8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86" t="str">
        <f>IF(COUNTIFS('Base Estudiantes'!$C:$C,tblMatriculas[[#This Row],[Cédula]],'Base Estudiantes'!$I:$I,tblMatriculas[[#This Row],[Código]])&gt;0,"Sí","No")</f>
        <v>Sí</v>
      </c>
      <c r="Z2086" s="23" cm="1">
        <f t="array" ref="Z2086">_xlfn.XLOOKUP(tblMatriculas[[#This Row],[Cédula]]&amp;"|"&amp;tblMatriculas[[#This Row],[Código]],tblBase[Documento]&amp;"|"&amp;tblBase[Código grupo],tblBase[Fecha matrícula],"")</f>
        <v>46262</v>
      </c>
    </row>
    <row r="2087" spans="1:26" x14ac:dyDescent="0.2">
      <c r="A2087" t="s">
        <v>4326</v>
      </c>
      <c r="B2087" t="s">
        <v>4327</v>
      </c>
      <c r="C2087" t="s">
        <v>13</v>
      </c>
      <c r="D2087" t="s">
        <v>4247</v>
      </c>
      <c r="E2087" t="s">
        <v>4248</v>
      </c>
      <c r="F2087" t="s">
        <v>516</v>
      </c>
      <c r="G2087" s="1">
        <v>3.3000000000000002E-2</v>
      </c>
      <c r="H2087" t="s">
        <v>225</v>
      </c>
      <c r="I2087" t="s">
        <v>3833</v>
      </c>
      <c r="J2087" t="s">
        <v>4249</v>
      </c>
      <c r="K2087" t="s">
        <v>3842</v>
      </c>
      <c r="L2087" s="14">
        <f>IFERROR(VALUE(LEFT(tblMatriculas[[#This Row],[Clases]],FIND("/",tblMatriculas[[#This Row],[Clases]])-1)),"")</f>
        <v>1</v>
      </c>
      <c r="M2087" s="14">
        <f>IFERROR(VALUE(MID(tblMatriculas[[#This Row],[Clases]],FIND("/",tblMatriculas[[#This Row],[Clases]])+1,5)),"")</f>
        <v>30</v>
      </c>
      <c r="N208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7" s="14">
        <f>IF(OR(tblMatriculas[[#This Row],[Estado]]&lt;&gt;"activa",tblMatriculas[[#This Row],[Clases dictadas]]=""),"",MAX(0,tblMatriculas[[#This Row],[Clases dictadas]]-tblMatriculas[[#This Row],[Asistidas]]))</f>
        <v>1</v>
      </c>
      <c r="P2087" s="1">
        <f>IF(OR(tblMatriculas[[#This Row],[Estado]]&lt;&gt;"activa",tblMatriculas[[#This Row],[Asistidas]]=""),"",tblMatriculas[[#This Row],[Asistencia]])</f>
        <v>3.3000000000000002E-2</v>
      </c>
      <c r="Q2087" t="b">
        <f>AND(tblMatriculas[[#This Row],[Estado]]="activa",ISNUMBER(tblMatriculas[[#This Row],[% asistencia]]),NOT(ISNUMBER(SEARCH(pPrueba,tblMatriculas[[#This Row],[Nombre]]))))</f>
        <v>1</v>
      </c>
      <c r="R208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087" s="23" t="str" cm="1">
        <f t="array" ref="S208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7" s="23" t="str" cm="1">
        <f t="array" ref="T208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7" s="14" t="str" cm="1">
        <f t="array" ref="U208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7" t="str" cm="1">
        <f t="array" ref="V208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7" t="str" cm="1">
        <f t="array" ref="W208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08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087" t="str">
        <f>IF(COUNTIFS('Base Estudiantes'!$C:$C,tblMatriculas[[#This Row],[Cédula]],'Base Estudiantes'!$I:$I,tblMatriculas[[#This Row],[Código]])&gt;0,"Sí","No")</f>
        <v>Sí</v>
      </c>
      <c r="Z2087" s="23" cm="1">
        <f t="array" ref="Z2087">_xlfn.XLOOKUP(tblMatriculas[[#This Row],[Cédula]]&amp;"|"&amp;tblMatriculas[[#This Row],[Código]],tblBase[Documento]&amp;"|"&amp;tblBase[Código grupo],tblBase[Fecha matrícula],"")</f>
        <v>46262</v>
      </c>
    </row>
    <row r="2088" spans="1:26" x14ac:dyDescent="0.2">
      <c r="A2088" t="s">
        <v>4328</v>
      </c>
      <c r="B2088" t="s">
        <v>4329</v>
      </c>
      <c r="C2088" t="s">
        <v>13</v>
      </c>
      <c r="D2088" t="s">
        <v>4247</v>
      </c>
      <c r="E2088" t="s">
        <v>4248</v>
      </c>
      <c r="F2088" t="s">
        <v>516</v>
      </c>
      <c r="G2088" s="1">
        <v>0</v>
      </c>
      <c r="H2088" t="s">
        <v>254</v>
      </c>
      <c r="I2088" t="s">
        <v>3833</v>
      </c>
      <c r="J2088" t="s">
        <v>4249</v>
      </c>
      <c r="K2088" t="s">
        <v>3842</v>
      </c>
      <c r="L2088" s="14">
        <f>IFERROR(VALUE(LEFT(tblMatriculas[[#This Row],[Clases]],FIND("/",tblMatriculas[[#This Row],[Clases]])-1)),"")</f>
        <v>0</v>
      </c>
      <c r="M2088" s="14">
        <f>IFERROR(VALUE(MID(tblMatriculas[[#This Row],[Clases]],FIND("/",tblMatriculas[[#This Row],[Clases]])+1,5)),"")</f>
        <v>30</v>
      </c>
      <c r="N208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8" s="14">
        <f>IF(OR(tblMatriculas[[#This Row],[Estado]]&lt;&gt;"activa",tblMatriculas[[#This Row],[Clases dictadas]]=""),"",MAX(0,tblMatriculas[[#This Row],[Clases dictadas]]-tblMatriculas[[#This Row],[Asistidas]]))</f>
        <v>2</v>
      </c>
      <c r="P2088" s="1">
        <f>IF(OR(tblMatriculas[[#This Row],[Estado]]&lt;&gt;"activa",tblMatriculas[[#This Row],[Asistidas]]=""),"",tblMatriculas[[#This Row],[Asistencia]])</f>
        <v>0</v>
      </c>
      <c r="Q2088" t="b">
        <f>AND(tblMatriculas[[#This Row],[Estado]]="activa",ISNUMBER(tblMatriculas[[#This Row],[% asistencia]]),NOT(ISNUMBER(SEARCH(pPrueba,tblMatriculas[[#This Row],[Nombre]]))))</f>
        <v>1</v>
      </c>
      <c r="R208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88" s="23" t="str" cm="1">
        <f t="array" ref="S208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8" s="23" t="str" cm="1">
        <f t="array" ref="T208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8" s="14" t="str" cm="1">
        <f t="array" ref="U208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8" t="str" cm="1">
        <f t="array" ref="V208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8" t="str" cm="1">
        <f t="array" ref="W208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8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88" t="str">
        <f>IF(COUNTIFS('Base Estudiantes'!$C:$C,tblMatriculas[[#This Row],[Cédula]],'Base Estudiantes'!$I:$I,tblMatriculas[[#This Row],[Código]])&gt;0,"Sí","No")</f>
        <v>Sí</v>
      </c>
      <c r="Z2088" s="23" cm="1">
        <f t="array" ref="Z2088">_xlfn.XLOOKUP(tblMatriculas[[#This Row],[Cédula]]&amp;"|"&amp;tblMatriculas[[#This Row],[Código]],tblBase[Documento]&amp;"|"&amp;tblBase[Código grupo],tblBase[Fecha matrícula],"")</f>
        <v>46262</v>
      </c>
    </row>
    <row r="2089" spans="1:26" x14ac:dyDescent="0.2">
      <c r="A2089" t="s">
        <v>4330</v>
      </c>
      <c r="B2089" t="s">
        <v>4331</v>
      </c>
      <c r="C2089" t="s">
        <v>13</v>
      </c>
      <c r="D2089" t="s">
        <v>4247</v>
      </c>
      <c r="E2089" t="s">
        <v>4248</v>
      </c>
      <c r="F2089" t="s">
        <v>516</v>
      </c>
      <c r="G2089" s="1">
        <v>6.7000000000000004E-2</v>
      </c>
      <c r="H2089" t="s">
        <v>166</v>
      </c>
      <c r="I2089" t="s">
        <v>3833</v>
      </c>
      <c r="J2089" t="s">
        <v>4249</v>
      </c>
      <c r="K2089" t="s">
        <v>3847</v>
      </c>
      <c r="L2089" s="14">
        <f>IFERROR(VALUE(LEFT(tblMatriculas[[#This Row],[Clases]],FIND("/",tblMatriculas[[#This Row],[Clases]])-1)),"")</f>
        <v>2</v>
      </c>
      <c r="M2089" s="14">
        <f>IFERROR(VALUE(MID(tblMatriculas[[#This Row],[Clases]],FIND("/",tblMatriculas[[#This Row],[Clases]])+1,5)),"")</f>
        <v>30</v>
      </c>
      <c r="N208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89" s="14">
        <f>IF(OR(tblMatriculas[[#This Row],[Estado]]&lt;&gt;"activa",tblMatriculas[[#This Row],[Clases dictadas]]=""),"",MAX(0,tblMatriculas[[#This Row],[Clases dictadas]]-tblMatriculas[[#This Row],[Asistidas]]))</f>
        <v>0</v>
      </c>
      <c r="P2089" s="1">
        <f>IF(OR(tblMatriculas[[#This Row],[Estado]]&lt;&gt;"activa",tblMatriculas[[#This Row],[Asistidas]]=""),"",tblMatriculas[[#This Row],[Asistencia]])</f>
        <v>6.7000000000000004E-2</v>
      </c>
      <c r="Q2089" t="b">
        <f>AND(tblMatriculas[[#This Row],[Estado]]="activa",ISNUMBER(tblMatriculas[[#This Row],[% asistencia]]),NOT(ISNUMBER(SEARCH(pPrueba,tblMatriculas[[#This Row],[Nombre]]))))</f>
        <v>1</v>
      </c>
      <c r="R208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89" s="23" t="str" cm="1">
        <f t="array" ref="S208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89" s="23" t="str" cm="1">
        <f t="array" ref="T208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89" s="14" t="str" cm="1">
        <f t="array" ref="U208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89" t="str" cm="1">
        <f t="array" ref="V208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89" t="str" cm="1">
        <f t="array" ref="W208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8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89" t="str">
        <f>IF(COUNTIFS('Base Estudiantes'!$C:$C,tblMatriculas[[#This Row],[Cédula]],'Base Estudiantes'!$I:$I,tblMatriculas[[#This Row],[Código]])&gt;0,"Sí","No")</f>
        <v>Sí</v>
      </c>
      <c r="Z2089" s="23" cm="1">
        <f t="array" ref="Z2089">_xlfn.XLOOKUP(tblMatriculas[[#This Row],[Cédula]]&amp;"|"&amp;tblMatriculas[[#This Row],[Código]],tblBase[Documento]&amp;"|"&amp;tblBase[Código grupo],tblBase[Fecha matrícula],"")</f>
        <v>46262</v>
      </c>
    </row>
    <row r="2090" spans="1:26" x14ac:dyDescent="0.2">
      <c r="A2090" t="s">
        <v>4332</v>
      </c>
      <c r="B2090" t="s">
        <v>4333</v>
      </c>
      <c r="C2090" t="s">
        <v>13</v>
      </c>
      <c r="D2090" t="s">
        <v>4247</v>
      </c>
      <c r="E2090" t="s">
        <v>4248</v>
      </c>
      <c r="F2090" t="s">
        <v>516</v>
      </c>
      <c r="G2090" s="1">
        <v>0</v>
      </c>
      <c r="H2090" t="s">
        <v>254</v>
      </c>
      <c r="I2090" t="s">
        <v>3833</v>
      </c>
      <c r="J2090" t="s">
        <v>4249</v>
      </c>
      <c r="K2090" t="s">
        <v>3981</v>
      </c>
      <c r="L2090" s="14">
        <f>IFERROR(VALUE(LEFT(tblMatriculas[[#This Row],[Clases]],FIND("/",tblMatriculas[[#This Row],[Clases]])-1)),"")</f>
        <v>0</v>
      </c>
      <c r="M2090" s="14">
        <f>IFERROR(VALUE(MID(tblMatriculas[[#This Row],[Clases]],FIND("/",tblMatriculas[[#This Row],[Clases]])+1,5)),"")</f>
        <v>30</v>
      </c>
      <c r="N209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0" s="14">
        <f>IF(OR(tblMatriculas[[#This Row],[Estado]]&lt;&gt;"activa",tblMatriculas[[#This Row],[Clases dictadas]]=""),"",MAX(0,tblMatriculas[[#This Row],[Clases dictadas]]-tblMatriculas[[#This Row],[Asistidas]]))</f>
        <v>2</v>
      </c>
      <c r="P2090" s="1">
        <f>IF(OR(tblMatriculas[[#This Row],[Estado]]&lt;&gt;"activa",tblMatriculas[[#This Row],[Asistidas]]=""),"",tblMatriculas[[#This Row],[Asistencia]])</f>
        <v>0</v>
      </c>
      <c r="Q2090" t="b">
        <f>AND(tblMatriculas[[#This Row],[Estado]]="activa",ISNUMBER(tblMatriculas[[#This Row],[% asistencia]]),NOT(ISNUMBER(SEARCH(pPrueba,tblMatriculas[[#This Row],[Nombre]]))))</f>
        <v>1</v>
      </c>
      <c r="R209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090" s="23" t="str" cm="1">
        <f t="array" ref="S209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0" s="23" t="str" cm="1">
        <f t="array" ref="T209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0" s="14" t="str" cm="1">
        <f t="array" ref="U209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0" t="str" cm="1">
        <f t="array" ref="V209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0" t="str" cm="1">
        <f t="array" ref="W209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09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090" t="str">
        <f>IF(COUNTIFS('Base Estudiantes'!$C:$C,tblMatriculas[[#This Row],[Cédula]],'Base Estudiantes'!$I:$I,tblMatriculas[[#This Row],[Código]])&gt;0,"Sí","No")</f>
        <v>Sí</v>
      </c>
      <c r="Z2090" s="23" cm="1">
        <f t="array" ref="Z2090">_xlfn.XLOOKUP(tblMatriculas[[#This Row],[Cédula]]&amp;"|"&amp;tblMatriculas[[#This Row],[Código]],tblBase[Documento]&amp;"|"&amp;tblBase[Código grupo],tblBase[Fecha matrícula],"")</f>
        <v>46262</v>
      </c>
    </row>
    <row r="2091" spans="1:26" x14ac:dyDescent="0.2">
      <c r="A2091" t="s">
        <v>4334</v>
      </c>
      <c r="B2091" t="s">
        <v>4335</v>
      </c>
      <c r="C2091" t="s">
        <v>13</v>
      </c>
      <c r="D2091" t="s">
        <v>4247</v>
      </c>
      <c r="E2091" t="s">
        <v>4248</v>
      </c>
      <c r="F2091" t="s">
        <v>516</v>
      </c>
      <c r="G2091" s="1">
        <v>6.7000000000000004E-2</v>
      </c>
      <c r="H2091" t="s">
        <v>166</v>
      </c>
      <c r="I2091" t="s">
        <v>3833</v>
      </c>
      <c r="J2091" t="s">
        <v>4249</v>
      </c>
      <c r="K2091" t="s">
        <v>3981</v>
      </c>
      <c r="L2091" s="14">
        <f>IFERROR(VALUE(LEFT(tblMatriculas[[#This Row],[Clases]],FIND("/",tblMatriculas[[#This Row],[Clases]])-1)),"")</f>
        <v>2</v>
      </c>
      <c r="M2091" s="14">
        <f>IFERROR(VALUE(MID(tblMatriculas[[#This Row],[Clases]],FIND("/",tblMatriculas[[#This Row],[Clases]])+1,5)),"")</f>
        <v>30</v>
      </c>
      <c r="N209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1" s="14">
        <f>IF(OR(tblMatriculas[[#This Row],[Estado]]&lt;&gt;"activa",tblMatriculas[[#This Row],[Clases dictadas]]=""),"",MAX(0,tblMatriculas[[#This Row],[Clases dictadas]]-tblMatriculas[[#This Row],[Asistidas]]))</f>
        <v>0</v>
      </c>
      <c r="P2091" s="1">
        <f>IF(OR(tblMatriculas[[#This Row],[Estado]]&lt;&gt;"activa",tblMatriculas[[#This Row],[Asistidas]]=""),"",tblMatriculas[[#This Row],[Asistencia]])</f>
        <v>6.7000000000000004E-2</v>
      </c>
      <c r="Q2091" t="b">
        <f>AND(tblMatriculas[[#This Row],[Estado]]="activa",ISNUMBER(tblMatriculas[[#This Row],[% asistencia]]),NOT(ISNUMBER(SEARCH(pPrueba,tblMatriculas[[#This Row],[Nombre]]))))</f>
        <v>1</v>
      </c>
      <c r="R209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1" s="23" t="str" cm="1">
        <f t="array" ref="S209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1" s="23" t="str" cm="1">
        <f t="array" ref="T209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1" s="14" t="str" cm="1">
        <f t="array" ref="U209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1" t="str" cm="1">
        <f t="array" ref="V209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1" t="str" cm="1">
        <f t="array" ref="W209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1" t="str">
        <f>IF(COUNTIFS('Base Estudiantes'!$C:$C,tblMatriculas[[#This Row],[Cédula]],'Base Estudiantes'!$I:$I,tblMatriculas[[#This Row],[Código]])&gt;0,"Sí","No")</f>
        <v>Sí</v>
      </c>
      <c r="Z2091" s="23" cm="1">
        <f t="array" ref="Z2091">_xlfn.XLOOKUP(tblMatriculas[[#This Row],[Cédula]]&amp;"|"&amp;tblMatriculas[[#This Row],[Código]],tblBase[Documento]&amp;"|"&amp;tblBase[Código grupo],tblBase[Fecha matrícula],"")</f>
        <v>46262</v>
      </c>
    </row>
    <row r="2092" spans="1:26" x14ac:dyDescent="0.2">
      <c r="A2092" t="s">
        <v>4336</v>
      </c>
      <c r="B2092" t="s">
        <v>4337</v>
      </c>
      <c r="C2092" t="s">
        <v>13</v>
      </c>
      <c r="D2092" t="s">
        <v>4247</v>
      </c>
      <c r="E2092" t="s">
        <v>4248</v>
      </c>
      <c r="F2092" t="s">
        <v>516</v>
      </c>
      <c r="G2092" s="1">
        <v>6.7000000000000004E-2</v>
      </c>
      <c r="H2092" t="s">
        <v>166</v>
      </c>
      <c r="I2092" t="s">
        <v>3833</v>
      </c>
      <c r="J2092" t="s">
        <v>4249</v>
      </c>
      <c r="K2092" t="s">
        <v>3927</v>
      </c>
      <c r="L2092" s="14">
        <f>IFERROR(VALUE(LEFT(tblMatriculas[[#This Row],[Clases]],FIND("/",tblMatriculas[[#This Row],[Clases]])-1)),"")</f>
        <v>2</v>
      </c>
      <c r="M2092" s="14">
        <f>IFERROR(VALUE(MID(tblMatriculas[[#This Row],[Clases]],FIND("/",tblMatriculas[[#This Row],[Clases]])+1,5)),"")</f>
        <v>30</v>
      </c>
      <c r="N209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2" s="14">
        <f>IF(OR(tblMatriculas[[#This Row],[Estado]]&lt;&gt;"activa",tblMatriculas[[#This Row],[Clases dictadas]]=""),"",MAX(0,tblMatriculas[[#This Row],[Clases dictadas]]-tblMatriculas[[#This Row],[Asistidas]]))</f>
        <v>0</v>
      </c>
      <c r="P2092" s="1">
        <f>IF(OR(tblMatriculas[[#This Row],[Estado]]&lt;&gt;"activa",tblMatriculas[[#This Row],[Asistidas]]=""),"",tblMatriculas[[#This Row],[Asistencia]])</f>
        <v>6.7000000000000004E-2</v>
      </c>
      <c r="Q2092" t="b">
        <f>AND(tblMatriculas[[#This Row],[Estado]]="activa",ISNUMBER(tblMatriculas[[#This Row],[% asistencia]]),NOT(ISNUMBER(SEARCH(pPrueba,tblMatriculas[[#This Row],[Nombre]]))))</f>
        <v>1</v>
      </c>
      <c r="R209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2" s="23" t="str" cm="1">
        <f t="array" ref="S209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2" s="23" t="str" cm="1">
        <f t="array" ref="T209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2" s="14" t="str" cm="1">
        <f t="array" ref="U209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2" t="str" cm="1">
        <f t="array" ref="V209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2" t="str" cm="1">
        <f t="array" ref="W209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2" t="str">
        <f>IF(COUNTIFS('Base Estudiantes'!$C:$C,tblMatriculas[[#This Row],[Cédula]],'Base Estudiantes'!$I:$I,tblMatriculas[[#This Row],[Código]])&gt;0,"Sí","No")</f>
        <v>Sí</v>
      </c>
      <c r="Z2092" s="23" cm="1">
        <f t="array" ref="Z2092">_xlfn.XLOOKUP(tblMatriculas[[#This Row],[Cédula]]&amp;"|"&amp;tblMatriculas[[#This Row],[Código]],tblBase[Documento]&amp;"|"&amp;tblBase[Código grupo],tblBase[Fecha matrícula],"")</f>
        <v>46263</v>
      </c>
    </row>
    <row r="2093" spans="1:26" x14ac:dyDescent="0.2">
      <c r="A2093" t="s">
        <v>4338</v>
      </c>
      <c r="B2093" t="s">
        <v>4339</v>
      </c>
      <c r="C2093" t="s">
        <v>13</v>
      </c>
      <c r="D2093" t="s">
        <v>4247</v>
      </c>
      <c r="E2093" t="s">
        <v>4248</v>
      </c>
      <c r="F2093" t="s">
        <v>516</v>
      </c>
      <c r="G2093" s="1">
        <v>6.7000000000000004E-2</v>
      </c>
      <c r="H2093" t="s">
        <v>166</v>
      </c>
      <c r="I2093" t="s">
        <v>3833</v>
      </c>
      <c r="J2093" t="s">
        <v>4249</v>
      </c>
      <c r="K2093" t="s">
        <v>24</v>
      </c>
      <c r="L2093" s="14">
        <f>IFERROR(VALUE(LEFT(tblMatriculas[[#This Row],[Clases]],FIND("/",tblMatriculas[[#This Row],[Clases]])-1)),"")</f>
        <v>2</v>
      </c>
      <c r="M2093" s="14">
        <f>IFERROR(VALUE(MID(tblMatriculas[[#This Row],[Clases]],FIND("/",tblMatriculas[[#This Row],[Clases]])+1,5)),"")</f>
        <v>30</v>
      </c>
      <c r="N209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3" s="14">
        <f>IF(OR(tblMatriculas[[#This Row],[Estado]]&lt;&gt;"activa",tblMatriculas[[#This Row],[Clases dictadas]]=""),"",MAX(0,tblMatriculas[[#This Row],[Clases dictadas]]-tblMatriculas[[#This Row],[Asistidas]]))</f>
        <v>0</v>
      </c>
      <c r="P2093" s="1">
        <f>IF(OR(tblMatriculas[[#This Row],[Estado]]&lt;&gt;"activa",tblMatriculas[[#This Row],[Asistidas]]=""),"",tblMatriculas[[#This Row],[Asistencia]])</f>
        <v>6.7000000000000004E-2</v>
      </c>
      <c r="Q2093" t="b">
        <f>AND(tblMatriculas[[#This Row],[Estado]]="activa",ISNUMBER(tblMatriculas[[#This Row],[% asistencia]]),NOT(ISNUMBER(SEARCH(pPrueba,tblMatriculas[[#This Row],[Nombre]]))))</f>
        <v>1</v>
      </c>
      <c r="R209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3" s="23" t="str" cm="1">
        <f t="array" ref="S209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3" s="23" t="str" cm="1">
        <f t="array" ref="T209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3" s="14" t="str" cm="1">
        <f t="array" ref="U209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3" t="str" cm="1">
        <f t="array" ref="V209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3" t="str" cm="1">
        <f t="array" ref="W209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3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3" t="str">
        <f>IF(COUNTIFS('Base Estudiantes'!$C:$C,tblMatriculas[[#This Row],[Cédula]],'Base Estudiantes'!$I:$I,tblMatriculas[[#This Row],[Código]])&gt;0,"Sí","No")</f>
        <v>Sí</v>
      </c>
      <c r="Z2093" s="23" cm="1">
        <f t="array" ref="Z2093">_xlfn.XLOOKUP(tblMatriculas[[#This Row],[Cédula]]&amp;"|"&amp;tblMatriculas[[#This Row],[Código]],tblBase[Documento]&amp;"|"&amp;tblBase[Código grupo],tblBase[Fecha matrícula],"")</f>
        <v>46265</v>
      </c>
    </row>
    <row r="2094" spans="1:26" x14ac:dyDescent="0.2">
      <c r="A2094" t="s">
        <v>3163</v>
      </c>
      <c r="B2094" t="s">
        <v>3164</v>
      </c>
      <c r="C2094" t="s">
        <v>13</v>
      </c>
      <c r="D2094" t="s">
        <v>4247</v>
      </c>
      <c r="E2094" t="s">
        <v>4248</v>
      </c>
      <c r="F2094" t="s">
        <v>516</v>
      </c>
      <c r="G2094" s="1">
        <v>6.7000000000000004E-2</v>
      </c>
      <c r="H2094" t="s">
        <v>166</v>
      </c>
      <c r="I2094" t="s">
        <v>3833</v>
      </c>
      <c r="J2094" t="s">
        <v>4249</v>
      </c>
      <c r="K2094" t="s">
        <v>24</v>
      </c>
      <c r="L2094" s="14">
        <f>IFERROR(VALUE(LEFT(tblMatriculas[[#This Row],[Clases]],FIND("/",tblMatriculas[[#This Row],[Clases]])-1)),"")</f>
        <v>2</v>
      </c>
      <c r="M2094" s="14">
        <f>IFERROR(VALUE(MID(tblMatriculas[[#This Row],[Clases]],FIND("/",tblMatriculas[[#This Row],[Clases]])+1,5)),"")</f>
        <v>30</v>
      </c>
      <c r="N209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4" s="14">
        <f>IF(OR(tblMatriculas[[#This Row],[Estado]]&lt;&gt;"activa",tblMatriculas[[#This Row],[Clases dictadas]]=""),"",MAX(0,tblMatriculas[[#This Row],[Clases dictadas]]-tblMatriculas[[#This Row],[Asistidas]]))</f>
        <v>0</v>
      </c>
      <c r="P2094" s="1">
        <f>IF(OR(tblMatriculas[[#This Row],[Estado]]&lt;&gt;"activa",tblMatriculas[[#This Row],[Asistidas]]=""),"",tblMatriculas[[#This Row],[Asistencia]])</f>
        <v>6.7000000000000004E-2</v>
      </c>
      <c r="Q2094" t="b">
        <f>AND(tblMatriculas[[#This Row],[Estado]]="activa",ISNUMBER(tblMatriculas[[#This Row],[% asistencia]]),NOT(ISNUMBER(SEARCH(pPrueba,tblMatriculas[[#This Row],[Nombre]]))))</f>
        <v>1</v>
      </c>
      <c r="R209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4" s="23" t="str" cm="1">
        <f t="array" ref="S209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4" s="23" t="str" cm="1">
        <f t="array" ref="T209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4" s="14" t="str" cm="1">
        <f t="array" ref="U209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4" t="str" cm="1">
        <f t="array" ref="V209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4" t="str" cm="1">
        <f t="array" ref="W209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4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4" t="str">
        <f>IF(COUNTIFS('Base Estudiantes'!$C:$C,tblMatriculas[[#This Row],[Cédula]],'Base Estudiantes'!$I:$I,tblMatriculas[[#This Row],[Código]])&gt;0,"Sí","No")</f>
        <v>Sí</v>
      </c>
      <c r="Z2094" s="23" cm="1">
        <f t="array" ref="Z2094">_xlfn.XLOOKUP(tblMatriculas[[#This Row],[Cédula]]&amp;"|"&amp;tblMatriculas[[#This Row],[Código]],tblBase[Documento]&amp;"|"&amp;tblBase[Código grupo],tblBase[Fecha matrícula],"")</f>
        <v>46274</v>
      </c>
    </row>
    <row r="2095" spans="1:26" x14ac:dyDescent="0.2">
      <c r="A2095" t="s">
        <v>2845</v>
      </c>
      <c r="B2095" t="s">
        <v>2846</v>
      </c>
      <c r="C2095" t="s">
        <v>13</v>
      </c>
      <c r="D2095" t="s">
        <v>4247</v>
      </c>
      <c r="E2095" t="s">
        <v>4248</v>
      </c>
      <c r="F2095" t="s">
        <v>516</v>
      </c>
      <c r="G2095" s="1">
        <v>6.7000000000000004E-2</v>
      </c>
      <c r="H2095" t="s">
        <v>166</v>
      </c>
      <c r="I2095" t="s">
        <v>3833</v>
      </c>
      <c r="J2095" t="s">
        <v>4249</v>
      </c>
      <c r="K2095" t="s">
        <v>24</v>
      </c>
      <c r="L2095" s="14">
        <f>IFERROR(VALUE(LEFT(tblMatriculas[[#This Row],[Clases]],FIND("/",tblMatriculas[[#This Row],[Clases]])-1)),"")</f>
        <v>2</v>
      </c>
      <c r="M2095" s="14">
        <f>IFERROR(VALUE(MID(tblMatriculas[[#This Row],[Clases]],FIND("/",tblMatriculas[[#This Row],[Clases]])+1,5)),"")</f>
        <v>30</v>
      </c>
      <c r="N209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2</v>
      </c>
      <c r="O2095" s="14">
        <f>IF(OR(tblMatriculas[[#This Row],[Estado]]&lt;&gt;"activa",tblMatriculas[[#This Row],[Clases dictadas]]=""),"",MAX(0,tblMatriculas[[#This Row],[Clases dictadas]]-tblMatriculas[[#This Row],[Asistidas]]))</f>
        <v>0</v>
      </c>
      <c r="P2095" s="1">
        <f>IF(OR(tblMatriculas[[#This Row],[Estado]]&lt;&gt;"activa",tblMatriculas[[#This Row],[Asistidas]]=""),"",tblMatriculas[[#This Row],[Asistencia]])</f>
        <v>6.7000000000000004E-2</v>
      </c>
      <c r="Q2095" t="b">
        <f>AND(tblMatriculas[[#This Row],[Estado]]="activa",ISNUMBER(tblMatriculas[[#This Row],[% asistencia]]),NOT(ISNUMBER(SEARCH(pPrueba,tblMatriculas[[#This Row],[Nombre]]))))</f>
        <v>1</v>
      </c>
      <c r="R209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5" s="23" t="str" cm="1">
        <f t="array" ref="S209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5" s="23" t="str" cm="1">
        <f t="array" ref="T209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5" s="14" t="str" cm="1">
        <f t="array" ref="U209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5" t="str" cm="1">
        <f t="array" ref="V209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5" t="str" cm="1">
        <f t="array" ref="W209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5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5" t="str">
        <f>IF(COUNTIFS('Base Estudiantes'!$C:$C,tblMatriculas[[#This Row],[Cédula]],'Base Estudiantes'!$I:$I,tblMatriculas[[#This Row],[Código]])&gt;0,"Sí","No")</f>
        <v>Sí</v>
      </c>
      <c r="Z2095" s="23" cm="1">
        <f t="array" ref="Z2095">_xlfn.XLOOKUP(tblMatriculas[[#This Row],[Cédula]]&amp;"|"&amp;tblMatriculas[[#This Row],[Código]],tblBase[Documento]&amp;"|"&amp;tblBase[Código grupo],tblBase[Fecha matrícula],"")</f>
        <v>46277</v>
      </c>
    </row>
    <row r="2096" spans="1:26" x14ac:dyDescent="0.2">
      <c r="A2096" t="s">
        <v>3081</v>
      </c>
      <c r="B2096" t="s">
        <v>3082</v>
      </c>
      <c r="C2096" t="s">
        <v>13</v>
      </c>
      <c r="D2096" t="s">
        <v>4340</v>
      </c>
      <c r="E2096" t="s">
        <v>4341</v>
      </c>
      <c r="F2096" t="s">
        <v>649</v>
      </c>
      <c r="G2096" s="1">
        <v>3.3000000000000002E-2</v>
      </c>
      <c r="H2096" t="s">
        <v>2826</v>
      </c>
      <c r="I2096" t="s">
        <v>3833</v>
      </c>
      <c r="J2096" t="s">
        <v>3170</v>
      </c>
      <c r="K2096" t="s">
        <v>24</v>
      </c>
      <c r="L2096" s="14">
        <f>IFERROR(VALUE(LEFT(tblMatriculas[[#This Row],[Clases]],FIND("/",tblMatriculas[[#This Row],[Clases]])-1)),"")</f>
        <v>2</v>
      </c>
      <c r="M2096" s="14">
        <f>IFERROR(VALUE(MID(tblMatriculas[[#This Row],[Clases]],FIND("/",tblMatriculas[[#This Row],[Clases]])+1,5)),"")</f>
        <v>60</v>
      </c>
      <c r="N209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8</v>
      </c>
      <c r="O2096" s="14">
        <f>IF(OR(tblMatriculas[[#This Row],[Estado]]&lt;&gt;"activa",tblMatriculas[[#This Row],[Clases dictadas]]=""),"",MAX(0,tblMatriculas[[#This Row],[Clases dictadas]]-tblMatriculas[[#This Row],[Asistidas]]))</f>
        <v>6</v>
      </c>
      <c r="P2096" s="1">
        <f>IF(OR(tblMatriculas[[#This Row],[Estado]]&lt;&gt;"activa",tblMatriculas[[#This Row],[Asistidas]]=""),"",tblMatriculas[[#This Row],[Asistencia]])</f>
        <v>3.3000000000000002E-2</v>
      </c>
      <c r="Q2096" t="b">
        <f>AND(tblMatriculas[[#This Row],[Estado]]="activa",ISNUMBER(tblMatriculas[[#This Row],[% asistencia]]),NOT(ISNUMBER(SEARCH(pPrueba,tblMatriculas[[#This Row],[Nombre]]))))</f>
        <v>0</v>
      </c>
      <c r="R209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Prueba</v>
      </c>
      <c r="S2096" s="23" t="str" cm="1">
        <f t="array" ref="S209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6" s="23" t="str" cm="1">
        <f t="array" ref="T209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6" s="14" t="str" cm="1">
        <f t="array" ref="U209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6" t="str" cm="1">
        <f t="array" ref="V209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6" t="str" cm="1">
        <f t="array" ref="W209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9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96" t="str">
        <f>IF(COUNTIFS('Base Estudiantes'!$C:$C,tblMatriculas[[#This Row],[Cédula]],'Base Estudiantes'!$I:$I,tblMatriculas[[#This Row],[Código]])&gt;0,"Sí","No")</f>
        <v>Sí</v>
      </c>
      <c r="Z2096" s="23" cm="1">
        <f t="array" ref="Z2096">_xlfn.XLOOKUP(tblMatriculas[[#This Row],[Cédula]]&amp;"|"&amp;tblMatriculas[[#This Row],[Código]],tblBase[Documento]&amp;"|"&amp;tblBase[Código grupo],tblBase[Fecha matrícula],"")</f>
        <v>46260</v>
      </c>
    </row>
    <row r="2097" spans="1:26" x14ac:dyDescent="0.2">
      <c r="A2097" t="s">
        <v>4342</v>
      </c>
      <c r="B2097" t="s">
        <v>4343</v>
      </c>
      <c r="C2097" t="s">
        <v>13</v>
      </c>
      <c r="D2097" t="s">
        <v>4340</v>
      </c>
      <c r="E2097" t="s">
        <v>4341</v>
      </c>
      <c r="F2097" t="s">
        <v>649</v>
      </c>
      <c r="G2097" s="1">
        <v>0.13300000000000001</v>
      </c>
      <c r="H2097" t="s">
        <v>112</v>
      </c>
      <c r="I2097" t="s">
        <v>3833</v>
      </c>
      <c r="J2097" t="s">
        <v>3170</v>
      </c>
      <c r="K2097" t="s">
        <v>24</v>
      </c>
      <c r="L2097" s="14">
        <f>IFERROR(VALUE(LEFT(tblMatriculas[[#This Row],[Clases]],FIND("/",tblMatriculas[[#This Row],[Clases]])-1)),"")</f>
        <v>4</v>
      </c>
      <c r="M2097" s="14">
        <f>IFERROR(VALUE(MID(tblMatriculas[[#This Row],[Clases]],FIND("/",tblMatriculas[[#This Row],[Clases]])+1,5)),"")</f>
        <v>30</v>
      </c>
      <c r="N209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097" s="14">
        <f>IF(OR(tblMatriculas[[#This Row],[Estado]]&lt;&gt;"activa",tblMatriculas[[#This Row],[Clases dictadas]]=""),"",MAX(0,tblMatriculas[[#This Row],[Clases dictadas]]-tblMatriculas[[#This Row],[Asistidas]]))</f>
        <v>0</v>
      </c>
      <c r="P2097" s="1">
        <f>IF(OR(tblMatriculas[[#This Row],[Estado]]&lt;&gt;"activa",tblMatriculas[[#This Row],[Asistidas]]=""),"",tblMatriculas[[#This Row],[Asistencia]])</f>
        <v>0.13300000000000001</v>
      </c>
      <c r="Q2097" t="b">
        <f>AND(tblMatriculas[[#This Row],[Estado]]="activa",ISNUMBER(tblMatriculas[[#This Row],[% asistencia]]),NOT(ISNUMBER(SEARCH(pPrueba,tblMatriculas[[#This Row],[Nombre]]))))</f>
        <v>1</v>
      </c>
      <c r="R209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97" s="23" t="str" cm="1">
        <f t="array" ref="S209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7" s="23" t="str" cm="1">
        <f t="array" ref="T209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7" s="14" t="str" cm="1">
        <f t="array" ref="U209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7" t="str" cm="1">
        <f t="array" ref="V209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7" t="str" cm="1">
        <f t="array" ref="W209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9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97" t="str">
        <f>IF(COUNTIFS('Base Estudiantes'!$C:$C,tblMatriculas[[#This Row],[Cédula]],'Base Estudiantes'!$I:$I,tblMatriculas[[#This Row],[Código]])&gt;0,"Sí","No")</f>
        <v>Sí</v>
      </c>
      <c r="Z2097" s="23" cm="1">
        <f t="array" ref="Z2097">_xlfn.XLOOKUP(tblMatriculas[[#This Row],[Cédula]]&amp;"|"&amp;tblMatriculas[[#This Row],[Código]],tblBase[Documento]&amp;"|"&amp;tblBase[Código grupo],tblBase[Fecha matrícula],"")</f>
        <v>46262</v>
      </c>
    </row>
    <row r="2098" spans="1:26" x14ac:dyDescent="0.2">
      <c r="A2098" t="s">
        <v>4344</v>
      </c>
      <c r="B2098" t="s">
        <v>4345</v>
      </c>
      <c r="C2098" t="s">
        <v>13</v>
      </c>
      <c r="D2098" t="s">
        <v>4340</v>
      </c>
      <c r="E2098" t="s">
        <v>4341</v>
      </c>
      <c r="F2098" t="s">
        <v>649</v>
      </c>
      <c r="G2098" s="1">
        <v>0.13300000000000001</v>
      </c>
      <c r="H2098" t="s">
        <v>112</v>
      </c>
      <c r="I2098" t="s">
        <v>3833</v>
      </c>
      <c r="J2098" t="s">
        <v>3170</v>
      </c>
      <c r="K2098" t="s">
        <v>24</v>
      </c>
      <c r="L2098" s="14">
        <f>IFERROR(VALUE(LEFT(tblMatriculas[[#This Row],[Clases]],FIND("/",tblMatriculas[[#This Row],[Clases]])-1)),"")</f>
        <v>4</v>
      </c>
      <c r="M2098" s="14">
        <f>IFERROR(VALUE(MID(tblMatriculas[[#This Row],[Clases]],FIND("/",tblMatriculas[[#This Row],[Clases]])+1,5)),"")</f>
        <v>30</v>
      </c>
      <c r="N209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098" s="14">
        <f>IF(OR(tblMatriculas[[#This Row],[Estado]]&lt;&gt;"activa",tblMatriculas[[#This Row],[Clases dictadas]]=""),"",MAX(0,tblMatriculas[[#This Row],[Clases dictadas]]-tblMatriculas[[#This Row],[Asistidas]]))</f>
        <v>0</v>
      </c>
      <c r="P2098" s="1">
        <f>IF(OR(tblMatriculas[[#This Row],[Estado]]&lt;&gt;"activa",tblMatriculas[[#This Row],[Asistidas]]=""),"",tblMatriculas[[#This Row],[Asistencia]])</f>
        <v>0.13300000000000001</v>
      </c>
      <c r="Q2098" t="b">
        <f>AND(tblMatriculas[[#This Row],[Estado]]="activa",ISNUMBER(tblMatriculas[[#This Row],[% asistencia]]),NOT(ISNUMBER(SEARCH(pPrueba,tblMatriculas[[#This Row],[Nombre]]))))</f>
        <v>1</v>
      </c>
      <c r="R209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098" s="23" t="str" cm="1">
        <f t="array" ref="S209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8" s="23" t="str" cm="1">
        <f t="array" ref="T209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8" s="14" t="str" cm="1">
        <f t="array" ref="U209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8" t="str" cm="1">
        <f t="array" ref="V209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8" t="str" cm="1">
        <f t="array" ref="W209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09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098" t="str">
        <f>IF(COUNTIFS('Base Estudiantes'!$C:$C,tblMatriculas[[#This Row],[Cédula]],'Base Estudiantes'!$I:$I,tblMatriculas[[#This Row],[Código]])&gt;0,"Sí","No")</f>
        <v>Sí</v>
      </c>
      <c r="Z2098" s="23" cm="1">
        <f t="array" ref="Z2098">_xlfn.XLOOKUP(tblMatriculas[[#This Row],[Cédula]]&amp;"|"&amp;tblMatriculas[[#This Row],[Código]],tblBase[Documento]&amp;"|"&amp;tblBase[Código grupo],tblBase[Fecha matrícula],"")</f>
        <v>46262</v>
      </c>
    </row>
    <row r="2099" spans="1:26" x14ac:dyDescent="0.2">
      <c r="A2099" t="s">
        <v>4346</v>
      </c>
      <c r="B2099" t="s">
        <v>4347</v>
      </c>
      <c r="C2099" t="s">
        <v>13</v>
      </c>
      <c r="D2099" t="s">
        <v>4340</v>
      </c>
      <c r="E2099" t="s">
        <v>4341</v>
      </c>
      <c r="F2099" t="s">
        <v>649</v>
      </c>
      <c r="G2099" s="1">
        <v>6.7000000000000004E-2</v>
      </c>
      <c r="H2099" t="s">
        <v>166</v>
      </c>
      <c r="I2099" t="s">
        <v>3833</v>
      </c>
      <c r="J2099" t="s">
        <v>3170</v>
      </c>
      <c r="K2099" t="s">
        <v>24</v>
      </c>
      <c r="L2099" s="14">
        <f>IFERROR(VALUE(LEFT(tblMatriculas[[#This Row],[Clases]],FIND("/",tblMatriculas[[#This Row],[Clases]])-1)),"")</f>
        <v>2</v>
      </c>
      <c r="M2099" s="14">
        <f>IFERROR(VALUE(MID(tblMatriculas[[#This Row],[Clases]],FIND("/",tblMatriculas[[#This Row],[Clases]])+1,5)),"")</f>
        <v>30</v>
      </c>
      <c r="N209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099" s="14">
        <f>IF(OR(tblMatriculas[[#This Row],[Estado]]&lt;&gt;"activa",tblMatriculas[[#This Row],[Clases dictadas]]=""),"",MAX(0,tblMatriculas[[#This Row],[Clases dictadas]]-tblMatriculas[[#This Row],[Asistidas]]))</f>
        <v>2</v>
      </c>
      <c r="P2099" s="1">
        <f>IF(OR(tblMatriculas[[#This Row],[Estado]]&lt;&gt;"activa",tblMatriculas[[#This Row],[Asistidas]]=""),"",tblMatriculas[[#This Row],[Asistencia]])</f>
        <v>6.7000000000000004E-2</v>
      </c>
      <c r="Q2099" t="b">
        <f>AND(tblMatriculas[[#This Row],[Estado]]="activa",ISNUMBER(tblMatriculas[[#This Row],[% asistencia]]),NOT(ISNUMBER(SEARCH(pPrueba,tblMatriculas[[#This Row],[Nombre]]))))</f>
        <v>1</v>
      </c>
      <c r="R209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099" s="23" t="str" cm="1">
        <f t="array" ref="S209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099" s="23" t="str" cm="1">
        <f t="array" ref="T209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099" s="14" t="str" cm="1">
        <f t="array" ref="U209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099" t="str" cm="1">
        <f t="array" ref="V209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099" t="str" cm="1">
        <f t="array" ref="W209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09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099" t="str">
        <f>IF(COUNTIFS('Base Estudiantes'!$C:$C,tblMatriculas[[#This Row],[Cédula]],'Base Estudiantes'!$I:$I,tblMatriculas[[#This Row],[Código]])&gt;0,"Sí","No")</f>
        <v>Sí</v>
      </c>
      <c r="Z2099" s="23" cm="1">
        <f t="array" ref="Z2099">_xlfn.XLOOKUP(tblMatriculas[[#This Row],[Cédula]]&amp;"|"&amp;tblMatriculas[[#This Row],[Código]],tblBase[Documento]&amp;"|"&amp;tblBase[Código grupo],tblBase[Fecha matrícula],"")</f>
        <v>46262</v>
      </c>
    </row>
    <row r="2100" spans="1:26" x14ac:dyDescent="0.2">
      <c r="A2100" t="s">
        <v>4348</v>
      </c>
      <c r="B2100" t="s">
        <v>4349</v>
      </c>
      <c r="C2100" t="s">
        <v>13</v>
      </c>
      <c r="D2100" t="s">
        <v>4340</v>
      </c>
      <c r="E2100" t="s">
        <v>4341</v>
      </c>
      <c r="F2100" t="s">
        <v>649</v>
      </c>
      <c r="G2100" s="1">
        <v>0.13300000000000001</v>
      </c>
      <c r="H2100" t="s">
        <v>112</v>
      </c>
      <c r="I2100" t="s">
        <v>3833</v>
      </c>
      <c r="J2100" t="s">
        <v>3170</v>
      </c>
      <c r="K2100" t="s">
        <v>24</v>
      </c>
      <c r="L2100" s="14">
        <f>IFERROR(VALUE(LEFT(tblMatriculas[[#This Row],[Clases]],FIND("/",tblMatriculas[[#This Row],[Clases]])-1)),"")</f>
        <v>4</v>
      </c>
      <c r="M2100" s="14">
        <f>IFERROR(VALUE(MID(tblMatriculas[[#This Row],[Clases]],FIND("/",tblMatriculas[[#This Row],[Clases]])+1,5)),"")</f>
        <v>30</v>
      </c>
      <c r="N210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0" s="14">
        <f>IF(OR(tblMatriculas[[#This Row],[Estado]]&lt;&gt;"activa",tblMatriculas[[#This Row],[Clases dictadas]]=""),"",MAX(0,tblMatriculas[[#This Row],[Clases dictadas]]-tblMatriculas[[#This Row],[Asistidas]]))</f>
        <v>0</v>
      </c>
      <c r="P2100" s="1">
        <f>IF(OR(tblMatriculas[[#This Row],[Estado]]&lt;&gt;"activa",tblMatriculas[[#This Row],[Asistidas]]=""),"",tblMatriculas[[#This Row],[Asistencia]])</f>
        <v>0.13300000000000001</v>
      </c>
      <c r="Q2100" t="b">
        <f>AND(tblMatriculas[[#This Row],[Estado]]="activa",ISNUMBER(tblMatriculas[[#This Row],[% asistencia]]),NOT(ISNUMBER(SEARCH(pPrueba,tblMatriculas[[#This Row],[Nombre]]))))</f>
        <v>1</v>
      </c>
      <c r="R210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0" s="23" t="str" cm="1">
        <f t="array" ref="S210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0" s="23" t="str" cm="1">
        <f t="array" ref="T210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0" s="14" t="str" cm="1">
        <f t="array" ref="U210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0" t="str" cm="1">
        <f t="array" ref="V210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0" t="str" cm="1">
        <f t="array" ref="W210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0" t="str">
        <f>IF(COUNTIFS('Base Estudiantes'!$C:$C,tblMatriculas[[#This Row],[Cédula]],'Base Estudiantes'!$I:$I,tblMatriculas[[#This Row],[Código]])&gt;0,"Sí","No")</f>
        <v>Sí</v>
      </c>
      <c r="Z2100" s="23" cm="1">
        <f t="array" ref="Z2100">_xlfn.XLOOKUP(tblMatriculas[[#This Row],[Cédula]]&amp;"|"&amp;tblMatriculas[[#This Row],[Código]],tblBase[Documento]&amp;"|"&amp;tblBase[Código grupo],tblBase[Fecha matrícula],"")</f>
        <v>46262</v>
      </c>
    </row>
    <row r="2101" spans="1:26" x14ac:dyDescent="0.2">
      <c r="A2101" t="s">
        <v>4350</v>
      </c>
      <c r="B2101" t="s">
        <v>4351</v>
      </c>
      <c r="C2101" t="s">
        <v>13</v>
      </c>
      <c r="D2101" t="s">
        <v>4340</v>
      </c>
      <c r="E2101" t="s">
        <v>4341</v>
      </c>
      <c r="F2101" t="s">
        <v>649</v>
      </c>
      <c r="G2101" s="1">
        <v>0.13300000000000001</v>
      </c>
      <c r="H2101" t="s">
        <v>112</v>
      </c>
      <c r="I2101" t="s">
        <v>3833</v>
      </c>
      <c r="J2101" t="s">
        <v>3170</v>
      </c>
      <c r="K2101" t="s">
        <v>24</v>
      </c>
      <c r="L2101" s="14">
        <f>IFERROR(VALUE(LEFT(tblMatriculas[[#This Row],[Clases]],FIND("/",tblMatriculas[[#This Row],[Clases]])-1)),"")</f>
        <v>4</v>
      </c>
      <c r="M2101" s="14">
        <f>IFERROR(VALUE(MID(tblMatriculas[[#This Row],[Clases]],FIND("/",tblMatriculas[[#This Row],[Clases]])+1,5)),"")</f>
        <v>30</v>
      </c>
      <c r="N210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1" s="14">
        <f>IF(OR(tblMatriculas[[#This Row],[Estado]]&lt;&gt;"activa",tblMatriculas[[#This Row],[Clases dictadas]]=""),"",MAX(0,tblMatriculas[[#This Row],[Clases dictadas]]-tblMatriculas[[#This Row],[Asistidas]]))</f>
        <v>0</v>
      </c>
      <c r="P2101" s="1">
        <f>IF(OR(tblMatriculas[[#This Row],[Estado]]&lt;&gt;"activa",tblMatriculas[[#This Row],[Asistidas]]=""),"",tblMatriculas[[#This Row],[Asistencia]])</f>
        <v>0.13300000000000001</v>
      </c>
      <c r="Q2101" t="b">
        <f>AND(tblMatriculas[[#This Row],[Estado]]="activa",ISNUMBER(tblMatriculas[[#This Row],[% asistencia]]),NOT(ISNUMBER(SEARCH(pPrueba,tblMatriculas[[#This Row],[Nombre]]))))</f>
        <v>1</v>
      </c>
      <c r="R210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1" s="23" t="str" cm="1">
        <f t="array" ref="S210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1" s="23" t="str" cm="1">
        <f t="array" ref="T210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1" s="14" t="str" cm="1">
        <f t="array" ref="U210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1" t="str" cm="1">
        <f t="array" ref="V210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1" t="str" cm="1">
        <f t="array" ref="W210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1" t="str">
        <f>IF(COUNTIFS('Base Estudiantes'!$C:$C,tblMatriculas[[#This Row],[Cédula]],'Base Estudiantes'!$I:$I,tblMatriculas[[#This Row],[Código]])&gt;0,"Sí","No")</f>
        <v>Sí</v>
      </c>
      <c r="Z2101" s="23" cm="1">
        <f t="array" ref="Z2101">_xlfn.XLOOKUP(tblMatriculas[[#This Row],[Cédula]]&amp;"|"&amp;tblMatriculas[[#This Row],[Código]],tblBase[Documento]&amp;"|"&amp;tblBase[Código grupo],tblBase[Fecha matrícula],"")</f>
        <v>46262</v>
      </c>
    </row>
    <row r="2102" spans="1:26" x14ac:dyDescent="0.2">
      <c r="A2102" t="s">
        <v>4352</v>
      </c>
      <c r="B2102" t="s">
        <v>4353</v>
      </c>
      <c r="C2102" t="s">
        <v>13</v>
      </c>
      <c r="D2102" t="s">
        <v>4340</v>
      </c>
      <c r="E2102" t="s">
        <v>4341</v>
      </c>
      <c r="F2102" t="s">
        <v>649</v>
      </c>
      <c r="G2102" s="1">
        <v>0</v>
      </c>
      <c r="H2102" t="s">
        <v>254</v>
      </c>
      <c r="I2102" t="s">
        <v>3833</v>
      </c>
      <c r="J2102" t="s">
        <v>3170</v>
      </c>
      <c r="K2102" t="s">
        <v>24</v>
      </c>
      <c r="L2102" s="14">
        <f>IFERROR(VALUE(LEFT(tblMatriculas[[#This Row],[Clases]],FIND("/",tblMatriculas[[#This Row],[Clases]])-1)),"")</f>
        <v>0</v>
      </c>
      <c r="M2102" s="14">
        <f>IFERROR(VALUE(MID(tblMatriculas[[#This Row],[Clases]],FIND("/",tblMatriculas[[#This Row],[Clases]])+1,5)),"")</f>
        <v>30</v>
      </c>
      <c r="N210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2" s="14">
        <f>IF(OR(tblMatriculas[[#This Row],[Estado]]&lt;&gt;"activa",tblMatriculas[[#This Row],[Clases dictadas]]=""),"",MAX(0,tblMatriculas[[#This Row],[Clases dictadas]]-tblMatriculas[[#This Row],[Asistidas]]))</f>
        <v>4</v>
      </c>
      <c r="P2102" s="1">
        <f>IF(OR(tblMatriculas[[#This Row],[Estado]]&lt;&gt;"activa",tblMatriculas[[#This Row],[Asistidas]]=""),"",tblMatriculas[[#This Row],[Asistencia]])</f>
        <v>0</v>
      </c>
      <c r="Q2102" t="b">
        <f>AND(tblMatriculas[[#This Row],[Estado]]="activa",ISNUMBER(tblMatriculas[[#This Row],[% asistencia]]),NOT(ISNUMBER(SEARCH(pPrueba,tblMatriculas[[#This Row],[Nombre]]))))</f>
        <v>1</v>
      </c>
      <c r="R210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102" s="23" t="str" cm="1">
        <f t="array" ref="S210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2" s="23" t="str" cm="1">
        <f t="array" ref="T210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2" s="14" t="str" cm="1">
        <f t="array" ref="U210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2" t="str" cm="1">
        <f t="array" ref="V210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2" t="str" cm="1">
        <f t="array" ref="W210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10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102" t="str">
        <f>IF(COUNTIFS('Base Estudiantes'!$C:$C,tblMatriculas[[#This Row],[Cédula]],'Base Estudiantes'!$I:$I,tblMatriculas[[#This Row],[Código]])&gt;0,"Sí","No")</f>
        <v>Sí</v>
      </c>
      <c r="Z2102" s="23" cm="1">
        <f t="array" ref="Z2102">_xlfn.XLOOKUP(tblMatriculas[[#This Row],[Cédula]]&amp;"|"&amp;tblMatriculas[[#This Row],[Código]],tblBase[Documento]&amp;"|"&amp;tblBase[Código grupo],tblBase[Fecha matrícula],"")</f>
        <v>46262</v>
      </c>
    </row>
    <row r="2103" spans="1:26" x14ac:dyDescent="0.2">
      <c r="A2103" t="s">
        <v>4354</v>
      </c>
      <c r="B2103" t="s">
        <v>4355</v>
      </c>
      <c r="C2103" t="s">
        <v>13</v>
      </c>
      <c r="D2103" t="s">
        <v>4340</v>
      </c>
      <c r="E2103" t="s">
        <v>4341</v>
      </c>
      <c r="F2103" t="s">
        <v>649</v>
      </c>
      <c r="G2103" s="1">
        <v>0.13300000000000001</v>
      </c>
      <c r="H2103" t="s">
        <v>112</v>
      </c>
      <c r="I2103" t="s">
        <v>3833</v>
      </c>
      <c r="J2103" t="s">
        <v>3170</v>
      </c>
      <c r="K2103" t="s">
        <v>24</v>
      </c>
      <c r="L2103" s="14">
        <f>IFERROR(VALUE(LEFT(tblMatriculas[[#This Row],[Clases]],FIND("/",tblMatriculas[[#This Row],[Clases]])-1)),"")</f>
        <v>4</v>
      </c>
      <c r="M2103" s="14">
        <f>IFERROR(VALUE(MID(tblMatriculas[[#This Row],[Clases]],FIND("/",tblMatriculas[[#This Row],[Clases]])+1,5)),"")</f>
        <v>30</v>
      </c>
      <c r="N210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3" s="14">
        <f>IF(OR(tblMatriculas[[#This Row],[Estado]]&lt;&gt;"activa",tblMatriculas[[#This Row],[Clases dictadas]]=""),"",MAX(0,tblMatriculas[[#This Row],[Clases dictadas]]-tblMatriculas[[#This Row],[Asistidas]]))</f>
        <v>0</v>
      </c>
      <c r="P2103" s="1">
        <f>IF(OR(tblMatriculas[[#This Row],[Estado]]&lt;&gt;"activa",tblMatriculas[[#This Row],[Asistidas]]=""),"",tblMatriculas[[#This Row],[Asistencia]])</f>
        <v>0.13300000000000001</v>
      </c>
      <c r="Q2103" t="b">
        <f>AND(tblMatriculas[[#This Row],[Estado]]="activa",ISNUMBER(tblMatriculas[[#This Row],[% asistencia]]),NOT(ISNUMBER(SEARCH(pPrueba,tblMatriculas[[#This Row],[Nombre]]))))</f>
        <v>1</v>
      </c>
      <c r="R210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3" s="23" t="str" cm="1">
        <f t="array" ref="S210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3" s="23" t="str" cm="1">
        <f t="array" ref="T210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3" s="14" t="str" cm="1">
        <f t="array" ref="U210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3" t="str" cm="1">
        <f t="array" ref="V210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3" t="str" cm="1">
        <f t="array" ref="W210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3" t="str">
        <f>IF(COUNTIFS('Base Estudiantes'!$C:$C,tblMatriculas[[#This Row],[Cédula]],'Base Estudiantes'!$I:$I,tblMatriculas[[#This Row],[Código]])&gt;0,"Sí","No")</f>
        <v>Sí</v>
      </c>
      <c r="Z2103" s="23" cm="1">
        <f t="array" ref="Z2103">_xlfn.XLOOKUP(tblMatriculas[[#This Row],[Cédula]]&amp;"|"&amp;tblMatriculas[[#This Row],[Código]],tblBase[Documento]&amp;"|"&amp;tblBase[Código grupo],tblBase[Fecha matrícula],"")</f>
        <v>46262</v>
      </c>
    </row>
    <row r="2104" spans="1:26" x14ac:dyDescent="0.2">
      <c r="A2104" t="s">
        <v>4356</v>
      </c>
      <c r="B2104" t="s">
        <v>4357</v>
      </c>
      <c r="C2104" t="s">
        <v>13</v>
      </c>
      <c r="D2104" t="s">
        <v>4340</v>
      </c>
      <c r="E2104" t="s">
        <v>4341</v>
      </c>
      <c r="F2104" t="s">
        <v>649</v>
      </c>
      <c r="G2104" s="1">
        <v>0.13300000000000001</v>
      </c>
      <c r="H2104" t="s">
        <v>112</v>
      </c>
      <c r="I2104" t="s">
        <v>3833</v>
      </c>
      <c r="J2104" t="s">
        <v>3170</v>
      </c>
      <c r="K2104" t="s">
        <v>24</v>
      </c>
      <c r="L2104" s="14">
        <f>IFERROR(VALUE(LEFT(tblMatriculas[[#This Row],[Clases]],FIND("/",tblMatriculas[[#This Row],[Clases]])-1)),"")</f>
        <v>4</v>
      </c>
      <c r="M2104" s="14">
        <f>IFERROR(VALUE(MID(tblMatriculas[[#This Row],[Clases]],FIND("/",tblMatriculas[[#This Row],[Clases]])+1,5)),"")</f>
        <v>30</v>
      </c>
      <c r="N210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4" s="14">
        <f>IF(OR(tblMatriculas[[#This Row],[Estado]]&lt;&gt;"activa",tblMatriculas[[#This Row],[Clases dictadas]]=""),"",MAX(0,tblMatriculas[[#This Row],[Clases dictadas]]-tblMatriculas[[#This Row],[Asistidas]]))</f>
        <v>0</v>
      </c>
      <c r="P2104" s="1">
        <f>IF(OR(tblMatriculas[[#This Row],[Estado]]&lt;&gt;"activa",tblMatriculas[[#This Row],[Asistidas]]=""),"",tblMatriculas[[#This Row],[Asistencia]])</f>
        <v>0.13300000000000001</v>
      </c>
      <c r="Q2104" t="b">
        <f>AND(tblMatriculas[[#This Row],[Estado]]="activa",ISNUMBER(tblMatriculas[[#This Row],[% asistencia]]),NOT(ISNUMBER(SEARCH(pPrueba,tblMatriculas[[#This Row],[Nombre]]))))</f>
        <v>1</v>
      </c>
      <c r="R210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4" s="23" t="str" cm="1">
        <f t="array" ref="S210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4" s="23" t="str" cm="1">
        <f t="array" ref="T210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4" s="14" t="str" cm="1">
        <f t="array" ref="U210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4" t="str" cm="1">
        <f t="array" ref="V210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4" t="str" cm="1">
        <f t="array" ref="W210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4" t="str">
        <f>IF(COUNTIFS('Base Estudiantes'!$C:$C,tblMatriculas[[#This Row],[Cédula]],'Base Estudiantes'!$I:$I,tblMatriculas[[#This Row],[Código]])&gt;0,"Sí","No")</f>
        <v>Sí</v>
      </c>
      <c r="Z2104" s="23" cm="1">
        <f t="array" ref="Z2104">_xlfn.XLOOKUP(tblMatriculas[[#This Row],[Cédula]]&amp;"|"&amp;tblMatriculas[[#This Row],[Código]],tblBase[Documento]&amp;"|"&amp;tblBase[Código grupo],tblBase[Fecha matrícula],"")</f>
        <v>46262</v>
      </c>
    </row>
    <row r="2105" spans="1:26" x14ac:dyDescent="0.2">
      <c r="A2105" t="s">
        <v>4358</v>
      </c>
      <c r="B2105" t="s">
        <v>4359</v>
      </c>
      <c r="C2105" t="s">
        <v>13</v>
      </c>
      <c r="D2105" t="s">
        <v>4340</v>
      </c>
      <c r="E2105" t="s">
        <v>4341</v>
      </c>
      <c r="F2105" t="s">
        <v>649</v>
      </c>
      <c r="G2105" s="1">
        <v>0.13300000000000001</v>
      </c>
      <c r="H2105" t="s">
        <v>112</v>
      </c>
      <c r="I2105" t="s">
        <v>3833</v>
      </c>
      <c r="J2105" t="s">
        <v>3170</v>
      </c>
      <c r="K2105" t="s">
        <v>24</v>
      </c>
      <c r="L2105" s="14">
        <f>IFERROR(VALUE(LEFT(tblMatriculas[[#This Row],[Clases]],FIND("/",tblMatriculas[[#This Row],[Clases]])-1)),"")</f>
        <v>4</v>
      </c>
      <c r="M2105" s="14">
        <f>IFERROR(VALUE(MID(tblMatriculas[[#This Row],[Clases]],FIND("/",tblMatriculas[[#This Row],[Clases]])+1,5)),"")</f>
        <v>30</v>
      </c>
      <c r="N210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5" s="14">
        <f>IF(OR(tblMatriculas[[#This Row],[Estado]]&lt;&gt;"activa",tblMatriculas[[#This Row],[Clases dictadas]]=""),"",MAX(0,tblMatriculas[[#This Row],[Clases dictadas]]-tblMatriculas[[#This Row],[Asistidas]]))</f>
        <v>0</v>
      </c>
      <c r="P2105" s="1">
        <f>IF(OR(tblMatriculas[[#This Row],[Estado]]&lt;&gt;"activa",tblMatriculas[[#This Row],[Asistidas]]=""),"",tblMatriculas[[#This Row],[Asistencia]])</f>
        <v>0.13300000000000001</v>
      </c>
      <c r="Q2105" t="b">
        <f>AND(tblMatriculas[[#This Row],[Estado]]="activa",ISNUMBER(tblMatriculas[[#This Row],[% asistencia]]),NOT(ISNUMBER(SEARCH(pPrueba,tblMatriculas[[#This Row],[Nombre]]))))</f>
        <v>1</v>
      </c>
      <c r="R210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5" s="23" t="str" cm="1">
        <f t="array" ref="S210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5" s="23" t="str" cm="1">
        <f t="array" ref="T210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5" s="14" t="str" cm="1">
        <f t="array" ref="U210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5" t="str" cm="1">
        <f t="array" ref="V210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5" t="str" cm="1">
        <f t="array" ref="W210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5" t="str">
        <f>IF(COUNTIFS('Base Estudiantes'!$C:$C,tblMatriculas[[#This Row],[Cédula]],'Base Estudiantes'!$I:$I,tblMatriculas[[#This Row],[Código]])&gt;0,"Sí","No")</f>
        <v>Sí</v>
      </c>
      <c r="Z2105" s="23" cm="1">
        <f t="array" ref="Z2105">_xlfn.XLOOKUP(tblMatriculas[[#This Row],[Cédula]]&amp;"|"&amp;tblMatriculas[[#This Row],[Código]],tblBase[Documento]&amp;"|"&amp;tblBase[Código grupo],tblBase[Fecha matrícula],"")</f>
        <v>46262</v>
      </c>
    </row>
    <row r="2106" spans="1:26" x14ac:dyDescent="0.2">
      <c r="A2106" t="s">
        <v>4360</v>
      </c>
      <c r="B2106" t="s">
        <v>4361</v>
      </c>
      <c r="C2106" t="s">
        <v>13</v>
      </c>
      <c r="D2106" t="s">
        <v>4340</v>
      </c>
      <c r="E2106" t="s">
        <v>4341</v>
      </c>
      <c r="F2106" t="s">
        <v>649</v>
      </c>
      <c r="G2106" s="1">
        <v>3.3000000000000002E-2</v>
      </c>
      <c r="H2106" t="s">
        <v>225</v>
      </c>
      <c r="I2106" t="s">
        <v>3833</v>
      </c>
      <c r="J2106" t="s">
        <v>3170</v>
      </c>
      <c r="K2106" t="s">
        <v>24</v>
      </c>
      <c r="L2106" s="14">
        <f>IFERROR(VALUE(LEFT(tblMatriculas[[#This Row],[Clases]],FIND("/",tblMatriculas[[#This Row],[Clases]])-1)),"")</f>
        <v>1</v>
      </c>
      <c r="M2106" s="14">
        <f>IFERROR(VALUE(MID(tblMatriculas[[#This Row],[Clases]],FIND("/",tblMatriculas[[#This Row],[Clases]])+1,5)),"")</f>
        <v>30</v>
      </c>
      <c r="N210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6" s="14">
        <f>IF(OR(tblMatriculas[[#This Row],[Estado]]&lt;&gt;"activa",tblMatriculas[[#This Row],[Clases dictadas]]=""),"",MAX(0,tblMatriculas[[#This Row],[Clases dictadas]]-tblMatriculas[[#This Row],[Asistidas]]))</f>
        <v>3</v>
      </c>
      <c r="P2106" s="1">
        <f>IF(OR(tblMatriculas[[#This Row],[Estado]]&lt;&gt;"activa",tblMatriculas[[#This Row],[Asistidas]]=""),"",tblMatriculas[[#This Row],[Asistencia]])</f>
        <v>3.3000000000000002E-2</v>
      </c>
      <c r="Q2106" t="b">
        <f>AND(tblMatriculas[[#This Row],[Estado]]="activa",ISNUMBER(tblMatriculas[[#This Row],[% asistencia]]),NOT(ISNUMBER(SEARCH(pPrueba,tblMatriculas[[#This Row],[Nombre]]))))</f>
        <v>1</v>
      </c>
      <c r="R210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106" s="23" t="str" cm="1">
        <f t="array" ref="S210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6" s="23" t="str" cm="1">
        <f t="array" ref="T210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6" s="14" t="str" cm="1">
        <f t="array" ref="U210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6" t="str" cm="1">
        <f t="array" ref="V210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6" t="str" cm="1">
        <f t="array" ref="W210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10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106" t="str">
        <f>IF(COUNTIFS('Base Estudiantes'!$C:$C,tblMatriculas[[#This Row],[Cédula]],'Base Estudiantes'!$I:$I,tblMatriculas[[#This Row],[Código]])&gt;0,"Sí","No")</f>
        <v>Sí</v>
      </c>
      <c r="Z2106" s="23" cm="1">
        <f t="array" ref="Z2106">_xlfn.XLOOKUP(tblMatriculas[[#This Row],[Cédula]]&amp;"|"&amp;tblMatriculas[[#This Row],[Código]],tblBase[Documento]&amp;"|"&amp;tblBase[Código grupo],tblBase[Fecha matrícula],"")</f>
        <v>46262</v>
      </c>
    </row>
    <row r="2107" spans="1:26" x14ac:dyDescent="0.2">
      <c r="A2107" t="s">
        <v>4362</v>
      </c>
      <c r="B2107" t="s">
        <v>4363</v>
      </c>
      <c r="C2107" t="s">
        <v>13</v>
      </c>
      <c r="D2107" t="s">
        <v>4340</v>
      </c>
      <c r="E2107" t="s">
        <v>4341</v>
      </c>
      <c r="F2107" t="s">
        <v>649</v>
      </c>
      <c r="G2107" s="1">
        <v>0.13300000000000001</v>
      </c>
      <c r="H2107" t="s">
        <v>112</v>
      </c>
      <c r="I2107" t="s">
        <v>3833</v>
      </c>
      <c r="J2107" t="s">
        <v>3170</v>
      </c>
      <c r="K2107" t="s">
        <v>24</v>
      </c>
      <c r="L2107" s="14">
        <f>IFERROR(VALUE(LEFT(tblMatriculas[[#This Row],[Clases]],FIND("/",tblMatriculas[[#This Row],[Clases]])-1)),"")</f>
        <v>4</v>
      </c>
      <c r="M2107" s="14">
        <f>IFERROR(VALUE(MID(tblMatriculas[[#This Row],[Clases]],FIND("/",tblMatriculas[[#This Row],[Clases]])+1,5)),"")</f>
        <v>30</v>
      </c>
      <c r="N210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7" s="14">
        <f>IF(OR(tblMatriculas[[#This Row],[Estado]]&lt;&gt;"activa",tblMatriculas[[#This Row],[Clases dictadas]]=""),"",MAX(0,tblMatriculas[[#This Row],[Clases dictadas]]-tblMatriculas[[#This Row],[Asistidas]]))</f>
        <v>0</v>
      </c>
      <c r="P2107" s="1">
        <f>IF(OR(tblMatriculas[[#This Row],[Estado]]&lt;&gt;"activa",tblMatriculas[[#This Row],[Asistidas]]=""),"",tblMatriculas[[#This Row],[Asistencia]])</f>
        <v>0.13300000000000001</v>
      </c>
      <c r="Q2107" t="b">
        <f>AND(tblMatriculas[[#This Row],[Estado]]="activa",ISNUMBER(tblMatriculas[[#This Row],[% asistencia]]),NOT(ISNUMBER(SEARCH(pPrueba,tblMatriculas[[#This Row],[Nombre]]))))</f>
        <v>1</v>
      </c>
      <c r="R210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07" s="23" t="str" cm="1">
        <f t="array" ref="S210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7" s="23" t="str" cm="1">
        <f t="array" ref="T210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7" s="14" t="str" cm="1">
        <f t="array" ref="U210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7" t="str" cm="1">
        <f t="array" ref="V210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7" t="str" cm="1">
        <f t="array" ref="W210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0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07" t="str">
        <f>IF(COUNTIFS('Base Estudiantes'!$C:$C,tblMatriculas[[#This Row],[Cédula]],'Base Estudiantes'!$I:$I,tblMatriculas[[#This Row],[Código]])&gt;0,"Sí","No")</f>
        <v>Sí</v>
      </c>
      <c r="Z2107" s="23" cm="1">
        <f t="array" ref="Z2107">_xlfn.XLOOKUP(tblMatriculas[[#This Row],[Cédula]]&amp;"|"&amp;tblMatriculas[[#This Row],[Código]],tblBase[Documento]&amp;"|"&amp;tblBase[Código grupo],tblBase[Fecha matrícula],"")</f>
        <v>46262</v>
      </c>
    </row>
    <row r="2108" spans="1:26" x14ac:dyDescent="0.2">
      <c r="A2108" t="s">
        <v>4364</v>
      </c>
      <c r="B2108" t="s">
        <v>4365</v>
      </c>
      <c r="C2108" t="s">
        <v>13</v>
      </c>
      <c r="D2108" t="s">
        <v>4340</v>
      </c>
      <c r="E2108" t="s">
        <v>4341</v>
      </c>
      <c r="F2108" t="s">
        <v>649</v>
      </c>
      <c r="G2108" s="1">
        <v>3.3000000000000002E-2</v>
      </c>
      <c r="H2108" t="s">
        <v>225</v>
      </c>
      <c r="I2108" t="s">
        <v>3833</v>
      </c>
      <c r="J2108" t="s">
        <v>3170</v>
      </c>
      <c r="K2108" t="s">
        <v>24</v>
      </c>
      <c r="L2108" s="14">
        <f>IFERROR(VALUE(LEFT(tblMatriculas[[#This Row],[Clases]],FIND("/",tblMatriculas[[#This Row],[Clases]])-1)),"")</f>
        <v>1</v>
      </c>
      <c r="M2108" s="14">
        <f>IFERROR(VALUE(MID(tblMatriculas[[#This Row],[Clases]],FIND("/",tblMatriculas[[#This Row],[Clases]])+1,5)),"")</f>
        <v>30</v>
      </c>
      <c r="N210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8" s="14">
        <f>IF(OR(tblMatriculas[[#This Row],[Estado]]&lt;&gt;"activa",tblMatriculas[[#This Row],[Clases dictadas]]=""),"",MAX(0,tblMatriculas[[#This Row],[Clases dictadas]]-tblMatriculas[[#This Row],[Asistidas]]))</f>
        <v>3</v>
      </c>
      <c r="P2108" s="1">
        <f>IF(OR(tblMatriculas[[#This Row],[Estado]]&lt;&gt;"activa",tblMatriculas[[#This Row],[Asistidas]]=""),"",tblMatriculas[[#This Row],[Asistencia]])</f>
        <v>3.3000000000000002E-2</v>
      </c>
      <c r="Q2108" t="b">
        <f>AND(tblMatriculas[[#This Row],[Estado]]="activa",ISNUMBER(tblMatriculas[[#This Row],[% asistencia]]),NOT(ISNUMBER(SEARCH(pPrueba,tblMatriculas[[#This Row],[Nombre]]))))</f>
        <v>1</v>
      </c>
      <c r="R210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108" s="23" t="str" cm="1">
        <f t="array" ref="S210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8" s="23" t="str" cm="1">
        <f t="array" ref="T210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8" s="14" t="str" cm="1">
        <f t="array" ref="U210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8" t="str" cm="1">
        <f t="array" ref="V210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8" t="str" cm="1">
        <f t="array" ref="W210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10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108" t="str">
        <f>IF(COUNTIFS('Base Estudiantes'!$C:$C,tblMatriculas[[#This Row],[Cédula]],'Base Estudiantes'!$I:$I,tblMatriculas[[#This Row],[Código]])&gt;0,"Sí","No")</f>
        <v>Sí</v>
      </c>
      <c r="Z2108" s="23" cm="1">
        <f t="array" ref="Z2108">_xlfn.XLOOKUP(tblMatriculas[[#This Row],[Cédula]]&amp;"|"&amp;tblMatriculas[[#This Row],[Código]],tblBase[Documento]&amp;"|"&amp;tblBase[Código grupo],tblBase[Fecha matrícula],"")</f>
        <v>46262</v>
      </c>
    </row>
    <row r="2109" spans="1:26" x14ac:dyDescent="0.2">
      <c r="A2109" t="s">
        <v>4366</v>
      </c>
      <c r="B2109" t="s">
        <v>4367</v>
      </c>
      <c r="C2109" t="s">
        <v>13</v>
      </c>
      <c r="D2109" t="s">
        <v>4340</v>
      </c>
      <c r="E2109" t="s">
        <v>4341</v>
      </c>
      <c r="F2109" t="s">
        <v>649</v>
      </c>
      <c r="G2109" s="1">
        <v>0</v>
      </c>
      <c r="H2109" t="s">
        <v>254</v>
      </c>
      <c r="I2109" t="s">
        <v>3833</v>
      </c>
      <c r="J2109" t="s">
        <v>3170</v>
      </c>
      <c r="K2109" t="s">
        <v>24</v>
      </c>
      <c r="L2109" s="14">
        <f>IFERROR(VALUE(LEFT(tblMatriculas[[#This Row],[Clases]],FIND("/",tblMatriculas[[#This Row],[Clases]])-1)),"")</f>
        <v>0</v>
      </c>
      <c r="M2109" s="14">
        <f>IFERROR(VALUE(MID(tblMatriculas[[#This Row],[Clases]],FIND("/",tblMatriculas[[#This Row],[Clases]])+1,5)),"")</f>
        <v>30</v>
      </c>
      <c r="N210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09" s="14">
        <f>IF(OR(tblMatriculas[[#This Row],[Estado]]&lt;&gt;"activa",tblMatriculas[[#This Row],[Clases dictadas]]=""),"",MAX(0,tblMatriculas[[#This Row],[Clases dictadas]]-tblMatriculas[[#This Row],[Asistidas]]))</f>
        <v>4</v>
      </c>
      <c r="P2109" s="1">
        <f>IF(OR(tblMatriculas[[#This Row],[Estado]]&lt;&gt;"activa",tblMatriculas[[#This Row],[Asistidas]]=""),"",tblMatriculas[[#This Row],[Asistencia]])</f>
        <v>0</v>
      </c>
      <c r="Q2109" t="b">
        <f>AND(tblMatriculas[[#This Row],[Estado]]="activa",ISNUMBER(tblMatriculas[[#This Row],[% asistencia]]),NOT(ISNUMBER(SEARCH(pPrueba,tblMatriculas[[#This Row],[Nombre]]))))</f>
        <v>1</v>
      </c>
      <c r="R210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109" s="23" t="str" cm="1">
        <f t="array" ref="S210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09" s="23" t="str" cm="1">
        <f t="array" ref="T210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09" s="14" t="str" cm="1">
        <f t="array" ref="U210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09" t="str" cm="1">
        <f t="array" ref="V210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09" t="str" cm="1">
        <f t="array" ref="W210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109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109" t="str">
        <f>IF(COUNTIFS('Base Estudiantes'!$C:$C,tblMatriculas[[#This Row],[Cédula]],'Base Estudiantes'!$I:$I,tblMatriculas[[#This Row],[Código]])&gt;0,"Sí","No")</f>
        <v>Sí</v>
      </c>
      <c r="Z2109" s="23" cm="1">
        <f t="array" ref="Z2109">_xlfn.XLOOKUP(tblMatriculas[[#This Row],[Cédula]]&amp;"|"&amp;tblMatriculas[[#This Row],[Código]],tblBase[Documento]&amp;"|"&amp;tblBase[Código grupo],tblBase[Fecha matrícula],"")</f>
        <v>46262</v>
      </c>
    </row>
    <row r="2110" spans="1:26" x14ac:dyDescent="0.2">
      <c r="A2110" t="s">
        <v>4368</v>
      </c>
      <c r="B2110" t="s">
        <v>4369</v>
      </c>
      <c r="C2110" t="s">
        <v>13</v>
      </c>
      <c r="D2110" t="s">
        <v>4340</v>
      </c>
      <c r="E2110" t="s">
        <v>4341</v>
      </c>
      <c r="F2110" t="s">
        <v>649</v>
      </c>
      <c r="G2110" s="1">
        <v>6.7000000000000004E-2</v>
      </c>
      <c r="H2110" t="s">
        <v>166</v>
      </c>
      <c r="I2110" t="s">
        <v>3833</v>
      </c>
      <c r="J2110" t="s">
        <v>3170</v>
      </c>
      <c r="K2110" t="s">
        <v>24</v>
      </c>
      <c r="L2110" s="14">
        <f>IFERROR(VALUE(LEFT(tblMatriculas[[#This Row],[Clases]],FIND("/",tblMatriculas[[#This Row],[Clases]])-1)),"")</f>
        <v>2</v>
      </c>
      <c r="M2110" s="14">
        <f>IFERROR(VALUE(MID(tblMatriculas[[#This Row],[Clases]],FIND("/",tblMatriculas[[#This Row],[Clases]])+1,5)),"")</f>
        <v>30</v>
      </c>
      <c r="N211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0" s="14">
        <f>IF(OR(tblMatriculas[[#This Row],[Estado]]&lt;&gt;"activa",tblMatriculas[[#This Row],[Clases dictadas]]=""),"",MAX(0,tblMatriculas[[#This Row],[Clases dictadas]]-tblMatriculas[[#This Row],[Asistidas]]))</f>
        <v>2</v>
      </c>
      <c r="P2110" s="1">
        <f>IF(OR(tblMatriculas[[#This Row],[Estado]]&lt;&gt;"activa",tblMatriculas[[#This Row],[Asistidas]]=""),"",tblMatriculas[[#This Row],[Asistencia]])</f>
        <v>6.7000000000000004E-2</v>
      </c>
      <c r="Q2110" t="b">
        <f>AND(tblMatriculas[[#This Row],[Estado]]="activa",ISNUMBER(tblMatriculas[[#This Row],[% asistencia]]),NOT(ISNUMBER(SEARCH(pPrueba,tblMatriculas[[#This Row],[Nombre]]))))</f>
        <v>1</v>
      </c>
      <c r="R211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110" s="23" t="str" cm="1">
        <f t="array" ref="S211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0" s="23" t="str" cm="1">
        <f t="array" ref="T211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0" s="14" t="str" cm="1">
        <f t="array" ref="U211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0" t="str" cm="1">
        <f t="array" ref="V211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0" t="str" cm="1">
        <f t="array" ref="W211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110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110" t="str">
        <f>IF(COUNTIFS('Base Estudiantes'!$C:$C,tblMatriculas[[#This Row],[Cédula]],'Base Estudiantes'!$I:$I,tblMatriculas[[#This Row],[Código]])&gt;0,"Sí","No")</f>
        <v>Sí</v>
      </c>
      <c r="Z2110" s="23" cm="1">
        <f t="array" ref="Z2110">_xlfn.XLOOKUP(tblMatriculas[[#This Row],[Cédula]]&amp;"|"&amp;tblMatriculas[[#This Row],[Código]],tblBase[Documento]&amp;"|"&amp;tblBase[Código grupo],tblBase[Fecha matrícula],"")</f>
        <v>46262</v>
      </c>
    </row>
    <row r="2111" spans="1:26" x14ac:dyDescent="0.2">
      <c r="A2111" t="s">
        <v>4370</v>
      </c>
      <c r="B2111" t="s">
        <v>4371</v>
      </c>
      <c r="C2111" t="s">
        <v>13</v>
      </c>
      <c r="D2111" t="s">
        <v>4340</v>
      </c>
      <c r="E2111" t="s">
        <v>4341</v>
      </c>
      <c r="F2111" t="s">
        <v>649</v>
      </c>
      <c r="G2111" s="1">
        <v>0.05</v>
      </c>
      <c r="H2111" t="s">
        <v>336</v>
      </c>
      <c r="I2111" t="s">
        <v>3833</v>
      </c>
      <c r="J2111" t="s">
        <v>3170</v>
      </c>
      <c r="K2111" t="s">
        <v>3838</v>
      </c>
      <c r="L2111" s="14">
        <f>IFERROR(VALUE(LEFT(tblMatriculas[[#This Row],[Clases]],FIND("/",tblMatriculas[[#This Row],[Clases]])-1)),"")</f>
        <v>3</v>
      </c>
      <c r="M2111" s="14">
        <f>IFERROR(VALUE(MID(tblMatriculas[[#This Row],[Clases]],FIND("/",tblMatriculas[[#This Row],[Clases]])+1,5)),"")</f>
        <v>60</v>
      </c>
      <c r="N211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6</v>
      </c>
      <c r="O2111" s="14">
        <f>IF(OR(tblMatriculas[[#This Row],[Estado]]&lt;&gt;"activa",tblMatriculas[[#This Row],[Clases dictadas]]=""),"",MAX(0,tblMatriculas[[#This Row],[Clases dictadas]]-tblMatriculas[[#This Row],[Asistidas]]))</f>
        <v>3</v>
      </c>
      <c r="P2111" s="1">
        <f>IF(OR(tblMatriculas[[#This Row],[Estado]]&lt;&gt;"activa",tblMatriculas[[#This Row],[Asistidas]]=""),"",tblMatriculas[[#This Row],[Asistencia]])</f>
        <v>0.05</v>
      </c>
      <c r="Q2111" t="b">
        <f>AND(tblMatriculas[[#This Row],[Estado]]="activa",ISNUMBER(tblMatriculas[[#This Row],[% asistencia]]),NOT(ISNUMBER(SEARCH(pPrueba,tblMatriculas[[#This Row],[Nombre]]))))</f>
        <v>1</v>
      </c>
      <c r="R211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111" s="23" t="str" cm="1">
        <f t="array" ref="S211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1" s="23" t="str" cm="1">
        <f t="array" ref="T211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1" s="14" t="str" cm="1">
        <f t="array" ref="U211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1" t="str" cm="1">
        <f t="array" ref="V211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1" t="str" cm="1">
        <f t="array" ref="W211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111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111" t="str">
        <f>IF(COUNTIFS('Base Estudiantes'!$C:$C,tblMatriculas[[#This Row],[Cédula]],'Base Estudiantes'!$I:$I,tblMatriculas[[#This Row],[Código]])&gt;0,"Sí","No")</f>
        <v>Sí</v>
      </c>
      <c r="Z2111" s="23" cm="1">
        <f t="array" ref="Z2111">_xlfn.XLOOKUP(tblMatriculas[[#This Row],[Cédula]]&amp;"|"&amp;tblMatriculas[[#This Row],[Código]],tblBase[Documento]&amp;"|"&amp;tblBase[Código grupo],tblBase[Fecha matrícula],"")</f>
        <v>46262</v>
      </c>
    </row>
    <row r="2112" spans="1:26" x14ac:dyDescent="0.2">
      <c r="A2112" t="s">
        <v>4372</v>
      </c>
      <c r="B2112" t="s">
        <v>4373</v>
      </c>
      <c r="C2112" t="s">
        <v>13</v>
      </c>
      <c r="D2112" t="s">
        <v>4340</v>
      </c>
      <c r="E2112" t="s">
        <v>4341</v>
      </c>
      <c r="F2112" t="s">
        <v>649</v>
      </c>
      <c r="G2112" s="1">
        <v>0.13300000000000001</v>
      </c>
      <c r="H2112" t="s">
        <v>112</v>
      </c>
      <c r="I2112" t="s">
        <v>3833</v>
      </c>
      <c r="J2112" t="s">
        <v>3170</v>
      </c>
      <c r="K2112" t="s">
        <v>24</v>
      </c>
      <c r="L2112" s="14">
        <f>IFERROR(VALUE(LEFT(tblMatriculas[[#This Row],[Clases]],FIND("/",tblMatriculas[[#This Row],[Clases]])-1)),"")</f>
        <v>4</v>
      </c>
      <c r="M2112" s="14">
        <f>IFERROR(VALUE(MID(tblMatriculas[[#This Row],[Clases]],FIND("/",tblMatriculas[[#This Row],[Clases]])+1,5)),"")</f>
        <v>30</v>
      </c>
      <c r="N211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2" s="14">
        <f>IF(OR(tblMatriculas[[#This Row],[Estado]]&lt;&gt;"activa",tblMatriculas[[#This Row],[Clases dictadas]]=""),"",MAX(0,tblMatriculas[[#This Row],[Clases dictadas]]-tblMatriculas[[#This Row],[Asistidas]]))</f>
        <v>0</v>
      </c>
      <c r="P2112" s="1">
        <f>IF(OR(tblMatriculas[[#This Row],[Estado]]&lt;&gt;"activa",tblMatriculas[[#This Row],[Asistidas]]=""),"",tblMatriculas[[#This Row],[Asistencia]])</f>
        <v>0.13300000000000001</v>
      </c>
      <c r="Q2112" t="b">
        <f>AND(tblMatriculas[[#This Row],[Estado]]="activa",ISNUMBER(tblMatriculas[[#This Row],[% asistencia]]),NOT(ISNUMBER(SEARCH(pPrueba,tblMatriculas[[#This Row],[Nombre]]))))</f>
        <v>1</v>
      </c>
      <c r="R211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2" s="23" t="str" cm="1">
        <f t="array" ref="S211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2" s="23" t="str" cm="1">
        <f t="array" ref="T211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2" s="14" t="str" cm="1">
        <f t="array" ref="U211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2" t="str" cm="1">
        <f t="array" ref="V211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2" t="str" cm="1">
        <f t="array" ref="W211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2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2" t="str">
        <f>IF(COUNTIFS('Base Estudiantes'!$C:$C,tblMatriculas[[#This Row],[Cédula]],'Base Estudiantes'!$I:$I,tblMatriculas[[#This Row],[Código]])&gt;0,"Sí","No")</f>
        <v>Sí</v>
      </c>
      <c r="Z2112" s="23" cm="1">
        <f t="array" ref="Z2112">_xlfn.XLOOKUP(tblMatriculas[[#This Row],[Cédula]]&amp;"|"&amp;tblMatriculas[[#This Row],[Código]],tblBase[Documento]&amp;"|"&amp;tblBase[Código grupo],tblBase[Fecha matrícula],"")</f>
        <v>46262</v>
      </c>
    </row>
    <row r="2113" spans="1:26" x14ac:dyDescent="0.2">
      <c r="A2113" t="s">
        <v>4374</v>
      </c>
      <c r="B2113" t="s">
        <v>4375</v>
      </c>
      <c r="C2113" t="s">
        <v>13</v>
      </c>
      <c r="D2113" t="s">
        <v>4340</v>
      </c>
      <c r="E2113" t="s">
        <v>4341</v>
      </c>
      <c r="F2113" t="s">
        <v>649</v>
      </c>
      <c r="G2113" s="1">
        <v>0.13300000000000001</v>
      </c>
      <c r="H2113" t="s">
        <v>112</v>
      </c>
      <c r="I2113" t="s">
        <v>3833</v>
      </c>
      <c r="J2113" t="s">
        <v>3170</v>
      </c>
      <c r="K2113" t="s">
        <v>24</v>
      </c>
      <c r="L2113" s="14">
        <f>IFERROR(VALUE(LEFT(tblMatriculas[[#This Row],[Clases]],FIND("/",tblMatriculas[[#This Row],[Clases]])-1)),"")</f>
        <v>4</v>
      </c>
      <c r="M2113" s="14">
        <f>IFERROR(VALUE(MID(tblMatriculas[[#This Row],[Clases]],FIND("/",tblMatriculas[[#This Row],[Clases]])+1,5)),"")</f>
        <v>30</v>
      </c>
      <c r="N211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3" s="14">
        <f>IF(OR(tblMatriculas[[#This Row],[Estado]]&lt;&gt;"activa",tblMatriculas[[#This Row],[Clases dictadas]]=""),"",MAX(0,tblMatriculas[[#This Row],[Clases dictadas]]-tblMatriculas[[#This Row],[Asistidas]]))</f>
        <v>0</v>
      </c>
      <c r="P2113" s="1">
        <f>IF(OR(tblMatriculas[[#This Row],[Estado]]&lt;&gt;"activa",tblMatriculas[[#This Row],[Asistidas]]=""),"",tblMatriculas[[#This Row],[Asistencia]])</f>
        <v>0.13300000000000001</v>
      </c>
      <c r="Q2113" t="b">
        <f>AND(tblMatriculas[[#This Row],[Estado]]="activa",ISNUMBER(tblMatriculas[[#This Row],[% asistencia]]),NOT(ISNUMBER(SEARCH(pPrueba,tblMatriculas[[#This Row],[Nombre]]))))</f>
        <v>1</v>
      </c>
      <c r="R211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3" s="23" t="str" cm="1">
        <f t="array" ref="S211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3" s="23" t="str" cm="1">
        <f t="array" ref="T211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3" s="14" t="str" cm="1">
        <f t="array" ref="U211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3" t="str" cm="1">
        <f t="array" ref="V211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3" t="str" cm="1">
        <f t="array" ref="W211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3" t="str">
        <f>IF(COUNTIFS('Base Estudiantes'!$C:$C,tblMatriculas[[#This Row],[Cédula]],'Base Estudiantes'!$I:$I,tblMatriculas[[#This Row],[Código]])&gt;0,"Sí","No")</f>
        <v>Sí</v>
      </c>
      <c r="Z2113" s="23" cm="1">
        <f t="array" ref="Z2113">_xlfn.XLOOKUP(tblMatriculas[[#This Row],[Cédula]]&amp;"|"&amp;tblMatriculas[[#This Row],[Código]],tblBase[Documento]&amp;"|"&amp;tblBase[Código grupo],tblBase[Fecha matrícula],"")</f>
        <v>46262</v>
      </c>
    </row>
    <row r="2114" spans="1:26" x14ac:dyDescent="0.2">
      <c r="A2114" t="s">
        <v>4376</v>
      </c>
      <c r="B2114" t="s">
        <v>4377</v>
      </c>
      <c r="C2114" t="s">
        <v>13</v>
      </c>
      <c r="D2114" t="s">
        <v>4340</v>
      </c>
      <c r="E2114" t="s">
        <v>4341</v>
      </c>
      <c r="F2114" t="s">
        <v>649</v>
      </c>
      <c r="G2114" s="1">
        <v>0.13300000000000001</v>
      </c>
      <c r="H2114" t="s">
        <v>112</v>
      </c>
      <c r="I2114" t="s">
        <v>3833</v>
      </c>
      <c r="J2114" t="s">
        <v>3170</v>
      </c>
      <c r="K2114" t="s">
        <v>24</v>
      </c>
      <c r="L2114" s="14">
        <f>IFERROR(VALUE(LEFT(tblMatriculas[[#This Row],[Clases]],FIND("/",tblMatriculas[[#This Row],[Clases]])-1)),"")</f>
        <v>4</v>
      </c>
      <c r="M2114" s="14">
        <f>IFERROR(VALUE(MID(tblMatriculas[[#This Row],[Clases]],FIND("/",tblMatriculas[[#This Row],[Clases]])+1,5)),"")</f>
        <v>30</v>
      </c>
      <c r="N211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4" s="14">
        <f>IF(OR(tblMatriculas[[#This Row],[Estado]]&lt;&gt;"activa",tblMatriculas[[#This Row],[Clases dictadas]]=""),"",MAX(0,tblMatriculas[[#This Row],[Clases dictadas]]-tblMatriculas[[#This Row],[Asistidas]]))</f>
        <v>0</v>
      </c>
      <c r="P2114" s="1">
        <f>IF(OR(tblMatriculas[[#This Row],[Estado]]&lt;&gt;"activa",tblMatriculas[[#This Row],[Asistidas]]=""),"",tblMatriculas[[#This Row],[Asistencia]])</f>
        <v>0.13300000000000001</v>
      </c>
      <c r="Q2114" t="b">
        <f>AND(tblMatriculas[[#This Row],[Estado]]="activa",ISNUMBER(tblMatriculas[[#This Row],[% asistencia]]),NOT(ISNUMBER(SEARCH(pPrueba,tblMatriculas[[#This Row],[Nombre]]))))</f>
        <v>1</v>
      </c>
      <c r="R211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4" s="23" t="str" cm="1">
        <f t="array" ref="S211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4" s="23" t="str" cm="1">
        <f t="array" ref="T211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4" s="14" t="str" cm="1">
        <f t="array" ref="U211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4" t="str" cm="1">
        <f t="array" ref="V211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4" t="str" cm="1">
        <f t="array" ref="W211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4" t="str">
        <f>IF(COUNTIFS('Base Estudiantes'!$C:$C,tblMatriculas[[#This Row],[Cédula]],'Base Estudiantes'!$I:$I,tblMatriculas[[#This Row],[Código]])&gt;0,"Sí","No")</f>
        <v>Sí</v>
      </c>
      <c r="Z2114" s="23" cm="1">
        <f t="array" ref="Z2114">_xlfn.XLOOKUP(tblMatriculas[[#This Row],[Cédula]]&amp;"|"&amp;tblMatriculas[[#This Row],[Código]],tblBase[Documento]&amp;"|"&amp;tblBase[Código grupo],tblBase[Fecha matrícula],"")</f>
        <v>46262</v>
      </c>
    </row>
    <row r="2115" spans="1:26" x14ac:dyDescent="0.2">
      <c r="A2115" t="s">
        <v>4378</v>
      </c>
      <c r="B2115" t="s">
        <v>4379</v>
      </c>
      <c r="C2115" t="s">
        <v>13</v>
      </c>
      <c r="D2115" t="s">
        <v>4340</v>
      </c>
      <c r="E2115" t="s">
        <v>4341</v>
      </c>
      <c r="F2115" t="s">
        <v>649</v>
      </c>
      <c r="G2115" s="1">
        <v>0.1</v>
      </c>
      <c r="H2115" t="s">
        <v>117</v>
      </c>
      <c r="I2115" t="s">
        <v>3833</v>
      </c>
      <c r="J2115" t="s">
        <v>3170</v>
      </c>
      <c r="K2115" t="s">
        <v>24</v>
      </c>
      <c r="L2115" s="14">
        <f>IFERROR(VALUE(LEFT(tblMatriculas[[#This Row],[Clases]],FIND("/",tblMatriculas[[#This Row],[Clases]])-1)),"")</f>
        <v>3</v>
      </c>
      <c r="M2115" s="14">
        <f>IFERROR(VALUE(MID(tblMatriculas[[#This Row],[Clases]],FIND("/",tblMatriculas[[#This Row],[Clases]])+1,5)),"")</f>
        <v>30</v>
      </c>
      <c r="N211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5" s="14">
        <f>IF(OR(tblMatriculas[[#This Row],[Estado]]&lt;&gt;"activa",tblMatriculas[[#This Row],[Clases dictadas]]=""),"",MAX(0,tblMatriculas[[#This Row],[Clases dictadas]]-tblMatriculas[[#This Row],[Asistidas]]))</f>
        <v>1</v>
      </c>
      <c r="P2115" s="1">
        <f>IF(OR(tblMatriculas[[#This Row],[Estado]]&lt;&gt;"activa",tblMatriculas[[#This Row],[Asistidas]]=""),"",tblMatriculas[[#This Row],[Asistencia]])</f>
        <v>0.1</v>
      </c>
      <c r="Q2115" t="b">
        <f>AND(tblMatriculas[[#This Row],[Estado]]="activa",ISNUMBER(tblMatriculas[[#This Row],[% asistencia]]),NOT(ISNUMBER(SEARCH(pPrueba,tblMatriculas[[#This Row],[Nombre]]))))</f>
        <v>1</v>
      </c>
      <c r="R211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5" s="23" t="str" cm="1">
        <f t="array" ref="S211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5" s="23" t="str" cm="1">
        <f t="array" ref="T211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5" s="14" t="str" cm="1">
        <f t="array" ref="U211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5" t="str" cm="1">
        <f t="array" ref="V211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5" t="str" cm="1">
        <f t="array" ref="W211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5" t="str">
        <f>IF(COUNTIFS('Base Estudiantes'!$C:$C,tblMatriculas[[#This Row],[Cédula]],'Base Estudiantes'!$I:$I,tblMatriculas[[#This Row],[Código]])&gt;0,"Sí","No")</f>
        <v>Sí</v>
      </c>
      <c r="Z2115" s="23" cm="1">
        <f t="array" ref="Z2115">_xlfn.XLOOKUP(tblMatriculas[[#This Row],[Cédula]]&amp;"|"&amp;tblMatriculas[[#This Row],[Código]],tblBase[Documento]&amp;"|"&amp;tblBase[Código grupo],tblBase[Fecha matrícula],"")</f>
        <v>46262</v>
      </c>
    </row>
    <row r="2116" spans="1:26" x14ac:dyDescent="0.2">
      <c r="A2116" t="s">
        <v>4380</v>
      </c>
      <c r="B2116" t="s">
        <v>4381</v>
      </c>
      <c r="C2116" t="s">
        <v>13</v>
      </c>
      <c r="D2116" t="s">
        <v>4340</v>
      </c>
      <c r="E2116" t="s">
        <v>4341</v>
      </c>
      <c r="F2116" t="s">
        <v>649</v>
      </c>
      <c r="G2116" s="1">
        <v>0.13300000000000001</v>
      </c>
      <c r="H2116" t="s">
        <v>112</v>
      </c>
      <c r="I2116" t="s">
        <v>3833</v>
      </c>
      <c r="J2116" t="s">
        <v>3170</v>
      </c>
      <c r="K2116" t="s">
        <v>24</v>
      </c>
      <c r="L2116" s="14">
        <f>IFERROR(VALUE(LEFT(tblMatriculas[[#This Row],[Clases]],FIND("/",tblMatriculas[[#This Row],[Clases]])-1)),"")</f>
        <v>4</v>
      </c>
      <c r="M2116" s="14">
        <f>IFERROR(VALUE(MID(tblMatriculas[[#This Row],[Clases]],FIND("/",tblMatriculas[[#This Row],[Clases]])+1,5)),"")</f>
        <v>30</v>
      </c>
      <c r="N211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6" s="14">
        <f>IF(OR(tblMatriculas[[#This Row],[Estado]]&lt;&gt;"activa",tblMatriculas[[#This Row],[Clases dictadas]]=""),"",MAX(0,tblMatriculas[[#This Row],[Clases dictadas]]-tblMatriculas[[#This Row],[Asistidas]]))</f>
        <v>0</v>
      </c>
      <c r="P2116" s="1">
        <f>IF(OR(tblMatriculas[[#This Row],[Estado]]&lt;&gt;"activa",tblMatriculas[[#This Row],[Asistidas]]=""),"",tblMatriculas[[#This Row],[Asistencia]])</f>
        <v>0.13300000000000001</v>
      </c>
      <c r="Q2116" t="b">
        <f>AND(tblMatriculas[[#This Row],[Estado]]="activa",ISNUMBER(tblMatriculas[[#This Row],[% asistencia]]),NOT(ISNUMBER(SEARCH(pPrueba,tblMatriculas[[#This Row],[Nombre]]))))</f>
        <v>1</v>
      </c>
      <c r="R211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6" s="23" t="str" cm="1">
        <f t="array" ref="S211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6" s="23" t="str" cm="1">
        <f t="array" ref="T211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6" s="14" t="str" cm="1">
        <f t="array" ref="U211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6" t="str" cm="1">
        <f t="array" ref="V211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6" t="str" cm="1">
        <f t="array" ref="W211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6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6" t="str">
        <f>IF(COUNTIFS('Base Estudiantes'!$C:$C,tblMatriculas[[#This Row],[Cédula]],'Base Estudiantes'!$I:$I,tblMatriculas[[#This Row],[Código]])&gt;0,"Sí","No")</f>
        <v>Sí</v>
      </c>
      <c r="Z2116" s="23" cm="1">
        <f t="array" ref="Z2116">_xlfn.XLOOKUP(tblMatriculas[[#This Row],[Cédula]]&amp;"|"&amp;tblMatriculas[[#This Row],[Código]],tblBase[Documento]&amp;"|"&amp;tblBase[Código grupo],tblBase[Fecha matrícula],"")</f>
        <v>46262</v>
      </c>
    </row>
    <row r="2117" spans="1:26" x14ac:dyDescent="0.2">
      <c r="A2117" t="s">
        <v>4382</v>
      </c>
      <c r="B2117" t="s">
        <v>4383</v>
      </c>
      <c r="C2117" t="s">
        <v>13</v>
      </c>
      <c r="D2117" t="s">
        <v>4340</v>
      </c>
      <c r="E2117" t="s">
        <v>4341</v>
      </c>
      <c r="F2117" t="s">
        <v>649</v>
      </c>
      <c r="G2117" s="1">
        <v>0.1</v>
      </c>
      <c r="H2117" t="s">
        <v>117</v>
      </c>
      <c r="I2117" t="s">
        <v>3833</v>
      </c>
      <c r="J2117" t="s">
        <v>3170</v>
      </c>
      <c r="K2117" t="s">
        <v>24</v>
      </c>
      <c r="L2117" s="14">
        <f>IFERROR(VALUE(LEFT(tblMatriculas[[#This Row],[Clases]],FIND("/",tblMatriculas[[#This Row],[Clases]])-1)),"")</f>
        <v>3</v>
      </c>
      <c r="M2117" s="14">
        <f>IFERROR(VALUE(MID(tblMatriculas[[#This Row],[Clases]],FIND("/",tblMatriculas[[#This Row],[Clases]])+1,5)),"")</f>
        <v>30</v>
      </c>
      <c r="N211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7" s="14">
        <f>IF(OR(tblMatriculas[[#This Row],[Estado]]&lt;&gt;"activa",tblMatriculas[[#This Row],[Clases dictadas]]=""),"",MAX(0,tblMatriculas[[#This Row],[Clases dictadas]]-tblMatriculas[[#This Row],[Asistidas]]))</f>
        <v>1</v>
      </c>
      <c r="P2117" s="1">
        <f>IF(OR(tblMatriculas[[#This Row],[Estado]]&lt;&gt;"activa",tblMatriculas[[#This Row],[Asistidas]]=""),"",tblMatriculas[[#This Row],[Asistencia]])</f>
        <v>0.1</v>
      </c>
      <c r="Q2117" t="b">
        <f>AND(tblMatriculas[[#This Row],[Estado]]="activa",ISNUMBER(tblMatriculas[[#This Row],[% asistencia]]),NOT(ISNUMBER(SEARCH(pPrueba,tblMatriculas[[#This Row],[Nombre]]))))</f>
        <v>1</v>
      </c>
      <c r="R211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7" s="23" t="str" cm="1">
        <f t="array" ref="S211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7" s="23" t="str" cm="1">
        <f t="array" ref="T211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7" s="14" t="str" cm="1">
        <f t="array" ref="U211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7" t="str" cm="1">
        <f t="array" ref="V211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7" t="str" cm="1">
        <f t="array" ref="W211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7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7" t="str">
        <f>IF(COUNTIFS('Base Estudiantes'!$C:$C,tblMatriculas[[#This Row],[Cédula]],'Base Estudiantes'!$I:$I,tblMatriculas[[#This Row],[Código]])&gt;0,"Sí","No")</f>
        <v>Sí</v>
      </c>
      <c r="Z2117" s="23" cm="1">
        <f t="array" ref="Z2117">_xlfn.XLOOKUP(tblMatriculas[[#This Row],[Cédula]]&amp;"|"&amp;tblMatriculas[[#This Row],[Código]],tblBase[Documento]&amp;"|"&amp;tblBase[Código grupo],tblBase[Fecha matrícula],"")</f>
        <v>46262</v>
      </c>
    </row>
    <row r="2118" spans="1:26" x14ac:dyDescent="0.2">
      <c r="A2118" t="s">
        <v>4384</v>
      </c>
      <c r="B2118" t="s">
        <v>4385</v>
      </c>
      <c r="C2118" t="s">
        <v>13</v>
      </c>
      <c r="D2118" t="s">
        <v>4340</v>
      </c>
      <c r="E2118" t="s">
        <v>4341</v>
      </c>
      <c r="F2118" t="s">
        <v>649</v>
      </c>
      <c r="G2118" s="1">
        <v>0.1</v>
      </c>
      <c r="H2118" t="s">
        <v>117</v>
      </c>
      <c r="I2118" t="s">
        <v>3833</v>
      </c>
      <c r="J2118" t="s">
        <v>3170</v>
      </c>
      <c r="K2118" t="s">
        <v>24</v>
      </c>
      <c r="L2118" s="14">
        <f>IFERROR(VALUE(LEFT(tblMatriculas[[#This Row],[Clases]],FIND("/",tblMatriculas[[#This Row],[Clases]])-1)),"")</f>
        <v>3</v>
      </c>
      <c r="M2118" s="14">
        <f>IFERROR(VALUE(MID(tblMatriculas[[#This Row],[Clases]],FIND("/",tblMatriculas[[#This Row],[Clases]])+1,5)),"")</f>
        <v>30</v>
      </c>
      <c r="N211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8" s="14">
        <f>IF(OR(tblMatriculas[[#This Row],[Estado]]&lt;&gt;"activa",tblMatriculas[[#This Row],[Clases dictadas]]=""),"",MAX(0,tblMatriculas[[#This Row],[Clases dictadas]]-tblMatriculas[[#This Row],[Asistidas]]))</f>
        <v>1</v>
      </c>
      <c r="P2118" s="1">
        <f>IF(OR(tblMatriculas[[#This Row],[Estado]]&lt;&gt;"activa",tblMatriculas[[#This Row],[Asistidas]]=""),"",tblMatriculas[[#This Row],[Asistencia]])</f>
        <v>0.1</v>
      </c>
      <c r="Q2118" t="b">
        <f>AND(tblMatriculas[[#This Row],[Estado]]="activa",ISNUMBER(tblMatriculas[[#This Row],[% asistencia]]),NOT(ISNUMBER(SEARCH(pPrueba,tblMatriculas[[#This Row],[Nombre]]))))</f>
        <v>1</v>
      </c>
      <c r="R211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8" s="23" t="str" cm="1">
        <f t="array" ref="S211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8" s="23" t="str" cm="1">
        <f t="array" ref="T211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8" s="14" t="str" cm="1">
        <f t="array" ref="U211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8" t="str" cm="1">
        <f t="array" ref="V211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8" t="str" cm="1">
        <f t="array" ref="W211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8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8" t="str">
        <f>IF(COUNTIFS('Base Estudiantes'!$C:$C,tblMatriculas[[#This Row],[Cédula]],'Base Estudiantes'!$I:$I,tblMatriculas[[#This Row],[Código]])&gt;0,"Sí","No")</f>
        <v>Sí</v>
      </c>
      <c r="Z2118" s="23" cm="1">
        <f t="array" ref="Z2118">_xlfn.XLOOKUP(tblMatriculas[[#This Row],[Cédula]]&amp;"|"&amp;tblMatriculas[[#This Row],[Código]],tblBase[Documento]&amp;"|"&amp;tblBase[Código grupo],tblBase[Fecha matrícula],"")</f>
        <v>46262</v>
      </c>
    </row>
    <row r="2119" spans="1:26" x14ac:dyDescent="0.2">
      <c r="A2119" t="s">
        <v>4386</v>
      </c>
      <c r="B2119" t="s">
        <v>4387</v>
      </c>
      <c r="C2119" t="s">
        <v>13</v>
      </c>
      <c r="D2119" t="s">
        <v>4340</v>
      </c>
      <c r="E2119" t="s">
        <v>4341</v>
      </c>
      <c r="F2119" t="s">
        <v>649</v>
      </c>
      <c r="G2119" s="1">
        <v>0.1</v>
      </c>
      <c r="H2119" t="s">
        <v>117</v>
      </c>
      <c r="I2119" t="s">
        <v>3833</v>
      </c>
      <c r="J2119" t="s">
        <v>3170</v>
      </c>
      <c r="K2119" t="s">
        <v>24</v>
      </c>
      <c r="L2119" s="14">
        <f>IFERROR(VALUE(LEFT(tblMatriculas[[#This Row],[Clases]],FIND("/",tblMatriculas[[#This Row],[Clases]])-1)),"")</f>
        <v>3</v>
      </c>
      <c r="M2119" s="14">
        <f>IFERROR(VALUE(MID(tblMatriculas[[#This Row],[Clases]],FIND("/",tblMatriculas[[#This Row],[Clases]])+1,5)),"")</f>
        <v>30</v>
      </c>
      <c r="N2119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19" s="14">
        <f>IF(OR(tblMatriculas[[#This Row],[Estado]]&lt;&gt;"activa",tblMatriculas[[#This Row],[Clases dictadas]]=""),"",MAX(0,tblMatriculas[[#This Row],[Clases dictadas]]-tblMatriculas[[#This Row],[Asistidas]]))</f>
        <v>1</v>
      </c>
      <c r="P2119" s="1">
        <f>IF(OR(tblMatriculas[[#This Row],[Estado]]&lt;&gt;"activa",tblMatriculas[[#This Row],[Asistidas]]=""),"",tblMatriculas[[#This Row],[Asistencia]])</f>
        <v>0.1</v>
      </c>
      <c r="Q2119" t="b">
        <f>AND(tblMatriculas[[#This Row],[Estado]]="activa",ISNUMBER(tblMatriculas[[#This Row],[% asistencia]]),NOT(ISNUMBER(SEARCH(pPrueba,tblMatriculas[[#This Row],[Nombre]]))))</f>
        <v>1</v>
      </c>
      <c r="R2119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19" s="23" t="str" cm="1">
        <f t="array" ref="S2119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19" s="23" t="str" cm="1">
        <f t="array" ref="T2119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19" s="14" t="str" cm="1">
        <f t="array" ref="U2119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19" t="str" cm="1">
        <f t="array" ref="V2119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19" t="str" cm="1">
        <f t="array" ref="W2119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19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19" t="str">
        <f>IF(COUNTIFS('Base Estudiantes'!$C:$C,tblMatriculas[[#This Row],[Cédula]],'Base Estudiantes'!$I:$I,tblMatriculas[[#This Row],[Código]])&gt;0,"Sí","No")</f>
        <v>Sí</v>
      </c>
      <c r="Z2119" s="23" cm="1">
        <f t="array" ref="Z2119">_xlfn.XLOOKUP(tblMatriculas[[#This Row],[Cédula]]&amp;"|"&amp;tblMatriculas[[#This Row],[Código]],tblBase[Documento]&amp;"|"&amp;tblBase[Código grupo],tblBase[Fecha matrícula],"")</f>
        <v>46262</v>
      </c>
    </row>
    <row r="2120" spans="1:26" x14ac:dyDescent="0.2">
      <c r="A2120" t="s">
        <v>4388</v>
      </c>
      <c r="B2120" t="s">
        <v>4389</v>
      </c>
      <c r="C2120" t="s">
        <v>13</v>
      </c>
      <c r="D2120" t="s">
        <v>4340</v>
      </c>
      <c r="E2120" t="s">
        <v>4341</v>
      </c>
      <c r="F2120" t="s">
        <v>649</v>
      </c>
      <c r="G2120" s="1">
        <v>0.13300000000000001</v>
      </c>
      <c r="H2120" t="s">
        <v>112</v>
      </c>
      <c r="I2120" t="s">
        <v>3833</v>
      </c>
      <c r="J2120" t="s">
        <v>3170</v>
      </c>
      <c r="K2120" t="s">
        <v>24</v>
      </c>
      <c r="L2120" s="14">
        <f>IFERROR(VALUE(LEFT(tblMatriculas[[#This Row],[Clases]],FIND("/",tblMatriculas[[#This Row],[Clases]])-1)),"")</f>
        <v>4</v>
      </c>
      <c r="M2120" s="14">
        <f>IFERROR(VALUE(MID(tblMatriculas[[#This Row],[Clases]],FIND("/",tblMatriculas[[#This Row],[Clases]])+1,5)),"")</f>
        <v>30</v>
      </c>
      <c r="N2120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0" s="14">
        <f>IF(OR(tblMatriculas[[#This Row],[Estado]]&lt;&gt;"activa",tblMatriculas[[#This Row],[Clases dictadas]]=""),"",MAX(0,tblMatriculas[[#This Row],[Clases dictadas]]-tblMatriculas[[#This Row],[Asistidas]]))</f>
        <v>0</v>
      </c>
      <c r="P2120" s="1">
        <f>IF(OR(tblMatriculas[[#This Row],[Estado]]&lt;&gt;"activa",tblMatriculas[[#This Row],[Asistidas]]=""),"",tblMatriculas[[#This Row],[Asistencia]])</f>
        <v>0.13300000000000001</v>
      </c>
      <c r="Q2120" t="b">
        <f>AND(tblMatriculas[[#This Row],[Estado]]="activa",ISNUMBER(tblMatriculas[[#This Row],[% asistencia]]),NOT(ISNUMBER(SEARCH(pPrueba,tblMatriculas[[#This Row],[Nombre]]))))</f>
        <v>1</v>
      </c>
      <c r="R2120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0" s="23" t="str" cm="1">
        <f t="array" ref="S2120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0" s="23" t="str" cm="1">
        <f t="array" ref="T2120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0" s="14" t="str" cm="1">
        <f t="array" ref="U2120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0" t="str" cm="1">
        <f t="array" ref="V2120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0" t="str" cm="1">
        <f t="array" ref="W2120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0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0" t="str">
        <f>IF(COUNTIFS('Base Estudiantes'!$C:$C,tblMatriculas[[#This Row],[Cédula]],'Base Estudiantes'!$I:$I,tblMatriculas[[#This Row],[Código]])&gt;0,"Sí","No")</f>
        <v>Sí</v>
      </c>
      <c r="Z2120" s="23" cm="1">
        <f t="array" ref="Z2120">_xlfn.XLOOKUP(tblMatriculas[[#This Row],[Cédula]]&amp;"|"&amp;tblMatriculas[[#This Row],[Código]],tblBase[Documento]&amp;"|"&amp;tblBase[Código grupo],tblBase[Fecha matrícula],"")</f>
        <v>46262</v>
      </c>
    </row>
    <row r="2121" spans="1:26" x14ac:dyDescent="0.2">
      <c r="A2121" t="s">
        <v>4390</v>
      </c>
      <c r="B2121" t="s">
        <v>4391</v>
      </c>
      <c r="C2121" t="s">
        <v>13</v>
      </c>
      <c r="D2121" t="s">
        <v>4340</v>
      </c>
      <c r="E2121" t="s">
        <v>4341</v>
      </c>
      <c r="F2121" t="s">
        <v>649</v>
      </c>
      <c r="G2121" s="1">
        <v>0.13300000000000001</v>
      </c>
      <c r="H2121" t="s">
        <v>112</v>
      </c>
      <c r="I2121" t="s">
        <v>3833</v>
      </c>
      <c r="J2121" t="s">
        <v>3170</v>
      </c>
      <c r="K2121" t="s">
        <v>3928</v>
      </c>
      <c r="L2121" s="14">
        <f>IFERROR(VALUE(LEFT(tblMatriculas[[#This Row],[Clases]],FIND("/",tblMatriculas[[#This Row],[Clases]])-1)),"")</f>
        <v>4</v>
      </c>
      <c r="M2121" s="14">
        <f>IFERROR(VALUE(MID(tblMatriculas[[#This Row],[Clases]],FIND("/",tblMatriculas[[#This Row],[Clases]])+1,5)),"")</f>
        <v>30</v>
      </c>
      <c r="N2121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1" s="14">
        <f>IF(OR(tblMatriculas[[#This Row],[Estado]]&lt;&gt;"activa",tblMatriculas[[#This Row],[Clases dictadas]]=""),"",MAX(0,tblMatriculas[[#This Row],[Clases dictadas]]-tblMatriculas[[#This Row],[Asistidas]]))</f>
        <v>0</v>
      </c>
      <c r="P2121" s="1">
        <f>IF(OR(tblMatriculas[[#This Row],[Estado]]&lt;&gt;"activa",tblMatriculas[[#This Row],[Asistidas]]=""),"",tblMatriculas[[#This Row],[Asistencia]])</f>
        <v>0.13300000000000001</v>
      </c>
      <c r="Q2121" t="b">
        <f>AND(tblMatriculas[[#This Row],[Estado]]="activa",ISNUMBER(tblMatriculas[[#This Row],[% asistencia]]),NOT(ISNUMBER(SEARCH(pPrueba,tblMatriculas[[#This Row],[Nombre]]))))</f>
        <v>1</v>
      </c>
      <c r="R2121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1" s="23" t="str" cm="1">
        <f t="array" ref="S2121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1" s="23" t="str" cm="1">
        <f t="array" ref="T2121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1" s="14" t="str" cm="1">
        <f t="array" ref="U2121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1" t="str" cm="1">
        <f t="array" ref="V2121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1" t="str" cm="1">
        <f t="array" ref="W2121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1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1" t="str">
        <f>IF(COUNTIFS('Base Estudiantes'!$C:$C,tblMatriculas[[#This Row],[Cédula]],'Base Estudiantes'!$I:$I,tblMatriculas[[#This Row],[Código]])&gt;0,"Sí","No")</f>
        <v>Sí</v>
      </c>
      <c r="Z2121" s="23" cm="1">
        <f t="array" ref="Z2121">_xlfn.XLOOKUP(tblMatriculas[[#This Row],[Cédula]]&amp;"|"&amp;tblMatriculas[[#This Row],[Código]],tblBase[Documento]&amp;"|"&amp;tblBase[Código grupo],tblBase[Fecha matrícula],"")</f>
        <v>46262</v>
      </c>
    </row>
    <row r="2122" spans="1:26" x14ac:dyDescent="0.2">
      <c r="A2122" t="s">
        <v>4392</v>
      </c>
      <c r="B2122" t="s">
        <v>4393</v>
      </c>
      <c r="C2122" t="s">
        <v>13</v>
      </c>
      <c r="D2122" t="s">
        <v>4340</v>
      </c>
      <c r="E2122" t="s">
        <v>4341</v>
      </c>
      <c r="F2122" t="s">
        <v>649</v>
      </c>
      <c r="G2122" s="1">
        <v>3.3000000000000002E-2</v>
      </c>
      <c r="H2122" t="s">
        <v>225</v>
      </c>
      <c r="I2122" t="s">
        <v>3833</v>
      </c>
      <c r="J2122" t="s">
        <v>3170</v>
      </c>
      <c r="K2122" t="s">
        <v>3842</v>
      </c>
      <c r="L2122" s="14">
        <f>IFERROR(VALUE(LEFT(tblMatriculas[[#This Row],[Clases]],FIND("/",tblMatriculas[[#This Row],[Clases]])-1)),"")</f>
        <v>1</v>
      </c>
      <c r="M2122" s="14">
        <f>IFERROR(VALUE(MID(tblMatriculas[[#This Row],[Clases]],FIND("/",tblMatriculas[[#This Row],[Clases]])+1,5)),"")</f>
        <v>30</v>
      </c>
      <c r="N2122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2" s="14">
        <f>IF(OR(tblMatriculas[[#This Row],[Estado]]&lt;&gt;"activa",tblMatriculas[[#This Row],[Clases dictadas]]=""),"",MAX(0,tblMatriculas[[#This Row],[Clases dictadas]]-tblMatriculas[[#This Row],[Asistidas]]))</f>
        <v>3</v>
      </c>
      <c r="P2122" s="1">
        <f>IF(OR(tblMatriculas[[#This Row],[Estado]]&lt;&gt;"activa",tblMatriculas[[#This Row],[Asistidas]]=""),"",tblMatriculas[[#This Row],[Asistencia]])</f>
        <v>3.3000000000000002E-2</v>
      </c>
      <c r="Q2122" t="b">
        <f>AND(tblMatriculas[[#This Row],[Estado]]="activa",ISNUMBER(tblMatriculas[[#This Row],[% asistencia]]),NOT(ISNUMBER(SEARCH(pPrueba,tblMatriculas[[#This Row],[Nombre]]))))</f>
        <v>1</v>
      </c>
      <c r="R2122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122" s="23" t="str" cm="1">
        <f t="array" ref="S2122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2" s="23" t="str" cm="1">
        <f t="array" ref="T2122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2" s="14" t="str" cm="1">
        <f t="array" ref="U2122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2" t="str" cm="1">
        <f t="array" ref="V2122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2" t="str" cm="1">
        <f t="array" ref="W2122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122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122" t="str">
        <f>IF(COUNTIFS('Base Estudiantes'!$C:$C,tblMatriculas[[#This Row],[Cédula]],'Base Estudiantes'!$I:$I,tblMatriculas[[#This Row],[Código]])&gt;0,"Sí","No")</f>
        <v>Sí</v>
      </c>
      <c r="Z2122" s="23" cm="1">
        <f t="array" ref="Z2122">_xlfn.XLOOKUP(tblMatriculas[[#This Row],[Cédula]]&amp;"|"&amp;tblMatriculas[[#This Row],[Código]],tblBase[Documento]&amp;"|"&amp;tblBase[Código grupo],tblBase[Fecha matrícula],"")</f>
        <v>46262</v>
      </c>
    </row>
    <row r="2123" spans="1:26" x14ac:dyDescent="0.2">
      <c r="A2123" t="s">
        <v>4394</v>
      </c>
      <c r="B2123" t="s">
        <v>4395</v>
      </c>
      <c r="C2123" t="s">
        <v>13</v>
      </c>
      <c r="D2123" t="s">
        <v>4340</v>
      </c>
      <c r="E2123" t="s">
        <v>4341</v>
      </c>
      <c r="F2123" t="s">
        <v>649</v>
      </c>
      <c r="G2123" s="1">
        <v>0.1</v>
      </c>
      <c r="H2123" t="s">
        <v>117</v>
      </c>
      <c r="I2123" t="s">
        <v>3833</v>
      </c>
      <c r="J2123" t="s">
        <v>3170</v>
      </c>
      <c r="K2123" t="s">
        <v>3842</v>
      </c>
      <c r="L2123" s="14">
        <f>IFERROR(VALUE(LEFT(tblMatriculas[[#This Row],[Clases]],FIND("/",tblMatriculas[[#This Row],[Clases]])-1)),"")</f>
        <v>3</v>
      </c>
      <c r="M2123" s="14">
        <f>IFERROR(VALUE(MID(tblMatriculas[[#This Row],[Clases]],FIND("/",tblMatriculas[[#This Row],[Clases]])+1,5)),"")</f>
        <v>30</v>
      </c>
      <c r="N2123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3" s="14">
        <f>IF(OR(tblMatriculas[[#This Row],[Estado]]&lt;&gt;"activa",tblMatriculas[[#This Row],[Clases dictadas]]=""),"",MAX(0,tblMatriculas[[#This Row],[Clases dictadas]]-tblMatriculas[[#This Row],[Asistidas]]))</f>
        <v>1</v>
      </c>
      <c r="P2123" s="1">
        <f>IF(OR(tblMatriculas[[#This Row],[Estado]]&lt;&gt;"activa",tblMatriculas[[#This Row],[Asistidas]]=""),"",tblMatriculas[[#This Row],[Asistencia]])</f>
        <v>0.1</v>
      </c>
      <c r="Q2123" t="b">
        <f>AND(tblMatriculas[[#This Row],[Estado]]="activa",ISNUMBER(tblMatriculas[[#This Row],[% asistencia]]),NOT(ISNUMBER(SEARCH(pPrueba,tblMatriculas[[#This Row],[Nombre]]))))</f>
        <v>1</v>
      </c>
      <c r="R2123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3" s="23" t="str" cm="1">
        <f t="array" ref="S2123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3" s="23" t="str" cm="1">
        <f t="array" ref="T2123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3" s="14" t="str" cm="1">
        <f t="array" ref="U2123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3" t="str" cm="1">
        <f t="array" ref="V2123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3" t="str" cm="1">
        <f t="array" ref="W2123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3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3" t="str">
        <f>IF(COUNTIFS('Base Estudiantes'!$C:$C,tblMatriculas[[#This Row],[Cédula]],'Base Estudiantes'!$I:$I,tblMatriculas[[#This Row],[Código]])&gt;0,"Sí","No")</f>
        <v>Sí</v>
      </c>
      <c r="Z2123" s="23" cm="1">
        <f t="array" ref="Z2123">_xlfn.XLOOKUP(tblMatriculas[[#This Row],[Cédula]]&amp;"|"&amp;tblMatriculas[[#This Row],[Código]],tblBase[Documento]&amp;"|"&amp;tblBase[Código grupo],tblBase[Fecha matrícula],"")</f>
        <v>46262</v>
      </c>
    </row>
    <row r="2124" spans="1:26" x14ac:dyDescent="0.2">
      <c r="A2124" t="s">
        <v>4396</v>
      </c>
      <c r="B2124" t="s">
        <v>4397</v>
      </c>
      <c r="C2124" t="s">
        <v>13</v>
      </c>
      <c r="D2124" t="s">
        <v>4340</v>
      </c>
      <c r="E2124" t="s">
        <v>4341</v>
      </c>
      <c r="F2124" t="s">
        <v>649</v>
      </c>
      <c r="G2124" s="1">
        <v>0.13300000000000001</v>
      </c>
      <c r="H2124" t="s">
        <v>112</v>
      </c>
      <c r="I2124" t="s">
        <v>3833</v>
      </c>
      <c r="J2124" t="s">
        <v>3170</v>
      </c>
      <c r="K2124" t="s">
        <v>3842</v>
      </c>
      <c r="L2124" s="14">
        <f>IFERROR(VALUE(LEFT(tblMatriculas[[#This Row],[Clases]],FIND("/",tblMatriculas[[#This Row],[Clases]])-1)),"")</f>
        <v>4</v>
      </c>
      <c r="M2124" s="14">
        <f>IFERROR(VALUE(MID(tblMatriculas[[#This Row],[Clases]],FIND("/",tblMatriculas[[#This Row],[Clases]])+1,5)),"")</f>
        <v>30</v>
      </c>
      <c r="N2124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4" s="14">
        <f>IF(OR(tblMatriculas[[#This Row],[Estado]]&lt;&gt;"activa",tblMatriculas[[#This Row],[Clases dictadas]]=""),"",MAX(0,tblMatriculas[[#This Row],[Clases dictadas]]-tblMatriculas[[#This Row],[Asistidas]]))</f>
        <v>0</v>
      </c>
      <c r="P2124" s="1">
        <f>IF(OR(tblMatriculas[[#This Row],[Estado]]&lt;&gt;"activa",tblMatriculas[[#This Row],[Asistidas]]=""),"",tblMatriculas[[#This Row],[Asistencia]])</f>
        <v>0.13300000000000001</v>
      </c>
      <c r="Q2124" t="b">
        <f>AND(tblMatriculas[[#This Row],[Estado]]="activa",ISNUMBER(tblMatriculas[[#This Row],[% asistencia]]),NOT(ISNUMBER(SEARCH(pPrueba,tblMatriculas[[#This Row],[Nombre]]))))</f>
        <v>1</v>
      </c>
      <c r="R2124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4" s="23" t="str" cm="1">
        <f t="array" ref="S2124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4" s="23" t="str" cm="1">
        <f t="array" ref="T2124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4" s="14" t="str" cm="1">
        <f t="array" ref="U2124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4" t="str" cm="1">
        <f t="array" ref="V2124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4" t="str" cm="1">
        <f t="array" ref="W2124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4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4" t="str">
        <f>IF(COUNTIFS('Base Estudiantes'!$C:$C,tblMatriculas[[#This Row],[Cédula]],'Base Estudiantes'!$I:$I,tblMatriculas[[#This Row],[Código]])&gt;0,"Sí","No")</f>
        <v>Sí</v>
      </c>
      <c r="Z2124" s="23" cm="1">
        <f t="array" ref="Z2124">_xlfn.XLOOKUP(tblMatriculas[[#This Row],[Cédula]]&amp;"|"&amp;tblMatriculas[[#This Row],[Código]],tblBase[Documento]&amp;"|"&amp;tblBase[Código grupo],tblBase[Fecha matrícula],"")</f>
        <v>46262</v>
      </c>
    </row>
    <row r="2125" spans="1:26" x14ac:dyDescent="0.2">
      <c r="A2125" t="s">
        <v>4398</v>
      </c>
      <c r="B2125" t="s">
        <v>4399</v>
      </c>
      <c r="C2125" t="s">
        <v>13</v>
      </c>
      <c r="D2125" t="s">
        <v>4340</v>
      </c>
      <c r="E2125" t="s">
        <v>4341</v>
      </c>
      <c r="F2125" t="s">
        <v>649</v>
      </c>
      <c r="G2125" s="1">
        <v>0.13300000000000001</v>
      </c>
      <c r="H2125" t="s">
        <v>112</v>
      </c>
      <c r="I2125" t="s">
        <v>3833</v>
      </c>
      <c r="J2125" t="s">
        <v>3170</v>
      </c>
      <c r="K2125" t="s">
        <v>3847</v>
      </c>
      <c r="L2125" s="14">
        <f>IFERROR(VALUE(LEFT(tblMatriculas[[#This Row],[Clases]],FIND("/",tblMatriculas[[#This Row],[Clases]])-1)),"")</f>
        <v>4</v>
      </c>
      <c r="M2125" s="14">
        <f>IFERROR(VALUE(MID(tblMatriculas[[#This Row],[Clases]],FIND("/",tblMatriculas[[#This Row],[Clases]])+1,5)),"")</f>
        <v>30</v>
      </c>
      <c r="N2125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5" s="14">
        <f>IF(OR(tblMatriculas[[#This Row],[Estado]]&lt;&gt;"activa",tblMatriculas[[#This Row],[Clases dictadas]]=""),"",MAX(0,tblMatriculas[[#This Row],[Clases dictadas]]-tblMatriculas[[#This Row],[Asistidas]]))</f>
        <v>0</v>
      </c>
      <c r="P2125" s="1">
        <f>IF(OR(tblMatriculas[[#This Row],[Estado]]&lt;&gt;"activa",tblMatriculas[[#This Row],[Asistidas]]=""),"",tblMatriculas[[#This Row],[Asistencia]])</f>
        <v>0.13300000000000001</v>
      </c>
      <c r="Q2125" t="b">
        <f>AND(tblMatriculas[[#This Row],[Estado]]="activa",ISNUMBER(tblMatriculas[[#This Row],[% asistencia]]),NOT(ISNUMBER(SEARCH(pPrueba,tblMatriculas[[#This Row],[Nombre]]))))</f>
        <v>1</v>
      </c>
      <c r="R2125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🟢 NORMAL</v>
      </c>
      <c r="S2125" s="23" t="str" cm="1">
        <f t="array" ref="S2125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5" s="23" t="str" cm="1">
        <f t="array" ref="T2125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5" s="14" t="str" cm="1">
        <f t="array" ref="U2125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5" t="str" cm="1">
        <f t="array" ref="V2125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5" t="str" cm="1">
        <f t="array" ref="W2125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/>
      </c>
      <c r="X2125" s="14" t="str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/>
      </c>
      <c r="Y2125" t="str">
        <f>IF(COUNTIFS('Base Estudiantes'!$C:$C,tblMatriculas[[#This Row],[Cédula]],'Base Estudiantes'!$I:$I,tblMatriculas[[#This Row],[Código]])&gt;0,"Sí","No")</f>
        <v>Sí</v>
      </c>
      <c r="Z2125" s="23" cm="1">
        <f t="array" ref="Z2125">_xlfn.XLOOKUP(tblMatriculas[[#This Row],[Cédula]]&amp;"|"&amp;tblMatriculas[[#This Row],[Código]],tblBase[Documento]&amp;"|"&amp;tblBase[Código grupo],tblBase[Fecha matrícula],"")</f>
        <v>46262</v>
      </c>
    </row>
    <row r="2126" spans="1:26" x14ac:dyDescent="0.2">
      <c r="A2126" t="s">
        <v>4400</v>
      </c>
      <c r="B2126" t="s">
        <v>4401</v>
      </c>
      <c r="C2126" t="s">
        <v>13</v>
      </c>
      <c r="D2126" t="s">
        <v>4340</v>
      </c>
      <c r="E2126" t="s">
        <v>4341</v>
      </c>
      <c r="F2126" t="s">
        <v>649</v>
      </c>
      <c r="G2126" s="1">
        <v>0</v>
      </c>
      <c r="H2126" t="s">
        <v>254</v>
      </c>
      <c r="I2126" t="s">
        <v>3833</v>
      </c>
      <c r="J2126" t="s">
        <v>3170</v>
      </c>
      <c r="K2126" t="s">
        <v>24</v>
      </c>
      <c r="L2126" s="14">
        <f>IFERROR(VALUE(LEFT(tblMatriculas[[#This Row],[Clases]],FIND("/",tblMatriculas[[#This Row],[Clases]])-1)),"")</f>
        <v>0</v>
      </c>
      <c r="M2126" s="14">
        <f>IFERROR(VALUE(MID(tblMatriculas[[#This Row],[Clases]],FIND("/",tblMatriculas[[#This Row],[Clases]])+1,5)),"")</f>
        <v>30</v>
      </c>
      <c r="N2126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6" s="14">
        <f>IF(OR(tblMatriculas[[#This Row],[Estado]]&lt;&gt;"activa",tblMatriculas[[#This Row],[Clases dictadas]]=""),"",MAX(0,tblMatriculas[[#This Row],[Clases dictadas]]-tblMatriculas[[#This Row],[Asistidas]]))</f>
        <v>4</v>
      </c>
      <c r="P2126" s="1">
        <f>IF(OR(tblMatriculas[[#This Row],[Estado]]&lt;&gt;"activa",tblMatriculas[[#This Row],[Asistidas]]=""),"",tblMatriculas[[#This Row],[Asistencia]])</f>
        <v>0</v>
      </c>
      <c r="Q2126" t="b">
        <f>AND(tblMatriculas[[#This Row],[Estado]]="activa",ISNUMBER(tblMatriculas[[#This Row],[% asistencia]]),NOT(ISNUMBER(SEARCH(pPrueba,tblMatriculas[[#This Row],[Nombre]]))))</f>
        <v>1</v>
      </c>
      <c r="R2126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🔴 CRÍTICO</v>
      </c>
      <c r="S2126" s="23" t="str" cm="1">
        <f t="array" ref="S2126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6" s="23" t="str" cm="1">
        <f t="array" ref="T2126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6" s="14" t="str" cm="1">
        <f t="array" ref="U2126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6" t="str" cm="1">
        <f t="array" ref="V2126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6" t="str" cm="1">
        <f t="array" ref="W2126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🔴 CRÍTICO</v>
      </c>
      <c r="X2126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1</v>
      </c>
      <c r="Y2126" t="str">
        <f>IF(COUNTIFS('Base Estudiantes'!$C:$C,tblMatriculas[[#This Row],[Cédula]],'Base Estudiantes'!$I:$I,tblMatriculas[[#This Row],[Código]])&gt;0,"Sí","No")</f>
        <v>Sí</v>
      </c>
      <c r="Z2126" s="23" cm="1">
        <f t="array" ref="Z2126">_xlfn.XLOOKUP(tblMatriculas[[#This Row],[Cédula]]&amp;"|"&amp;tblMatriculas[[#This Row],[Código]],tblBase[Documento]&amp;"|"&amp;tblBase[Código grupo],tblBase[Fecha matrícula],"")</f>
        <v>46263</v>
      </c>
    </row>
    <row r="2127" spans="1:26" x14ac:dyDescent="0.2">
      <c r="A2127" t="s">
        <v>4402</v>
      </c>
      <c r="B2127" t="s">
        <v>4403</v>
      </c>
      <c r="C2127" t="s">
        <v>13</v>
      </c>
      <c r="D2127" t="s">
        <v>4340</v>
      </c>
      <c r="E2127" t="s">
        <v>4341</v>
      </c>
      <c r="F2127" t="s">
        <v>649</v>
      </c>
      <c r="G2127" s="1">
        <v>3.3000000000000002E-2</v>
      </c>
      <c r="H2127" t="s">
        <v>225</v>
      </c>
      <c r="I2127" t="s">
        <v>3833</v>
      </c>
      <c r="J2127" t="s">
        <v>3170</v>
      </c>
      <c r="K2127" t="s">
        <v>24</v>
      </c>
      <c r="L2127" s="14">
        <f>IFERROR(VALUE(LEFT(tblMatriculas[[#This Row],[Clases]],FIND("/",tblMatriculas[[#This Row],[Clases]])-1)),"")</f>
        <v>1</v>
      </c>
      <c r="M2127" s="14">
        <f>IFERROR(VALUE(MID(tblMatriculas[[#This Row],[Clases]],FIND("/",tblMatriculas[[#This Row],[Clases]])+1,5)),"")</f>
        <v>30</v>
      </c>
      <c r="N2127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7" s="14">
        <f>IF(OR(tblMatriculas[[#This Row],[Estado]]&lt;&gt;"activa",tblMatriculas[[#This Row],[Clases dictadas]]=""),"",MAX(0,tblMatriculas[[#This Row],[Clases dictadas]]-tblMatriculas[[#This Row],[Asistidas]]))</f>
        <v>3</v>
      </c>
      <c r="P2127" s="1">
        <f>IF(OR(tblMatriculas[[#This Row],[Estado]]&lt;&gt;"activa",tblMatriculas[[#This Row],[Asistidas]]=""),"",tblMatriculas[[#This Row],[Asistencia]])</f>
        <v>3.3000000000000002E-2</v>
      </c>
      <c r="Q2127" t="b">
        <f>AND(tblMatriculas[[#This Row],[Estado]]="activa",ISNUMBER(tblMatriculas[[#This Row],[% asistencia]]),NOT(ISNUMBER(SEARCH(pPrueba,tblMatriculas[[#This Row],[Nombre]]))))</f>
        <v>1</v>
      </c>
      <c r="R2127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🟠 ALERTA</v>
      </c>
      <c r="S2127" s="23" t="str" cm="1">
        <f t="array" ref="S2127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7" s="23" t="str" cm="1">
        <f t="array" ref="T2127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7" s="14" t="str" cm="1">
        <f t="array" ref="U2127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7" t="str" cm="1">
        <f t="array" ref="V2127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7" t="str" cm="1">
        <f t="array" ref="W2127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🟠 ALERTA</v>
      </c>
      <c r="X2127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2</v>
      </c>
      <c r="Y2127" t="str">
        <f>IF(COUNTIFS('Base Estudiantes'!$C:$C,tblMatriculas[[#This Row],[Cédula]],'Base Estudiantes'!$I:$I,tblMatriculas[[#This Row],[Código]])&gt;0,"Sí","No")</f>
        <v>Sí</v>
      </c>
      <c r="Z2127" s="23" cm="1">
        <f t="array" ref="Z2127">_xlfn.XLOOKUP(tblMatriculas[[#This Row],[Cédula]]&amp;"|"&amp;tblMatriculas[[#This Row],[Código]],tblBase[Documento]&amp;"|"&amp;tblBase[Código grupo],tblBase[Fecha matrícula],"")</f>
        <v>46263</v>
      </c>
    </row>
    <row r="2128" spans="1:26" x14ac:dyDescent="0.2">
      <c r="A2128" t="s">
        <v>4404</v>
      </c>
      <c r="B2128" t="s">
        <v>4405</v>
      </c>
      <c r="C2128" t="s">
        <v>13</v>
      </c>
      <c r="D2128" t="s">
        <v>4340</v>
      </c>
      <c r="E2128" t="s">
        <v>4341</v>
      </c>
      <c r="F2128" t="s">
        <v>649</v>
      </c>
      <c r="G2128" s="1">
        <v>6.7000000000000004E-2</v>
      </c>
      <c r="H2128" t="s">
        <v>166</v>
      </c>
      <c r="I2128" t="s">
        <v>3833</v>
      </c>
      <c r="J2128" t="s">
        <v>3170</v>
      </c>
      <c r="K2128" t="s">
        <v>24</v>
      </c>
      <c r="L2128" s="14">
        <f>IFERROR(VALUE(LEFT(tblMatriculas[[#This Row],[Clases]],FIND("/",tblMatriculas[[#This Row],[Clases]])-1)),"")</f>
        <v>2</v>
      </c>
      <c r="M2128" s="14">
        <f>IFERROR(VALUE(MID(tblMatriculas[[#This Row],[Clases]],FIND("/",tblMatriculas[[#This Row],[Clases]])+1,5)),"")</f>
        <v>30</v>
      </c>
      <c r="N2128" s="14">
        <f>IF(tblMatriculas[[#This Row],[Asistidas]]="","",_xlfn.LET(_xlpm.c,_xlfn.XLOOKUP(tblMatriculas[[#This Row],[Código]],tblGrupos[Código],tblGrupos[Clases dictadas],0),_xlpm.bp,_xlfn.XLOOKUP(tblMatriculas[[#This Row],[Código]],tblGrupos[Código],tblGrupos[Clases planeadas],0),_xlpm.o,IF(LEFT(tblMatriculas[[#This Row],[Observación]],15)="Traslado desde ",TRIM(MID(tblMatriculas[[#This Row],[Observación]],16,20)),""),_xlpm.od,IF(_xlpm.o="",0,_xlfn.XLOOKUP(_xlpm.o,tblGrupos[Código],tblGrupos[Clases dictadas],0)),IF(OR(_xlpm.bp=0,tblMatriculas[[#This Row],[Clases planeadas]]&lt;=_xlpm.bp),_xlpm.c,IF(_xlpm.od&gt;0,_xlpm.c+_xlpm.od,ROUND(_xlpm.c*tblMatriculas[[#This Row],[Clases planeadas]]/_xlpm.bp,0)))))</f>
        <v>4</v>
      </c>
      <c r="O2128" s="14">
        <f>IF(OR(tblMatriculas[[#This Row],[Estado]]&lt;&gt;"activa",tblMatriculas[[#This Row],[Clases dictadas]]=""),"",MAX(0,tblMatriculas[[#This Row],[Clases dictadas]]-tblMatriculas[[#This Row],[Asistidas]]))</f>
        <v>2</v>
      </c>
      <c r="P2128" s="1">
        <f>IF(OR(tblMatriculas[[#This Row],[Estado]]&lt;&gt;"activa",tblMatriculas[[#This Row],[Asistidas]]=""),"",tblMatriculas[[#This Row],[Asistencia]])</f>
        <v>6.7000000000000004E-2</v>
      </c>
      <c r="Q2128" t="b">
        <f>AND(tblMatriculas[[#This Row],[Estado]]="activa",ISNUMBER(tblMatriculas[[#This Row],[% asistencia]]),NOT(ISNUMBER(SEARCH(pPrueba,tblMatriculas[[#This Row],[Nombre]]))))</f>
        <v>1</v>
      </c>
      <c r="R2128" s="13" t="str">
        <f>IF(tblMatriculas[[#This Row],[Estado]]&lt;&gt;"activa","Retirado",IF(ISNUMBER(SEARCH(pPrueba,tblMatriculas[[#This Row],[Nombre]])),"Prueba",IF(tblMatriculas[[#This Row],[% asistencia]]="","⚪ SIN REGISTRO",_xlfn.XLOOKUP(ROUND(tblMatriculas[[#This Row],[% asistencia]],3),tblNiveles[Hasta (% asistencia, incluido)],tblNiveles[Nivel],,1))))</f>
        <v>🟡 SEGUIMIENTO</v>
      </c>
      <c r="S2128" s="23" t="str" cm="1">
        <f t="array" ref="S2128">_xlfn.LET(_xlpm.m,MAX(_xlfn.MAXIFS(tblAsistenciaDiaria[Fecha],tblAsistenciaDiaria[Cédula],tblMatriculas[[#This Row],[Cédula]],tblAsistenciaDiaria[Código grupo],tblMatriculas[[#This Row],[Código]],tblAsistenciaDiaria[Estado],{"Presente","Tarde"})),IF(_xlpm.m=0,"",_xlpm.m))</f>
        <v/>
      </c>
      <c r="T2128" s="23" t="str" cm="1">
        <f t="array" ref="T2128">_xlfn.LET(_xlpm.m,MAX(_xlfn.MAXIFS(tblAsistenciaDiaria[Fecha],tblAsistenciaDiaria[Cédula],tblMatriculas[[#This Row],[Cédula]],tblAsistenciaDiaria[Código grupo],tblMatriculas[[#This Row],[Código]],tblAsistenciaDiaria[Estado],{"Ausente","Justificada"})),IF(_xlpm.m=0,"",_xlpm.m))</f>
        <v/>
      </c>
      <c r="U2128" s="14" t="str" cm="1">
        <f t="array" ref="U2128">IF(COUNT(tblAsistenciaDiaria[Fecha])=0,"",IF(tblMatriculas[[#This Row],[Última inasistencia]]="",0,SUM(COUNTIFS(tblAsistenciaDiaria[Cédula],tblMatriculas[[#This Row],[Cédula]],tblAsistenciaDiaria[Código grupo],tblMatriculas[[#This Row],[Código]],tblAsistenciaDiaria[Fecha],"&gt;"&amp;N(tblMatriculas[[#This Row],[Última asistencia]]),tblAsistenciaDiaria[Estado],{"Ausente","Justificada"}))))</f>
        <v/>
      </c>
      <c r="V2128" t="str" cm="1">
        <f t="array" ref="V2128">_xlfn.LET(_xlpm.h,MAX(tblAsistenciaDiaria[Fecha]),_xlpm.w,pVentanaTend,_xlpm.c,tblMatriculas[[#This Row],[Cédula]],_xlpm.g,tblMatriculas[[#This Row],[Código]],_xlpm.F,tblAsistenciaDiaria[Fecha],_xlpm.pr,SUM(COUNTIFS(tblAsistenciaDiaria[Cédula],_xlpm.c,tblAsistenciaDiaria[Código grupo],_xlpm.g,_xlpm.F,"&gt;"&amp;_xlpm.h-_xlpm.w,tblAsistenciaDiaria[Estado],{"Presente","Tarde"})),_xlpm.tr,COUNTIFS(tblAsistenciaDiaria[Cédula],_xlpm.c,tblAsistenciaDiaria[Código grupo],_xlpm.g,_xlpm.F,"&gt;"&amp;_xlpm.h-_xlpm.w),_xlpm.pp,SUM(COUNTIFS(tblAsistenciaDiaria[Cédula],_xlpm.c,tblAsistenciaDiaria[Código grupo],_xlpm.g,_xlpm.F,"&gt;"&amp;_xlpm.h-2*_xlpm.w,_xlpm.F,"&lt;="&amp;_xlpm.h-_xlpm.w,tblAsistenciaDiaria[Estado],{"Presente","Tarde"})),_xlpm.tp,COUNTIFS(tblAsistenciaDiaria[Cédula],_xlpm.c,tblAsistenciaDiaria[Código grupo],_xlpm.g,_xlpm.F,"&gt;"&amp;_xlpm.h-2*_xlpm.w,_xlpm.F,"&lt;="&amp;_xlpm.h-_xlpm.w),IF(OR(_xlpm.tr=0,_xlpm.tp=0),"",IF(_xlpm.pp/_xlpm.tp-_xlpm.pr/_xlpm.tr&gt;=pCaidaTend,"📉 Negativa",IF(_xlpm.pr/_xlpm.tr-_xlpm.pp/_xlpm.tp&gt;=pCaidaTend,"📈 Positiva","➖ Estable"))))</f>
        <v/>
      </c>
      <c r="W2128" t="str" cm="1">
        <f t="array" ref="W2128">IF(OR(tblMatriculas[[#This Row],[Nivel]]="Retirado",tblMatriculas[[#This Row],[Nivel]]="Prueba"),"",_xlfn.TEXTJOIN(" + ",TRUE,IF(OR(tblMatriculas[[#This Row],[Nivel]]=INDEX(tblNiveles[Nivel],{1,2,3})),tblMatriculas[[#This Row],[Nivel]],""),IF(tblMatriculas[[#This Row],[Nivel]]="⚪ SIN REGISTRO","⚪ SIN REGISTRO",""),IF(N(tblMatriculas[[#This Row],[Faltas consecutivas]])&gt;=pFaltasConsec,"⚠️ AUSENCIAS CONSECUTIVAS",""),IF(tblMatriculas[[#This Row],[Tendencia]]="📉 Negativa","📉 TENDENCIA NEGATIVA","")))</f>
        <v>🟡 SEGUIMIENTO</v>
      </c>
      <c r="X2128" s="14">
        <f>IF(tblMatriculas[[#This Row],[Tipo de alerta]]="","",MIN(IFERROR(_xlfn.XLOOKUP(tblMatriculas[[#This Row],[Nivel]],tblNiveles[Nivel],tblNiveles[Prioridad]),9),IF(tblMatriculas[[#This Row],[Nivel]]="⚪ SIN REGISTRO",2.5,9),IF(N(tblMatriculas[[#This Row],[Faltas consecutivas]])&gt;=pFaltasConsec,1.5,9),IF(tblMatriculas[[#This Row],[Tendencia]]="📉 Negativa",3.5,9)))</f>
        <v>3</v>
      </c>
      <c r="Y2128" t="str">
        <f>IF(COUNTIFS('Base Estudiantes'!$C:$C,tblMatriculas[[#This Row],[Cédula]],'Base Estudiantes'!$I:$I,tblMatriculas[[#This Row],[Código]])&gt;0,"Sí","No")</f>
        <v>Sí</v>
      </c>
      <c r="Z2128" s="23" cm="1">
        <f t="array" ref="Z2128">_xlfn.XLOOKUP(tblMatriculas[[#This Row],[Cédula]]&amp;"|"&amp;tblMatriculas[[#This Row],[Código]],tblBase[Documento]&amp;"|"&amp;tblBase[Código grupo],tblBase[Fecha matrícula],"")</f>
        <v>46263</v>
      </c>
    </row>
  </sheetData>
  <conditionalFormatting sqref="G2:G2128">
    <cfRule type="expression" dxfId="34" priority="1">
      <formula>$R2="🔴 CRÍTICO"</formula>
    </cfRule>
    <cfRule type="expression" dxfId="33" priority="2">
      <formula>$R2="🟠 ALERTA"</formula>
    </cfRule>
    <cfRule type="expression" dxfId="32" priority="3">
      <formula>$R2="🟡 SEGUIMIENTO"</formula>
    </cfRule>
    <cfRule type="expression" dxfId="31" priority="4">
      <formula>$R2="🟢 NORMAL"</formula>
    </cfRule>
    <cfRule type="expression" dxfId="30" priority="5">
      <formula>$R2="⚪ SIN REGISTRO"</formula>
    </cfRule>
    <cfRule type="expression" dxfId="29" priority="6">
      <formula>$R2="Retirado"</formula>
    </cfRule>
    <cfRule type="expression" dxfId="28" priority="7">
      <formula>$R2="Prueba"</formula>
    </cfRule>
  </conditionalFormatting>
  <conditionalFormatting sqref="P2:P2128">
    <cfRule type="expression" dxfId="27" priority="8">
      <formula>$R2="🔴 CRÍTICO"</formula>
    </cfRule>
    <cfRule type="expression" dxfId="26" priority="9">
      <formula>$R2="🟠 ALERTA"</formula>
    </cfRule>
    <cfRule type="expression" dxfId="25" priority="10">
      <formula>$R2="🟡 SEGUIMIENTO"</formula>
    </cfRule>
    <cfRule type="expression" dxfId="24" priority="11">
      <formula>$R2="🟢 NORMAL"</formula>
    </cfRule>
    <cfRule type="expression" dxfId="23" priority="12">
      <formula>$R2="⚪ SIN REGISTRO"</formula>
    </cfRule>
    <cfRule type="expression" dxfId="22" priority="13">
      <formula>$R2="Retirado"</formula>
    </cfRule>
    <cfRule type="expression" dxfId="21" priority="14">
      <formula>$R2="Prueba"</formula>
    </cfRule>
  </conditionalFormatting>
  <conditionalFormatting sqref="R2:R2128">
    <cfRule type="expression" dxfId="20" priority="15">
      <formula>$R2="🔴 CRÍTICO"</formula>
    </cfRule>
    <cfRule type="expression" dxfId="19" priority="16">
      <formula>$R2="🟠 ALERTA"</formula>
    </cfRule>
    <cfRule type="expression" dxfId="18" priority="17">
      <formula>$R2="🟡 SEGUIMIENTO"</formula>
    </cfRule>
    <cfRule type="expression" dxfId="17" priority="18">
      <formula>$R2="🟢 NORMAL"</formula>
    </cfRule>
    <cfRule type="expression" dxfId="16" priority="19">
      <formula>$R2="⚪ SIN REGISTRO"</formula>
    </cfRule>
    <cfRule type="expression" dxfId="15" priority="20">
      <formula>$R2="Retirado"</formula>
    </cfRule>
    <cfRule type="expression" dxfId="14" priority="21">
      <formula>$R2="Prueba"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3710-5EB5-834F-BA03-8C0E77020D54}">
  <sheetPr>
    <tabColor rgb="FF70AD47"/>
  </sheetPr>
  <dimension ref="A1:K2042"/>
  <sheetViews>
    <sheetView zoomScaleNormal="100" workbookViewId="0">
      <pane xSplit="2" ySplit="1" topLeftCell="C757" activePane="bottomRight" state="frozen"/>
      <selection pane="topRight" activeCell="C1" sqref="C1"/>
      <selection pane="bottomLeft" activeCell="A2" sqref="A2"/>
      <selection pane="bottomRight" activeCell="C771" sqref="C771"/>
    </sheetView>
  </sheetViews>
  <sheetFormatPr baseColWidth="10" defaultColWidth="8.6640625" defaultRowHeight="15" x14ac:dyDescent="0.2"/>
  <cols>
    <col min="1" max="1" width="6" style="9" customWidth="1"/>
    <col min="2" max="2" width="38" style="9" customWidth="1"/>
    <col min="3" max="3" width="14" style="9" customWidth="1"/>
    <col min="4" max="4" width="11.1640625" style="9" customWidth="1"/>
    <col min="5" max="5" width="38" style="9" customWidth="1"/>
    <col min="6" max="6" width="14" style="9" customWidth="1"/>
    <col min="7" max="7" width="17.33203125" style="9" customWidth="1"/>
    <col min="8" max="8" width="16.6640625" style="9" customWidth="1"/>
    <col min="9" max="9" width="14.33203125" style="9" customWidth="1"/>
    <col min="10" max="10" width="40" style="9" customWidth="1"/>
    <col min="11" max="11" width="52" style="9" customWidth="1"/>
    <col min="12" max="16384" width="8.6640625" style="9"/>
  </cols>
  <sheetData>
    <row r="1" spans="1:11" x14ac:dyDescent="0.2">
      <c r="A1" s="8" t="s">
        <v>4410</v>
      </c>
      <c r="B1" s="8" t="s">
        <v>1</v>
      </c>
      <c r="C1" s="8" t="s">
        <v>4411</v>
      </c>
      <c r="D1" s="8" t="s">
        <v>4412</v>
      </c>
      <c r="E1" s="8" t="s">
        <v>4413</v>
      </c>
      <c r="F1" s="8" t="s">
        <v>4414</v>
      </c>
      <c r="G1" s="8" t="s">
        <v>4415</v>
      </c>
      <c r="H1" s="8" t="s">
        <v>4416</v>
      </c>
      <c r="I1" s="8" t="s">
        <v>4417</v>
      </c>
      <c r="J1" s="8" t="s">
        <v>4418</v>
      </c>
      <c r="K1" s="8" t="s">
        <v>5</v>
      </c>
    </row>
    <row r="2" spans="1:11" x14ac:dyDescent="0.2">
      <c r="A2" s="10">
        <v>1</v>
      </c>
      <c r="B2" s="10" t="s">
        <v>12</v>
      </c>
      <c r="C2" s="11" t="s">
        <v>11</v>
      </c>
      <c r="D2" s="10" t="s">
        <v>4419</v>
      </c>
      <c r="E2" s="10" t="s">
        <v>4420</v>
      </c>
      <c r="F2" s="11" t="s">
        <v>4421</v>
      </c>
      <c r="G2" s="10" t="s">
        <v>13</v>
      </c>
      <c r="H2" s="12">
        <v>46263</v>
      </c>
      <c r="I2" s="10" t="s">
        <v>15</v>
      </c>
      <c r="J2" s="10" t="str">
        <f>IFERROR(INDEX([1]Programas!$B$2:$B$50,MATCH(LEFT(I2,3),[1]Programas!$A$2:$A$50,0)),"")</f>
        <v>Análisis y Visualización de Datos</v>
      </c>
      <c r="K2" s="10" t="s">
        <v>16</v>
      </c>
    </row>
    <row r="3" spans="1:11" x14ac:dyDescent="0.2">
      <c r="A3" s="10">
        <v>2</v>
      </c>
      <c r="B3" s="10" t="s">
        <v>22</v>
      </c>
      <c r="C3" s="11" t="s">
        <v>21</v>
      </c>
      <c r="D3" s="10" t="s">
        <v>4419</v>
      </c>
      <c r="E3" s="10" t="s">
        <v>4422</v>
      </c>
      <c r="F3" s="11" t="s">
        <v>4423</v>
      </c>
      <c r="G3" s="10" t="s">
        <v>13</v>
      </c>
      <c r="H3" s="12">
        <v>46263</v>
      </c>
      <c r="I3" s="10" t="s">
        <v>15</v>
      </c>
      <c r="J3" s="10" t="str">
        <f>IFERROR(INDEX([1]Programas!$B$2:$B$50,MATCH(LEFT(I3,3),[1]Programas!$A$2:$A$50,0)),"")</f>
        <v>Análisis y Visualización de Datos</v>
      </c>
      <c r="K3" s="10" t="s">
        <v>16</v>
      </c>
    </row>
    <row r="4" spans="1:11" x14ac:dyDescent="0.2">
      <c r="A4" s="10">
        <v>3</v>
      </c>
      <c r="B4" s="10" t="s">
        <v>4424</v>
      </c>
      <c r="C4" s="11" t="s">
        <v>25</v>
      </c>
      <c r="D4" s="10" t="s">
        <v>4419</v>
      </c>
      <c r="E4" s="10" t="s">
        <v>4425</v>
      </c>
      <c r="F4" s="11" t="s">
        <v>4426</v>
      </c>
      <c r="G4" s="10" t="s">
        <v>13</v>
      </c>
      <c r="H4" s="12">
        <v>46264</v>
      </c>
      <c r="I4" s="10" t="s">
        <v>15</v>
      </c>
      <c r="J4" s="10" t="str">
        <f>IFERROR(INDEX([1]Programas!$B$2:$B$50,MATCH(LEFT(I4,3),[1]Programas!$A$2:$A$50,0)),"")</f>
        <v>Análisis y Visualización de Datos</v>
      </c>
      <c r="K4" s="10" t="s">
        <v>16</v>
      </c>
    </row>
    <row r="5" spans="1:11" x14ac:dyDescent="0.2">
      <c r="A5" s="10">
        <v>4</v>
      </c>
      <c r="B5" s="10" t="s">
        <v>29</v>
      </c>
      <c r="C5" s="11" t="s">
        <v>28</v>
      </c>
      <c r="D5" s="10" t="s">
        <v>4419</v>
      </c>
      <c r="E5" s="10" t="s">
        <v>4427</v>
      </c>
      <c r="F5" s="11" t="s">
        <v>4428</v>
      </c>
      <c r="G5" s="10" t="s">
        <v>13</v>
      </c>
      <c r="H5" s="12">
        <v>46264</v>
      </c>
      <c r="I5" s="10" t="s">
        <v>15</v>
      </c>
      <c r="J5" s="10" t="str">
        <f>IFERROR(INDEX([1]Programas!$B$2:$B$50,MATCH(LEFT(I5,3),[1]Programas!$A$2:$A$50,0)),"")</f>
        <v>Análisis y Visualización de Datos</v>
      </c>
      <c r="K5" s="10" t="s">
        <v>16</v>
      </c>
    </row>
    <row r="6" spans="1:11" x14ac:dyDescent="0.2">
      <c r="A6" s="10">
        <v>5</v>
      </c>
      <c r="B6" s="10" t="s">
        <v>31</v>
      </c>
      <c r="C6" s="11" t="s">
        <v>30</v>
      </c>
      <c r="D6" s="10" t="s">
        <v>4419</v>
      </c>
      <c r="E6" s="10" t="s">
        <v>4429</v>
      </c>
      <c r="F6" s="11" t="s">
        <v>4430</v>
      </c>
      <c r="G6" s="10" t="s">
        <v>13</v>
      </c>
      <c r="H6" s="12">
        <v>46264</v>
      </c>
      <c r="I6" s="10" t="s">
        <v>15</v>
      </c>
      <c r="J6" s="10" t="str">
        <f>IFERROR(INDEX([1]Programas!$B$2:$B$50,MATCH(LEFT(I6,3),[1]Programas!$A$2:$A$50,0)),"")</f>
        <v>Análisis y Visualización de Datos</v>
      </c>
      <c r="K6" s="10" t="s">
        <v>16</v>
      </c>
    </row>
    <row r="7" spans="1:11" x14ac:dyDescent="0.2">
      <c r="A7" s="10">
        <v>6</v>
      </c>
      <c r="B7" s="10" t="s">
        <v>4431</v>
      </c>
      <c r="C7" s="11" t="s">
        <v>32</v>
      </c>
      <c r="D7" s="10" t="s">
        <v>4419</v>
      </c>
      <c r="E7" s="10" t="s">
        <v>4432</v>
      </c>
      <c r="F7" s="11" t="s">
        <v>4433</v>
      </c>
      <c r="G7" s="10" t="s">
        <v>13</v>
      </c>
      <c r="H7" s="12">
        <v>46264</v>
      </c>
      <c r="I7" s="10" t="s">
        <v>15</v>
      </c>
      <c r="J7" s="10" t="str">
        <f>IFERROR(INDEX([1]Programas!$B$2:$B$50,MATCH(LEFT(I7,3),[1]Programas!$A$2:$A$50,0)),"")</f>
        <v>Análisis y Visualización de Datos</v>
      </c>
      <c r="K7" s="10" t="s">
        <v>16</v>
      </c>
    </row>
    <row r="8" spans="1:11" x14ac:dyDescent="0.2">
      <c r="A8" s="10">
        <v>7</v>
      </c>
      <c r="B8" s="10" t="s">
        <v>35</v>
      </c>
      <c r="C8" s="11" t="s">
        <v>34</v>
      </c>
      <c r="D8" s="10" t="s">
        <v>4419</v>
      </c>
      <c r="E8" s="10" t="s">
        <v>4434</v>
      </c>
      <c r="F8" s="11" t="s">
        <v>4435</v>
      </c>
      <c r="G8" s="10" t="s">
        <v>13</v>
      </c>
      <c r="H8" s="12">
        <v>46264</v>
      </c>
      <c r="I8" s="10" t="s">
        <v>15</v>
      </c>
      <c r="J8" s="10" t="str">
        <f>IFERROR(INDEX([1]Programas!$B$2:$B$50,MATCH(LEFT(I8,3),[1]Programas!$A$2:$A$50,0)),"")</f>
        <v>Análisis y Visualización de Datos</v>
      </c>
      <c r="K8" s="10" t="s">
        <v>16</v>
      </c>
    </row>
    <row r="9" spans="1:11" x14ac:dyDescent="0.2">
      <c r="A9" s="10">
        <v>8</v>
      </c>
      <c r="B9" s="10" t="s">
        <v>38</v>
      </c>
      <c r="C9" s="11" t="s">
        <v>37</v>
      </c>
      <c r="D9" s="10" t="s">
        <v>4419</v>
      </c>
      <c r="E9" s="10" t="s">
        <v>4436</v>
      </c>
      <c r="F9" s="11" t="s">
        <v>4437</v>
      </c>
      <c r="G9" s="10" t="s">
        <v>13</v>
      </c>
      <c r="H9" s="12">
        <v>46264</v>
      </c>
      <c r="I9" s="10" t="s">
        <v>15</v>
      </c>
      <c r="J9" s="10" t="str">
        <f>IFERROR(INDEX([1]Programas!$B$2:$B$50,MATCH(LEFT(I9,3),[1]Programas!$A$2:$A$50,0)),"")</f>
        <v>Análisis y Visualización de Datos</v>
      </c>
      <c r="K9" s="10" t="s">
        <v>16</v>
      </c>
    </row>
    <row r="10" spans="1:11" x14ac:dyDescent="0.2">
      <c r="A10" s="10">
        <v>9</v>
      </c>
      <c r="B10" s="10" t="s">
        <v>4438</v>
      </c>
      <c r="C10" s="11" t="s">
        <v>40</v>
      </c>
      <c r="D10" s="10" t="s">
        <v>4419</v>
      </c>
      <c r="E10" s="10" t="s">
        <v>4439</v>
      </c>
      <c r="F10" s="11" t="s">
        <v>4440</v>
      </c>
      <c r="G10" s="10" t="s">
        <v>13</v>
      </c>
      <c r="H10" s="12">
        <v>46264</v>
      </c>
      <c r="I10" s="10" t="s">
        <v>15</v>
      </c>
      <c r="J10" s="10" t="str">
        <f>IFERROR(INDEX([1]Programas!$B$2:$B$50,MATCH(LEFT(I10,3),[1]Programas!$A$2:$A$50,0)),"")</f>
        <v>Análisis y Visualización de Datos</v>
      </c>
      <c r="K10" s="10" t="s">
        <v>16</v>
      </c>
    </row>
    <row r="11" spans="1:11" x14ac:dyDescent="0.2">
      <c r="A11" s="10">
        <v>10</v>
      </c>
      <c r="B11" s="10" t="s">
        <v>4441</v>
      </c>
      <c r="C11" s="11" t="s">
        <v>43</v>
      </c>
      <c r="D11" s="10" t="s">
        <v>4419</v>
      </c>
      <c r="E11" s="10" t="s">
        <v>4442</v>
      </c>
      <c r="F11" s="11" t="s">
        <v>4443</v>
      </c>
      <c r="G11" s="10" t="s">
        <v>13</v>
      </c>
      <c r="H11" s="12">
        <v>46264</v>
      </c>
      <c r="I11" s="10" t="s">
        <v>15</v>
      </c>
      <c r="J11" s="10" t="str">
        <f>IFERROR(INDEX([1]Programas!$B$2:$B$50,MATCH(LEFT(I11,3),[1]Programas!$A$2:$A$50,0)),"")</f>
        <v>Análisis y Visualización de Datos</v>
      </c>
      <c r="K11" s="10" t="s">
        <v>16</v>
      </c>
    </row>
    <row r="12" spans="1:11" x14ac:dyDescent="0.2">
      <c r="A12" s="10">
        <v>11</v>
      </c>
      <c r="B12" s="10" t="s">
        <v>4444</v>
      </c>
      <c r="C12" s="11" t="s">
        <v>45</v>
      </c>
      <c r="D12" s="10" t="s">
        <v>4419</v>
      </c>
      <c r="E12" s="10" t="s">
        <v>4445</v>
      </c>
      <c r="F12" s="11" t="s">
        <v>4446</v>
      </c>
      <c r="G12" s="10" t="s">
        <v>13</v>
      </c>
      <c r="H12" s="12">
        <v>46264</v>
      </c>
      <c r="I12" s="10" t="s">
        <v>15</v>
      </c>
      <c r="J12" s="10" t="str">
        <f>IFERROR(INDEX([1]Programas!$B$2:$B$50,MATCH(LEFT(I12,3),[1]Programas!$A$2:$A$50,0)),"")</f>
        <v>Análisis y Visualización de Datos</v>
      </c>
      <c r="K12" s="10" t="s">
        <v>16</v>
      </c>
    </row>
    <row r="13" spans="1:11" x14ac:dyDescent="0.2">
      <c r="A13" s="10">
        <v>12</v>
      </c>
      <c r="B13" s="10" t="s">
        <v>52</v>
      </c>
      <c r="C13" s="11" t="s">
        <v>51</v>
      </c>
      <c r="D13" s="10" t="s">
        <v>4419</v>
      </c>
      <c r="E13" s="10" t="s">
        <v>4447</v>
      </c>
      <c r="F13" s="11" t="s">
        <v>4448</v>
      </c>
      <c r="G13" s="10" t="s">
        <v>13</v>
      </c>
      <c r="H13" s="12">
        <v>46264</v>
      </c>
      <c r="I13" s="10" t="s">
        <v>15</v>
      </c>
      <c r="J13" s="10" t="str">
        <f>IFERROR(INDEX([1]Programas!$B$2:$B$50,MATCH(LEFT(I13,3),[1]Programas!$A$2:$A$50,0)),"")</f>
        <v>Análisis y Visualización de Datos</v>
      </c>
      <c r="K13" s="10" t="s">
        <v>16</v>
      </c>
    </row>
    <row r="14" spans="1:11" x14ac:dyDescent="0.2">
      <c r="A14" s="10">
        <v>13</v>
      </c>
      <c r="B14" s="10" t="s">
        <v>54</v>
      </c>
      <c r="C14" s="11" t="s">
        <v>53</v>
      </c>
      <c r="D14" s="10" t="s">
        <v>4419</v>
      </c>
      <c r="E14" s="10" t="s">
        <v>4449</v>
      </c>
      <c r="F14" s="11" t="s">
        <v>4450</v>
      </c>
      <c r="G14" s="10" t="s">
        <v>13</v>
      </c>
      <c r="H14" s="12">
        <v>46264</v>
      </c>
      <c r="I14" s="10" t="s">
        <v>15</v>
      </c>
      <c r="J14" s="10" t="str">
        <f>IFERROR(INDEX([1]Programas!$B$2:$B$50,MATCH(LEFT(I14,3),[1]Programas!$A$2:$A$50,0)),"")</f>
        <v>Análisis y Visualización de Datos</v>
      </c>
      <c r="K14" s="10" t="s">
        <v>16</v>
      </c>
    </row>
    <row r="15" spans="1:11" x14ac:dyDescent="0.2">
      <c r="A15" s="10">
        <v>14</v>
      </c>
      <c r="B15" s="10" t="s">
        <v>57</v>
      </c>
      <c r="C15" s="11" t="s">
        <v>56</v>
      </c>
      <c r="D15" s="10" t="s">
        <v>4419</v>
      </c>
      <c r="E15" s="10" t="s">
        <v>4451</v>
      </c>
      <c r="F15" s="11" t="s">
        <v>4452</v>
      </c>
      <c r="G15" s="10" t="s">
        <v>13</v>
      </c>
      <c r="H15" s="12">
        <v>46264</v>
      </c>
      <c r="I15" s="10" t="s">
        <v>15</v>
      </c>
      <c r="J15" s="10" t="str">
        <f>IFERROR(INDEX([1]Programas!$B$2:$B$50,MATCH(LEFT(I15,3),[1]Programas!$A$2:$A$50,0)),"")</f>
        <v>Análisis y Visualización de Datos</v>
      </c>
      <c r="K15" s="10" t="s">
        <v>16</v>
      </c>
    </row>
    <row r="16" spans="1:11" x14ac:dyDescent="0.2">
      <c r="A16" s="10">
        <v>15</v>
      </c>
      <c r="B16" s="10" t="s">
        <v>59</v>
      </c>
      <c r="C16" s="11" t="s">
        <v>58</v>
      </c>
      <c r="D16" s="10" t="s">
        <v>4453</v>
      </c>
      <c r="E16" s="10" t="s">
        <v>4454</v>
      </c>
      <c r="F16" s="11" t="s">
        <v>4455</v>
      </c>
      <c r="G16" s="10" t="s">
        <v>13</v>
      </c>
      <c r="H16" s="12">
        <v>46264</v>
      </c>
      <c r="I16" s="10" t="s">
        <v>15</v>
      </c>
      <c r="J16" s="10" t="str">
        <f>IFERROR(INDEX([1]Programas!$B$2:$B$50,MATCH(LEFT(I16,3),[1]Programas!$A$2:$A$50,0)),"")</f>
        <v>Análisis y Visualización de Datos</v>
      </c>
      <c r="K16" s="10" t="s">
        <v>16</v>
      </c>
    </row>
    <row r="17" spans="1:11" x14ac:dyDescent="0.2">
      <c r="A17" s="10">
        <v>16</v>
      </c>
      <c r="B17" s="10" t="s">
        <v>4456</v>
      </c>
      <c r="C17" s="11" t="s">
        <v>60</v>
      </c>
      <c r="D17" s="10" t="s">
        <v>4419</v>
      </c>
      <c r="E17" s="10" t="s">
        <v>4457</v>
      </c>
      <c r="F17" s="11" t="s">
        <v>4458</v>
      </c>
      <c r="G17" s="10" t="s">
        <v>13</v>
      </c>
      <c r="H17" s="12">
        <v>46264</v>
      </c>
      <c r="I17" s="10" t="s">
        <v>15</v>
      </c>
      <c r="J17" s="10" t="str">
        <f>IFERROR(INDEX([1]Programas!$B$2:$B$50,MATCH(LEFT(I17,3),[1]Programas!$A$2:$A$50,0)),"")</f>
        <v>Análisis y Visualización de Datos</v>
      </c>
      <c r="K17" s="10" t="s">
        <v>16</v>
      </c>
    </row>
    <row r="18" spans="1:11" x14ac:dyDescent="0.2">
      <c r="A18" s="10">
        <v>17</v>
      </c>
      <c r="B18" s="10" t="s">
        <v>63</v>
      </c>
      <c r="C18" s="11" t="s">
        <v>62</v>
      </c>
      <c r="D18" s="10" t="s">
        <v>4419</v>
      </c>
      <c r="E18" s="10" t="s">
        <v>4459</v>
      </c>
      <c r="F18" s="11" t="s">
        <v>4460</v>
      </c>
      <c r="G18" s="10" t="s">
        <v>13</v>
      </c>
      <c r="H18" s="12">
        <v>46264</v>
      </c>
      <c r="I18" s="10" t="s">
        <v>15</v>
      </c>
      <c r="J18" s="10" t="str">
        <f>IFERROR(INDEX([1]Programas!$B$2:$B$50,MATCH(LEFT(I18,3),[1]Programas!$A$2:$A$50,0)),"")</f>
        <v>Análisis y Visualización de Datos</v>
      </c>
      <c r="K18" s="10" t="s">
        <v>16</v>
      </c>
    </row>
    <row r="19" spans="1:11" x14ac:dyDescent="0.2">
      <c r="A19" s="10">
        <v>18</v>
      </c>
      <c r="B19" s="10" t="s">
        <v>65</v>
      </c>
      <c r="C19" s="11" t="s">
        <v>64</v>
      </c>
      <c r="D19" s="10" t="s">
        <v>4419</v>
      </c>
      <c r="E19" s="10" t="s">
        <v>4461</v>
      </c>
      <c r="F19" s="11" t="s">
        <v>4462</v>
      </c>
      <c r="G19" s="10" t="s">
        <v>13</v>
      </c>
      <c r="H19" s="12">
        <v>46264</v>
      </c>
      <c r="I19" s="10" t="s">
        <v>15</v>
      </c>
      <c r="J19" s="10" t="str">
        <f>IFERROR(INDEX([1]Programas!$B$2:$B$50,MATCH(LEFT(I19,3),[1]Programas!$A$2:$A$50,0)),"")</f>
        <v>Análisis y Visualización de Datos</v>
      </c>
      <c r="K19" s="10" t="s">
        <v>16</v>
      </c>
    </row>
    <row r="20" spans="1:11" x14ac:dyDescent="0.2">
      <c r="A20" s="10">
        <v>19</v>
      </c>
      <c r="B20" s="10" t="s">
        <v>67</v>
      </c>
      <c r="C20" s="11" t="s">
        <v>66</v>
      </c>
      <c r="D20" s="10" t="s">
        <v>4419</v>
      </c>
      <c r="E20" s="10" t="s">
        <v>4463</v>
      </c>
      <c r="F20" s="11" t="s">
        <v>4464</v>
      </c>
      <c r="G20" s="10" t="s">
        <v>13</v>
      </c>
      <c r="H20" s="12">
        <v>46264</v>
      </c>
      <c r="I20" s="10" t="s">
        <v>15</v>
      </c>
      <c r="J20" s="10" t="str">
        <f>IFERROR(INDEX([1]Programas!$B$2:$B$50,MATCH(LEFT(I20,3),[1]Programas!$A$2:$A$50,0)),"")</f>
        <v>Análisis y Visualización de Datos</v>
      </c>
      <c r="K20" s="10" t="s">
        <v>16</v>
      </c>
    </row>
    <row r="21" spans="1:11" x14ac:dyDescent="0.2">
      <c r="A21" s="10">
        <v>20</v>
      </c>
      <c r="B21" s="10" t="s">
        <v>4465</v>
      </c>
      <c r="C21" s="11" t="s">
        <v>68</v>
      </c>
      <c r="D21" s="10" t="s">
        <v>4419</v>
      </c>
      <c r="E21" s="10" t="s">
        <v>4466</v>
      </c>
      <c r="F21" s="11" t="s">
        <v>4467</v>
      </c>
      <c r="G21" s="10" t="s">
        <v>13</v>
      </c>
      <c r="H21" s="12">
        <v>46264</v>
      </c>
      <c r="I21" s="10" t="s">
        <v>15</v>
      </c>
      <c r="J21" s="10" t="str">
        <f>IFERROR(INDEX([1]Programas!$B$2:$B$50,MATCH(LEFT(I21,3),[1]Programas!$A$2:$A$50,0)),"")</f>
        <v>Análisis y Visualización de Datos</v>
      </c>
      <c r="K21" s="10" t="s">
        <v>16</v>
      </c>
    </row>
    <row r="22" spans="1:11" x14ac:dyDescent="0.2">
      <c r="A22" s="10">
        <v>21</v>
      </c>
      <c r="B22" s="10" t="s">
        <v>71</v>
      </c>
      <c r="C22" s="11" t="s">
        <v>70</v>
      </c>
      <c r="D22" s="10" t="s">
        <v>4419</v>
      </c>
      <c r="E22" s="10" t="s">
        <v>4468</v>
      </c>
      <c r="F22" s="11" t="s">
        <v>4469</v>
      </c>
      <c r="G22" s="10" t="s">
        <v>13</v>
      </c>
      <c r="H22" s="12">
        <v>46264</v>
      </c>
      <c r="I22" s="10" t="s">
        <v>15</v>
      </c>
      <c r="J22" s="10" t="str">
        <f>IFERROR(INDEX([1]Programas!$B$2:$B$50,MATCH(LEFT(I22,3),[1]Programas!$A$2:$A$50,0)),"")</f>
        <v>Análisis y Visualización de Datos</v>
      </c>
      <c r="K22" s="10" t="s">
        <v>16</v>
      </c>
    </row>
    <row r="23" spans="1:11" x14ac:dyDescent="0.2">
      <c r="A23" s="10">
        <v>22</v>
      </c>
      <c r="B23" s="10" t="s">
        <v>4470</v>
      </c>
      <c r="C23" s="11" t="s">
        <v>72</v>
      </c>
      <c r="D23" s="10" t="s">
        <v>4419</v>
      </c>
      <c r="E23" s="10" t="s">
        <v>4471</v>
      </c>
      <c r="F23" s="11" t="s">
        <v>4472</v>
      </c>
      <c r="G23" s="10" t="s">
        <v>13</v>
      </c>
      <c r="H23" s="12">
        <v>46264</v>
      </c>
      <c r="I23" s="10" t="s">
        <v>15</v>
      </c>
      <c r="J23" s="10" t="str">
        <f>IFERROR(INDEX([1]Programas!$B$2:$B$50,MATCH(LEFT(I23,3),[1]Programas!$A$2:$A$50,0)),"")</f>
        <v>Análisis y Visualización de Datos</v>
      </c>
      <c r="K23" s="10" t="s">
        <v>16</v>
      </c>
    </row>
    <row r="24" spans="1:11" x14ac:dyDescent="0.2">
      <c r="A24" s="10">
        <v>23</v>
      </c>
      <c r="B24" s="10" t="s">
        <v>75</v>
      </c>
      <c r="C24" s="11" t="s">
        <v>74</v>
      </c>
      <c r="D24" s="10" t="s">
        <v>4419</v>
      </c>
      <c r="E24" s="10" t="s">
        <v>4473</v>
      </c>
      <c r="F24" s="11" t="s">
        <v>4474</v>
      </c>
      <c r="G24" s="10" t="s">
        <v>13</v>
      </c>
      <c r="H24" s="12">
        <v>46264</v>
      </c>
      <c r="I24" s="10" t="s">
        <v>15</v>
      </c>
      <c r="J24" s="10" t="str">
        <f>IFERROR(INDEX([1]Programas!$B$2:$B$50,MATCH(LEFT(I24,3),[1]Programas!$A$2:$A$50,0)),"")</f>
        <v>Análisis y Visualización de Datos</v>
      </c>
      <c r="K24" s="10" t="s">
        <v>16</v>
      </c>
    </row>
    <row r="25" spans="1:11" x14ac:dyDescent="0.2">
      <c r="A25" s="10">
        <v>24</v>
      </c>
      <c r="B25" s="10" t="s">
        <v>78</v>
      </c>
      <c r="C25" s="11" t="s">
        <v>77</v>
      </c>
      <c r="D25" s="10" t="s">
        <v>4419</v>
      </c>
      <c r="E25" s="10" t="s">
        <v>4475</v>
      </c>
      <c r="F25" s="11" t="s">
        <v>4476</v>
      </c>
      <c r="G25" s="10" t="s">
        <v>13</v>
      </c>
      <c r="H25" s="12">
        <v>46264</v>
      </c>
      <c r="I25" s="10" t="s">
        <v>15</v>
      </c>
      <c r="J25" s="10" t="str">
        <f>IFERROR(INDEX([1]Programas!$B$2:$B$50,MATCH(LEFT(I25,3),[1]Programas!$A$2:$A$50,0)),"")</f>
        <v>Análisis y Visualización de Datos</v>
      </c>
      <c r="K25" s="10" t="s">
        <v>16</v>
      </c>
    </row>
    <row r="26" spans="1:11" x14ac:dyDescent="0.2">
      <c r="A26" s="10">
        <v>25</v>
      </c>
      <c r="B26" s="10" t="s">
        <v>80</v>
      </c>
      <c r="C26" s="11" t="s">
        <v>79</v>
      </c>
      <c r="D26" s="10" t="s">
        <v>4419</v>
      </c>
      <c r="E26" s="10" t="s">
        <v>4477</v>
      </c>
      <c r="F26" s="11" t="s">
        <v>4478</v>
      </c>
      <c r="G26" s="10" t="s">
        <v>13</v>
      </c>
      <c r="H26" s="12">
        <v>46264</v>
      </c>
      <c r="I26" s="10" t="s">
        <v>15</v>
      </c>
      <c r="J26" s="10" t="str">
        <f>IFERROR(INDEX([1]Programas!$B$2:$B$50,MATCH(LEFT(I26,3),[1]Programas!$A$2:$A$50,0)),"")</f>
        <v>Análisis y Visualización de Datos</v>
      </c>
      <c r="K26" s="10" t="s">
        <v>16</v>
      </c>
    </row>
    <row r="27" spans="1:11" x14ac:dyDescent="0.2">
      <c r="A27" s="10">
        <v>26</v>
      </c>
      <c r="B27" s="10" t="s">
        <v>82</v>
      </c>
      <c r="C27" s="11" t="s">
        <v>81</v>
      </c>
      <c r="D27" s="10" t="s">
        <v>4419</v>
      </c>
      <c r="E27" s="10" t="s">
        <v>4479</v>
      </c>
      <c r="F27" s="11" t="s">
        <v>81</v>
      </c>
      <c r="G27" s="10" t="s">
        <v>13</v>
      </c>
      <c r="H27" s="12">
        <v>46264</v>
      </c>
      <c r="I27" s="10" t="s">
        <v>15</v>
      </c>
      <c r="J27" s="10" t="str">
        <f>IFERROR(INDEX([1]Programas!$B$2:$B$50,MATCH(LEFT(I27,3),[1]Programas!$A$2:$A$50,0)),"")</f>
        <v>Análisis y Visualización de Datos</v>
      </c>
      <c r="K27" s="10" t="s">
        <v>16</v>
      </c>
    </row>
    <row r="28" spans="1:11" x14ac:dyDescent="0.2">
      <c r="A28" s="10">
        <v>27</v>
      </c>
      <c r="B28" s="10" t="s">
        <v>84</v>
      </c>
      <c r="C28" s="11" t="s">
        <v>83</v>
      </c>
      <c r="D28" s="10" t="s">
        <v>4419</v>
      </c>
      <c r="E28" s="10" t="s">
        <v>4480</v>
      </c>
      <c r="F28" s="11" t="s">
        <v>4481</v>
      </c>
      <c r="G28" s="10" t="s">
        <v>13</v>
      </c>
      <c r="H28" s="12">
        <v>46264</v>
      </c>
      <c r="I28" s="10" t="s">
        <v>15</v>
      </c>
      <c r="J28" s="10" t="str">
        <f>IFERROR(INDEX([1]Programas!$B$2:$B$50,MATCH(LEFT(I28,3),[1]Programas!$A$2:$A$50,0)),"")</f>
        <v>Análisis y Visualización de Datos</v>
      </c>
      <c r="K28" s="10" t="s">
        <v>16</v>
      </c>
    </row>
    <row r="29" spans="1:11" x14ac:dyDescent="0.2">
      <c r="A29" s="10">
        <v>28</v>
      </c>
      <c r="B29" s="10" t="s">
        <v>4482</v>
      </c>
      <c r="C29" s="11" t="s">
        <v>85</v>
      </c>
      <c r="D29" s="10" t="s">
        <v>4419</v>
      </c>
      <c r="E29" s="10" t="s">
        <v>4483</v>
      </c>
      <c r="F29" s="11" t="s">
        <v>4484</v>
      </c>
      <c r="G29" s="10" t="s">
        <v>13</v>
      </c>
      <c r="H29" s="12">
        <v>46264</v>
      </c>
      <c r="I29" s="10" t="s">
        <v>15</v>
      </c>
      <c r="J29" s="10" t="str">
        <f>IFERROR(INDEX([1]Programas!$B$2:$B$50,MATCH(LEFT(I29,3),[1]Programas!$A$2:$A$50,0)),"")</f>
        <v>Análisis y Visualización de Datos</v>
      </c>
      <c r="K29" s="10" t="s">
        <v>16</v>
      </c>
    </row>
    <row r="30" spans="1:11" x14ac:dyDescent="0.2">
      <c r="A30" s="10">
        <v>29</v>
      </c>
      <c r="B30" s="10" t="s">
        <v>88</v>
      </c>
      <c r="C30" s="11" t="s">
        <v>87</v>
      </c>
      <c r="D30" s="10" t="s">
        <v>4419</v>
      </c>
      <c r="E30" s="10" t="s">
        <v>4485</v>
      </c>
      <c r="F30" s="11" t="s">
        <v>4486</v>
      </c>
      <c r="G30" s="10" t="s">
        <v>13</v>
      </c>
      <c r="H30" s="12">
        <v>46264</v>
      </c>
      <c r="I30" s="10" t="s">
        <v>15</v>
      </c>
      <c r="J30" s="10" t="str">
        <f>IFERROR(INDEX([1]Programas!$B$2:$B$50,MATCH(LEFT(I30,3),[1]Programas!$A$2:$A$50,0)),"")</f>
        <v>Análisis y Visualización de Datos</v>
      </c>
      <c r="K30" s="10" t="s">
        <v>16</v>
      </c>
    </row>
    <row r="31" spans="1:11" x14ac:dyDescent="0.2">
      <c r="A31" s="10">
        <v>30</v>
      </c>
      <c r="B31" s="10" t="s">
        <v>90</v>
      </c>
      <c r="C31" s="11" t="s">
        <v>89</v>
      </c>
      <c r="D31" s="10" t="s">
        <v>4419</v>
      </c>
      <c r="E31" s="10" t="s">
        <v>4487</v>
      </c>
      <c r="F31" s="11" t="s">
        <v>4488</v>
      </c>
      <c r="G31" s="10" t="s">
        <v>13</v>
      </c>
      <c r="H31" s="12">
        <v>46264</v>
      </c>
      <c r="I31" s="10" t="s">
        <v>15</v>
      </c>
      <c r="J31" s="10" t="str">
        <f>IFERROR(INDEX([1]Programas!$B$2:$B$50,MATCH(LEFT(I31,3),[1]Programas!$A$2:$A$50,0)),"")</f>
        <v>Análisis y Visualización de Datos</v>
      </c>
      <c r="K31" s="10" t="s">
        <v>16</v>
      </c>
    </row>
    <row r="32" spans="1:11" x14ac:dyDescent="0.2">
      <c r="A32" s="10">
        <v>31</v>
      </c>
      <c r="B32" s="10" t="s">
        <v>4489</v>
      </c>
      <c r="C32" s="11" t="s">
        <v>91</v>
      </c>
      <c r="D32" s="10" t="s">
        <v>4419</v>
      </c>
      <c r="E32" s="10" t="s">
        <v>4490</v>
      </c>
      <c r="F32" s="11" t="s">
        <v>4491</v>
      </c>
      <c r="G32" s="10" t="s">
        <v>13</v>
      </c>
      <c r="H32" s="12">
        <v>46264</v>
      </c>
      <c r="I32" s="10" t="s">
        <v>15</v>
      </c>
      <c r="J32" s="10" t="str">
        <f>IFERROR(INDEX([1]Programas!$B$2:$B$50,MATCH(LEFT(I32,3),[1]Programas!$A$2:$A$50,0)),"")</f>
        <v>Análisis y Visualización de Datos</v>
      </c>
      <c r="K32" s="10" t="s">
        <v>16</v>
      </c>
    </row>
    <row r="33" spans="1:11" x14ac:dyDescent="0.2">
      <c r="A33" s="10">
        <v>32</v>
      </c>
      <c r="B33" s="10" t="s">
        <v>4492</v>
      </c>
      <c r="C33" s="11" t="s">
        <v>93</v>
      </c>
      <c r="D33" s="10" t="s">
        <v>4419</v>
      </c>
      <c r="E33" s="10" t="s">
        <v>4493</v>
      </c>
      <c r="F33" s="11" t="s">
        <v>4494</v>
      </c>
      <c r="G33" s="10" t="s">
        <v>13</v>
      </c>
      <c r="H33" s="12">
        <v>46264</v>
      </c>
      <c r="I33" s="10" t="s">
        <v>15</v>
      </c>
      <c r="J33" s="10" t="str">
        <f>IFERROR(INDEX([1]Programas!$B$2:$B$50,MATCH(LEFT(I33,3),[1]Programas!$A$2:$A$50,0)),"")</f>
        <v>Análisis y Visualización de Datos</v>
      </c>
      <c r="K33" s="10" t="s">
        <v>16</v>
      </c>
    </row>
    <row r="34" spans="1:11" x14ac:dyDescent="0.2">
      <c r="A34" s="10">
        <v>33</v>
      </c>
      <c r="B34" s="10" t="s">
        <v>4495</v>
      </c>
      <c r="C34" s="11" t="s">
        <v>95</v>
      </c>
      <c r="D34" s="10" t="s">
        <v>4419</v>
      </c>
      <c r="E34" s="10" t="s">
        <v>4496</v>
      </c>
      <c r="F34" s="11" t="s">
        <v>4497</v>
      </c>
      <c r="G34" s="10" t="s">
        <v>13</v>
      </c>
      <c r="H34" s="12">
        <v>46264</v>
      </c>
      <c r="I34" s="10" t="s">
        <v>15</v>
      </c>
      <c r="J34" s="10" t="str">
        <f>IFERROR(INDEX([1]Programas!$B$2:$B$50,MATCH(LEFT(I34,3),[1]Programas!$A$2:$A$50,0)),"")</f>
        <v>Análisis y Visualización de Datos</v>
      </c>
      <c r="K34" s="10" t="s">
        <v>16</v>
      </c>
    </row>
    <row r="35" spans="1:11" x14ac:dyDescent="0.2">
      <c r="A35" s="10">
        <v>34</v>
      </c>
      <c r="B35" s="10" t="s">
        <v>4498</v>
      </c>
      <c r="C35" s="11" t="s">
        <v>97</v>
      </c>
      <c r="D35" s="10" t="s">
        <v>4419</v>
      </c>
      <c r="E35" s="10" t="s">
        <v>4499</v>
      </c>
      <c r="F35" s="11" t="s">
        <v>4500</v>
      </c>
      <c r="G35" s="10" t="s">
        <v>13</v>
      </c>
      <c r="H35" s="12">
        <v>46264</v>
      </c>
      <c r="I35" s="10" t="s">
        <v>15</v>
      </c>
      <c r="J35" s="10" t="str">
        <f>IFERROR(INDEX([1]Programas!$B$2:$B$50,MATCH(LEFT(I35,3),[1]Programas!$A$2:$A$50,0)),"")</f>
        <v>Análisis y Visualización de Datos</v>
      </c>
      <c r="K35" s="10" t="s">
        <v>16</v>
      </c>
    </row>
    <row r="36" spans="1:11" x14ac:dyDescent="0.2">
      <c r="A36" s="10">
        <v>35</v>
      </c>
      <c r="B36" s="10" t="s">
        <v>4501</v>
      </c>
      <c r="C36" s="11" t="s">
        <v>99</v>
      </c>
      <c r="D36" s="10" t="s">
        <v>4419</v>
      </c>
      <c r="E36" s="10" t="s">
        <v>4502</v>
      </c>
      <c r="F36" s="11" t="s">
        <v>4503</v>
      </c>
      <c r="G36" s="10" t="s">
        <v>13</v>
      </c>
      <c r="H36" s="12">
        <v>46264</v>
      </c>
      <c r="I36" s="10" t="s">
        <v>15</v>
      </c>
      <c r="J36" s="10" t="str">
        <f>IFERROR(INDEX([1]Programas!$B$2:$B$50,MATCH(LEFT(I36,3),[1]Programas!$A$2:$A$50,0)),"")</f>
        <v>Análisis y Visualización de Datos</v>
      </c>
      <c r="K36" s="10" t="s">
        <v>16</v>
      </c>
    </row>
    <row r="37" spans="1:11" x14ac:dyDescent="0.2">
      <c r="A37" s="10">
        <v>36</v>
      </c>
      <c r="B37" s="10" t="s">
        <v>4504</v>
      </c>
      <c r="C37" s="11" t="s">
        <v>101</v>
      </c>
      <c r="D37" s="10" t="s">
        <v>4419</v>
      </c>
      <c r="E37" s="10" t="s">
        <v>4505</v>
      </c>
      <c r="F37" s="11" t="s">
        <v>4506</v>
      </c>
      <c r="G37" s="10" t="s">
        <v>13</v>
      </c>
      <c r="H37" s="12">
        <v>46264</v>
      </c>
      <c r="I37" s="10" t="s">
        <v>15</v>
      </c>
      <c r="J37" s="10" t="str">
        <f>IFERROR(INDEX([1]Programas!$B$2:$B$50,MATCH(LEFT(I37,3),[1]Programas!$A$2:$A$50,0)),"")</f>
        <v>Análisis y Visualización de Datos</v>
      </c>
      <c r="K37" s="10" t="s">
        <v>16</v>
      </c>
    </row>
    <row r="38" spans="1:11" x14ac:dyDescent="0.2">
      <c r="A38" s="10">
        <v>37</v>
      </c>
      <c r="B38" s="10" t="s">
        <v>104</v>
      </c>
      <c r="C38" s="11" t="s">
        <v>103</v>
      </c>
      <c r="D38" s="10" t="s">
        <v>4419</v>
      </c>
      <c r="E38" s="10" t="s">
        <v>4507</v>
      </c>
      <c r="F38" s="11" t="s">
        <v>4508</v>
      </c>
      <c r="G38" s="10" t="s">
        <v>13</v>
      </c>
      <c r="H38" s="12">
        <v>46268</v>
      </c>
      <c r="I38" s="10" t="s">
        <v>15</v>
      </c>
      <c r="J38" s="10" t="str">
        <f>IFERROR(INDEX([1]Programas!$B$2:$B$50,MATCH(LEFT(I38,3),[1]Programas!$A$2:$A$50,0)),"")</f>
        <v>Análisis y Visualización de Datos</v>
      </c>
      <c r="K38" s="10" t="s">
        <v>16</v>
      </c>
    </row>
    <row r="39" spans="1:11" x14ac:dyDescent="0.2">
      <c r="A39" s="10">
        <v>38</v>
      </c>
      <c r="B39" s="10" t="s">
        <v>4509</v>
      </c>
      <c r="C39" s="11" t="s">
        <v>105</v>
      </c>
      <c r="D39" s="10" t="s">
        <v>4419</v>
      </c>
      <c r="E39" s="10" t="s">
        <v>4510</v>
      </c>
      <c r="F39" s="11" t="s">
        <v>4511</v>
      </c>
      <c r="G39" s="10" t="s">
        <v>13</v>
      </c>
      <c r="H39" s="12">
        <v>46272</v>
      </c>
      <c r="I39" s="10" t="s">
        <v>15</v>
      </c>
      <c r="J39" s="10" t="str">
        <f>IFERROR(INDEX([1]Programas!$B$2:$B$50,MATCH(LEFT(I39,3),[1]Programas!$A$2:$A$50,0)),"")</f>
        <v>Análisis y Visualización de Datos</v>
      </c>
      <c r="K39" s="10" t="s">
        <v>16</v>
      </c>
    </row>
    <row r="40" spans="1:11" x14ac:dyDescent="0.2">
      <c r="A40" s="10">
        <v>39</v>
      </c>
      <c r="B40" s="10" t="s">
        <v>108</v>
      </c>
      <c r="C40" s="11" t="s">
        <v>107</v>
      </c>
      <c r="D40" s="10" t="s">
        <v>4419</v>
      </c>
      <c r="E40" s="10" t="s">
        <v>4512</v>
      </c>
      <c r="F40" s="11" t="s">
        <v>4513</v>
      </c>
      <c r="G40" s="10" t="s">
        <v>13</v>
      </c>
      <c r="H40" s="12">
        <v>46263</v>
      </c>
      <c r="I40" s="10" t="s">
        <v>110</v>
      </c>
      <c r="J40" s="10" t="str">
        <f>IFERROR(INDEX([1]Programas!$B$2:$B$50,MATCH(LEFT(I40,3),[1]Programas!$A$2:$A$50,0)),"")</f>
        <v>Análisis y Visualización de Datos</v>
      </c>
      <c r="K40" s="10" t="s">
        <v>111</v>
      </c>
    </row>
    <row r="41" spans="1:11" x14ac:dyDescent="0.2">
      <c r="A41" s="10">
        <v>40</v>
      </c>
      <c r="B41" s="10" t="s">
        <v>116</v>
      </c>
      <c r="C41" s="11" t="s">
        <v>115</v>
      </c>
      <c r="D41" s="10" t="s">
        <v>4419</v>
      </c>
      <c r="E41" s="10" t="s">
        <v>4514</v>
      </c>
      <c r="F41" s="11" t="s">
        <v>4515</v>
      </c>
      <c r="G41" s="10" t="s">
        <v>13</v>
      </c>
      <c r="H41" s="12">
        <v>46263</v>
      </c>
      <c r="I41" s="10" t="s">
        <v>110</v>
      </c>
      <c r="J41" s="10" t="str">
        <f>IFERROR(INDEX([1]Programas!$B$2:$B$50,MATCH(LEFT(I41,3),[1]Programas!$A$2:$A$50,0)),"")</f>
        <v>Análisis y Visualización de Datos</v>
      </c>
      <c r="K41" s="10" t="s">
        <v>111</v>
      </c>
    </row>
    <row r="42" spans="1:11" x14ac:dyDescent="0.2">
      <c r="A42" s="10">
        <v>41</v>
      </c>
      <c r="B42" s="10" t="s">
        <v>4516</v>
      </c>
      <c r="C42" s="11" t="s">
        <v>118</v>
      </c>
      <c r="D42" s="10" t="s">
        <v>4419</v>
      </c>
      <c r="E42" s="10" t="s">
        <v>4517</v>
      </c>
      <c r="F42" s="11" t="s">
        <v>4518</v>
      </c>
      <c r="G42" s="10" t="s">
        <v>13</v>
      </c>
      <c r="H42" s="12">
        <v>46264</v>
      </c>
      <c r="I42" s="10" t="s">
        <v>110</v>
      </c>
      <c r="J42" s="10" t="str">
        <f>IFERROR(INDEX([1]Programas!$B$2:$B$50,MATCH(LEFT(I42,3),[1]Programas!$A$2:$A$50,0)),"")</f>
        <v>Análisis y Visualización de Datos</v>
      </c>
      <c r="K42" s="10" t="s">
        <v>111</v>
      </c>
    </row>
    <row r="43" spans="1:11" x14ac:dyDescent="0.2">
      <c r="A43" s="10">
        <v>42</v>
      </c>
      <c r="B43" s="10" t="s">
        <v>122</v>
      </c>
      <c r="C43" s="11" t="s">
        <v>121</v>
      </c>
      <c r="D43" s="10" t="s">
        <v>4419</v>
      </c>
      <c r="E43" s="10" t="s">
        <v>4519</v>
      </c>
      <c r="F43" s="11" t="s">
        <v>4520</v>
      </c>
      <c r="G43" s="10" t="s">
        <v>13</v>
      </c>
      <c r="H43" s="12">
        <v>46264</v>
      </c>
      <c r="I43" s="10" t="s">
        <v>110</v>
      </c>
      <c r="J43" s="10" t="str">
        <f>IFERROR(INDEX([1]Programas!$B$2:$B$50,MATCH(LEFT(I43,3),[1]Programas!$A$2:$A$50,0)),"")</f>
        <v>Análisis y Visualización de Datos</v>
      </c>
      <c r="K43" s="10" t="s">
        <v>111</v>
      </c>
    </row>
    <row r="44" spans="1:11" x14ac:dyDescent="0.2">
      <c r="A44" s="10">
        <v>43</v>
      </c>
      <c r="B44" s="10" t="s">
        <v>124</v>
      </c>
      <c r="C44" s="11" t="s">
        <v>123</v>
      </c>
      <c r="D44" s="10" t="s">
        <v>4419</v>
      </c>
      <c r="E44" s="10" t="s">
        <v>4521</v>
      </c>
      <c r="F44" s="11" t="s">
        <v>4522</v>
      </c>
      <c r="G44" s="10" t="s">
        <v>13</v>
      </c>
      <c r="H44" s="12">
        <v>46264</v>
      </c>
      <c r="I44" s="10" t="s">
        <v>110</v>
      </c>
      <c r="J44" s="10" t="str">
        <f>IFERROR(INDEX([1]Programas!$B$2:$B$50,MATCH(LEFT(I44,3),[1]Programas!$A$2:$A$50,0)),"")</f>
        <v>Análisis y Visualización de Datos</v>
      </c>
      <c r="K44" s="10" t="s">
        <v>111</v>
      </c>
    </row>
    <row r="45" spans="1:11" x14ac:dyDescent="0.2">
      <c r="A45" s="10">
        <v>44</v>
      </c>
      <c r="B45" s="10" t="s">
        <v>4523</v>
      </c>
      <c r="C45" s="11" t="s">
        <v>126</v>
      </c>
      <c r="D45" s="10" t="s">
        <v>4419</v>
      </c>
      <c r="E45" s="10" t="s">
        <v>4524</v>
      </c>
      <c r="F45" s="11" t="s">
        <v>4525</v>
      </c>
      <c r="G45" s="10" t="s">
        <v>13</v>
      </c>
      <c r="H45" s="12">
        <v>46264</v>
      </c>
      <c r="I45" s="10" t="s">
        <v>110</v>
      </c>
      <c r="J45" s="10" t="str">
        <f>IFERROR(INDEX([1]Programas!$B$2:$B$50,MATCH(LEFT(I45,3),[1]Programas!$A$2:$A$50,0)),"")</f>
        <v>Análisis y Visualización de Datos</v>
      </c>
      <c r="K45" s="10" t="s">
        <v>111</v>
      </c>
    </row>
    <row r="46" spans="1:11" x14ac:dyDescent="0.2">
      <c r="A46" s="10">
        <v>45</v>
      </c>
      <c r="B46" s="10" t="s">
        <v>129</v>
      </c>
      <c r="C46" s="11" t="s">
        <v>128</v>
      </c>
      <c r="D46" s="10" t="s">
        <v>4419</v>
      </c>
      <c r="E46" s="10" t="s">
        <v>4526</v>
      </c>
      <c r="F46" s="11" t="s">
        <v>4527</v>
      </c>
      <c r="G46" s="10" t="s">
        <v>13</v>
      </c>
      <c r="H46" s="12">
        <v>46264</v>
      </c>
      <c r="I46" s="10" t="s">
        <v>110</v>
      </c>
      <c r="J46" s="10" t="str">
        <f>IFERROR(INDEX([1]Programas!$B$2:$B$50,MATCH(LEFT(I46,3),[1]Programas!$A$2:$A$50,0)),"")</f>
        <v>Análisis y Visualización de Datos</v>
      </c>
      <c r="K46" s="10" t="s">
        <v>111</v>
      </c>
    </row>
    <row r="47" spans="1:11" x14ac:dyDescent="0.2">
      <c r="A47" s="10">
        <v>46</v>
      </c>
      <c r="B47" s="10" t="s">
        <v>4528</v>
      </c>
      <c r="C47" s="11" t="s">
        <v>130</v>
      </c>
      <c r="D47" s="10" t="s">
        <v>4419</v>
      </c>
      <c r="E47" s="10" t="s">
        <v>4529</v>
      </c>
      <c r="F47" s="11" t="s">
        <v>4530</v>
      </c>
      <c r="G47" s="10" t="s">
        <v>13</v>
      </c>
      <c r="H47" s="12">
        <v>46264</v>
      </c>
      <c r="I47" s="10" t="s">
        <v>110</v>
      </c>
      <c r="J47" s="10" t="str">
        <f>IFERROR(INDEX([1]Programas!$B$2:$B$50,MATCH(LEFT(I47,3),[1]Programas!$A$2:$A$50,0)),"")</f>
        <v>Análisis y Visualización de Datos</v>
      </c>
      <c r="K47" s="10" t="s">
        <v>111</v>
      </c>
    </row>
    <row r="48" spans="1:11" x14ac:dyDescent="0.2">
      <c r="A48" s="10">
        <v>47</v>
      </c>
      <c r="B48" s="10" t="s">
        <v>4531</v>
      </c>
      <c r="C48" s="11" t="s">
        <v>132</v>
      </c>
      <c r="D48" s="10" t="s">
        <v>4419</v>
      </c>
      <c r="E48" s="10" t="s">
        <v>4532</v>
      </c>
      <c r="F48" s="11" t="s">
        <v>4533</v>
      </c>
      <c r="G48" s="10" t="s">
        <v>13</v>
      </c>
      <c r="H48" s="12">
        <v>46264</v>
      </c>
      <c r="I48" s="10" t="s">
        <v>110</v>
      </c>
      <c r="J48" s="10" t="str">
        <f>IFERROR(INDEX([1]Programas!$B$2:$B$50,MATCH(LEFT(I48,3),[1]Programas!$A$2:$A$50,0)),"")</f>
        <v>Análisis y Visualización de Datos</v>
      </c>
      <c r="K48" s="10" t="s">
        <v>111</v>
      </c>
    </row>
    <row r="49" spans="1:11" x14ac:dyDescent="0.2">
      <c r="A49" s="10">
        <v>48</v>
      </c>
      <c r="B49" s="10" t="s">
        <v>4534</v>
      </c>
      <c r="C49" s="11" t="s">
        <v>134</v>
      </c>
      <c r="D49" s="10" t="s">
        <v>4419</v>
      </c>
      <c r="E49" s="10" t="s">
        <v>4535</v>
      </c>
      <c r="F49" s="11" t="s">
        <v>4536</v>
      </c>
      <c r="G49" s="10" t="s">
        <v>13</v>
      </c>
      <c r="H49" s="12">
        <v>46264</v>
      </c>
      <c r="I49" s="10" t="s">
        <v>110</v>
      </c>
      <c r="J49" s="10" t="str">
        <f>IFERROR(INDEX([1]Programas!$B$2:$B$50,MATCH(LEFT(I49,3),[1]Programas!$A$2:$A$50,0)),"")</f>
        <v>Análisis y Visualización de Datos</v>
      </c>
      <c r="K49" s="10" t="s">
        <v>111</v>
      </c>
    </row>
    <row r="50" spans="1:11" x14ac:dyDescent="0.2">
      <c r="A50" s="10">
        <v>49</v>
      </c>
      <c r="B50" s="10" t="s">
        <v>137</v>
      </c>
      <c r="C50" s="11" t="s">
        <v>136</v>
      </c>
      <c r="D50" s="10" t="s">
        <v>4419</v>
      </c>
      <c r="E50" s="10" t="s">
        <v>4537</v>
      </c>
      <c r="F50" s="11" t="s">
        <v>4538</v>
      </c>
      <c r="G50" s="10" t="s">
        <v>13</v>
      </c>
      <c r="H50" s="12">
        <v>46264</v>
      </c>
      <c r="I50" s="10" t="s">
        <v>110</v>
      </c>
      <c r="J50" s="10" t="str">
        <f>IFERROR(INDEX([1]Programas!$B$2:$B$50,MATCH(LEFT(I50,3),[1]Programas!$A$2:$A$50,0)),"")</f>
        <v>Análisis y Visualización de Datos</v>
      </c>
      <c r="K50" s="10" t="s">
        <v>111</v>
      </c>
    </row>
    <row r="51" spans="1:11" x14ac:dyDescent="0.2">
      <c r="A51" s="10">
        <v>50</v>
      </c>
      <c r="B51" s="10" t="s">
        <v>139</v>
      </c>
      <c r="C51" s="11" t="s">
        <v>138</v>
      </c>
      <c r="D51" s="10" t="s">
        <v>4419</v>
      </c>
      <c r="E51" s="10" t="s">
        <v>4539</v>
      </c>
      <c r="F51" s="11" t="s">
        <v>4540</v>
      </c>
      <c r="G51" s="10" t="s">
        <v>13</v>
      </c>
      <c r="H51" s="12">
        <v>46264</v>
      </c>
      <c r="I51" s="10" t="s">
        <v>110</v>
      </c>
      <c r="J51" s="10" t="str">
        <f>IFERROR(INDEX([1]Programas!$B$2:$B$50,MATCH(LEFT(I51,3),[1]Programas!$A$2:$A$50,0)),"")</f>
        <v>Análisis y Visualización de Datos</v>
      </c>
      <c r="K51" s="10" t="s">
        <v>111</v>
      </c>
    </row>
    <row r="52" spans="1:11" x14ac:dyDescent="0.2">
      <c r="A52" s="10">
        <v>51</v>
      </c>
      <c r="B52" s="10" t="s">
        <v>141</v>
      </c>
      <c r="C52" s="11" t="s">
        <v>140</v>
      </c>
      <c r="D52" s="10" t="s">
        <v>4419</v>
      </c>
      <c r="E52" s="10" t="s">
        <v>4541</v>
      </c>
      <c r="F52" s="11" t="s">
        <v>4542</v>
      </c>
      <c r="G52" s="10" t="s">
        <v>13</v>
      </c>
      <c r="H52" s="12">
        <v>46264</v>
      </c>
      <c r="I52" s="10" t="s">
        <v>110</v>
      </c>
      <c r="J52" s="10" t="str">
        <f>IFERROR(INDEX([1]Programas!$B$2:$B$50,MATCH(LEFT(I52,3),[1]Programas!$A$2:$A$50,0)),"")</f>
        <v>Análisis y Visualización de Datos</v>
      </c>
      <c r="K52" s="10" t="s">
        <v>111</v>
      </c>
    </row>
    <row r="53" spans="1:11" x14ac:dyDescent="0.2">
      <c r="A53" s="10">
        <v>52</v>
      </c>
      <c r="B53" s="10" t="s">
        <v>143</v>
      </c>
      <c r="C53" s="11" t="s">
        <v>142</v>
      </c>
      <c r="D53" s="10" t="s">
        <v>4419</v>
      </c>
      <c r="E53" s="10" t="s">
        <v>4543</v>
      </c>
      <c r="F53" s="11" t="s">
        <v>4544</v>
      </c>
      <c r="G53" s="10" t="s">
        <v>13</v>
      </c>
      <c r="H53" s="12">
        <v>46264</v>
      </c>
      <c r="I53" s="10" t="s">
        <v>110</v>
      </c>
      <c r="J53" s="10" t="str">
        <f>IFERROR(INDEX([1]Programas!$B$2:$B$50,MATCH(LEFT(I53,3),[1]Programas!$A$2:$A$50,0)),"")</f>
        <v>Análisis y Visualización de Datos</v>
      </c>
      <c r="K53" s="10" t="s">
        <v>111</v>
      </c>
    </row>
    <row r="54" spans="1:11" x14ac:dyDescent="0.2">
      <c r="A54" s="10">
        <v>53</v>
      </c>
      <c r="B54" s="10" t="s">
        <v>147</v>
      </c>
      <c r="C54" s="11" t="s">
        <v>146</v>
      </c>
      <c r="D54" s="10" t="s">
        <v>4419</v>
      </c>
      <c r="E54" s="10" t="s">
        <v>4545</v>
      </c>
      <c r="F54" s="11" t="s">
        <v>4546</v>
      </c>
      <c r="G54" s="10" t="s">
        <v>13</v>
      </c>
      <c r="H54" s="12">
        <v>46264</v>
      </c>
      <c r="I54" s="10" t="s">
        <v>110</v>
      </c>
      <c r="J54" s="10" t="str">
        <f>IFERROR(INDEX([1]Programas!$B$2:$B$50,MATCH(LEFT(I54,3),[1]Programas!$A$2:$A$50,0)),"")</f>
        <v>Análisis y Visualización de Datos</v>
      </c>
      <c r="K54" s="10" t="s">
        <v>111</v>
      </c>
    </row>
    <row r="55" spans="1:11" x14ac:dyDescent="0.2">
      <c r="A55" s="10">
        <v>54</v>
      </c>
      <c r="B55" s="10" t="s">
        <v>149</v>
      </c>
      <c r="C55" s="11" t="s">
        <v>148</v>
      </c>
      <c r="D55" s="10" t="s">
        <v>4419</v>
      </c>
      <c r="E55" s="10" t="s">
        <v>4547</v>
      </c>
      <c r="F55" s="11" t="s">
        <v>4548</v>
      </c>
      <c r="G55" s="10" t="s">
        <v>13</v>
      </c>
      <c r="H55" s="12">
        <v>46264</v>
      </c>
      <c r="I55" s="10" t="s">
        <v>110</v>
      </c>
      <c r="J55" s="10" t="str">
        <f>IFERROR(INDEX([1]Programas!$B$2:$B$50,MATCH(LEFT(I55,3),[1]Programas!$A$2:$A$50,0)),"")</f>
        <v>Análisis y Visualización de Datos</v>
      </c>
      <c r="K55" s="10" t="s">
        <v>111</v>
      </c>
    </row>
    <row r="56" spans="1:11" x14ac:dyDescent="0.2">
      <c r="A56" s="10">
        <v>55</v>
      </c>
      <c r="B56" s="10" t="s">
        <v>151</v>
      </c>
      <c r="C56" s="11" t="s">
        <v>150</v>
      </c>
      <c r="D56" s="10" t="s">
        <v>4419</v>
      </c>
      <c r="E56" s="10" t="s">
        <v>4549</v>
      </c>
      <c r="F56" s="11" t="s">
        <v>4550</v>
      </c>
      <c r="G56" s="10" t="s">
        <v>13</v>
      </c>
      <c r="H56" s="12">
        <v>46264</v>
      </c>
      <c r="I56" s="10" t="s">
        <v>110</v>
      </c>
      <c r="J56" s="10" t="str">
        <f>IFERROR(INDEX([1]Programas!$B$2:$B$50,MATCH(LEFT(I56,3),[1]Programas!$A$2:$A$50,0)),"")</f>
        <v>Análisis y Visualización de Datos</v>
      </c>
      <c r="K56" s="10" t="s">
        <v>111</v>
      </c>
    </row>
    <row r="57" spans="1:11" x14ac:dyDescent="0.2">
      <c r="A57" s="10">
        <v>56</v>
      </c>
      <c r="B57" s="10" t="s">
        <v>153</v>
      </c>
      <c r="C57" s="11" t="s">
        <v>152</v>
      </c>
      <c r="D57" s="10" t="s">
        <v>4419</v>
      </c>
      <c r="E57" s="10" t="s">
        <v>4551</v>
      </c>
      <c r="F57" s="11" t="s">
        <v>4552</v>
      </c>
      <c r="G57" s="10" t="s">
        <v>13</v>
      </c>
      <c r="H57" s="12">
        <v>46264</v>
      </c>
      <c r="I57" s="10" t="s">
        <v>110</v>
      </c>
      <c r="J57" s="10" t="str">
        <f>IFERROR(INDEX([1]Programas!$B$2:$B$50,MATCH(LEFT(I57,3),[1]Programas!$A$2:$A$50,0)),"")</f>
        <v>Análisis y Visualización de Datos</v>
      </c>
      <c r="K57" s="10" t="s">
        <v>111</v>
      </c>
    </row>
    <row r="58" spans="1:11" x14ac:dyDescent="0.2">
      <c r="A58" s="10">
        <v>57</v>
      </c>
      <c r="B58" s="10" t="s">
        <v>155</v>
      </c>
      <c r="C58" s="11" t="s">
        <v>154</v>
      </c>
      <c r="D58" s="10" t="s">
        <v>4419</v>
      </c>
      <c r="E58" s="10" t="s">
        <v>4553</v>
      </c>
      <c r="F58" s="11" t="s">
        <v>4554</v>
      </c>
      <c r="G58" s="10" t="s">
        <v>13</v>
      </c>
      <c r="H58" s="12">
        <v>46264</v>
      </c>
      <c r="I58" s="10" t="s">
        <v>110</v>
      </c>
      <c r="J58" s="10" t="str">
        <f>IFERROR(INDEX([1]Programas!$B$2:$B$50,MATCH(LEFT(I58,3),[1]Programas!$A$2:$A$50,0)),"")</f>
        <v>Análisis y Visualización de Datos</v>
      </c>
      <c r="K58" s="10" t="s">
        <v>111</v>
      </c>
    </row>
    <row r="59" spans="1:11" x14ac:dyDescent="0.2">
      <c r="A59" s="10">
        <v>58</v>
      </c>
      <c r="B59" s="10" t="s">
        <v>157</v>
      </c>
      <c r="C59" s="11" t="s">
        <v>156</v>
      </c>
      <c r="D59" s="10" t="s">
        <v>4419</v>
      </c>
      <c r="E59" s="10" t="s">
        <v>4555</v>
      </c>
      <c r="F59" s="11" t="s">
        <v>4556</v>
      </c>
      <c r="G59" s="10" t="s">
        <v>13</v>
      </c>
      <c r="H59" s="12">
        <v>46264</v>
      </c>
      <c r="I59" s="10" t="s">
        <v>110</v>
      </c>
      <c r="J59" s="10" t="str">
        <f>IFERROR(INDEX([1]Programas!$B$2:$B$50,MATCH(LEFT(I59,3),[1]Programas!$A$2:$A$50,0)),"")</f>
        <v>Análisis y Visualización de Datos</v>
      </c>
      <c r="K59" s="10" t="s">
        <v>111</v>
      </c>
    </row>
    <row r="60" spans="1:11" x14ac:dyDescent="0.2">
      <c r="A60" s="10">
        <v>59</v>
      </c>
      <c r="B60" s="10" t="s">
        <v>4557</v>
      </c>
      <c r="C60" s="11" t="s">
        <v>158</v>
      </c>
      <c r="D60" s="10" t="s">
        <v>4419</v>
      </c>
      <c r="E60" s="10" t="s">
        <v>4558</v>
      </c>
      <c r="F60" s="11" t="s">
        <v>4559</v>
      </c>
      <c r="G60" s="10" t="s">
        <v>13</v>
      </c>
      <c r="H60" s="12">
        <v>46264</v>
      </c>
      <c r="I60" s="10" t="s">
        <v>110</v>
      </c>
      <c r="J60" s="10" t="str">
        <f>IFERROR(INDEX([1]Programas!$B$2:$B$50,MATCH(LEFT(I60,3),[1]Programas!$A$2:$A$50,0)),"")</f>
        <v>Análisis y Visualización de Datos</v>
      </c>
      <c r="K60" s="10" t="s">
        <v>111</v>
      </c>
    </row>
    <row r="61" spans="1:11" x14ac:dyDescent="0.2">
      <c r="A61" s="10">
        <v>60</v>
      </c>
      <c r="B61" s="10" t="s">
        <v>4560</v>
      </c>
      <c r="C61" s="11" t="s">
        <v>160</v>
      </c>
      <c r="D61" s="10" t="s">
        <v>4419</v>
      </c>
      <c r="E61" s="10" t="s">
        <v>4561</v>
      </c>
      <c r="F61" s="11" t="s">
        <v>4562</v>
      </c>
      <c r="G61" s="10" t="s">
        <v>13</v>
      </c>
      <c r="H61" s="12">
        <v>46264</v>
      </c>
      <c r="I61" s="10" t="s">
        <v>110</v>
      </c>
      <c r="J61" s="10" t="str">
        <f>IFERROR(INDEX([1]Programas!$B$2:$B$50,MATCH(LEFT(I61,3),[1]Programas!$A$2:$A$50,0)),"")</f>
        <v>Análisis y Visualización de Datos</v>
      </c>
      <c r="K61" s="10" t="s">
        <v>111</v>
      </c>
    </row>
    <row r="62" spans="1:11" x14ac:dyDescent="0.2">
      <c r="A62" s="10">
        <v>61</v>
      </c>
      <c r="B62" s="10" t="s">
        <v>163</v>
      </c>
      <c r="C62" s="11" t="s">
        <v>162</v>
      </c>
      <c r="D62" s="10" t="s">
        <v>4419</v>
      </c>
      <c r="E62" s="10" t="s">
        <v>4563</v>
      </c>
      <c r="F62" s="11" t="s">
        <v>4564</v>
      </c>
      <c r="G62" s="10" t="s">
        <v>13</v>
      </c>
      <c r="H62" s="12">
        <v>46264</v>
      </c>
      <c r="I62" s="10" t="s">
        <v>110</v>
      </c>
      <c r="J62" s="10" t="str">
        <f>IFERROR(INDEX([1]Programas!$B$2:$B$50,MATCH(LEFT(I62,3),[1]Programas!$A$2:$A$50,0)),"")</f>
        <v>Análisis y Visualización de Datos</v>
      </c>
      <c r="K62" s="10" t="s">
        <v>111</v>
      </c>
    </row>
    <row r="63" spans="1:11" x14ac:dyDescent="0.2">
      <c r="A63" s="10">
        <v>62</v>
      </c>
      <c r="B63" s="10" t="s">
        <v>165</v>
      </c>
      <c r="C63" s="11" t="s">
        <v>164</v>
      </c>
      <c r="D63" s="10" t="s">
        <v>4419</v>
      </c>
      <c r="E63" s="10" t="s">
        <v>4565</v>
      </c>
      <c r="F63" s="11" t="s">
        <v>4566</v>
      </c>
      <c r="G63" s="10" t="s">
        <v>13</v>
      </c>
      <c r="H63" s="12">
        <v>46264</v>
      </c>
      <c r="I63" s="10" t="s">
        <v>110</v>
      </c>
      <c r="J63" s="10" t="str">
        <f>IFERROR(INDEX([1]Programas!$B$2:$B$50,MATCH(LEFT(I63,3),[1]Programas!$A$2:$A$50,0)),"")</f>
        <v>Análisis y Visualización de Datos</v>
      </c>
      <c r="K63" s="10" t="s">
        <v>111</v>
      </c>
    </row>
    <row r="64" spans="1:11" x14ac:dyDescent="0.2">
      <c r="A64" s="10">
        <v>63</v>
      </c>
      <c r="B64" s="10" t="s">
        <v>168</v>
      </c>
      <c r="C64" s="11" t="s">
        <v>167</v>
      </c>
      <c r="D64" s="10" t="s">
        <v>4419</v>
      </c>
      <c r="E64" s="10" t="s">
        <v>4567</v>
      </c>
      <c r="F64" s="11" t="s">
        <v>4568</v>
      </c>
      <c r="G64" s="10" t="s">
        <v>13</v>
      </c>
      <c r="H64" s="12">
        <v>46264</v>
      </c>
      <c r="I64" s="10" t="s">
        <v>110</v>
      </c>
      <c r="J64" s="10" t="str">
        <f>IFERROR(INDEX([1]Programas!$B$2:$B$50,MATCH(LEFT(I64,3),[1]Programas!$A$2:$A$50,0)),"")</f>
        <v>Análisis y Visualización de Datos</v>
      </c>
      <c r="K64" s="10" t="s">
        <v>111</v>
      </c>
    </row>
    <row r="65" spans="1:11" x14ac:dyDescent="0.2">
      <c r="A65" s="10">
        <v>64</v>
      </c>
      <c r="B65" s="10" t="s">
        <v>170</v>
      </c>
      <c r="C65" s="11" t="s">
        <v>169</v>
      </c>
      <c r="D65" s="10" t="s">
        <v>4419</v>
      </c>
      <c r="E65" s="10" t="s">
        <v>4569</v>
      </c>
      <c r="F65" s="11" t="s">
        <v>4570</v>
      </c>
      <c r="G65" s="10" t="s">
        <v>13</v>
      </c>
      <c r="H65" s="12">
        <v>46264</v>
      </c>
      <c r="I65" s="10" t="s">
        <v>110</v>
      </c>
      <c r="J65" s="10" t="str">
        <f>IFERROR(INDEX([1]Programas!$B$2:$B$50,MATCH(LEFT(I65,3),[1]Programas!$A$2:$A$50,0)),"")</f>
        <v>Análisis y Visualización de Datos</v>
      </c>
      <c r="K65" s="10" t="s">
        <v>111</v>
      </c>
    </row>
    <row r="66" spans="1:11" x14ac:dyDescent="0.2">
      <c r="A66" s="10">
        <v>65</v>
      </c>
      <c r="B66" s="10" t="s">
        <v>4571</v>
      </c>
      <c r="C66" s="11" t="s">
        <v>171</v>
      </c>
      <c r="D66" s="10" t="s">
        <v>4419</v>
      </c>
      <c r="E66" s="10" t="s">
        <v>4572</v>
      </c>
      <c r="F66" s="11" t="s">
        <v>4573</v>
      </c>
      <c r="G66" s="10" t="s">
        <v>13</v>
      </c>
      <c r="H66" s="12">
        <v>46264</v>
      </c>
      <c r="I66" s="10" t="s">
        <v>110</v>
      </c>
      <c r="J66" s="10" t="str">
        <f>IFERROR(INDEX([1]Programas!$B$2:$B$50,MATCH(LEFT(I66,3),[1]Programas!$A$2:$A$50,0)),"")</f>
        <v>Análisis y Visualización de Datos</v>
      </c>
      <c r="K66" s="10" t="s">
        <v>111</v>
      </c>
    </row>
    <row r="67" spans="1:11" x14ac:dyDescent="0.2">
      <c r="A67" s="10">
        <v>66</v>
      </c>
      <c r="B67" s="10" t="s">
        <v>174</v>
      </c>
      <c r="C67" s="11" t="s">
        <v>173</v>
      </c>
      <c r="D67" s="10" t="s">
        <v>4419</v>
      </c>
      <c r="E67" s="10" t="s">
        <v>4574</v>
      </c>
      <c r="F67" s="11" t="s">
        <v>4575</v>
      </c>
      <c r="G67" s="10" t="s">
        <v>13</v>
      </c>
      <c r="H67" s="12">
        <v>46264</v>
      </c>
      <c r="I67" s="10" t="s">
        <v>110</v>
      </c>
      <c r="J67" s="10" t="str">
        <f>IFERROR(INDEX([1]Programas!$B$2:$B$50,MATCH(LEFT(I67,3),[1]Programas!$A$2:$A$50,0)),"")</f>
        <v>Análisis y Visualización de Datos</v>
      </c>
      <c r="K67" s="10" t="s">
        <v>111</v>
      </c>
    </row>
    <row r="68" spans="1:11" x14ac:dyDescent="0.2">
      <c r="A68" s="10">
        <v>67</v>
      </c>
      <c r="B68" s="10" t="s">
        <v>176</v>
      </c>
      <c r="C68" s="11" t="s">
        <v>175</v>
      </c>
      <c r="D68" s="10" t="s">
        <v>4419</v>
      </c>
      <c r="E68" s="10" t="s">
        <v>4576</v>
      </c>
      <c r="F68" s="11" t="s">
        <v>4577</v>
      </c>
      <c r="G68" s="10" t="s">
        <v>13</v>
      </c>
      <c r="H68" s="12">
        <v>46264</v>
      </c>
      <c r="I68" s="10" t="s">
        <v>110</v>
      </c>
      <c r="J68" s="10" t="str">
        <f>IFERROR(INDEX([1]Programas!$B$2:$B$50,MATCH(LEFT(I68,3),[1]Programas!$A$2:$A$50,0)),"")</f>
        <v>Análisis y Visualización de Datos</v>
      </c>
      <c r="K68" s="10" t="s">
        <v>111</v>
      </c>
    </row>
    <row r="69" spans="1:11" x14ac:dyDescent="0.2">
      <c r="A69" s="10">
        <v>68</v>
      </c>
      <c r="B69" s="10" t="s">
        <v>4578</v>
      </c>
      <c r="C69" s="11" t="s">
        <v>177</v>
      </c>
      <c r="D69" s="10" t="s">
        <v>4419</v>
      </c>
      <c r="E69" s="10" t="s">
        <v>4579</v>
      </c>
      <c r="F69" s="11" t="s">
        <v>4580</v>
      </c>
      <c r="G69" s="10" t="s">
        <v>13</v>
      </c>
      <c r="H69" s="12">
        <v>46264</v>
      </c>
      <c r="I69" s="10" t="s">
        <v>110</v>
      </c>
      <c r="J69" s="10" t="str">
        <f>IFERROR(INDEX([1]Programas!$B$2:$B$50,MATCH(LEFT(I69,3),[1]Programas!$A$2:$A$50,0)),"")</f>
        <v>Análisis y Visualización de Datos</v>
      </c>
      <c r="K69" s="10" t="s">
        <v>111</v>
      </c>
    </row>
    <row r="70" spans="1:11" x14ac:dyDescent="0.2">
      <c r="A70" s="10">
        <v>69</v>
      </c>
      <c r="B70" s="10" t="s">
        <v>4581</v>
      </c>
      <c r="C70" s="11" t="s">
        <v>179</v>
      </c>
      <c r="D70" s="10" t="s">
        <v>4419</v>
      </c>
      <c r="E70" s="10" t="s">
        <v>4582</v>
      </c>
      <c r="F70" s="11" t="s">
        <v>4583</v>
      </c>
      <c r="G70" s="10" t="s">
        <v>13</v>
      </c>
      <c r="H70" s="12">
        <v>46264</v>
      </c>
      <c r="I70" s="10" t="s">
        <v>110</v>
      </c>
      <c r="J70" s="10" t="str">
        <f>IFERROR(INDEX([1]Programas!$B$2:$B$50,MATCH(LEFT(I70,3),[1]Programas!$A$2:$A$50,0)),"")</f>
        <v>Análisis y Visualización de Datos</v>
      </c>
      <c r="K70" s="10" t="s">
        <v>111</v>
      </c>
    </row>
    <row r="71" spans="1:11" x14ac:dyDescent="0.2">
      <c r="A71" s="10">
        <v>70</v>
      </c>
      <c r="B71" s="10" t="s">
        <v>182</v>
      </c>
      <c r="C71" s="11" t="s">
        <v>181</v>
      </c>
      <c r="D71" s="10" t="s">
        <v>4419</v>
      </c>
      <c r="E71" s="10" t="s">
        <v>4584</v>
      </c>
      <c r="F71" s="11" t="s">
        <v>4585</v>
      </c>
      <c r="G71" s="10" t="s">
        <v>13</v>
      </c>
      <c r="H71" s="12">
        <v>46264</v>
      </c>
      <c r="I71" s="10" t="s">
        <v>110</v>
      </c>
      <c r="J71" s="10" t="str">
        <f>IFERROR(INDEX([1]Programas!$B$2:$B$50,MATCH(LEFT(I71,3),[1]Programas!$A$2:$A$50,0)),"")</f>
        <v>Análisis y Visualización de Datos</v>
      </c>
      <c r="K71" s="10" t="s">
        <v>111</v>
      </c>
    </row>
    <row r="72" spans="1:11" x14ac:dyDescent="0.2">
      <c r="A72" s="10">
        <v>71</v>
      </c>
      <c r="B72" s="10" t="s">
        <v>184</v>
      </c>
      <c r="C72" s="11" t="s">
        <v>183</v>
      </c>
      <c r="D72" s="10" t="s">
        <v>4419</v>
      </c>
      <c r="E72" s="10" t="s">
        <v>4586</v>
      </c>
      <c r="F72" s="11" t="s">
        <v>4587</v>
      </c>
      <c r="G72" s="10" t="s">
        <v>13</v>
      </c>
      <c r="H72" s="12">
        <v>46264</v>
      </c>
      <c r="I72" s="10" t="s">
        <v>110</v>
      </c>
      <c r="J72" s="10" t="str">
        <f>IFERROR(INDEX([1]Programas!$B$2:$B$50,MATCH(LEFT(I72,3),[1]Programas!$A$2:$A$50,0)),"")</f>
        <v>Análisis y Visualización de Datos</v>
      </c>
      <c r="K72" s="10" t="s">
        <v>111</v>
      </c>
    </row>
    <row r="73" spans="1:11" x14ac:dyDescent="0.2">
      <c r="A73" s="10">
        <v>72</v>
      </c>
      <c r="B73" s="10" t="s">
        <v>186</v>
      </c>
      <c r="C73" s="11" t="s">
        <v>185</v>
      </c>
      <c r="D73" s="10" t="s">
        <v>4419</v>
      </c>
      <c r="E73" s="10" t="s">
        <v>4588</v>
      </c>
      <c r="F73" s="11" t="s">
        <v>4589</v>
      </c>
      <c r="G73" s="10" t="s">
        <v>13</v>
      </c>
      <c r="H73" s="12">
        <v>46264</v>
      </c>
      <c r="I73" s="10" t="s">
        <v>110</v>
      </c>
      <c r="J73" s="10" t="str">
        <f>IFERROR(INDEX([1]Programas!$B$2:$B$50,MATCH(LEFT(I73,3),[1]Programas!$A$2:$A$50,0)),"")</f>
        <v>Análisis y Visualización de Datos</v>
      </c>
      <c r="K73" s="10" t="s">
        <v>111</v>
      </c>
    </row>
    <row r="74" spans="1:11" x14ac:dyDescent="0.2">
      <c r="A74" s="10">
        <v>73</v>
      </c>
      <c r="B74" s="10" t="s">
        <v>188</v>
      </c>
      <c r="C74" s="11" t="s">
        <v>187</v>
      </c>
      <c r="D74" s="10" t="s">
        <v>4419</v>
      </c>
      <c r="E74" s="10" t="s">
        <v>4590</v>
      </c>
      <c r="F74" s="11" t="s">
        <v>4591</v>
      </c>
      <c r="G74" s="10" t="s">
        <v>13</v>
      </c>
      <c r="H74" s="12">
        <v>46264</v>
      </c>
      <c r="I74" s="10" t="s">
        <v>110</v>
      </c>
      <c r="J74" s="10" t="str">
        <f>IFERROR(INDEX([1]Programas!$B$2:$B$50,MATCH(LEFT(I74,3),[1]Programas!$A$2:$A$50,0)),"")</f>
        <v>Análisis y Visualización de Datos</v>
      </c>
      <c r="K74" s="10" t="s">
        <v>111</v>
      </c>
    </row>
    <row r="75" spans="1:11" x14ac:dyDescent="0.2">
      <c r="A75" s="10">
        <v>74</v>
      </c>
      <c r="B75" s="10" t="s">
        <v>190</v>
      </c>
      <c r="C75" s="11" t="s">
        <v>189</v>
      </c>
      <c r="D75" s="10" t="s">
        <v>4419</v>
      </c>
      <c r="E75" s="10" t="s">
        <v>4592</v>
      </c>
      <c r="F75" s="11" t="s">
        <v>4593</v>
      </c>
      <c r="G75" s="10" t="s">
        <v>13</v>
      </c>
      <c r="H75" s="12">
        <v>46264</v>
      </c>
      <c r="I75" s="10" t="s">
        <v>110</v>
      </c>
      <c r="J75" s="10" t="str">
        <f>IFERROR(INDEX([1]Programas!$B$2:$B$50,MATCH(LEFT(I75,3),[1]Programas!$A$2:$A$50,0)),"")</f>
        <v>Análisis y Visualización de Datos</v>
      </c>
      <c r="K75" s="10" t="s">
        <v>111</v>
      </c>
    </row>
    <row r="76" spans="1:11" x14ac:dyDescent="0.2">
      <c r="A76" s="10">
        <v>75</v>
      </c>
      <c r="B76" s="10" t="s">
        <v>192</v>
      </c>
      <c r="C76" s="11" t="s">
        <v>191</v>
      </c>
      <c r="D76" s="10" t="s">
        <v>4419</v>
      </c>
      <c r="E76" s="10" t="s">
        <v>4594</v>
      </c>
      <c r="F76" s="11" t="s">
        <v>4595</v>
      </c>
      <c r="G76" s="10" t="s">
        <v>13</v>
      </c>
      <c r="H76" s="12">
        <v>46264</v>
      </c>
      <c r="I76" s="10" t="s">
        <v>110</v>
      </c>
      <c r="J76" s="10" t="str">
        <f>IFERROR(INDEX([1]Programas!$B$2:$B$50,MATCH(LEFT(I76,3),[1]Programas!$A$2:$A$50,0)),"")</f>
        <v>Análisis y Visualización de Datos</v>
      </c>
      <c r="K76" s="10" t="s">
        <v>111</v>
      </c>
    </row>
    <row r="77" spans="1:11" x14ac:dyDescent="0.2">
      <c r="A77" s="10">
        <v>76</v>
      </c>
      <c r="B77" s="10" t="s">
        <v>194</v>
      </c>
      <c r="C77" s="11" t="s">
        <v>193</v>
      </c>
      <c r="D77" s="10" t="s">
        <v>4419</v>
      </c>
      <c r="E77" s="10" t="s">
        <v>4596</v>
      </c>
      <c r="F77" s="11" t="s">
        <v>4597</v>
      </c>
      <c r="G77" s="10" t="s">
        <v>13</v>
      </c>
      <c r="H77" s="12">
        <v>46264</v>
      </c>
      <c r="I77" s="10" t="s">
        <v>110</v>
      </c>
      <c r="J77" s="10" t="str">
        <f>IFERROR(INDEX([1]Programas!$B$2:$B$50,MATCH(LEFT(I77,3),[1]Programas!$A$2:$A$50,0)),"")</f>
        <v>Análisis y Visualización de Datos</v>
      </c>
      <c r="K77" s="10" t="s">
        <v>111</v>
      </c>
    </row>
    <row r="78" spans="1:11" x14ac:dyDescent="0.2">
      <c r="A78" s="10">
        <v>77</v>
      </c>
      <c r="B78" s="10" t="s">
        <v>4598</v>
      </c>
      <c r="C78" s="11" t="s">
        <v>195</v>
      </c>
      <c r="D78" s="10" t="s">
        <v>4419</v>
      </c>
      <c r="E78" s="10" t="s">
        <v>4599</v>
      </c>
      <c r="F78" s="11" t="s">
        <v>4600</v>
      </c>
      <c r="G78" s="10" t="s">
        <v>13</v>
      </c>
      <c r="H78" s="12">
        <v>46264</v>
      </c>
      <c r="I78" s="10" t="s">
        <v>110</v>
      </c>
      <c r="J78" s="10" t="str">
        <f>IFERROR(INDEX([1]Programas!$B$2:$B$50,MATCH(LEFT(I78,3),[1]Programas!$A$2:$A$50,0)),"")</f>
        <v>Análisis y Visualización de Datos</v>
      </c>
      <c r="K78" s="10" t="s">
        <v>111</v>
      </c>
    </row>
    <row r="79" spans="1:11" x14ac:dyDescent="0.2">
      <c r="A79" s="10">
        <v>78</v>
      </c>
      <c r="B79" s="10" t="s">
        <v>198</v>
      </c>
      <c r="C79" s="11" t="s">
        <v>197</v>
      </c>
      <c r="D79" s="10" t="s">
        <v>4419</v>
      </c>
      <c r="E79" s="10" t="s">
        <v>4601</v>
      </c>
      <c r="F79" s="11" t="s">
        <v>4602</v>
      </c>
      <c r="G79" s="10" t="s">
        <v>13</v>
      </c>
      <c r="H79" s="12">
        <v>46264</v>
      </c>
      <c r="I79" s="10" t="s">
        <v>110</v>
      </c>
      <c r="J79" s="10" t="str">
        <f>IFERROR(INDEX([1]Programas!$B$2:$B$50,MATCH(LEFT(I79,3),[1]Programas!$A$2:$A$50,0)),"")</f>
        <v>Análisis y Visualización de Datos</v>
      </c>
      <c r="K79" s="10" t="s">
        <v>111</v>
      </c>
    </row>
    <row r="80" spans="1:11" x14ac:dyDescent="0.2">
      <c r="A80" s="10">
        <v>79</v>
      </c>
      <c r="B80" s="10" t="s">
        <v>200</v>
      </c>
      <c r="C80" s="11" t="s">
        <v>199</v>
      </c>
      <c r="D80" s="10" t="s">
        <v>4419</v>
      </c>
      <c r="E80" s="10" t="s">
        <v>4603</v>
      </c>
      <c r="F80" s="11" t="s">
        <v>4604</v>
      </c>
      <c r="G80" s="10" t="s">
        <v>13</v>
      </c>
      <c r="H80" s="12">
        <v>46264</v>
      </c>
      <c r="I80" s="10" t="s">
        <v>110</v>
      </c>
      <c r="J80" s="10" t="str">
        <f>IFERROR(INDEX([1]Programas!$B$2:$B$50,MATCH(LEFT(I80,3),[1]Programas!$A$2:$A$50,0)),"")</f>
        <v>Análisis y Visualización de Datos</v>
      </c>
      <c r="K80" s="10" t="s">
        <v>111</v>
      </c>
    </row>
    <row r="81" spans="1:11" x14ac:dyDescent="0.2">
      <c r="A81" s="10">
        <v>80</v>
      </c>
      <c r="B81" s="10" t="s">
        <v>4605</v>
      </c>
      <c r="C81" s="11" t="s">
        <v>201</v>
      </c>
      <c r="D81" s="10" t="s">
        <v>4419</v>
      </c>
      <c r="E81" s="10" t="s">
        <v>4606</v>
      </c>
      <c r="F81" s="11" t="s">
        <v>4607</v>
      </c>
      <c r="G81" s="10" t="s">
        <v>13</v>
      </c>
      <c r="H81" s="12">
        <v>46264</v>
      </c>
      <c r="I81" s="10" t="s">
        <v>110</v>
      </c>
      <c r="J81" s="10" t="str">
        <f>IFERROR(INDEX([1]Programas!$B$2:$B$50,MATCH(LEFT(I81,3),[1]Programas!$A$2:$A$50,0)),"")</f>
        <v>Análisis y Visualización de Datos</v>
      </c>
      <c r="K81" s="10" t="s">
        <v>111</v>
      </c>
    </row>
    <row r="82" spans="1:11" x14ac:dyDescent="0.2">
      <c r="A82" s="10">
        <v>81</v>
      </c>
      <c r="B82" s="10" t="s">
        <v>204</v>
      </c>
      <c r="C82" s="11" t="s">
        <v>203</v>
      </c>
      <c r="D82" s="10" t="s">
        <v>4419</v>
      </c>
      <c r="E82" s="10" t="s">
        <v>4608</v>
      </c>
      <c r="F82" s="11" t="s">
        <v>4609</v>
      </c>
      <c r="G82" s="10" t="s">
        <v>13</v>
      </c>
      <c r="H82" s="12">
        <v>46264</v>
      </c>
      <c r="I82" s="10" t="s">
        <v>110</v>
      </c>
      <c r="J82" s="10" t="str">
        <f>IFERROR(INDEX([1]Programas!$B$2:$B$50,MATCH(LEFT(I82,3),[1]Programas!$A$2:$A$50,0)),"")</f>
        <v>Análisis y Visualización de Datos</v>
      </c>
      <c r="K82" s="10" t="s">
        <v>111</v>
      </c>
    </row>
    <row r="83" spans="1:11" x14ac:dyDescent="0.2">
      <c r="A83" s="10">
        <v>82</v>
      </c>
      <c r="B83" s="10" t="s">
        <v>206</v>
      </c>
      <c r="C83" s="11" t="s">
        <v>205</v>
      </c>
      <c r="D83" s="10" t="s">
        <v>4419</v>
      </c>
      <c r="E83" s="10" t="s">
        <v>4610</v>
      </c>
      <c r="F83" s="11" t="s">
        <v>4611</v>
      </c>
      <c r="G83" s="10" t="s">
        <v>13</v>
      </c>
      <c r="H83" s="12">
        <v>46264</v>
      </c>
      <c r="I83" s="10" t="s">
        <v>110</v>
      </c>
      <c r="J83" s="10" t="str">
        <f>IFERROR(INDEX([1]Programas!$B$2:$B$50,MATCH(LEFT(I83,3),[1]Programas!$A$2:$A$50,0)),"")</f>
        <v>Análisis y Visualización de Datos</v>
      </c>
      <c r="K83" s="10" t="s">
        <v>111</v>
      </c>
    </row>
    <row r="84" spans="1:11" x14ac:dyDescent="0.2">
      <c r="A84" s="10">
        <v>83</v>
      </c>
      <c r="B84" s="10" t="s">
        <v>4612</v>
      </c>
      <c r="C84" s="11" t="s">
        <v>207</v>
      </c>
      <c r="D84" s="10" t="s">
        <v>4419</v>
      </c>
      <c r="E84" s="10" t="s">
        <v>4613</v>
      </c>
      <c r="F84" s="11" t="s">
        <v>4614</v>
      </c>
      <c r="G84" s="10" t="s">
        <v>13</v>
      </c>
      <c r="H84" s="12">
        <v>46264</v>
      </c>
      <c r="I84" s="10" t="s">
        <v>110</v>
      </c>
      <c r="J84" s="10" t="str">
        <f>IFERROR(INDEX([1]Programas!$B$2:$B$50,MATCH(LEFT(I84,3),[1]Programas!$A$2:$A$50,0)),"")</f>
        <v>Análisis y Visualización de Datos</v>
      </c>
      <c r="K84" s="10" t="s">
        <v>111</v>
      </c>
    </row>
    <row r="85" spans="1:11" x14ac:dyDescent="0.2">
      <c r="A85" s="10">
        <v>84</v>
      </c>
      <c r="B85" s="10" t="s">
        <v>4615</v>
      </c>
      <c r="C85" s="11" t="s">
        <v>209</v>
      </c>
      <c r="D85" s="10" t="s">
        <v>4453</v>
      </c>
      <c r="E85" s="10" t="s">
        <v>4616</v>
      </c>
      <c r="F85" s="11" t="s">
        <v>4617</v>
      </c>
      <c r="G85" s="10" t="s">
        <v>13</v>
      </c>
      <c r="H85" s="12">
        <v>46264</v>
      </c>
      <c r="I85" s="10" t="s">
        <v>110</v>
      </c>
      <c r="J85" s="10" t="str">
        <f>IFERROR(INDEX([1]Programas!$B$2:$B$50,MATCH(LEFT(I85,3),[1]Programas!$A$2:$A$50,0)),"")</f>
        <v>Análisis y Visualización de Datos</v>
      </c>
      <c r="K85" s="10" t="s">
        <v>111</v>
      </c>
    </row>
    <row r="86" spans="1:11" x14ac:dyDescent="0.2">
      <c r="A86" s="10">
        <v>85</v>
      </c>
      <c r="B86" s="10" t="s">
        <v>4618</v>
      </c>
      <c r="C86" s="11" t="s">
        <v>211</v>
      </c>
      <c r="D86" s="10" t="s">
        <v>4419</v>
      </c>
      <c r="E86" s="10" t="s">
        <v>4619</v>
      </c>
      <c r="F86" s="11" t="s">
        <v>4620</v>
      </c>
      <c r="G86" s="10" t="s">
        <v>13</v>
      </c>
      <c r="H86" s="12">
        <v>46264</v>
      </c>
      <c r="I86" s="10" t="s">
        <v>110</v>
      </c>
      <c r="J86" s="10" t="str">
        <f>IFERROR(INDEX([1]Programas!$B$2:$B$50,MATCH(LEFT(I86,3),[1]Programas!$A$2:$A$50,0)),"")</f>
        <v>Análisis y Visualización de Datos</v>
      </c>
      <c r="K86" s="10" t="s">
        <v>111</v>
      </c>
    </row>
    <row r="87" spans="1:11" x14ac:dyDescent="0.2">
      <c r="A87" s="10">
        <v>86</v>
      </c>
      <c r="B87" s="10" t="s">
        <v>214</v>
      </c>
      <c r="C87" s="11" t="s">
        <v>213</v>
      </c>
      <c r="D87" s="10" t="s">
        <v>4419</v>
      </c>
      <c r="E87" s="10" t="s">
        <v>4621</v>
      </c>
      <c r="F87" s="11" t="s">
        <v>4622</v>
      </c>
      <c r="G87" s="10" t="s">
        <v>13</v>
      </c>
      <c r="H87" s="12">
        <v>46264</v>
      </c>
      <c r="I87" s="10" t="s">
        <v>110</v>
      </c>
      <c r="J87" s="10" t="str">
        <f>IFERROR(INDEX([1]Programas!$B$2:$B$50,MATCH(LEFT(I87,3),[1]Programas!$A$2:$A$50,0)),"")</f>
        <v>Análisis y Visualización de Datos</v>
      </c>
      <c r="K87" s="10" t="s">
        <v>111</v>
      </c>
    </row>
    <row r="88" spans="1:11" x14ac:dyDescent="0.2">
      <c r="A88" s="10">
        <v>87</v>
      </c>
      <c r="B88" s="10" t="s">
        <v>216</v>
      </c>
      <c r="C88" s="11" t="s">
        <v>215</v>
      </c>
      <c r="D88" s="10" t="s">
        <v>4419</v>
      </c>
      <c r="E88" s="10" t="s">
        <v>4623</v>
      </c>
      <c r="F88" s="11" t="s">
        <v>4624</v>
      </c>
      <c r="G88" s="10" t="s">
        <v>13</v>
      </c>
      <c r="H88" s="12">
        <v>46264</v>
      </c>
      <c r="I88" s="10" t="s">
        <v>110</v>
      </c>
      <c r="J88" s="10" t="str">
        <f>IFERROR(INDEX([1]Programas!$B$2:$B$50,MATCH(LEFT(I88,3),[1]Programas!$A$2:$A$50,0)),"")</f>
        <v>Análisis y Visualización de Datos</v>
      </c>
      <c r="K88" s="10" t="s">
        <v>111</v>
      </c>
    </row>
    <row r="89" spans="1:11" x14ac:dyDescent="0.2">
      <c r="A89" s="10">
        <v>88</v>
      </c>
      <c r="B89" s="10" t="s">
        <v>218</v>
      </c>
      <c r="C89" s="11" t="s">
        <v>217</v>
      </c>
      <c r="D89" s="10" t="s">
        <v>4419</v>
      </c>
      <c r="E89" s="10" t="s">
        <v>4625</v>
      </c>
      <c r="F89" s="11" t="s">
        <v>4626</v>
      </c>
      <c r="G89" s="10" t="s">
        <v>13</v>
      </c>
      <c r="H89" s="12">
        <v>46264</v>
      </c>
      <c r="I89" s="10" t="s">
        <v>110</v>
      </c>
      <c r="J89" s="10" t="str">
        <f>IFERROR(INDEX([1]Programas!$B$2:$B$50,MATCH(LEFT(I89,3),[1]Programas!$A$2:$A$50,0)),"")</f>
        <v>Análisis y Visualización de Datos</v>
      </c>
      <c r="K89" s="10" t="s">
        <v>111</v>
      </c>
    </row>
    <row r="90" spans="1:11" x14ac:dyDescent="0.2">
      <c r="A90" s="10">
        <v>89</v>
      </c>
      <c r="B90" s="10" t="s">
        <v>220</v>
      </c>
      <c r="C90" s="11" t="s">
        <v>219</v>
      </c>
      <c r="D90" s="10" t="s">
        <v>4419</v>
      </c>
      <c r="E90" s="10" t="s">
        <v>4627</v>
      </c>
      <c r="F90" s="11" t="s">
        <v>4628</v>
      </c>
      <c r="G90" s="10" t="s">
        <v>13</v>
      </c>
      <c r="H90" s="12">
        <v>46264</v>
      </c>
      <c r="I90" s="10" t="s">
        <v>110</v>
      </c>
      <c r="J90" s="10" t="str">
        <f>IFERROR(INDEX([1]Programas!$B$2:$B$50,MATCH(LEFT(I90,3),[1]Programas!$A$2:$A$50,0)),"")</f>
        <v>Análisis y Visualización de Datos</v>
      </c>
      <c r="K90" s="10" t="s">
        <v>111</v>
      </c>
    </row>
    <row r="91" spans="1:11" x14ac:dyDescent="0.2">
      <c r="A91" s="10">
        <v>90</v>
      </c>
      <c r="B91" s="10" t="s">
        <v>4629</v>
      </c>
      <c r="C91" s="11" t="s">
        <v>221</v>
      </c>
      <c r="D91" s="10" t="s">
        <v>4453</v>
      </c>
      <c r="E91" s="10" t="s">
        <v>4630</v>
      </c>
      <c r="F91" s="11" t="s">
        <v>4631</v>
      </c>
      <c r="G91" s="10" t="s">
        <v>13</v>
      </c>
      <c r="H91" s="12">
        <v>46263</v>
      </c>
      <c r="I91" s="10" t="s">
        <v>224</v>
      </c>
      <c r="J91" s="10" t="str">
        <f>IFERROR(INDEX([1]Programas!$B$2:$B$50,MATCH(LEFT(I91,3),[1]Programas!$A$2:$A$50,0)),"")</f>
        <v>Análisis y Visualización de Datos</v>
      </c>
      <c r="K91" s="10" t="s">
        <v>111</v>
      </c>
    </row>
    <row r="92" spans="1:11" x14ac:dyDescent="0.2">
      <c r="A92" s="10">
        <v>91</v>
      </c>
      <c r="B92" s="10" t="s">
        <v>228</v>
      </c>
      <c r="C92" s="11" t="s">
        <v>227</v>
      </c>
      <c r="D92" s="10" t="s">
        <v>4419</v>
      </c>
      <c r="E92" s="10" t="s">
        <v>4632</v>
      </c>
      <c r="F92" s="11" t="s">
        <v>4633</v>
      </c>
      <c r="G92" s="10" t="s">
        <v>13</v>
      </c>
      <c r="H92" s="12">
        <v>46263</v>
      </c>
      <c r="I92" s="10" t="s">
        <v>224</v>
      </c>
      <c r="J92" s="10" t="str">
        <f>IFERROR(INDEX([1]Programas!$B$2:$B$50,MATCH(LEFT(I92,3),[1]Programas!$A$2:$A$50,0)),"")</f>
        <v>Análisis y Visualización de Datos</v>
      </c>
      <c r="K92" s="10" t="s">
        <v>111</v>
      </c>
    </row>
    <row r="93" spans="1:11" x14ac:dyDescent="0.2">
      <c r="A93" s="10">
        <v>92</v>
      </c>
      <c r="B93" s="10" t="s">
        <v>4634</v>
      </c>
      <c r="C93" s="11" t="s">
        <v>230</v>
      </c>
      <c r="D93" s="10" t="s">
        <v>4419</v>
      </c>
      <c r="E93" s="10" t="s">
        <v>4635</v>
      </c>
      <c r="F93" s="11" t="s">
        <v>4636</v>
      </c>
      <c r="G93" s="10" t="s">
        <v>13</v>
      </c>
      <c r="H93" s="12">
        <v>46264</v>
      </c>
      <c r="I93" s="10" t="s">
        <v>224</v>
      </c>
      <c r="J93" s="10" t="str">
        <f>IFERROR(INDEX([1]Programas!$B$2:$B$50,MATCH(LEFT(I93,3),[1]Programas!$A$2:$A$50,0)),"")</f>
        <v>Análisis y Visualización de Datos</v>
      </c>
      <c r="K93" s="10" t="s">
        <v>111</v>
      </c>
    </row>
    <row r="94" spans="1:11" x14ac:dyDescent="0.2">
      <c r="A94" s="10">
        <v>93</v>
      </c>
      <c r="B94" s="10" t="s">
        <v>235</v>
      </c>
      <c r="C94" s="11" t="s">
        <v>234</v>
      </c>
      <c r="D94" s="10" t="s">
        <v>4419</v>
      </c>
      <c r="E94" s="10" t="s">
        <v>4637</v>
      </c>
      <c r="F94" s="11" t="s">
        <v>4638</v>
      </c>
      <c r="G94" s="10" t="s">
        <v>13</v>
      </c>
      <c r="H94" s="12">
        <v>46264</v>
      </c>
      <c r="I94" s="10" t="s">
        <v>224</v>
      </c>
      <c r="J94" s="10" t="str">
        <f>IFERROR(INDEX([1]Programas!$B$2:$B$50,MATCH(LEFT(I94,3),[1]Programas!$A$2:$A$50,0)),"")</f>
        <v>Análisis y Visualización de Datos</v>
      </c>
      <c r="K94" s="10" t="s">
        <v>111</v>
      </c>
    </row>
    <row r="95" spans="1:11" x14ac:dyDescent="0.2">
      <c r="A95" s="10">
        <v>94</v>
      </c>
      <c r="B95" s="10" t="s">
        <v>237</v>
      </c>
      <c r="C95" s="11" t="s">
        <v>236</v>
      </c>
      <c r="D95" s="10" t="s">
        <v>4419</v>
      </c>
      <c r="E95" s="10" t="s">
        <v>4639</v>
      </c>
      <c r="F95" s="11" t="s">
        <v>4640</v>
      </c>
      <c r="G95" s="10" t="s">
        <v>13</v>
      </c>
      <c r="H95" s="12">
        <v>46264</v>
      </c>
      <c r="I95" s="10" t="s">
        <v>224</v>
      </c>
      <c r="J95" s="10" t="str">
        <f>IFERROR(INDEX([1]Programas!$B$2:$B$50,MATCH(LEFT(I95,3),[1]Programas!$A$2:$A$50,0)),"")</f>
        <v>Análisis y Visualización de Datos</v>
      </c>
      <c r="K95" s="10" t="s">
        <v>111</v>
      </c>
    </row>
    <row r="96" spans="1:11" x14ac:dyDescent="0.2">
      <c r="A96" s="10">
        <v>95</v>
      </c>
      <c r="B96" s="10" t="s">
        <v>4641</v>
      </c>
      <c r="C96" s="11" t="s">
        <v>238</v>
      </c>
      <c r="D96" s="10" t="s">
        <v>4419</v>
      </c>
      <c r="E96" s="10" t="s">
        <v>4642</v>
      </c>
      <c r="F96" s="11" t="s">
        <v>4643</v>
      </c>
      <c r="G96" s="10" t="s">
        <v>13</v>
      </c>
      <c r="H96" s="12">
        <v>46264</v>
      </c>
      <c r="I96" s="10" t="s">
        <v>224</v>
      </c>
      <c r="J96" s="10" t="str">
        <f>IFERROR(INDEX([1]Programas!$B$2:$B$50,MATCH(LEFT(I96,3),[1]Programas!$A$2:$A$50,0)),"")</f>
        <v>Análisis y Visualización de Datos</v>
      </c>
      <c r="K96" s="10" t="s">
        <v>111</v>
      </c>
    </row>
    <row r="97" spans="1:11" x14ac:dyDescent="0.2">
      <c r="A97" s="10">
        <v>96</v>
      </c>
      <c r="B97" s="10" t="s">
        <v>241</v>
      </c>
      <c r="C97" s="11" t="s">
        <v>240</v>
      </c>
      <c r="D97" s="10" t="s">
        <v>4419</v>
      </c>
      <c r="E97" s="10" t="s">
        <v>4644</v>
      </c>
      <c r="F97" s="11" t="s">
        <v>4645</v>
      </c>
      <c r="G97" s="10" t="s">
        <v>13</v>
      </c>
      <c r="H97" s="12">
        <v>46264</v>
      </c>
      <c r="I97" s="10" t="s">
        <v>224</v>
      </c>
      <c r="J97" s="10" t="str">
        <f>IFERROR(INDEX([1]Programas!$B$2:$B$50,MATCH(LEFT(I97,3),[1]Programas!$A$2:$A$50,0)),"")</f>
        <v>Análisis y Visualización de Datos</v>
      </c>
      <c r="K97" s="10" t="s">
        <v>111</v>
      </c>
    </row>
    <row r="98" spans="1:11" x14ac:dyDescent="0.2">
      <c r="A98" s="10">
        <v>97</v>
      </c>
      <c r="B98" s="10" t="s">
        <v>4646</v>
      </c>
      <c r="C98" s="11" t="s">
        <v>242</v>
      </c>
      <c r="D98" s="10" t="s">
        <v>4419</v>
      </c>
      <c r="E98" s="10" t="s">
        <v>4647</v>
      </c>
      <c r="F98" s="11" t="s">
        <v>4648</v>
      </c>
      <c r="G98" s="10" t="s">
        <v>13</v>
      </c>
      <c r="H98" s="12">
        <v>46264</v>
      </c>
      <c r="I98" s="10" t="s">
        <v>224</v>
      </c>
      <c r="J98" s="10" t="str">
        <f>IFERROR(INDEX([1]Programas!$B$2:$B$50,MATCH(LEFT(I98,3),[1]Programas!$A$2:$A$50,0)),"")</f>
        <v>Análisis y Visualización de Datos</v>
      </c>
      <c r="K98" s="10" t="s">
        <v>111</v>
      </c>
    </row>
    <row r="99" spans="1:11" x14ac:dyDescent="0.2">
      <c r="A99" s="10">
        <v>98</v>
      </c>
      <c r="B99" s="10" t="s">
        <v>245</v>
      </c>
      <c r="C99" s="11" t="s">
        <v>244</v>
      </c>
      <c r="D99" s="10" t="s">
        <v>4419</v>
      </c>
      <c r="E99" s="10" t="s">
        <v>4649</v>
      </c>
      <c r="F99" s="11" t="s">
        <v>4650</v>
      </c>
      <c r="G99" s="10" t="s">
        <v>13</v>
      </c>
      <c r="H99" s="12">
        <v>46264</v>
      </c>
      <c r="I99" s="10" t="s">
        <v>224</v>
      </c>
      <c r="J99" s="10" t="str">
        <f>IFERROR(INDEX([1]Programas!$B$2:$B$50,MATCH(LEFT(I99,3),[1]Programas!$A$2:$A$50,0)),"")</f>
        <v>Análisis y Visualización de Datos</v>
      </c>
      <c r="K99" s="10" t="s">
        <v>111</v>
      </c>
    </row>
    <row r="100" spans="1:11" x14ac:dyDescent="0.2">
      <c r="A100" s="10">
        <v>99</v>
      </c>
      <c r="B100" s="10" t="s">
        <v>247</v>
      </c>
      <c r="C100" s="11" t="s">
        <v>246</v>
      </c>
      <c r="D100" s="10" t="s">
        <v>4419</v>
      </c>
      <c r="E100" s="10" t="s">
        <v>4651</v>
      </c>
      <c r="F100" s="11" t="s">
        <v>4652</v>
      </c>
      <c r="G100" s="10" t="s">
        <v>13</v>
      </c>
      <c r="H100" s="12">
        <v>46264</v>
      </c>
      <c r="I100" s="10" t="s">
        <v>224</v>
      </c>
      <c r="J100" s="10" t="str">
        <f>IFERROR(INDEX([1]Programas!$B$2:$B$50,MATCH(LEFT(I100,3),[1]Programas!$A$2:$A$50,0)),"")</f>
        <v>Análisis y Visualización de Datos</v>
      </c>
      <c r="K100" s="10" t="s">
        <v>111</v>
      </c>
    </row>
    <row r="101" spans="1:11" x14ac:dyDescent="0.2">
      <c r="A101" s="10">
        <v>100</v>
      </c>
      <c r="B101" s="10" t="s">
        <v>249</v>
      </c>
      <c r="C101" s="11" t="s">
        <v>248</v>
      </c>
      <c r="D101" s="10" t="s">
        <v>4419</v>
      </c>
      <c r="E101" s="10" t="s">
        <v>4653</v>
      </c>
      <c r="F101" s="11" t="s">
        <v>4654</v>
      </c>
      <c r="G101" s="10" t="s">
        <v>13</v>
      </c>
      <c r="H101" s="12">
        <v>46264</v>
      </c>
      <c r="I101" s="10" t="s">
        <v>224</v>
      </c>
      <c r="J101" s="10" t="str">
        <f>IFERROR(INDEX([1]Programas!$B$2:$B$50,MATCH(LEFT(I101,3),[1]Programas!$A$2:$A$50,0)),"")</f>
        <v>Análisis y Visualización de Datos</v>
      </c>
      <c r="K101" s="10" t="s">
        <v>111</v>
      </c>
    </row>
    <row r="102" spans="1:11" x14ac:dyDescent="0.2">
      <c r="A102" s="10">
        <v>101</v>
      </c>
      <c r="B102" s="10" t="s">
        <v>251</v>
      </c>
      <c r="C102" s="11" t="s">
        <v>250</v>
      </c>
      <c r="D102" s="10" t="s">
        <v>4419</v>
      </c>
      <c r="E102" s="10" t="s">
        <v>4655</v>
      </c>
      <c r="F102" s="11" t="s">
        <v>4656</v>
      </c>
      <c r="G102" s="10" t="s">
        <v>13</v>
      </c>
      <c r="H102" s="12">
        <v>46264</v>
      </c>
      <c r="I102" s="10" t="s">
        <v>224</v>
      </c>
      <c r="J102" s="10" t="str">
        <f>IFERROR(INDEX([1]Programas!$B$2:$B$50,MATCH(LEFT(I102,3),[1]Programas!$A$2:$A$50,0)),"")</f>
        <v>Análisis y Visualización de Datos</v>
      </c>
      <c r="K102" s="10" t="s">
        <v>111</v>
      </c>
    </row>
    <row r="103" spans="1:11" x14ac:dyDescent="0.2">
      <c r="A103" s="10">
        <v>102</v>
      </c>
      <c r="B103" s="10" t="s">
        <v>253</v>
      </c>
      <c r="C103" s="11" t="s">
        <v>252</v>
      </c>
      <c r="D103" s="10" t="s">
        <v>4419</v>
      </c>
      <c r="E103" s="10" t="s">
        <v>4657</v>
      </c>
      <c r="F103" s="11" t="s">
        <v>4658</v>
      </c>
      <c r="G103" s="10" t="s">
        <v>13</v>
      </c>
      <c r="H103" s="12">
        <v>46264</v>
      </c>
      <c r="I103" s="10" t="s">
        <v>224</v>
      </c>
      <c r="J103" s="10" t="str">
        <f>IFERROR(INDEX([1]Programas!$B$2:$B$50,MATCH(LEFT(I103,3),[1]Programas!$A$2:$A$50,0)),"")</f>
        <v>Análisis y Visualización de Datos</v>
      </c>
      <c r="K103" s="10" t="s">
        <v>111</v>
      </c>
    </row>
    <row r="104" spans="1:11" x14ac:dyDescent="0.2">
      <c r="A104" s="10">
        <v>103</v>
      </c>
      <c r="B104" s="10" t="s">
        <v>256</v>
      </c>
      <c r="C104" s="11" t="s">
        <v>255</v>
      </c>
      <c r="D104" s="10" t="s">
        <v>4419</v>
      </c>
      <c r="E104" s="10" t="s">
        <v>4659</v>
      </c>
      <c r="F104" s="11" t="s">
        <v>4660</v>
      </c>
      <c r="G104" s="10" t="s">
        <v>13</v>
      </c>
      <c r="H104" s="12">
        <v>46264</v>
      </c>
      <c r="I104" s="10" t="s">
        <v>224</v>
      </c>
      <c r="J104" s="10" t="str">
        <f>IFERROR(INDEX([1]Programas!$B$2:$B$50,MATCH(LEFT(I104,3),[1]Programas!$A$2:$A$50,0)),"")</f>
        <v>Análisis y Visualización de Datos</v>
      </c>
      <c r="K104" s="10" t="s">
        <v>111</v>
      </c>
    </row>
    <row r="105" spans="1:11" x14ac:dyDescent="0.2">
      <c r="A105" s="10">
        <v>104</v>
      </c>
      <c r="B105" s="10" t="s">
        <v>258</v>
      </c>
      <c r="C105" s="11" t="s">
        <v>257</v>
      </c>
      <c r="D105" s="10" t="s">
        <v>4419</v>
      </c>
      <c r="E105" s="10" t="s">
        <v>4661</v>
      </c>
      <c r="F105" s="11" t="s">
        <v>4662</v>
      </c>
      <c r="G105" s="10" t="s">
        <v>13</v>
      </c>
      <c r="H105" s="12">
        <v>46264</v>
      </c>
      <c r="I105" s="10" t="s">
        <v>224</v>
      </c>
      <c r="J105" s="10" t="str">
        <f>IFERROR(INDEX([1]Programas!$B$2:$B$50,MATCH(LEFT(I105,3),[1]Programas!$A$2:$A$50,0)),"")</f>
        <v>Análisis y Visualización de Datos</v>
      </c>
      <c r="K105" s="10" t="s">
        <v>111</v>
      </c>
    </row>
    <row r="106" spans="1:11" x14ac:dyDescent="0.2">
      <c r="A106" s="10">
        <v>105</v>
      </c>
      <c r="B106" s="10" t="s">
        <v>260</v>
      </c>
      <c r="C106" s="11" t="s">
        <v>259</v>
      </c>
      <c r="D106" s="10" t="s">
        <v>4419</v>
      </c>
      <c r="E106" s="10" t="s">
        <v>4663</v>
      </c>
      <c r="F106" s="11" t="s">
        <v>4664</v>
      </c>
      <c r="G106" s="10" t="s">
        <v>13</v>
      </c>
      <c r="H106" s="12">
        <v>46264</v>
      </c>
      <c r="I106" s="10" t="s">
        <v>224</v>
      </c>
      <c r="J106" s="10" t="str">
        <f>IFERROR(INDEX([1]Programas!$B$2:$B$50,MATCH(LEFT(I106,3),[1]Programas!$A$2:$A$50,0)),"")</f>
        <v>Análisis y Visualización de Datos</v>
      </c>
      <c r="K106" s="10" t="s">
        <v>111</v>
      </c>
    </row>
    <row r="107" spans="1:11" x14ac:dyDescent="0.2">
      <c r="A107" s="10">
        <v>106</v>
      </c>
      <c r="B107" s="10" t="s">
        <v>262</v>
      </c>
      <c r="C107" s="11" t="s">
        <v>261</v>
      </c>
      <c r="D107" s="10" t="s">
        <v>4419</v>
      </c>
      <c r="E107" s="10" t="s">
        <v>4665</v>
      </c>
      <c r="F107" s="11" t="s">
        <v>4666</v>
      </c>
      <c r="G107" s="10" t="s">
        <v>13</v>
      </c>
      <c r="H107" s="12">
        <v>46264</v>
      </c>
      <c r="I107" s="10" t="s">
        <v>224</v>
      </c>
      <c r="J107" s="10" t="str">
        <f>IFERROR(INDEX([1]Programas!$B$2:$B$50,MATCH(LEFT(I107,3),[1]Programas!$A$2:$A$50,0)),"")</f>
        <v>Análisis y Visualización de Datos</v>
      </c>
      <c r="K107" s="10" t="s">
        <v>111</v>
      </c>
    </row>
    <row r="108" spans="1:11" x14ac:dyDescent="0.2">
      <c r="A108" s="10">
        <v>107</v>
      </c>
      <c r="B108" s="10" t="s">
        <v>264</v>
      </c>
      <c r="C108" s="11" t="s">
        <v>263</v>
      </c>
      <c r="D108" s="10" t="s">
        <v>4419</v>
      </c>
      <c r="E108" s="10" t="s">
        <v>4667</v>
      </c>
      <c r="F108" s="11" t="s">
        <v>4668</v>
      </c>
      <c r="G108" s="10" t="s">
        <v>13</v>
      </c>
      <c r="H108" s="12">
        <v>46264</v>
      </c>
      <c r="I108" s="10" t="s">
        <v>224</v>
      </c>
      <c r="J108" s="10" t="str">
        <f>IFERROR(INDEX([1]Programas!$B$2:$B$50,MATCH(LEFT(I108,3),[1]Programas!$A$2:$A$50,0)),"")</f>
        <v>Análisis y Visualización de Datos</v>
      </c>
      <c r="K108" s="10" t="s">
        <v>111</v>
      </c>
    </row>
    <row r="109" spans="1:11" x14ac:dyDescent="0.2">
      <c r="A109" s="10">
        <v>108</v>
      </c>
      <c r="B109" s="10" t="s">
        <v>266</v>
      </c>
      <c r="C109" s="11" t="s">
        <v>265</v>
      </c>
      <c r="D109" s="10" t="s">
        <v>4419</v>
      </c>
      <c r="E109" s="10" t="s">
        <v>4669</v>
      </c>
      <c r="F109" s="11" t="s">
        <v>4670</v>
      </c>
      <c r="G109" s="10" t="s">
        <v>13</v>
      </c>
      <c r="H109" s="12">
        <v>46264</v>
      </c>
      <c r="I109" s="10" t="s">
        <v>224</v>
      </c>
      <c r="J109" s="10" t="str">
        <f>IFERROR(INDEX([1]Programas!$B$2:$B$50,MATCH(LEFT(I109,3),[1]Programas!$A$2:$A$50,0)),"")</f>
        <v>Análisis y Visualización de Datos</v>
      </c>
      <c r="K109" s="10" t="s">
        <v>111</v>
      </c>
    </row>
    <row r="110" spans="1:11" x14ac:dyDescent="0.2">
      <c r="A110" s="10">
        <v>109</v>
      </c>
      <c r="B110" s="10" t="s">
        <v>268</v>
      </c>
      <c r="C110" s="11" t="s">
        <v>267</v>
      </c>
      <c r="D110" s="10" t="s">
        <v>4419</v>
      </c>
      <c r="E110" s="10" t="s">
        <v>4671</v>
      </c>
      <c r="F110" s="11" t="s">
        <v>4672</v>
      </c>
      <c r="G110" s="10" t="s">
        <v>13</v>
      </c>
      <c r="H110" s="12">
        <v>46264</v>
      </c>
      <c r="I110" s="10" t="s">
        <v>224</v>
      </c>
      <c r="J110" s="10" t="str">
        <f>IFERROR(INDEX([1]Programas!$B$2:$B$50,MATCH(LEFT(I110,3),[1]Programas!$A$2:$A$50,0)),"")</f>
        <v>Análisis y Visualización de Datos</v>
      </c>
      <c r="K110" s="10" t="s">
        <v>111</v>
      </c>
    </row>
    <row r="111" spans="1:11" x14ac:dyDescent="0.2">
      <c r="A111" s="10">
        <v>110</v>
      </c>
      <c r="B111" s="10" t="s">
        <v>4673</v>
      </c>
      <c r="C111" s="11" t="s">
        <v>269</v>
      </c>
      <c r="D111" s="10" t="s">
        <v>4419</v>
      </c>
      <c r="E111" s="10" t="s">
        <v>4674</v>
      </c>
      <c r="F111" s="11" t="s">
        <v>4675</v>
      </c>
      <c r="G111" s="10" t="s">
        <v>13</v>
      </c>
      <c r="H111" s="12">
        <v>46264</v>
      </c>
      <c r="I111" s="10" t="s">
        <v>224</v>
      </c>
      <c r="J111" s="10" t="str">
        <f>IFERROR(INDEX([1]Programas!$B$2:$B$50,MATCH(LEFT(I111,3),[1]Programas!$A$2:$A$50,0)),"")</f>
        <v>Análisis y Visualización de Datos</v>
      </c>
      <c r="K111" s="10" t="s">
        <v>111</v>
      </c>
    </row>
    <row r="112" spans="1:11" x14ac:dyDescent="0.2">
      <c r="A112" s="10">
        <v>111</v>
      </c>
      <c r="B112" s="10" t="s">
        <v>272</v>
      </c>
      <c r="C112" s="11" t="s">
        <v>271</v>
      </c>
      <c r="D112" s="10" t="s">
        <v>4419</v>
      </c>
      <c r="E112" s="10" t="s">
        <v>4676</v>
      </c>
      <c r="F112" s="11" t="s">
        <v>4677</v>
      </c>
      <c r="G112" s="10" t="s">
        <v>13</v>
      </c>
      <c r="H112" s="12">
        <v>46264</v>
      </c>
      <c r="I112" s="10" t="s">
        <v>224</v>
      </c>
      <c r="J112" s="10" t="str">
        <f>IFERROR(INDEX([1]Programas!$B$2:$B$50,MATCH(LEFT(I112,3),[1]Programas!$A$2:$A$50,0)),"")</f>
        <v>Análisis y Visualización de Datos</v>
      </c>
      <c r="K112" s="10" t="s">
        <v>111</v>
      </c>
    </row>
    <row r="113" spans="1:11" x14ac:dyDescent="0.2">
      <c r="A113" s="10">
        <v>112</v>
      </c>
      <c r="B113" s="10" t="s">
        <v>274</v>
      </c>
      <c r="C113" s="11" t="s">
        <v>273</v>
      </c>
      <c r="D113" s="10" t="s">
        <v>4419</v>
      </c>
      <c r="E113" s="10" t="s">
        <v>4678</v>
      </c>
      <c r="F113" s="11" t="s">
        <v>4679</v>
      </c>
      <c r="G113" s="10" t="s">
        <v>13</v>
      </c>
      <c r="H113" s="12">
        <v>46264</v>
      </c>
      <c r="I113" s="10" t="s">
        <v>224</v>
      </c>
      <c r="J113" s="10" t="str">
        <f>IFERROR(INDEX([1]Programas!$B$2:$B$50,MATCH(LEFT(I113,3),[1]Programas!$A$2:$A$50,0)),"")</f>
        <v>Análisis y Visualización de Datos</v>
      </c>
      <c r="K113" s="10" t="s">
        <v>111</v>
      </c>
    </row>
    <row r="114" spans="1:11" x14ac:dyDescent="0.2">
      <c r="A114" s="10">
        <v>113</v>
      </c>
      <c r="B114" s="10" t="s">
        <v>4680</v>
      </c>
      <c r="C114" s="11" t="s">
        <v>275</v>
      </c>
      <c r="D114" s="10" t="s">
        <v>4419</v>
      </c>
      <c r="E114" s="10" t="s">
        <v>4681</v>
      </c>
      <c r="F114" s="11" t="s">
        <v>4682</v>
      </c>
      <c r="G114" s="10" t="s">
        <v>13</v>
      </c>
      <c r="H114" s="12">
        <v>46264</v>
      </c>
      <c r="I114" s="10" t="s">
        <v>224</v>
      </c>
      <c r="J114" s="10" t="str">
        <f>IFERROR(INDEX([1]Programas!$B$2:$B$50,MATCH(LEFT(I114,3),[1]Programas!$A$2:$A$50,0)),"")</f>
        <v>Análisis y Visualización de Datos</v>
      </c>
      <c r="K114" s="10" t="s">
        <v>111</v>
      </c>
    </row>
    <row r="115" spans="1:11" x14ac:dyDescent="0.2">
      <c r="A115" s="10">
        <v>114</v>
      </c>
      <c r="B115" s="10" t="s">
        <v>4683</v>
      </c>
      <c r="C115" s="11" t="s">
        <v>277</v>
      </c>
      <c r="D115" s="10" t="s">
        <v>4419</v>
      </c>
      <c r="E115" s="10" t="s">
        <v>4684</v>
      </c>
      <c r="F115" s="11" t="s">
        <v>4685</v>
      </c>
      <c r="G115" s="10" t="s">
        <v>13</v>
      </c>
      <c r="H115" s="12">
        <v>46264</v>
      </c>
      <c r="I115" s="10" t="s">
        <v>224</v>
      </c>
      <c r="J115" s="10" t="str">
        <f>IFERROR(INDEX([1]Programas!$B$2:$B$50,MATCH(LEFT(I115,3),[1]Programas!$A$2:$A$50,0)),"")</f>
        <v>Análisis y Visualización de Datos</v>
      </c>
      <c r="K115" s="10" t="s">
        <v>111</v>
      </c>
    </row>
    <row r="116" spans="1:11" x14ac:dyDescent="0.2">
      <c r="A116" s="10">
        <v>115</v>
      </c>
      <c r="B116" s="10" t="s">
        <v>280</v>
      </c>
      <c r="C116" s="11" t="s">
        <v>279</v>
      </c>
      <c r="D116" s="10" t="s">
        <v>4419</v>
      </c>
      <c r="E116" s="10" t="s">
        <v>4686</v>
      </c>
      <c r="F116" s="11" t="s">
        <v>4687</v>
      </c>
      <c r="G116" s="10" t="s">
        <v>13</v>
      </c>
      <c r="H116" s="12">
        <v>46264</v>
      </c>
      <c r="I116" s="10" t="s">
        <v>224</v>
      </c>
      <c r="J116" s="10" t="str">
        <f>IFERROR(INDEX([1]Programas!$B$2:$B$50,MATCH(LEFT(I116,3),[1]Programas!$A$2:$A$50,0)),"")</f>
        <v>Análisis y Visualización de Datos</v>
      </c>
      <c r="K116" s="10" t="s">
        <v>111</v>
      </c>
    </row>
    <row r="117" spans="1:11" x14ac:dyDescent="0.2">
      <c r="A117" s="10">
        <v>116</v>
      </c>
      <c r="B117" s="10" t="s">
        <v>282</v>
      </c>
      <c r="C117" s="11" t="s">
        <v>281</v>
      </c>
      <c r="D117" s="10" t="s">
        <v>4419</v>
      </c>
      <c r="E117" s="10" t="s">
        <v>4688</v>
      </c>
      <c r="F117" s="11" t="s">
        <v>4689</v>
      </c>
      <c r="G117" s="10" t="s">
        <v>13</v>
      </c>
      <c r="H117" s="12">
        <v>46264</v>
      </c>
      <c r="I117" s="10" t="s">
        <v>224</v>
      </c>
      <c r="J117" s="10" t="str">
        <f>IFERROR(INDEX([1]Programas!$B$2:$B$50,MATCH(LEFT(I117,3),[1]Programas!$A$2:$A$50,0)),"")</f>
        <v>Análisis y Visualización de Datos</v>
      </c>
      <c r="K117" s="10" t="s">
        <v>111</v>
      </c>
    </row>
    <row r="118" spans="1:11" x14ac:dyDescent="0.2">
      <c r="A118" s="10">
        <v>117</v>
      </c>
      <c r="B118" s="10" t="s">
        <v>284</v>
      </c>
      <c r="C118" s="11" t="s">
        <v>283</v>
      </c>
      <c r="D118" s="10" t="s">
        <v>4419</v>
      </c>
      <c r="E118" s="10" t="s">
        <v>4690</v>
      </c>
      <c r="F118" s="11" t="s">
        <v>4691</v>
      </c>
      <c r="G118" s="10" t="s">
        <v>13</v>
      </c>
      <c r="H118" s="12">
        <v>46264</v>
      </c>
      <c r="I118" s="10" t="s">
        <v>224</v>
      </c>
      <c r="J118" s="10" t="str">
        <f>IFERROR(INDEX([1]Programas!$B$2:$B$50,MATCH(LEFT(I118,3),[1]Programas!$A$2:$A$50,0)),"")</f>
        <v>Análisis y Visualización de Datos</v>
      </c>
      <c r="K118" s="10" t="s">
        <v>111</v>
      </c>
    </row>
    <row r="119" spans="1:11" x14ac:dyDescent="0.2">
      <c r="A119" s="10">
        <v>118</v>
      </c>
      <c r="B119" s="10" t="s">
        <v>286</v>
      </c>
      <c r="C119" s="11" t="s">
        <v>285</v>
      </c>
      <c r="D119" s="10" t="s">
        <v>4419</v>
      </c>
      <c r="E119" s="10" t="s">
        <v>4692</v>
      </c>
      <c r="F119" s="11" t="s">
        <v>4693</v>
      </c>
      <c r="G119" s="10" t="s">
        <v>13</v>
      </c>
      <c r="H119" s="12">
        <v>46264</v>
      </c>
      <c r="I119" s="10" t="s">
        <v>224</v>
      </c>
      <c r="J119" s="10" t="str">
        <f>IFERROR(INDEX([1]Programas!$B$2:$B$50,MATCH(LEFT(I119,3),[1]Programas!$A$2:$A$50,0)),"")</f>
        <v>Análisis y Visualización de Datos</v>
      </c>
      <c r="K119" s="10" t="s">
        <v>111</v>
      </c>
    </row>
    <row r="120" spans="1:11" x14ac:dyDescent="0.2">
      <c r="A120" s="10">
        <v>119</v>
      </c>
      <c r="B120" s="10" t="s">
        <v>4694</v>
      </c>
      <c r="C120" s="11" t="s">
        <v>287</v>
      </c>
      <c r="D120" s="10" t="s">
        <v>4419</v>
      </c>
      <c r="E120" s="10" t="s">
        <v>4695</v>
      </c>
      <c r="F120" s="11" t="s">
        <v>4696</v>
      </c>
      <c r="G120" s="10" t="s">
        <v>13</v>
      </c>
      <c r="H120" s="12">
        <v>46264</v>
      </c>
      <c r="I120" s="10" t="s">
        <v>224</v>
      </c>
      <c r="J120" s="10" t="str">
        <f>IFERROR(INDEX([1]Programas!$B$2:$B$50,MATCH(LEFT(I120,3),[1]Programas!$A$2:$A$50,0)),"")</f>
        <v>Análisis y Visualización de Datos</v>
      </c>
      <c r="K120" s="10" t="s">
        <v>111</v>
      </c>
    </row>
    <row r="121" spans="1:11" x14ac:dyDescent="0.2">
      <c r="A121" s="10">
        <v>120</v>
      </c>
      <c r="B121" s="10" t="s">
        <v>4697</v>
      </c>
      <c r="C121" s="11" t="s">
        <v>289</v>
      </c>
      <c r="D121" s="10" t="s">
        <v>4419</v>
      </c>
      <c r="E121" s="10" t="s">
        <v>4698</v>
      </c>
      <c r="F121" s="11" t="s">
        <v>4699</v>
      </c>
      <c r="G121" s="10" t="s">
        <v>13</v>
      </c>
      <c r="H121" s="12">
        <v>46264</v>
      </c>
      <c r="I121" s="10" t="s">
        <v>224</v>
      </c>
      <c r="J121" s="10" t="str">
        <f>IFERROR(INDEX([1]Programas!$B$2:$B$50,MATCH(LEFT(I121,3),[1]Programas!$A$2:$A$50,0)),"")</f>
        <v>Análisis y Visualización de Datos</v>
      </c>
      <c r="K121" s="10" t="s">
        <v>111</v>
      </c>
    </row>
    <row r="122" spans="1:11" x14ac:dyDescent="0.2">
      <c r="A122" s="10">
        <v>121</v>
      </c>
      <c r="B122" s="10" t="s">
        <v>292</v>
      </c>
      <c r="C122" s="11" t="s">
        <v>291</v>
      </c>
      <c r="D122" s="10" t="s">
        <v>4419</v>
      </c>
      <c r="E122" s="10" t="s">
        <v>4700</v>
      </c>
      <c r="F122" s="11" t="s">
        <v>4701</v>
      </c>
      <c r="G122" s="10" t="s">
        <v>13</v>
      </c>
      <c r="H122" s="12">
        <v>46264</v>
      </c>
      <c r="I122" s="10" t="s">
        <v>224</v>
      </c>
      <c r="J122" s="10" t="str">
        <f>IFERROR(INDEX([1]Programas!$B$2:$B$50,MATCH(LEFT(I122,3),[1]Programas!$A$2:$A$50,0)),"")</f>
        <v>Análisis y Visualización de Datos</v>
      </c>
      <c r="K122" s="10" t="s">
        <v>111</v>
      </c>
    </row>
    <row r="123" spans="1:11" x14ac:dyDescent="0.2">
      <c r="A123" s="10">
        <v>122</v>
      </c>
      <c r="B123" s="10" t="s">
        <v>4702</v>
      </c>
      <c r="C123" s="11" t="s">
        <v>293</v>
      </c>
      <c r="D123" s="10" t="s">
        <v>4419</v>
      </c>
      <c r="E123" s="10" t="s">
        <v>4703</v>
      </c>
      <c r="F123" s="11" t="s">
        <v>4704</v>
      </c>
      <c r="G123" s="10" t="s">
        <v>13</v>
      </c>
      <c r="H123" s="12">
        <v>46264</v>
      </c>
      <c r="I123" s="10" t="s">
        <v>224</v>
      </c>
      <c r="J123" s="10" t="str">
        <f>IFERROR(INDEX([1]Programas!$B$2:$B$50,MATCH(LEFT(I123,3),[1]Programas!$A$2:$A$50,0)),"")</f>
        <v>Análisis y Visualización de Datos</v>
      </c>
      <c r="K123" s="10" t="s">
        <v>111</v>
      </c>
    </row>
    <row r="124" spans="1:11" x14ac:dyDescent="0.2">
      <c r="A124" s="10">
        <v>123</v>
      </c>
      <c r="B124" s="10" t="s">
        <v>4705</v>
      </c>
      <c r="C124" s="11" t="s">
        <v>295</v>
      </c>
      <c r="D124" s="10" t="s">
        <v>4419</v>
      </c>
      <c r="E124" s="10" t="s">
        <v>4706</v>
      </c>
      <c r="F124" s="11" t="s">
        <v>4707</v>
      </c>
      <c r="G124" s="10" t="s">
        <v>13</v>
      </c>
      <c r="H124" s="12">
        <v>46264</v>
      </c>
      <c r="I124" s="10" t="s">
        <v>224</v>
      </c>
      <c r="J124" s="10" t="str">
        <f>IFERROR(INDEX([1]Programas!$B$2:$B$50,MATCH(LEFT(I124,3),[1]Programas!$A$2:$A$50,0)),"")</f>
        <v>Análisis y Visualización de Datos</v>
      </c>
      <c r="K124" s="10" t="s">
        <v>111</v>
      </c>
    </row>
    <row r="125" spans="1:11" x14ac:dyDescent="0.2">
      <c r="A125" s="10">
        <v>124</v>
      </c>
      <c r="B125" s="10" t="s">
        <v>298</v>
      </c>
      <c r="C125" s="11" t="s">
        <v>297</v>
      </c>
      <c r="D125" s="10" t="s">
        <v>4419</v>
      </c>
      <c r="E125" s="10" t="s">
        <v>4708</v>
      </c>
      <c r="F125" s="11" t="s">
        <v>4709</v>
      </c>
      <c r="G125" s="10" t="s">
        <v>13</v>
      </c>
      <c r="H125" s="12">
        <v>46264</v>
      </c>
      <c r="I125" s="10" t="s">
        <v>224</v>
      </c>
      <c r="J125" s="10" t="str">
        <f>IFERROR(INDEX([1]Programas!$B$2:$B$50,MATCH(LEFT(I125,3),[1]Programas!$A$2:$A$50,0)),"")</f>
        <v>Análisis y Visualización de Datos</v>
      </c>
      <c r="K125" s="10" t="s">
        <v>111</v>
      </c>
    </row>
    <row r="126" spans="1:11" x14ac:dyDescent="0.2">
      <c r="A126" s="10">
        <v>125</v>
      </c>
      <c r="B126" s="10" t="s">
        <v>4710</v>
      </c>
      <c r="C126" s="11" t="s">
        <v>299</v>
      </c>
      <c r="D126" s="10" t="s">
        <v>4419</v>
      </c>
      <c r="E126" s="10" t="s">
        <v>4711</v>
      </c>
      <c r="F126" s="11" t="s">
        <v>4712</v>
      </c>
      <c r="G126" s="10" t="s">
        <v>13</v>
      </c>
      <c r="H126" s="12">
        <v>46264</v>
      </c>
      <c r="I126" s="10" t="s">
        <v>224</v>
      </c>
      <c r="J126" s="10" t="str">
        <f>IFERROR(INDEX([1]Programas!$B$2:$B$50,MATCH(LEFT(I126,3),[1]Programas!$A$2:$A$50,0)),"")</f>
        <v>Análisis y Visualización de Datos</v>
      </c>
      <c r="K126" s="10" t="s">
        <v>111</v>
      </c>
    </row>
    <row r="127" spans="1:11" x14ac:dyDescent="0.2">
      <c r="A127" s="10">
        <v>126</v>
      </c>
      <c r="B127" s="10" t="s">
        <v>302</v>
      </c>
      <c r="C127" s="11" t="s">
        <v>301</v>
      </c>
      <c r="D127" s="10" t="s">
        <v>4419</v>
      </c>
      <c r="E127" s="10" t="s">
        <v>4713</v>
      </c>
      <c r="F127" s="11" t="s">
        <v>4714</v>
      </c>
      <c r="G127" s="10" t="s">
        <v>13</v>
      </c>
      <c r="H127" s="12">
        <v>46264</v>
      </c>
      <c r="I127" s="10" t="s">
        <v>224</v>
      </c>
      <c r="J127" s="10" t="str">
        <f>IFERROR(INDEX([1]Programas!$B$2:$B$50,MATCH(LEFT(I127,3),[1]Programas!$A$2:$A$50,0)),"")</f>
        <v>Análisis y Visualización de Datos</v>
      </c>
      <c r="K127" s="10" t="s">
        <v>111</v>
      </c>
    </row>
    <row r="128" spans="1:11" x14ac:dyDescent="0.2">
      <c r="A128" s="10">
        <v>127</v>
      </c>
      <c r="B128" s="10" t="s">
        <v>304</v>
      </c>
      <c r="C128" s="11" t="s">
        <v>303</v>
      </c>
      <c r="D128" s="10" t="s">
        <v>4419</v>
      </c>
      <c r="E128" s="10" t="s">
        <v>4715</v>
      </c>
      <c r="F128" s="11" t="s">
        <v>4716</v>
      </c>
      <c r="G128" s="10" t="s">
        <v>13</v>
      </c>
      <c r="H128" s="12">
        <v>46264</v>
      </c>
      <c r="I128" s="10" t="s">
        <v>224</v>
      </c>
      <c r="J128" s="10" t="str">
        <f>IFERROR(INDEX([1]Programas!$B$2:$B$50,MATCH(LEFT(I128,3),[1]Programas!$A$2:$A$50,0)),"")</f>
        <v>Análisis y Visualización de Datos</v>
      </c>
      <c r="K128" s="10" t="s">
        <v>111</v>
      </c>
    </row>
    <row r="129" spans="1:11" x14ac:dyDescent="0.2">
      <c r="A129" s="10">
        <v>128</v>
      </c>
      <c r="B129" s="10" t="s">
        <v>308</v>
      </c>
      <c r="C129" s="11" t="s">
        <v>307</v>
      </c>
      <c r="D129" s="10" t="s">
        <v>4419</v>
      </c>
      <c r="E129" s="10" t="s">
        <v>4717</v>
      </c>
      <c r="F129" s="11" t="s">
        <v>4718</v>
      </c>
      <c r="G129" s="10" t="s">
        <v>13</v>
      </c>
      <c r="H129" s="12">
        <v>46264</v>
      </c>
      <c r="I129" s="10" t="s">
        <v>224</v>
      </c>
      <c r="J129" s="10" t="str">
        <f>IFERROR(INDEX([1]Programas!$B$2:$B$50,MATCH(LEFT(I129,3),[1]Programas!$A$2:$A$50,0)),"")</f>
        <v>Análisis y Visualización de Datos</v>
      </c>
      <c r="K129" s="10" t="s">
        <v>111</v>
      </c>
    </row>
    <row r="130" spans="1:11" x14ac:dyDescent="0.2">
      <c r="A130" s="10">
        <v>129</v>
      </c>
      <c r="B130" s="10" t="s">
        <v>310</v>
      </c>
      <c r="C130" s="11" t="s">
        <v>309</v>
      </c>
      <c r="D130" s="10" t="s">
        <v>4419</v>
      </c>
      <c r="E130" s="10" t="s">
        <v>4719</v>
      </c>
      <c r="F130" s="11" t="s">
        <v>4720</v>
      </c>
      <c r="G130" s="10" t="s">
        <v>13</v>
      </c>
      <c r="H130" s="12">
        <v>46264</v>
      </c>
      <c r="I130" s="10" t="s">
        <v>224</v>
      </c>
      <c r="J130" s="10" t="str">
        <f>IFERROR(INDEX([1]Programas!$B$2:$B$50,MATCH(LEFT(I130,3),[1]Programas!$A$2:$A$50,0)),"")</f>
        <v>Análisis y Visualización de Datos</v>
      </c>
      <c r="K130" s="10" t="s">
        <v>111</v>
      </c>
    </row>
    <row r="131" spans="1:11" x14ac:dyDescent="0.2">
      <c r="A131" s="10">
        <v>130</v>
      </c>
      <c r="B131" s="10" t="s">
        <v>312</v>
      </c>
      <c r="C131" s="11" t="s">
        <v>311</v>
      </c>
      <c r="D131" s="10" t="s">
        <v>4419</v>
      </c>
      <c r="E131" s="10" t="s">
        <v>4721</v>
      </c>
      <c r="F131" s="11" t="s">
        <v>4722</v>
      </c>
      <c r="G131" s="10" t="s">
        <v>13</v>
      </c>
      <c r="H131" s="12">
        <v>46264</v>
      </c>
      <c r="I131" s="10" t="s">
        <v>224</v>
      </c>
      <c r="J131" s="10" t="str">
        <f>IFERROR(INDEX([1]Programas!$B$2:$B$50,MATCH(LEFT(I131,3),[1]Programas!$A$2:$A$50,0)),"")</f>
        <v>Análisis y Visualización de Datos</v>
      </c>
      <c r="K131" s="10" t="s">
        <v>111</v>
      </c>
    </row>
    <row r="132" spans="1:11" x14ac:dyDescent="0.2">
      <c r="A132" s="10">
        <v>131</v>
      </c>
      <c r="B132" s="10" t="s">
        <v>314</v>
      </c>
      <c r="C132" s="11" t="s">
        <v>313</v>
      </c>
      <c r="D132" s="10" t="s">
        <v>4419</v>
      </c>
      <c r="E132" s="10" t="s">
        <v>4723</v>
      </c>
      <c r="F132" s="11" t="s">
        <v>4724</v>
      </c>
      <c r="G132" s="10" t="s">
        <v>13</v>
      </c>
      <c r="H132" s="12">
        <v>46264</v>
      </c>
      <c r="I132" s="10" t="s">
        <v>224</v>
      </c>
      <c r="J132" s="10" t="str">
        <f>IFERROR(INDEX([1]Programas!$B$2:$B$50,MATCH(LEFT(I132,3),[1]Programas!$A$2:$A$50,0)),"")</f>
        <v>Análisis y Visualización de Datos</v>
      </c>
      <c r="K132" s="10" t="s">
        <v>111</v>
      </c>
    </row>
    <row r="133" spans="1:11" x14ac:dyDescent="0.2">
      <c r="A133" s="10">
        <v>132</v>
      </c>
      <c r="B133" s="10" t="s">
        <v>4725</v>
      </c>
      <c r="C133" s="11" t="s">
        <v>315</v>
      </c>
      <c r="D133" s="10" t="s">
        <v>4419</v>
      </c>
      <c r="E133" s="10" t="s">
        <v>4726</v>
      </c>
      <c r="F133" s="11" t="s">
        <v>4727</v>
      </c>
      <c r="G133" s="10" t="s">
        <v>13</v>
      </c>
      <c r="H133" s="12">
        <v>46264</v>
      </c>
      <c r="I133" s="10" t="s">
        <v>224</v>
      </c>
      <c r="J133" s="10" t="str">
        <f>IFERROR(INDEX([1]Programas!$B$2:$B$50,MATCH(LEFT(I133,3),[1]Programas!$A$2:$A$50,0)),"")</f>
        <v>Análisis y Visualización de Datos</v>
      </c>
      <c r="K133" s="10" t="s">
        <v>111</v>
      </c>
    </row>
    <row r="134" spans="1:11" x14ac:dyDescent="0.2">
      <c r="A134" s="10">
        <v>133</v>
      </c>
      <c r="B134" s="10" t="s">
        <v>4728</v>
      </c>
      <c r="C134" s="11" t="s">
        <v>317</v>
      </c>
      <c r="D134" s="10" t="s">
        <v>4419</v>
      </c>
      <c r="E134" s="10" t="s">
        <v>4729</v>
      </c>
      <c r="F134" s="11" t="s">
        <v>4730</v>
      </c>
      <c r="G134" s="10" t="s">
        <v>13</v>
      </c>
      <c r="H134" s="12">
        <v>46264</v>
      </c>
      <c r="I134" s="10" t="s">
        <v>224</v>
      </c>
      <c r="J134" s="10" t="str">
        <f>IFERROR(INDEX([1]Programas!$B$2:$B$50,MATCH(LEFT(I134,3),[1]Programas!$A$2:$A$50,0)),"")</f>
        <v>Análisis y Visualización de Datos</v>
      </c>
      <c r="K134" s="10" t="s">
        <v>111</v>
      </c>
    </row>
    <row r="135" spans="1:11" x14ac:dyDescent="0.2">
      <c r="A135" s="10">
        <v>134</v>
      </c>
      <c r="B135" s="10" t="s">
        <v>320</v>
      </c>
      <c r="C135" s="11" t="s">
        <v>319</v>
      </c>
      <c r="D135" s="10" t="s">
        <v>4419</v>
      </c>
      <c r="E135" s="10" t="s">
        <v>4731</v>
      </c>
      <c r="F135" s="11" t="s">
        <v>4732</v>
      </c>
      <c r="G135" s="10" t="s">
        <v>13</v>
      </c>
      <c r="H135" s="12">
        <v>46264</v>
      </c>
      <c r="I135" s="10" t="s">
        <v>224</v>
      </c>
      <c r="J135" s="10" t="str">
        <f>IFERROR(INDEX([1]Programas!$B$2:$B$50,MATCH(LEFT(I135,3),[1]Programas!$A$2:$A$50,0)),"")</f>
        <v>Análisis y Visualización de Datos</v>
      </c>
      <c r="K135" s="10" t="s">
        <v>111</v>
      </c>
    </row>
    <row r="136" spans="1:11" x14ac:dyDescent="0.2">
      <c r="A136" s="10">
        <v>135</v>
      </c>
      <c r="B136" s="10" t="s">
        <v>322</v>
      </c>
      <c r="C136" s="11" t="s">
        <v>321</v>
      </c>
      <c r="D136" s="10" t="s">
        <v>4419</v>
      </c>
      <c r="E136" s="10" t="s">
        <v>4733</v>
      </c>
      <c r="F136" s="11" t="s">
        <v>4734</v>
      </c>
      <c r="G136" s="10" t="s">
        <v>13</v>
      </c>
      <c r="H136" s="12">
        <v>46264</v>
      </c>
      <c r="I136" s="10" t="s">
        <v>224</v>
      </c>
      <c r="J136" s="10" t="str">
        <f>IFERROR(INDEX([1]Programas!$B$2:$B$50,MATCH(LEFT(I136,3),[1]Programas!$A$2:$A$50,0)),"")</f>
        <v>Análisis y Visualización de Datos</v>
      </c>
      <c r="K136" s="10" t="s">
        <v>111</v>
      </c>
    </row>
    <row r="137" spans="1:11" x14ac:dyDescent="0.2">
      <c r="A137" s="10">
        <v>136</v>
      </c>
      <c r="B137" s="10" t="s">
        <v>324</v>
      </c>
      <c r="C137" s="11" t="s">
        <v>323</v>
      </c>
      <c r="D137" s="10" t="s">
        <v>4419</v>
      </c>
      <c r="E137" s="10" t="s">
        <v>4735</v>
      </c>
      <c r="F137" s="11" t="s">
        <v>4736</v>
      </c>
      <c r="G137" s="10" t="s">
        <v>13</v>
      </c>
      <c r="H137" s="12">
        <v>46264</v>
      </c>
      <c r="I137" s="10" t="s">
        <v>224</v>
      </c>
      <c r="J137" s="10" t="str">
        <f>IFERROR(INDEX([1]Programas!$B$2:$B$50,MATCH(LEFT(I137,3),[1]Programas!$A$2:$A$50,0)),"")</f>
        <v>Análisis y Visualización de Datos</v>
      </c>
      <c r="K137" s="10" t="s">
        <v>111</v>
      </c>
    </row>
    <row r="138" spans="1:11" x14ac:dyDescent="0.2">
      <c r="A138" s="10">
        <v>137</v>
      </c>
      <c r="B138" s="10" t="s">
        <v>326</v>
      </c>
      <c r="C138" s="11" t="s">
        <v>325</v>
      </c>
      <c r="D138" s="10" t="s">
        <v>4419</v>
      </c>
      <c r="E138" s="10" t="s">
        <v>4737</v>
      </c>
      <c r="F138" s="11" t="s">
        <v>4738</v>
      </c>
      <c r="G138" s="10" t="s">
        <v>13</v>
      </c>
      <c r="H138" s="12">
        <v>46264</v>
      </c>
      <c r="I138" s="10" t="s">
        <v>224</v>
      </c>
      <c r="J138" s="10" t="str">
        <f>IFERROR(INDEX([1]Programas!$B$2:$B$50,MATCH(LEFT(I138,3),[1]Programas!$A$2:$A$50,0)),"")</f>
        <v>Análisis y Visualización de Datos</v>
      </c>
      <c r="K138" s="10" t="s">
        <v>111</v>
      </c>
    </row>
    <row r="139" spans="1:11" x14ac:dyDescent="0.2">
      <c r="A139" s="10">
        <v>138</v>
      </c>
      <c r="B139" s="10" t="s">
        <v>328</v>
      </c>
      <c r="C139" s="11" t="s">
        <v>327</v>
      </c>
      <c r="D139" s="10" t="s">
        <v>4419</v>
      </c>
      <c r="E139" s="10" t="s">
        <v>4739</v>
      </c>
      <c r="F139" s="11" t="s">
        <v>4740</v>
      </c>
      <c r="G139" s="10" t="s">
        <v>13</v>
      </c>
      <c r="H139" s="12">
        <v>46267</v>
      </c>
      <c r="I139" s="10" t="s">
        <v>224</v>
      </c>
      <c r="J139" s="10" t="str">
        <f>IFERROR(INDEX([1]Programas!$B$2:$B$50,MATCH(LEFT(I139,3),[1]Programas!$A$2:$A$50,0)),"")</f>
        <v>Análisis y Visualización de Datos</v>
      </c>
      <c r="K139" s="10" t="s">
        <v>111</v>
      </c>
    </row>
    <row r="140" spans="1:11" x14ac:dyDescent="0.2">
      <c r="A140" s="10">
        <v>139</v>
      </c>
      <c r="B140" s="10" t="s">
        <v>330</v>
      </c>
      <c r="C140" s="11" t="s">
        <v>329</v>
      </c>
      <c r="D140" s="10" t="s">
        <v>4419</v>
      </c>
      <c r="E140" s="10" t="s">
        <v>4741</v>
      </c>
      <c r="F140" s="11" t="s">
        <v>4742</v>
      </c>
      <c r="G140" s="10" t="s">
        <v>13</v>
      </c>
      <c r="H140" s="12">
        <v>46272</v>
      </c>
      <c r="I140" s="10" t="s">
        <v>224</v>
      </c>
      <c r="J140" s="10" t="str">
        <f>IFERROR(INDEX([1]Programas!$B$2:$B$50,MATCH(LEFT(I140,3),[1]Programas!$A$2:$A$50,0)),"")</f>
        <v>Análisis y Visualización de Datos</v>
      </c>
      <c r="K140" s="10" t="s">
        <v>111</v>
      </c>
    </row>
    <row r="141" spans="1:11" x14ac:dyDescent="0.2">
      <c r="A141" s="10">
        <v>140</v>
      </c>
      <c r="B141" s="10" t="s">
        <v>332</v>
      </c>
      <c r="C141" s="11" t="s">
        <v>331</v>
      </c>
      <c r="D141" s="10" t="s">
        <v>4419</v>
      </c>
      <c r="E141" s="10" t="s">
        <v>4743</v>
      </c>
      <c r="F141" s="11" t="s">
        <v>4744</v>
      </c>
      <c r="G141" s="10" t="s">
        <v>13</v>
      </c>
      <c r="H141" s="12">
        <v>46263</v>
      </c>
      <c r="I141" s="10" t="s">
        <v>334</v>
      </c>
      <c r="J141" s="10" t="str">
        <f>IFERROR(INDEX([1]Programas!$B$2:$B$50,MATCH(LEFT(I141,3),[1]Programas!$A$2:$A$50,0)),"")</f>
        <v>Análisis y Visualización de Datos</v>
      </c>
      <c r="K141" s="10" t="s">
        <v>335</v>
      </c>
    </row>
    <row r="142" spans="1:11" x14ac:dyDescent="0.2">
      <c r="A142" s="10">
        <v>141</v>
      </c>
      <c r="B142" s="10" t="s">
        <v>4745</v>
      </c>
      <c r="C142" s="11" t="s">
        <v>338</v>
      </c>
      <c r="D142" s="10" t="s">
        <v>4419</v>
      </c>
      <c r="E142" s="10" t="s">
        <v>4746</v>
      </c>
      <c r="F142" s="11" t="s">
        <v>4747</v>
      </c>
      <c r="G142" s="10" t="s">
        <v>13</v>
      </c>
      <c r="H142" s="12">
        <v>46263</v>
      </c>
      <c r="I142" s="10" t="s">
        <v>334</v>
      </c>
      <c r="J142" s="10" t="str">
        <f>IFERROR(INDEX([1]Programas!$B$2:$B$50,MATCH(LEFT(I142,3),[1]Programas!$A$2:$A$50,0)),"")</f>
        <v>Análisis y Visualización de Datos</v>
      </c>
      <c r="K142" s="10" t="s">
        <v>335</v>
      </c>
    </row>
    <row r="143" spans="1:11" x14ac:dyDescent="0.2">
      <c r="A143" s="10">
        <v>142</v>
      </c>
      <c r="B143" s="10" t="s">
        <v>4748</v>
      </c>
      <c r="C143" s="11" t="s">
        <v>340</v>
      </c>
      <c r="D143" s="10" t="s">
        <v>4419</v>
      </c>
      <c r="E143" s="10" t="s">
        <v>4749</v>
      </c>
      <c r="F143" s="11" t="s">
        <v>4750</v>
      </c>
      <c r="G143" s="10" t="s">
        <v>13</v>
      </c>
      <c r="H143" s="12">
        <v>46263</v>
      </c>
      <c r="I143" s="10" t="s">
        <v>334</v>
      </c>
      <c r="J143" s="10" t="str">
        <f>IFERROR(INDEX([1]Programas!$B$2:$B$50,MATCH(LEFT(I143,3),[1]Programas!$A$2:$A$50,0)),"")</f>
        <v>Análisis y Visualización de Datos</v>
      </c>
      <c r="K143" s="10" t="s">
        <v>335</v>
      </c>
    </row>
    <row r="144" spans="1:11" x14ac:dyDescent="0.2">
      <c r="A144" s="10">
        <v>143</v>
      </c>
      <c r="B144" s="10" t="s">
        <v>343</v>
      </c>
      <c r="C144" s="11" t="s">
        <v>342</v>
      </c>
      <c r="D144" s="10" t="s">
        <v>4419</v>
      </c>
      <c r="E144" s="10" t="s">
        <v>4751</v>
      </c>
      <c r="F144" s="11" t="s">
        <v>4752</v>
      </c>
      <c r="G144" s="10" t="s">
        <v>13</v>
      </c>
      <c r="H144" s="12">
        <v>46263</v>
      </c>
      <c r="I144" s="10" t="s">
        <v>334</v>
      </c>
      <c r="J144" s="10" t="str">
        <f>IFERROR(INDEX([1]Programas!$B$2:$B$50,MATCH(LEFT(I144,3),[1]Programas!$A$2:$A$50,0)),"")</f>
        <v>Análisis y Visualización de Datos</v>
      </c>
      <c r="K144" s="10" t="s">
        <v>335</v>
      </c>
    </row>
    <row r="145" spans="1:11" x14ac:dyDescent="0.2">
      <c r="A145" s="10">
        <v>144</v>
      </c>
      <c r="B145" s="10" t="s">
        <v>345</v>
      </c>
      <c r="C145" s="11" t="s">
        <v>344</v>
      </c>
      <c r="D145" s="10" t="s">
        <v>4419</v>
      </c>
      <c r="E145" s="10" t="s">
        <v>4753</v>
      </c>
      <c r="F145" s="11" t="s">
        <v>4754</v>
      </c>
      <c r="G145" s="10" t="s">
        <v>13</v>
      </c>
      <c r="H145" s="12">
        <v>46264</v>
      </c>
      <c r="I145" s="10" t="s">
        <v>334</v>
      </c>
      <c r="J145" s="10" t="str">
        <f>IFERROR(INDEX([1]Programas!$B$2:$B$50,MATCH(LEFT(I145,3),[1]Programas!$A$2:$A$50,0)),"")</f>
        <v>Análisis y Visualización de Datos</v>
      </c>
      <c r="K145" s="10" t="s">
        <v>335</v>
      </c>
    </row>
    <row r="146" spans="1:11" x14ac:dyDescent="0.2">
      <c r="A146" s="10">
        <v>145</v>
      </c>
      <c r="B146" s="10" t="s">
        <v>349</v>
      </c>
      <c r="C146" s="11" t="s">
        <v>348</v>
      </c>
      <c r="D146" s="10" t="s">
        <v>4419</v>
      </c>
      <c r="E146" s="10" t="s">
        <v>4755</v>
      </c>
      <c r="F146" s="11" t="s">
        <v>4756</v>
      </c>
      <c r="G146" s="10" t="s">
        <v>13</v>
      </c>
      <c r="H146" s="12">
        <v>46264</v>
      </c>
      <c r="I146" s="10" t="s">
        <v>334</v>
      </c>
      <c r="J146" s="10" t="str">
        <f>IFERROR(INDEX([1]Programas!$B$2:$B$50,MATCH(LEFT(I146,3),[1]Programas!$A$2:$A$50,0)),"")</f>
        <v>Análisis y Visualización de Datos</v>
      </c>
      <c r="K146" s="10" t="s">
        <v>335</v>
      </c>
    </row>
    <row r="147" spans="1:11" x14ac:dyDescent="0.2">
      <c r="A147" s="10">
        <v>146</v>
      </c>
      <c r="B147" s="10" t="s">
        <v>351</v>
      </c>
      <c r="C147" s="11" t="s">
        <v>350</v>
      </c>
      <c r="D147" s="10" t="s">
        <v>4419</v>
      </c>
      <c r="E147" s="10" t="s">
        <v>4757</v>
      </c>
      <c r="F147" s="11" t="s">
        <v>4758</v>
      </c>
      <c r="G147" s="10" t="s">
        <v>13</v>
      </c>
      <c r="H147" s="12">
        <v>46264</v>
      </c>
      <c r="I147" s="10" t="s">
        <v>334</v>
      </c>
      <c r="J147" s="10" t="str">
        <f>IFERROR(INDEX([1]Programas!$B$2:$B$50,MATCH(LEFT(I147,3),[1]Programas!$A$2:$A$50,0)),"")</f>
        <v>Análisis y Visualización de Datos</v>
      </c>
      <c r="K147" s="10" t="s">
        <v>335</v>
      </c>
    </row>
    <row r="148" spans="1:11" x14ac:dyDescent="0.2">
      <c r="A148" s="10">
        <v>147</v>
      </c>
      <c r="B148" s="10" t="s">
        <v>4759</v>
      </c>
      <c r="C148" s="11" t="s">
        <v>352</v>
      </c>
      <c r="D148" s="10" t="s">
        <v>4419</v>
      </c>
      <c r="E148" s="10" t="s">
        <v>4760</v>
      </c>
      <c r="F148" s="11" t="s">
        <v>4761</v>
      </c>
      <c r="G148" s="10" t="s">
        <v>13</v>
      </c>
      <c r="H148" s="12">
        <v>46264</v>
      </c>
      <c r="I148" s="10" t="s">
        <v>334</v>
      </c>
      <c r="J148" s="10" t="str">
        <f>IFERROR(INDEX([1]Programas!$B$2:$B$50,MATCH(LEFT(I148,3),[1]Programas!$A$2:$A$50,0)),"")</f>
        <v>Análisis y Visualización de Datos</v>
      </c>
      <c r="K148" s="10" t="s">
        <v>335</v>
      </c>
    </row>
    <row r="149" spans="1:11" x14ac:dyDescent="0.2">
      <c r="A149" s="10">
        <v>148</v>
      </c>
      <c r="B149" s="10" t="s">
        <v>355</v>
      </c>
      <c r="C149" s="11" t="s">
        <v>354</v>
      </c>
      <c r="D149" s="10" t="s">
        <v>4419</v>
      </c>
      <c r="E149" s="10" t="s">
        <v>4762</v>
      </c>
      <c r="F149" s="11" t="s">
        <v>4763</v>
      </c>
      <c r="G149" s="10" t="s">
        <v>13</v>
      </c>
      <c r="H149" s="12">
        <v>46264</v>
      </c>
      <c r="I149" s="10" t="s">
        <v>334</v>
      </c>
      <c r="J149" s="10" t="str">
        <f>IFERROR(INDEX([1]Programas!$B$2:$B$50,MATCH(LEFT(I149,3),[1]Programas!$A$2:$A$50,0)),"")</f>
        <v>Análisis y Visualización de Datos</v>
      </c>
      <c r="K149" s="10" t="s">
        <v>335</v>
      </c>
    </row>
    <row r="150" spans="1:11" x14ac:dyDescent="0.2">
      <c r="A150" s="10">
        <v>149</v>
      </c>
      <c r="B150" s="10" t="s">
        <v>4764</v>
      </c>
      <c r="C150" s="11" t="s">
        <v>356</v>
      </c>
      <c r="D150" s="10" t="s">
        <v>4419</v>
      </c>
      <c r="E150" s="10" t="s">
        <v>4765</v>
      </c>
      <c r="F150" s="11" t="s">
        <v>4766</v>
      </c>
      <c r="G150" s="10" t="s">
        <v>13</v>
      </c>
      <c r="H150" s="12">
        <v>46264</v>
      </c>
      <c r="I150" s="10" t="s">
        <v>334</v>
      </c>
      <c r="J150" s="10" t="str">
        <f>IFERROR(INDEX([1]Programas!$B$2:$B$50,MATCH(LEFT(I150,3),[1]Programas!$A$2:$A$50,0)),"")</f>
        <v>Análisis y Visualización de Datos</v>
      </c>
      <c r="K150" s="10" t="s">
        <v>335</v>
      </c>
    </row>
    <row r="151" spans="1:11" x14ac:dyDescent="0.2">
      <c r="A151" s="10">
        <v>150</v>
      </c>
      <c r="B151" s="10" t="s">
        <v>4767</v>
      </c>
      <c r="C151" s="11" t="s">
        <v>358</v>
      </c>
      <c r="D151" s="10" t="s">
        <v>4419</v>
      </c>
      <c r="E151" s="10" t="s">
        <v>4768</v>
      </c>
      <c r="F151" s="11" t="s">
        <v>4769</v>
      </c>
      <c r="G151" s="10" t="s">
        <v>13</v>
      </c>
      <c r="H151" s="12">
        <v>46264</v>
      </c>
      <c r="I151" s="10" t="s">
        <v>334</v>
      </c>
      <c r="J151" s="10" t="str">
        <f>IFERROR(INDEX([1]Programas!$B$2:$B$50,MATCH(LEFT(I151,3),[1]Programas!$A$2:$A$50,0)),"")</f>
        <v>Análisis y Visualización de Datos</v>
      </c>
      <c r="K151" s="10" t="s">
        <v>335</v>
      </c>
    </row>
    <row r="152" spans="1:11" x14ac:dyDescent="0.2">
      <c r="A152" s="10">
        <v>151</v>
      </c>
      <c r="B152" s="10" t="s">
        <v>361</v>
      </c>
      <c r="C152" s="11" t="s">
        <v>360</v>
      </c>
      <c r="D152" s="10" t="s">
        <v>4419</v>
      </c>
      <c r="E152" s="10" t="s">
        <v>4770</v>
      </c>
      <c r="F152" s="11" t="s">
        <v>4771</v>
      </c>
      <c r="G152" s="10" t="s">
        <v>13</v>
      </c>
      <c r="H152" s="12">
        <v>46264</v>
      </c>
      <c r="I152" s="10" t="s">
        <v>334</v>
      </c>
      <c r="J152" s="10" t="str">
        <f>IFERROR(INDEX([1]Programas!$B$2:$B$50,MATCH(LEFT(I152,3),[1]Programas!$A$2:$A$50,0)),"")</f>
        <v>Análisis y Visualización de Datos</v>
      </c>
      <c r="K152" s="10" t="s">
        <v>335</v>
      </c>
    </row>
    <row r="153" spans="1:11" x14ac:dyDescent="0.2">
      <c r="A153" s="10">
        <v>152</v>
      </c>
      <c r="B153" s="10" t="s">
        <v>363</v>
      </c>
      <c r="C153" s="11" t="s">
        <v>362</v>
      </c>
      <c r="D153" s="10" t="s">
        <v>4419</v>
      </c>
      <c r="E153" s="10" t="s">
        <v>4772</v>
      </c>
      <c r="F153" s="11" t="s">
        <v>4773</v>
      </c>
      <c r="G153" s="10" t="s">
        <v>13</v>
      </c>
      <c r="H153" s="12">
        <v>46264</v>
      </c>
      <c r="I153" s="10" t="s">
        <v>334</v>
      </c>
      <c r="J153" s="10" t="str">
        <f>IFERROR(INDEX([1]Programas!$B$2:$B$50,MATCH(LEFT(I153,3),[1]Programas!$A$2:$A$50,0)),"")</f>
        <v>Análisis y Visualización de Datos</v>
      </c>
      <c r="K153" s="10" t="s">
        <v>335</v>
      </c>
    </row>
    <row r="154" spans="1:11" x14ac:dyDescent="0.2">
      <c r="A154" s="10">
        <v>153</v>
      </c>
      <c r="B154" s="10" t="s">
        <v>365</v>
      </c>
      <c r="C154" s="11" t="s">
        <v>364</v>
      </c>
      <c r="D154" s="10" t="s">
        <v>4419</v>
      </c>
      <c r="E154" s="10" t="s">
        <v>4774</v>
      </c>
      <c r="F154" s="11" t="s">
        <v>4775</v>
      </c>
      <c r="G154" s="10" t="s">
        <v>13</v>
      </c>
      <c r="H154" s="12">
        <v>46264</v>
      </c>
      <c r="I154" s="10" t="s">
        <v>334</v>
      </c>
      <c r="J154" s="10" t="str">
        <f>IFERROR(INDEX([1]Programas!$B$2:$B$50,MATCH(LEFT(I154,3),[1]Programas!$A$2:$A$50,0)),"")</f>
        <v>Análisis y Visualización de Datos</v>
      </c>
      <c r="K154" s="10" t="s">
        <v>335</v>
      </c>
    </row>
    <row r="155" spans="1:11" x14ac:dyDescent="0.2">
      <c r="A155" s="10">
        <v>154</v>
      </c>
      <c r="B155" s="10" t="s">
        <v>367</v>
      </c>
      <c r="C155" s="11" t="s">
        <v>366</v>
      </c>
      <c r="D155" s="10" t="s">
        <v>4419</v>
      </c>
      <c r="E155" s="10" t="s">
        <v>4776</v>
      </c>
      <c r="F155" s="11" t="s">
        <v>4777</v>
      </c>
      <c r="G155" s="10" t="s">
        <v>13</v>
      </c>
      <c r="H155" s="12">
        <v>46264</v>
      </c>
      <c r="I155" s="10" t="s">
        <v>334</v>
      </c>
      <c r="J155" s="10" t="str">
        <f>IFERROR(INDEX([1]Programas!$B$2:$B$50,MATCH(LEFT(I155,3),[1]Programas!$A$2:$A$50,0)),"")</f>
        <v>Análisis y Visualización de Datos</v>
      </c>
      <c r="K155" s="10" t="s">
        <v>335</v>
      </c>
    </row>
    <row r="156" spans="1:11" x14ac:dyDescent="0.2">
      <c r="A156" s="10">
        <v>155</v>
      </c>
      <c r="B156" s="10" t="s">
        <v>369</v>
      </c>
      <c r="C156" s="11" t="s">
        <v>368</v>
      </c>
      <c r="D156" s="10" t="s">
        <v>4419</v>
      </c>
      <c r="E156" s="10" t="s">
        <v>4778</v>
      </c>
      <c r="F156" s="11" t="s">
        <v>4779</v>
      </c>
      <c r="G156" s="10" t="s">
        <v>13</v>
      </c>
      <c r="H156" s="12">
        <v>46264</v>
      </c>
      <c r="I156" s="10" t="s">
        <v>334</v>
      </c>
      <c r="J156" s="10" t="str">
        <f>IFERROR(INDEX([1]Programas!$B$2:$B$50,MATCH(LEFT(I156,3),[1]Programas!$A$2:$A$50,0)),"")</f>
        <v>Análisis y Visualización de Datos</v>
      </c>
      <c r="K156" s="10" t="s">
        <v>335</v>
      </c>
    </row>
    <row r="157" spans="1:11" x14ac:dyDescent="0.2">
      <c r="A157" s="10">
        <v>156</v>
      </c>
      <c r="B157" s="10" t="s">
        <v>4780</v>
      </c>
      <c r="C157" s="11" t="s">
        <v>370</v>
      </c>
      <c r="D157" s="10" t="s">
        <v>4419</v>
      </c>
      <c r="E157" s="10" t="s">
        <v>4781</v>
      </c>
      <c r="F157" s="11" t="s">
        <v>4782</v>
      </c>
      <c r="G157" s="10" t="s">
        <v>13</v>
      </c>
      <c r="H157" s="12">
        <v>46264</v>
      </c>
      <c r="I157" s="10" t="s">
        <v>334</v>
      </c>
      <c r="J157" s="10" t="str">
        <f>IFERROR(INDEX([1]Programas!$B$2:$B$50,MATCH(LEFT(I157,3),[1]Programas!$A$2:$A$50,0)),"")</f>
        <v>Análisis y Visualización de Datos</v>
      </c>
      <c r="K157" s="10" t="s">
        <v>335</v>
      </c>
    </row>
    <row r="158" spans="1:11" x14ac:dyDescent="0.2">
      <c r="A158" s="10">
        <v>157</v>
      </c>
      <c r="B158" s="10" t="s">
        <v>373</v>
      </c>
      <c r="C158" s="11" t="s">
        <v>372</v>
      </c>
      <c r="D158" s="10" t="s">
        <v>4419</v>
      </c>
      <c r="E158" s="10" t="s">
        <v>4783</v>
      </c>
      <c r="F158" s="11" t="s">
        <v>4784</v>
      </c>
      <c r="G158" s="10" t="s">
        <v>13</v>
      </c>
      <c r="H158" s="12">
        <v>46264</v>
      </c>
      <c r="I158" s="10" t="s">
        <v>334</v>
      </c>
      <c r="J158" s="10" t="str">
        <f>IFERROR(INDEX([1]Programas!$B$2:$B$50,MATCH(LEFT(I158,3),[1]Programas!$A$2:$A$50,0)),"")</f>
        <v>Análisis y Visualización de Datos</v>
      </c>
      <c r="K158" s="10" t="s">
        <v>335</v>
      </c>
    </row>
    <row r="159" spans="1:11" x14ac:dyDescent="0.2">
      <c r="A159" s="10">
        <v>158</v>
      </c>
      <c r="B159" s="10" t="s">
        <v>375</v>
      </c>
      <c r="C159" s="11" t="s">
        <v>374</v>
      </c>
      <c r="D159" s="10" t="s">
        <v>4419</v>
      </c>
      <c r="E159" s="10" t="s">
        <v>4785</v>
      </c>
      <c r="F159" s="11" t="s">
        <v>4786</v>
      </c>
      <c r="G159" s="10" t="s">
        <v>13</v>
      </c>
      <c r="H159" s="12">
        <v>46264</v>
      </c>
      <c r="I159" s="10" t="s">
        <v>334</v>
      </c>
      <c r="J159" s="10" t="str">
        <f>IFERROR(INDEX([1]Programas!$B$2:$B$50,MATCH(LEFT(I159,3),[1]Programas!$A$2:$A$50,0)),"")</f>
        <v>Análisis y Visualización de Datos</v>
      </c>
      <c r="K159" s="10" t="s">
        <v>335</v>
      </c>
    </row>
    <row r="160" spans="1:11" x14ac:dyDescent="0.2">
      <c r="A160" s="10">
        <v>159</v>
      </c>
      <c r="B160" s="10" t="s">
        <v>377</v>
      </c>
      <c r="C160" s="11" t="s">
        <v>376</v>
      </c>
      <c r="D160" s="10" t="s">
        <v>4419</v>
      </c>
      <c r="E160" s="10" t="s">
        <v>4787</v>
      </c>
      <c r="F160" s="11" t="s">
        <v>4788</v>
      </c>
      <c r="G160" s="10" t="s">
        <v>13</v>
      </c>
      <c r="H160" s="12">
        <v>46264</v>
      </c>
      <c r="I160" s="10" t="s">
        <v>334</v>
      </c>
      <c r="J160" s="10" t="str">
        <f>IFERROR(INDEX([1]Programas!$B$2:$B$50,MATCH(LEFT(I160,3),[1]Programas!$A$2:$A$50,0)),"")</f>
        <v>Análisis y Visualización de Datos</v>
      </c>
      <c r="K160" s="10" t="s">
        <v>335</v>
      </c>
    </row>
    <row r="161" spans="1:11" x14ac:dyDescent="0.2">
      <c r="A161" s="10">
        <v>160</v>
      </c>
      <c r="B161" s="10" t="s">
        <v>382</v>
      </c>
      <c r="C161" s="11" t="s">
        <v>381</v>
      </c>
      <c r="D161" s="10" t="s">
        <v>4419</v>
      </c>
      <c r="E161" s="10" t="s">
        <v>4789</v>
      </c>
      <c r="F161" s="11" t="s">
        <v>4790</v>
      </c>
      <c r="G161" s="10" t="s">
        <v>13</v>
      </c>
      <c r="H161" s="12">
        <v>46264</v>
      </c>
      <c r="I161" s="10" t="s">
        <v>334</v>
      </c>
      <c r="J161" s="10" t="str">
        <f>IFERROR(INDEX([1]Programas!$B$2:$B$50,MATCH(LEFT(I161,3),[1]Programas!$A$2:$A$50,0)),"")</f>
        <v>Análisis y Visualización de Datos</v>
      </c>
      <c r="K161" s="10" t="s">
        <v>335</v>
      </c>
    </row>
    <row r="162" spans="1:11" x14ac:dyDescent="0.2">
      <c r="A162" s="10">
        <v>161</v>
      </c>
      <c r="B162" s="10" t="s">
        <v>4791</v>
      </c>
      <c r="C162" s="11" t="s">
        <v>383</v>
      </c>
      <c r="D162" s="10" t="s">
        <v>4419</v>
      </c>
      <c r="E162" s="10" t="s">
        <v>4792</v>
      </c>
      <c r="F162" s="11" t="s">
        <v>4793</v>
      </c>
      <c r="G162" s="10" t="s">
        <v>13</v>
      </c>
      <c r="H162" s="12">
        <v>46264</v>
      </c>
      <c r="I162" s="10" t="s">
        <v>334</v>
      </c>
      <c r="J162" s="10" t="str">
        <f>IFERROR(INDEX([1]Programas!$B$2:$B$50,MATCH(LEFT(I162,3),[1]Programas!$A$2:$A$50,0)),"")</f>
        <v>Análisis y Visualización de Datos</v>
      </c>
      <c r="K162" s="10" t="s">
        <v>335</v>
      </c>
    </row>
    <row r="163" spans="1:11" x14ac:dyDescent="0.2">
      <c r="A163" s="10">
        <v>162</v>
      </c>
      <c r="B163" s="10" t="s">
        <v>386</v>
      </c>
      <c r="C163" s="11" t="s">
        <v>385</v>
      </c>
      <c r="D163" s="10" t="s">
        <v>4419</v>
      </c>
      <c r="E163" s="10" t="s">
        <v>4794</v>
      </c>
      <c r="F163" s="11" t="s">
        <v>4795</v>
      </c>
      <c r="G163" s="10" t="s">
        <v>13</v>
      </c>
      <c r="H163" s="12">
        <v>46264</v>
      </c>
      <c r="I163" s="10" t="s">
        <v>334</v>
      </c>
      <c r="J163" s="10" t="str">
        <f>IFERROR(INDEX([1]Programas!$B$2:$B$50,MATCH(LEFT(I163,3),[1]Programas!$A$2:$A$50,0)),"")</f>
        <v>Análisis y Visualización de Datos</v>
      </c>
      <c r="K163" s="10" t="s">
        <v>335</v>
      </c>
    </row>
    <row r="164" spans="1:11" x14ac:dyDescent="0.2">
      <c r="A164" s="10">
        <v>163</v>
      </c>
      <c r="B164" s="10" t="s">
        <v>388</v>
      </c>
      <c r="C164" s="11" t="s">
        <v>387</v>
      </c>
      <c r="D164" s="10" t="s">
        <v>4419</v>
      </c>
      <c r="E164" s="10" t="s">
        <v>4796</v>
      </c>
      <c r="F164" s="11" t="s">
        <v>4797</v>
      </c>
      <c r="G164" s="10" t="s">
        <v>13</v>
      </c>
      <c r="H164" s="12">
        <v>46264</v>
      </c>
      <c r="I164" s="10" t="s">
        <v>334</v>
      </c>
      <c r="J164" s="10" t="str">
        <f>IFERROR(INDEX([1]Programas!$B$2:$B$50,MATCH(LEFT(I164,3),[1]Programas!$A$2:$A$50,0)),"")</f>
        <v>Análisis y Visualización de Datos</v>
      </c>
      <c r="K164" s="10" t="s">
        <v>335</v>
      </c>
    </row>
    <row r="165" spans="1:11" x14ac:dyDescent="0.2">
      <c r="A165" s="10">
        <v>164</v>
      </c>
      <c r="B165" s="10" t="s">
        <v>390</v>
      </c>
      <c r="C165" s="11" t="s">
        <v>389</v>
      </c>
      <c r="D165" s="10" t="s">
        <v>4419</v>
      </c>
      <c r="E165" s="10" t="s">
        <v>4798</v>
      </c>
      <c r="F165" s="11" t="s">
        <v>4799</v>
      </c>
      <c r="G165" s="10" t="s">
        <v>13</v>
      </c>
      <c r="H165" s="12">
        <v>46264</v>
      </c>
      <c r="I165" s="10" t="s">
        <v>334</v>
      </c>
      <c r="J165" s="10" t="str">
        <f>IFERROR(INDEX([1]Programas!$B$2:$B$50,MATCH(LEFT(I165,3),[1]Programas!$A$2:$A$50,0)),"")</f>
        <v>Análisis y Visualización de Datos</v>
      </c>
      <c r="K165" s="10" t="s">
        <v>335</v>
      </c>
    </row>
    <row r="166" spans="1:11" x14ac:dyDescent="0.2">
      <c r="A166" s="10">
        <v>165</v>
      </c>
      <c r="B166" s="10" t="s">
        <v>392</v>
      </c>
      <c r="C166" s="11" t="s">
        <v>391</v>
      </c>
      <c r="D166" s="10" t="s">
        <v>4419</v>
      </c>
      <c r="E166" s="10" t="s">
        <v>4800</v>
      </c>
      <c r="F166" s="11" t="s">
        <v>4801</v>
      </c>
      <c r="G166" s="10" t="s">
        <v>13</v>
      </c>
      <c r="H166" s="12">
        <v>46264</v>
      </c>
      <c r="I166" s="10" t="s">
        <v>334</v>
      </c>
      <c r="J166" s="10" t="str">
        <f>IFERROR(INDEX([1]Programas!$B$2:$B$50,MATCH(LEFT(I166,3),[1]Programas!$A$2:$A$50,0)),"")</f>
        <v>Análisis y Visualización de Datos</v>
      </c>
      <c r="K166" s="10" t="s">
        <v>335</v>
      </c>
    </row>
    <row r="167" spans="1:11" x14ac:dyDescent="0.2">
      <c r="A167" s="10">
        <v>166</v>
      </c>
      <c r="B167" s="10" t="s">
        <v>4802</v>
      </c>
      <c r="C167" s="11" t="s">
        <v>393</v>
      </c>
      <c r="D167" s="10" t="s">
        <v>4419</v>
      </c>
      <c r="E167" s="10" t="s">
        <v>4803</v>
      </c>
      <c r="F167" s="11" t="s">
        <v>4804</v>
      </c>
      <c r="G167" s="10" t="s">
        <v>13</v>
      </c>
      <c r="H167" s="12">
        <v>46264</v>
      </c>
      <c r="I167" s="10" t="s">
        <v>334</v>
      </c>
      <c r="J167" s="10" t="str">
        <f>IFERROR(INDEX([1]Programas!$B$2:$B$50,MATCH(LEFT(I167,3),[1]Programas!$A$2:$A$50,0)),"")</f>
        <v>Análisis y Visualización de Datos</v>
      </c>
      <c r="K167" s="10" t="s">
        <v>335</v>
      </c>
    </row>
    <row r="168" spans="1:11" x14ac:dyDescent="0.2">
      <c r="A168" s="10">
        <v>167</v>
      </c>
      <c r="B168" s="10" t="s">
        <v>396</v>
      </c>
      <c r="C168" s="11" t="s">
        <v>395</v>
      </c>
      <c r="D168" s="10" t="s">
        <v>4419</v>
      </c>
      <c r="E168" s="10" t="s">
        <v>4805</v>
      </c>
      <c r="F168" s="11" t="s">
        <v>4806</v>
      </c>
      <c r="G168" s="10" t="s">
        <v>13</v>
      </c>
      <c r="H168" s="12">
        <v>46264</v>
      </c>
      <c r="I168" s="10" t="s">
        <v>334</v>
      </c>
      <c r="J168" s="10" t="str">
        <f>IFERROR(INDEX([1]Programas!$B$2:$B$50,MATCH(LEFT(I168,3),[1]Programas!$A$2:$A$50,0)),"")</f>
        <v>Análisis y Visualización de Datos</v>
      </c>
      <c r="K168" s="10" t="s">
        <v>335</v>
      </c>
    </row>
    <row r="169" spans="1:11" x14ac:dyDescent="0.2">
      <c r="A169" s="10">
        <v>168</v>
      </c>
      <c r="B169" s="10" t="s">
        <v>398</v>
      </c>
      <c r="C169" s="11" t="s">
        <v>397</v>
      </c>
      <c r="D169" s="10" t="s">
        <v>4419</v>
      </c>
      <c r="E169" s="10" t="s">
        <v>4807</v>
      </c>
      <c r="F169" s="11" t="s">
        <v>4808</v>
      </c>
      <c r="G169" s="10" t="s">
        <v>13</v>
      </c>
      <c r="H169" s="12">
        <v>46264</v>
      </c>
      <c r="I169" s="10" t="s">
        <v>334</v>
      </c>
      <c r="J169" s="10" t="str">
        <f>IFERROR(INDEX([1]Programas!$B$2:$B$50,MATCH(LEFT(I169,3),[1]Programas!$A$2:$A$50,0)),"")</f>
        <v>Análisis y Visualización de Datos</v>
      </c>
      <c r="K169" s="10" t="s">
        <v>335</v>
      </c>
    </row>
    <row r="170" spans="1:11" x14ac:dyDescent="0.2">
      <c r="A170" s="10">
        <v>169</v>
      </c>
      <c r="B170" s="10" t="s">
        <v>4809</v>
      </c>
      <c r="C170" s="11" t="s">
        <v>399</v>
      </c>
      <c r="D170" s="10" t="s">
        <v>4419</v>
      </c>
      <c r="E170" s="10" t="s">
        <v>4810</v>
      </c>
      <c r="F170" s="11" t="s">
        <v>4811</v>
      </c>
      <c r="G170" s="10" t="s">
        <v>13</v>
      </c>
      <c r="H170" s="12">
        <v>46264</v>
      </c>
      <c r="I170" s="10" t="s">
        <v>334</v>
      </c>
      <c r="J170" s="10" t="str">
        <f>IFERROR(INDEX([1]Programas!$B$2:$B$50,MATCH(LEFT(I170,3),[1]Programas!$A$2:$A$50,0)),"")</f>
        <v>Análisis y Visualización de Datos</v>
      </c>
      <c r="K170" s="10" t="s">
        <v>335</v>
      </c>
    </row>
    <row r="171" spans="1:11" x14ac:dyDescent="0.2">
      <c r="A171" s="10">
        <v>170</v>
      </c>
      <c r="B171" s="10" t="s">
        <v>4812</v>
      </c>
      <c r="C171" s="11" t="s">
        <v>401</v>
      </c>
      <c r="D171" s="10" t="s">
        <v>4419</v>
      </c>
      <c r="E171" s="10" t="s">
        <v>4813</v>
      </c>
      <c r="F171" s="11" t="s">
        <v>4814</v>
      </c>
      <c r="G171" s="10" t="s">
        <v>13</v>
      </c>
      <c r="H171" s="12">
        <v>46264</v>
      </c>
      <c r="I171" s="10" t="s">
        <v>334</v>
      </c>
      <c r="J171" s="10" t="str">
        <f>IFERROR(INDEX([1]Programas!$B$2:$B$50,MATCH(LEFT(I171,3),[1]Programas!$A$2:$A$50,0)),"")</f>
        <v>Análisis y Visualización de Datos</v>
      </c>
      <c r="K171" s="10" t="s">
        <v>335</v>
      </c>
    </row>
    <row r="172" spans="1:11" x14ac:dyDescent="0.2">
      <c r="A172" s="10">
        <v>171</v>
      </c>
      <c r="B172" s="10" t="s">
        <v>404</v>
      </c>
      <c r="C172" s="11" t="s">
        <v>403</v>
      </c>
      <c r="D172" s="10" t="s">
        <v>4419</v>
      </c>
      <c r="E172" s="10" t="s">
        <v>4815</v>
      </c>
      <c r="F172" s="11" t="s">
        <v>4816</v>
      </c>
      <c r="G172" s="10" t="s">
        <v>13</v>
      </c>
      <c r="H172" s="12">
        <v>46264</v>
      </c>
      <c r="I172" s="10" t="s">
        <v>334</v>
      </c>
      <c r="J172" s="10" t="str">
        <f>IFERROR(INDEX([1]Programas!$B$2:$B$50,MATCH(LEFT(I172,3),[1]Programas!$A$2:$A$50,0)),"")</f>
        <v>Análisis y Visualización de Datos</v>
      </c>
      <c r="K172" s="10" t="s">
        <v>335</v>
      </c>
    </row>
    <row r="173" spans="1:11" x14ac:dyDescent="0.2">
      <c r="A173" s="10">
        <v>172</v>
      </c>
      <c r="B173" s="10" t="s">
        <v>406</v>
      </c>
      <c r="C173" s="11" t="s">
        <v>405</v>
      </c>
      <c r="D173" s="10" t="s">
        <v>4419</v>
      </c>
      <c r="E173" s="10" t="s">
        <v>4817</v>
      </c>
      <c r="F173" s="11" t="s">
        <v>4818</v>
      </c>
      <c r="G173" s="10" t="s">
        <v>13</v>
      </c>
      <c r="H173" s="12">
        <v>46264</v>
      </c>
      <c r="I173" s="10" t="s">
        <v>334</v>
      </c>
      <c r="J173" s="10" t="str">
        <f>IFERROR(INDEX([1]Programas!$B$2:$B$50,MATCH(LEFT(I173,3),[1]Programas!$A$2:$A$50,0)),"")</f>
        <v>Análisis y Visualización de Datos</v>
      </c>
      <c r="K173" s="10" t="s">
        <v>335</v>
      </c>
    </row>
    <row r="174" spans="1:11" x14ac:dyDescent="0.2">
      <c r="A174" s="10">
        <v>173</v>
      </c>
      <c r="B174" s="10" t="s">
        <v>408</v>
      </c>
      <c r="C174" s="11" t="s">
        <v>407</v>
      </c>
      <c r="D174" s="10" t="s">
        <v>4419</v>
      </c>
      <c r="E174" s="10" t="s">
        <v>4819</v>
      </c>
      <c r="F174" s="11" t="s">
        <v>4820</v>
      </c>
      <c r="G174" s="10" t="s">
        <v>13</v>
      </c>
      <c r="H174" s="12">
        <v>46264</v>
      </c>
      <c r="I174" s="10" t="s">
        <v>334</v>
      </c>
      <c r="J174" s="10" t="str">
        <f>IFERROR(INDEX([1]Programas!$B$2:$B$50,MATCH(LEFT(I174,3),[1]Programas!$A$2:$A$50,0)),"")</f>
        <v>Análisis y Visualización de Datos</v>
      </c>
      <c r="K174" s="10" t="s">
        <v>335</v>
      </c>
    </row>
    <row r="175" spans="1:11" x14ac:dyDescent="0.2">
      <c r="A175" s="10">
        <v>174</v>
      </c>
      <c r="B175" s="10" t="s">
        <v>410</v>
      </c>
      <c r="C175" s="11" t="s">
        <v>409</v>
      </c>
      <c r="D175" s="10" t="s">
        <v>4419</v>
      </c>
      <c r="E175" s="10" t="s">
        <v>4821</v>
      </c>
      <c r="F175" s="11" t="s">
        <v>4822</v>
      </c>
      <c r="G175" s="10" t="s">
        <v>13</v>
      </c>
      <c r="H175" s="12">
        <v>46264</v>
      </c>
      <c r="I175" s="10" t="s">
        <v>334</v>
      </c>
      <c r="J175" s="10" t="str">
        <f>IFERROR(INDEX([1]Programas!$B$2:$B$50,MATCH(LEFT(I175,3),[1]Programas!$A$2:$A$50,0)),"")</f>
        <v>Análisis y Visualización de Datos</v>
      </c>
      <c r="K175" s="10" t="s">
        <v>335</v>
      </c>
    </row>
    <row r="176" spans="1:11" x14ac:dyDescent="0.2">
      <c r="A176" s="10">
        <v>175</v>
      </c>
      <c r="B176" s="10" t="s">
        <v>412</v>
      </c>
      <c r="C176" s="11" t="s">
        <v>411</v>
      </c>
      <c r="D176" s="10" t="s">
        <v>4419</v>
      </c>
      <c r="E176" s="10" t="s">
        <v>4823</v>
      </c>
      <c r="F176" s="11" t="s">
        <v>4824</v>
      </c>
      <c r="G176" s="10" t="s">
        <v>13</v>
      </c>
      <c r="H176" s="12">
        <v>46264</v>
      </c>
      <c r="I176" s="10" t="s">
        <v>334</v>
      </c>
      <c r="J176" s="10" t="str">
        <f>IFERROR(INDEX([1]Programas!$B$2:$B$50,MATCH(LEFT(I176,3),[1]Programas!$A$2:$A$50,0)),"")</f>
        <v>Análisis y Visualización de Datos</v>
      </c>
      <c r="K176" s="10" t="s">
        <v>335</v>
      </c>
    </row>
    <row r="177" spans="1:11" x14ac:dyDescent="0.2">
      <c r="A177" s="10">
        <v>176</v>
      </c>
      <c r="B177" s="10" t="s">
        <v>4825</v>
      </c>
      <c r="C177" s="11" t="s">
        <v>413</v>
      </c>
      <c r="D177" s="10" t="s">
        <v>4453</v>
      </c>
      <c r="E177" s="10" t="s">
        <v>4826</v>
      </c>
      <c r="F177" s="11" t="s">
        <v>4827</v>
      </c>
      <c r="G177" s="10" t="s">
        <v>13</v>
      </c>
      <c r="H177" s="12">
        <v>46264</v>
      </c>
      <c r="I177" s="10" t="s">
        <v>334</v>
      </c>
      <c r="J177" s="10" t="str">
        <f>IFERROR(INDEX([1]Programas!$B$2:$B$50,MATCH(LEFT(I177,3),[1]Programas!$A$2:$A$50,0)),"")</f>
        <v>Análisis y Visualización de Datos</v>
      </c>
      <c r="K177" s="10" t="s">
        <v>335</v>
      </c>
    </row>
    <row r="178" spans="1:11" x14ac:dyDescent="0.2">
      <c r="A178" s="10">
        <v>177</v>
      </c>
      <c r="B178" s="10" t="s">
        <v>416</v>
      </c>
      <c r="C178" s="11" t="s">
        <v>415</v>
      </c>
      <c r="D178" s="10" t="s">
        <v>4419</v>
      </c>
      <c r="E178" s="10" t="s">
        <v>4828</v>
      </c>
      <c r="F178" s="11" t="s">
        <v>4829</v>
      </c>
      <c r="G178" s="10" t="s">
        <v>13</v>
      </c>
      <c r="H178" s="12">
        <v>46264</v>
      </c>
      <c r="I178" s="10" t="s">
        <v>334</v>
      </c>
      <c r="J178" s="10" t="str">
        <f>IFERROR(INDEX([1]Programas!$B$2:$B$50,MATCH(LEFT(I178,3),[1]Programas!$A$2:$A$50,0)),"")</f>
        <v>Análisis y Visualización de Datos</v>
      </c>
      <c r="K178" s="10" t="s">
        <v>335</v>
      </c>
    </row>
    <row r="179" spans="1:11" x14ac:dyDescent="0.2">
      <c r="A179" s="10">
        <v>178</v>
      </c>
      <c r="B179" s="10" t="s">
        <v>418</v>
      </c>
      <c r="C179" s="11" t="s">
        <v>417</v>
      </c>
      <c r="D179" s="10" t="s">
        <v>4419</v>
      </c>
      <c r="E179" s="10" t="s">
        <v>4830</v>
      </c>
      <c r="F179" s="11" t="s">
        <v>4831</v>
      </c>
      <c r="G179" s="10" t="s">
        <v>13</v>
      </c>
      <c r="H179" s="12">
        <v>46264</v>
      </c>
      <c r="I179" s="10" t="s">
        <v>334</v>
      </c>
      <c r="J179" s="10" t="str">
        <f>IFERROR(INDEX([1]Programas!$B$2:$B$50,MATCH(LEFT(I179,3),[1]Programas!$A$2:$A$50,0)),"")</f>
        <v>Análisis y Visualización de Datos</v>
      </c>
      <c r="K179" s="10" t="s">
        <v>335</v>
      </c>
    </row>
    <row r="180" spans="1:11" x14ac:dyDescent="0.2">
      <c r="A180" s="10">
        <v>179</v>
      </c>
      <c r="B180" s="10" t="s">
        <v>421</v>
      </c>
      <c r="C180" s="11" t="s">
        <v>420</v>
      </c>
      <c r="D180" s="10" t="s">
        <v>4419</v>
      </c>
      <c r="E180" s="10" t="s">
        <v>4832</v>
      </c>
      <c r="F180" s="11" t="s">
        <v>4833</v>
      </c>
      <c r="G180" s="10" t="s">
        <v>13</v>
      </c>
      <c r="H180" s="12">
        <v>46264</v>
      </c>
      <c r="I180" s="10" t="s">
        <v>334</v>
      </c>
      <c r="J180" s="10" t="str">
        <f>IFERROR(INDEX([1]Programas!$B$2:$B$50,MATCH(LEFT(I180,3),[1]Programas!$A$2:$A$50,0)),"")</f>
        <v>Análisis y Visualización de Datos</v>
      </c>
      <c r="K180" s="10" t="s">
        <v>335</v>
      </c>
    </row>
    <row r="181" spans="1:11" x14ac:dyDescent="0.2">
      <c r="A181" s="10">
        <v>180</v>
      </c>
      <c r="B181" s="10" t="s">
        <v>423</v>
      </c>
      <c r="C181" s="11" t="s">
        <v>422</v>
      </c>
      <c r="D181" s="10" t="s">
        <v>4419</v>
      </c>
      <c r="E181" s="10" t="s">
        <v>4834</v>
      </c>
      <c r="F181" s="11" t="s">
        <v>4835</v>
      </c>
      <c r="G181" s="10" t="s">
        <v>13</v>
      </c>
      <c r="H181" s="12">
        <v>46264</v>
      </c>
      <c r="I181" s="10" t="s">
        <v>334</v>
      </c>
      <c r="J181" s="10" t="str">
        <f>IFERROR(INDEX([1]Programas!$B$2:$B$50,MATCH(LEFT(I181,3),[1]Programas!$A$2:$A$50,0)),"")</f>
        <v>Análisis y Visualización de Datos</v>
      </c>
      <c r="K181" s="10" t="s">
        <v>335</v>
      </c>
    </row>
    <row r="182" spans="1:11" x14ac:dyDescent="0.2">
      <c r="A182" s="10">
        <v>181</v>
      </c>
      <c r="B182" s="10" t="s">
        <v>425</v>
      </c>
      <c r="C182" s="11" t="s">
        <v>424</v>
      </c>
      <c r="D182" s="10" t="s">
        <v>4419</v>
      </c>
      <c r="E182" s="10" t="s">
        <v>4836</v>
      </c>
      <c r="F182" s="11" t="s">
        <v>4837</v>
      </c>
      <c r="G182" s="10" t="s">
        <v>13</v>
      </c>
      <c r="H182" s="12">
        <v>46264</v>
      </c>
      <c r="I182" s="10" t="s">
        <v>334</v>
      </c>
      <c r="J182" s="10" t="str">
        <f>IFERROR(INDEX([1]Programas!$B$2:$B$50,MATCH(LEFT(I182,3),[1]Programas!$A$2:$A$50,0)),"")</f>
        <v>Análisis y Visualización de Datos</v>
      </c>
      <c r="K182" s="10" t="s">
        <v>335</v>
      </c>
    </row>
    <row r="183" spans="1:11" x14ac:dyDescent="0.2">
      <c r="A183" s="10">
        <v>182</v>
      </c>
      <c r="B183" s="10" t="s">
        <v>428</v>
      </c>
      <c r="C183" s="11" t="s">
        <v>427</v>
      </c>
      <c r="D183" s="10" t="s">
        <v>4419</v>
      </c>
      <c r="E183" s="10" t="s">
        <v>4838</v>
      </c>
      <c r="F183" s="11" t="s">
        <v>4839</v>
      </c>
      <c r="G183" s="10" t="s">
        <v>13</v>
      </c>
      <c r="H183" s="12">
        <v>46264</v>
      </c>
      <c r="I183" s="10" t="s">
        <v>430</v>
      </c>
      <c r="J183" s="10" t="str">
        <f>IFERROR(INDEX([1]Programas!$B$2:$B$50,MATCH(LEFT(I183,3),[1]Programas!$A$2:$A$50,0)),"")</f>
        <v>Análisis y Visualización de Datos</v>
      </c>
      <c r="K183" s="10" t="s">
        <v>335</v>
      </c>
    </row>
    <row r="184" spans="1:11" x14ac:dyDescent="0.2">
      <c r="A184" s="10">
        <v>183</v>
      </c>
      <c r="B184" s="10" t="s">
        <v>434</v>
      </c>
      <c r="C184" s="11" t="s">
        <v>433</v>
      </c>
      <c r="D184" s="10" t="s">
        <v>4419</v>
      </c>
      <c r="E184" s="10" t="s">
        <v>4840</v>
      </c>
      <c r="F184" s="11" t="s">
        <v>4841</v>
      </c>
      <c r="G184" s="10" t="s">
        <v>13</v>
      </c>
      <c r="H184" s="12">
        <v>46264</v>
      </c>
      <c r="I184" s="10" t="s">
        <v>430</v>
      </c>
      <c r="J184" s="10" t="str">
        <f>IFERROR(INDEX([1]Programas!$B$2:$B$50,MATCH(LEFT(I184,3),[1]Programas!$A$2:$A$50,0)),"")</f>
        <v>Análisis y Visualización de Datos</v>
      </c>
      <c r="K184" s="10" t="s">
        <v>335</v>
      </c>
    </row>
    <row r="185" spans="1:11" x14ac:dyDescent="0.2">
      <c r="A185" s="10">
        <v>184</v>
      </c>
      <c r="B185" s="10" t="s">
        <v>436</v>
      </c>
      <c r="C185" s="11" t="s">
        <v>435</v>
      </c>
      <c r="D185" s="10" t="s">
        <v>4419</v>
      </c>
      <c r="E185" s="10" t="s">
        <v>4842</v>
      </c>
      <c r="F185" s="11" t="s">
        <v>4843</v>
      </c>
      <c r="G185" s="10" t="s">
        <v>13</v>
      </c>
      <c r="H185" s="12">
        <v>46264</v>
      </c>
      <c r="I185" s="10" t="s">
        <v>430</v>
      </c>
      <c r="J185" s="10" t="str">
        <f>IFERROR(INDEX([1]Programas!$B$2:$B$50,MATCH(LEFT(I185,3),[1]Programas!$A$2:$A$50,0)),"")</f>
        <v>Análisis y Visualización de Datos</v>
      </c>
      <c r="K185" s="10" t="s">
        <v>335</v>
      </c>
    </row>
    <row r="186" spans="1:11" x14ac:dyDescent="0.2">
      <c r="A186" s="10">
        <v>185</v>
      </c>
      <c r="B186" s="10" t="s">
        <v>438</v>
      </c>
      <c r="C186" s="11" t="s">
        <v>437</v>
      </c>
      <c r="D186" s="10" t="s">
        <v>4419</v>
      </c>
      <c r="E186" s="10" t="s">
        <v>4844</v>
      </c>
      <c r="F186" s="11" t="s">
        <v>4845</v>
      </c>
      <c r="G186" s="10" t="s">
        <v>13</v>
      </c>
      <c r="H186" s="12">
        <v>46264</v>
      </c>
      <c r="I186" s="10" t="s">
        <v>430</v>
      </c>
      <c r="J186" s="10" t="str">
        <f>IFERROR(INDEX([1]Programas!$B$2:$B$50,MATCH(LEFT(I186,3),[1]Programas!$A$2:$A$50,0)),"")</f>
        <v>Análisis y Visualización de Datos</v>
      </c>
      <c r="K186" s="10" t="s">
        <v>335</v>
      </c>
    </row>
    <row r="187" spans="1:11" x14ac:dyDescent="0.2">
      <c r="A187" s="10">
        <v>186</v>
      </c>
      <c r="B187" s="10" t="s">
        <v>440</v>
      </c>
      <c r="C187" s="11" t="s">
        <v>439</v>
      </c>
      <c r="D187" s="10" t="s">
        <v>4419</v>
      </c>
      <c r="E187" s="10" t="s">
        <v>4846</v>
      </c>
      <c r="F187" s="11" t="s">
        <v>4847</v>
      </c>
      <c r="G187" s="10" t="s">
        <v>13</v>
      </c>
      <c r="H187" s="12">
        <v>46264</v>
      </c>
      <c r="I187" s="10" t="s">
        <v>430</v>
      </c>
      <c r="J187" s="10" t="str">
        <f>IFERROR(INDEX([1]Programas!$B$2:$B$50,MATCH(LEFT(I187,3),[1]Programas!$A$2:$A$50,0)),"")</f>
        <v>Análisis y Visualización de Datos</v>
      </c>
      <c r="K187" s="10" t="s">
        <v>335</v>
      </c>
    </row>
    <row r="188" spans="1:11" x14ac:dyDescent="0.2">
      <c r="A188" s="10">
        <v>187</v>
      </c>
      <c r="B188" s="10" t="s">
        <v>446</v>
      </c>
      <c r="C188" s="11" t="s">
        <v>445</v>
      </c>
      <c r="D188" s="10" t="s">
        <v>4419</v>
      </c>
      <c r="E188" s="10" t="s">
        <v>4848</v>
      </c>
      <c r="F188" s="11" t="s">
        <v>4849</v>
      </c>
      <c r="G188" s="10" t="s">
        <v>13</v>
      </c>
      <c r="H188" s="12">
        <v>46264</v>
      </c>
      <c r="I188" s="10" t="s">
        <v>430</v>
      </c>
      <c r="J188" s="10" t="str">
        <f>IFERROR(INDEX([1]Programas!$B$2:$B$50,MATCH(LEFT(I188,3),[1]Programas!$A$2:$A$50,0)),"")</f>
        <v>Análisis y Visualización de Datos</v>
      </c>
      <c r="K188" s="10" t="s">
        <v>335</v>
      </c>
    </row>
    <row r="189" spans="1:11" x14ac:dyDescent="0.2">
      <c r="A189" s="10">
        <v>188</v>
      </c>
      <c r="B189" s="10" t="s">
        <v>448</v>
      </c>
      <c r="C189" s="11" t="s">
        <v>447</v>
      </c>
      <c r="D189" s="10" t="s">
        <v>4419</v>
      </c>
      <c r="E189" s="10" t="s">
        <v>4850</v>
      </c>
      <c r="F189" s="11" t="s">
        <v>4851</v>
      </c>
      <c r="G189" s="10" t="s">
        <v>13</v>
      </c>
      <c r="H189" s="12">
        <v>46264</v>
      </c>
      <c r="I189" s="10" t="s">
        <v>430</v>
      </c>
      <c r="J189" s="10" t="str">
        <f>IFERROR(INDEX([1]Programas!$B$2:$B$50,MATCH(LEFT(I189,3),[1]Programas!$A$2:$A$50,0)),"")</f>
        <v>Análisis y Visualización de Datos</v>
      </c>
      <c r="K189" s="10" t="s">
        <v>335</v>
      </c>
    </row>
    <row r="190" spans="1:11" x14ac:dyDescent="0.2">
      <c r="A190" s="10">
        <v>189</v>
      </c>
      <c r="B190" s="10" t="s">
        <v>450</v>
      </c>
      <c r="C190" s="11" t="s">
        <v>449</v>
      </c>
      <c r="D190" s="10" t="s">
        <v>4419</v>
      </c>
      <c r="E190" s="10" t="s">
        <v>4852</v>
      </c>
      <c r="F190" s="11" t="s">
        <v>4853</v>
      </c>
      <c r="G190" s="10" t="s">
        <v>13</v>
      </c>
      <c r="H190" s="12">
        <v>46264</v>
      </c>
      <c r="I190" s="10" t="s">
        <v>430</v>
      </c>
      <c r="J190" s="10" t="str">
        <f>IFERROR(INDEX([1]Programas!$B$2:$B$50,MATCH(LEFT(I190,3),[1]Programas!$A$2:$A$50,0)),"")</f>
        <v>Análisis y Visualización de Datos</v>
      </c>
      <c r="K190" s="10" t="s">
        <v>335</v>
      </c>
    </row>
    <row r="191" spans="1:11" x14ac:dyDescent="0.2">
      <c r="A191" s="10">
        <v>190</v>
      </c>
      <c r="B191" s="10" t="s">
        <v>452</v>
      </c>
      <c r="C191" s="11" t="s">
        <v>451</v>
      </c>
      <c r="D191" s="10" t="s">
        <v>4419</v>
      </c>
      <c r="E191" s="10" t="s">
        <v>4854</v>
      </c>
      <c r="F191" s="11" t="s">
        <v>4855</v>
      </c>
      <c r="G191" s="10" t="s">
        <v>13</v>
      </c>
      <c r="H191" s="12">
        <v>46264</v>
      </c>
      <c r="I191" s="10" t="s">
        <v>430</v>
      </c>
      <c r="J191" s="10" t="str">
        <f>IFERROR(INDEX([1]Programas!$B$2:$B$50,MATCH(LEFT(I191,3),[1]Programas!$A$2:$A$50,0)),"")</f>
        <v>Análisis y Visualización de Datos</v>
      </c>
      <c r="K191" s="10" t="s">
        <v>335</v>
      </c>
    </row>
    <row r="192" spans="1:11" x14ac:dyDescent="0.2">
      <c r="A192" s="10">
        <v>191</v>
      </c>
      <c r="B192" s="10" t="s">
        <v>4856</v>
      </c>
      <c r="C192" s="11" t="s">
        <v>453</v>
      </c>
      <c r="D192" s="10" t="s">
        <v>4419</v>
      </c>
      <c r="E192" s="10" t="s">
        <v>4857</v>
      </c>
      <c r="F192" s="11" t="s">
        <v>4858</v>
      </c>
      <c r="G192" s="10" t="s">
        <v>13</v>
      </c>
      <c r="H192" s="12">
        <v>46264</v>
      </c>
      <c r="I192" s="10" t="s">
        <v>430</v>
      </c>
      <c r="J192" s="10" t="str">
        <f>IFERROR(INDEX([1]Programas!$B$2:$B$50,MATCH(LEFT(I192,3),[1]Programas!$A$2:$A$50,0)),"")</f>
        <v>Análisis y Visualización de Datos</v>
      </c>
      <c r="K192" s="10" t="s">
        <v>335</v>
      </c>
    </row>
    <row r="193" spans="1:11" x14ac:dyDescent="0.2">
      <c r="A193" s="10">
        <v>192</v>
      </c>
      <c r="B193" s="10" t="s">
        <v>456</v>
      </c>
      <c r="C193" s="11" t="s">
        <v>455</v>
      </c>
      <c r="D193" s="10" t="s">
        <v>4419</v>
      </c>
      <c r="E193" s="10" t="s">
        <v>4859</v>
      </c>
      <c r="F193" s="11" t="s">
        <v>4860</v>
      </c>
      <c r="G193" s="10" t="s">
        <v>13</v>
      </c>
      <c r="H193" s="12">
        <v>46264</v>
      </c>
      <c r="I193" s="10" t="s">
        <v>430</v>
      </c>
      <c r="J193" s="10" t="str">
        <f>IFERROR(INDEX([1]Programas!$B$2:$B$50,MATCH(LEFT(I193,3),[1]Programas!$A$2:$A$50,0)),"")</f>
        <v>Análisis y Visualización de Datos</v>
      </c>
      <c r="K193" s="10" t="s">
        <v>335</v>
      </c>
    </row>
    <row r="194" spans="1:11" x14ac:dyDescent="0.2">
      <c r="A194" s="10">
        <v>193</v>
      </c>
      <c r="B194" s="10" t="s">
        <v>458</v>
      </c>
      <c r="C194" s="11" t="s">
        <v>457</v>
      </c>
      <c r="D194" s="10" t="s">
        <v>4419</v>
      </c>
      <c r="E194" s="10" t="s">
        <v>4861</v>
      </c>
      <c r="F194" s="11" t="s">
        <v>4862</v>
      </c>
      <c r="G194" s="10" t="s">
        <v>13</v>
      </c>
      <c r="H194" s="12">
        <v>46264</v>
      </c>
      <c r="I194" s="10" t="s">
        <v>430</v>
      </c>
      <c r="J194" s="10" t="str">
        <f>IFERROR(INDEX([1]Programas!$B$2:$B$50,MATCH(LEFT(I194,3),[1]Programas!$A$2:$A$50,0)),"")</f>
        <v>Análisis y Visualización de Datos</v>
      </c>
      <c r="K194" s="10" t="s">
        <v>335</v>
      </c>
    </row>
    <row r="195" spans="1:11" x14ac:dyDescent="0.2">
      <c r="A195" s="10">
        <v>194</v>
      </c>
      <c r="B195" s="10" t="s">
        <v>460</v>
      </c>
      <c r="C195" s="11" t="s">
        <v>459</v>
      </c>
      <c r="D195" s="10" t="s">
        <v>4419</v>
      </c>
      <c r="E195" s="10" t="s">
        <v>4863</v>
      </c>
      <c r="F195" s="11" t="s">
        <v>4864</v>
      </c>
      <c r="G195" s="10" t="s">
        <v>13</v>
      </c>
      <c r="H195" s="12">
        <v>46264</v>
      </c>
      <c r="I195" s="10" t="s">
        <v>430</v>
      </c>
      <c r="J195" s="10" t="str">
        <f>IFERROR(INDEX([1]Programas!$B$2:$B$50,MATCH(LEFT(I195,3),[1]Programas!$A$2:$A$50,0)),"")</f>
        <v>Análisis y Visualización de Datos</v>
      </c>
      <c r="K195" s="10" t="s">
        <v>335</v>
      </c>
    </row>
    <row r="196" spans="1:11" x14ac:dyDescent="0.2">
      <c r="A196" s="10">
        <v>195</v>
      </c>
      <c r="B196" s="10" t="s">
        <v>4865</v>
      </c>
      <c r="C196" s="11" t="s">
        <v>461</v>
      </c>
      <c r="D196" s="10" t="s">
        <v>4419</v>
      </c>
      <c r="E196" s="10" t="s">
        <v>4866</v>
      </c>
      <c r="F196" s="11" t="s">
        <v>4867</v>
      </c>
      <c r="G196" s="10" t="s">
        <v>13</v>
      </c>
      <c r="H196" s="12">
        <v>46264</v>
      </c>
      <c r="I196" s="10" t="s">
        <v>430</v>
      </c>
      <c r="J196" s="10" t="str">
        <f>IFERROR(INDEX([1]Programas!$B$2:$B$50,MATCH(LEFT(I196,3),[1]Programas!$A$2:$A$50,0)),"")</f>
        <v>Análisis y Visualización de Datos</v>
      </c>
      <c r="K196" s="10" t="s">
        <v>335</v>
      </c>
    </row>
    <row r="197" spans="1:11" x14ac:dyDescent="0.2">
      <c r="A197" s="10">
        <v>196</v>
      </c>
      <c r="B197" s="10" t="s">
        <v>4868</v>
      </c>
      <c r="C197" s="11" t="s">
        <v>463</v>
      </c>
      <c r="D197" s="10" t="s">
        <v>4419</v>
      </c>
      <c r="E197" s="10" t="s">
        <v>4869</v>
      </c>
      <c r="F197" s="11" t="s">
        <v>4870</v>
      </c>
      <c r="G197" s="10" t="s">
        <v>13</v>
      </c>
      <c r="H197" s="12">
        <v>46264</v>
      </c>
      <c r="I197" s="10" t="s">
        <v>430</v>
      </c>
      <c r="J197" s="10" t="str">
        <f>IFERROR(INDEX([1]Programas!$B$2:$B$50,MATCH(LEFT(I197,3),[1]Programas!$A$2:$A$50,0)),"")</f>
        <v>Análisis y Visualización de Datos</v>
      </c>
      <c r="K197" s="10" t="s">
        <v>335</v>
      </c>
    </row>
    <row r="198" spans="1:11" x14ac:dyDescent="0.2">
      <c r="A198" s="10">
        <v>197</v>
      </c>
      <c r="B198" s="10" t="s">
        <v>4871</v>
      </c>
      <c r="C198" s="11" t="s">
        <v>465</v>
      </c>
      <c r="D198" s="10" t="s">
        <v>4419</v>
      </c>
      <c r="E198" s="10" t="s">
        <v>4872</v>
      </c>
      <c r="F198" s="11" t="s">
        <v>4873</v>
      </c>
      <c r="G198" s="10" t="s">
        <v>13</v>
      </c>
      <c r="H198" s="12">
        <v>46264</v>
      </c>
      <c r="I198" s="10" t="s">
        <v>430</v>
      </c>
      <c r="J198" s="10" t="str">
        <f>IFERROR(INDEX([1]Programas!$B$2:$B$50,MATCH(LEFT(I198,3),[1]Programas!$A$2:$A$50,0)),"")</f>
        <v>Análisis y Visualización de Datos</v>
      </c>
      <c r="K198" s="10" t="s">
        <v>335</v>
      </c>
    </row>
    <row r="199" spans="1:11" x14ac:dyDescent="0.2">
      <c r="A199" s="10">
        <v>198</v>
      </c>
      <c r="B199" s="10" t="s">
        <v>468</v>
      </c>
      <c r="C199" s="11" t="s">
        <v>467</v>
      </c>
      <c r="D199" s="10" t="s">
        <v>4419</v>
      </c>
      <c r="E199" s="10" t="s">
        <v>4874</v>
      </c>
      <c r="F199" s="11" t="s">
        <v>4875</v>
      </c>
      <c r="G199" s="10" t="s">
        <v>13</v>
      </c>
      <c r="H199" s="12">
        <v>46264</v>
      </c>
      <c r="I199" s="10" t="s">
        <v>430</v>
      </c>
      <c r="J199" s="10" t="str">
        <f>IFERROR(INDEX([1]Programas!$B$2:$B$50,MATCH(LEFT(I199,3),[1]Programas!$A$2:$A$50,0)),"")</f>
        <v>Análisis y Visualización de Datos</v>
      </c>
      <c r="K199" s="10" t="s">
        <v>335</v>
      </c>
    </row>
    <row r="200" spans="1:11" x14ac:dyDescent="0.2">
      <c r="A200" s="10">
        <v>199</v>
      </c>
      <c r="B200" s="10" t="s">
        <v>470</v>
      </c>
      <c r="C200" s="11" t="s">
        <v>469</v>
      </c>
      <c r="D200" s="10" t="s">
        <v>4419</v>
      </c>
      <c r="E200" s="10" t="s">
        <v>4876</v>
      </c>
      <c r="F200" s="11" t="s">
        <v>4877</v>
      </c>
      <c r="G200" s="10" t="s">
        <v>13</v>
      </c>
      <c r="H200" s="12">
        <v>46264</v>
      </c>
      <c r="I200" s="10" t="s">
        <v>430</v>
      </c>
      <c r="J200" s="10" t="str">
        <f>IFERROR(INDEX([1]Programas!$B$2:$B$50,MATCH(LEFT(I200,3),[1]Programas!$A$2:$A$50,0)),"")</f>
        <v>Análisis y Visualización de Datos</v>
      </c>
      <c r="K200" s="10" t="s">
        <v>335</v>
      </c>
    </row>
    <row r="201" spans="1:11" x14ac:dyDescent="0.2">
      <c r="A201" s="10">
        <v>200</v>
      </c>
      <c r="B201" s="10" t="s">
        <v>472</v>
      </c>
      <c r="C201" s="11" t="s">
        <v>471</v>
      </c>
      <c r="D201" s="10" t="s">
        <v>4419</v>
      </c>
      <c r="E201" s="10" t="s">
        <v>4878</v>
      </c>
      <c r="F201" s="11" t="s">
        <v>4879</v>
      </c>
      <c r="G201" s="10" t="s">
        <v>13</v>
      </c>
      <c r="H201" s="12">
        <v>46264</v>
      </c>
      <c r="I201" s="10" t="s">
        <v>430</v>
      </c>
      <c r="J201" s="10" t="str">
        <f>IFERROR(INDEX([1]Programas!$B$2:$B$50,MATCH(LEFT(I201,3),[1]Programas!$A$2:$A$50,0)),"")</f>
        <v>Análisis y Visualización de Datos</v>
      </c>
      <c r="K201" s="10" t="s">
        <v>335</v>
      </c>
    </row>
    <row r="202" spans="1:11" x14ac:dyDescent="0.2">
      <c r="A202" s="10">
        <v>201</v>
      </c>
      <c r="B202" s="10" t="s">
        <v>474</v>
      </c>
      <c r="C202" s="11" t="s">
        <v>473</v>
      </c>
      <c r="D202" s="10" t="s">
        <v>4419</v>
      </c>
      <c r="E202" s="10" t="s">
        <v>4880</v>
      </c>
      <c r="F202" s="11" t="s">
        <v>4881</v>
      </c>
      <c r="G202" s="10" t="s">
        <v>13</v>
      </c>
      <c r="H202" s="12">
        <v>46264</v>
      </c>
      <c r="I202" s="10" t="s">
        <v>430</v>
      </c>
      <c r="J202" s="10" t="str">
        <f>IFERROR(INDEX([1]Programas!$B$2:$B$50,MATCH(LEFT(I202,3),[1]Programas!$A$2:$A$50,0)),"")</f>
        <v>Análisis y Visualización de Datos</v>
      </c>
      <c r="K202" s="10" t="s">
        <v>335</v>
      </c>
    </row>
    <row r="203" spans="1:11" x14ac:dyDescent="0.2">
      <c r="A203" s="10">
        <v>202</v>
      </c>
      <c r="B203" s="10" t="s">
        <v>4882</v>
      </c>
      <c r="C203" s="11" t="s">
        <v>475</v>
      </c>
      <c r="D203" s="10" t="s">
        <v>4419</v>
      </c>
      <c r="E203" s="10" t="s">
        <v>4883</v>
      </c>
      <c r="F203" s="11" t="s">
        <v>4884</v>
      </c>
      <c r="G203" s="10" t="s">
        <v>13</v>
      </c>
      <c r="H203" s="12">
        <v>46264</v>
      </c>
      <c r="I203" s="10" t="s">
        <v>430</v>
      </c>
      <c r="J203" s="10" t="str">
        <f>IFERROR(INDEX([1]Programas!$B$2:$B$50,MATCH(LEFT(I203,3),[1]Programas!$A$2:$A$50,0)),"")</f>
        <v>Análisis y Visualización de Datos</v>
      </c>
      <c r="K203" s="10" t="s">
        <v>335</v>
      </c>
    </row>
    <row r="204" spans="1:11" x14ac:dyDescent="0.2">
      <c r="A204" s="10">
        <v>203</v>
      </c>
      <c r="B204" s="10" t="s">
        <v>478</v>
      </c>
      <c r="C204" s="11" t="s">
        <v>477</v>
      </c>
      <c r="D204" s="10" t="s">
        <v>4419</v>
      </c>
      <c r="E204" s="10" t="s">
        <v>4885</v>
      </c>
      <c r="F204" s="11" t="s">
        <v>4886</v>
      </c>
      <c r="G204" s="10" t="s">
        <v>13</v>
      </c>
      <c r="H204" s="12">
        <v>46264</v>
      </c>
      <c r="I204" s="10" t="s">
        <v>430</v>
      </c>
      <c r="J204" s="10" t="str">
        <f>IFERROR(INDEX([1]Programas!$B$2:$B$50,MATCH(LEFT(I204,3),[1]Programas!$A$2:$A$50,0)),"")</f>
        <v>Análisis y Visualización de Datos</v>
      </c>
      <c r="K204" s="10" t="s">
        <v>335</v>
      </c>
    </row>
    <row r="205" spans="1:11" x14ac:dyDescent="0.2">
      <c r="A205" s="10">
        <v>204</v>
      </c>
      <c r="B205" s="10" t="s">
        <v>480</v>
      </c>
      <c r="C205" s="11" t="s">
        <v>479</v>
      </c>
      <c r="D205" s="10" t="s">
        <v>4419</v>
      </c>
      <c r="E205" s="10" t="s">
        <v>4887</v>
      </c>
      <c r="F205" s="11" t="s">
        <v>4888</v>
      </c>
      <c r="G205" s="10" t="s">
        <v>13</v>
      </c>
      <c r="H205" s="12">
        <v>46264</v>
      </c>
      <c r="I205" s="10" t="s">
        <v>430</v>
      </c>
      <c r="J205" s="10" t="str">
        <f>IFERROR(INDEX([1]Programas!$B$2:$B$50,MATCH(LEFT(I205,3),[1]Programas!$A$2:$A$50,0)),"")</f>
        <v>Análisis y Visualización de Datos</v>
      </c>
      <c r="K205" s="10" t="s">
        <v>335</v>
      </c>
    </row>
    <row r="206" spans="1:11" x14ac:dyDescent="0.2">
      <c r="A206" s="10">
        <v>205</v>
      </c>
      <c r="B206" s="10" t="s">
        <v>482</v>
      </c>
      <c r="C206" s="11" t="s">
        <v>481</v>
      </c>
      <c r="D206" s="10" t="s">
        <v>4419</v>
      </c>
      <c r="E206" s="10" t="s">
        <v>4889</v>
      </c>
      <c r="F206" s="11" t="s">
        <v>4890</v>
      </c>
      <c r="G206" s="10" t="s">
        <v>13</v>
      </c>
      <c r="H206" s="12">
        <v>46264</v>
      </c>
      <c r="I206" s="10" t="s">
        <v>430</v>
      </c>
      <c r="J206" s="10" t="str">
        <f>IFERROR(INDEX([1]Programas!$B$2:$B$50,MATCH(LEFT(I206,3),[1]Programas!$A$2:$A$50,0)),"")</f>
        <v>Análisis y Visualización de Datos</v>
      </c>
      <c r="K206" s="10" t="s">
        <v>335</v>
      </c>
    </row>
    <row r="207" spans="1:11" x14ac:dyDescent="0.2">
      <c r="A207" s="10">
        <v>206</v>
      </c>
      <c r="B207" s="10" t="s">
        <v>484</v>
      </c>
      <c r="C207" s="11" t="s">
        <v>483</v>
      </c>
      <c r="D207" s="10" t="s">
        <v>4419</v>
      </c>
      <c r="E207" s="10" t="s">
        <v>4891</v>
      </c>
      <c r="F207" s="11" t="s">
        <v>4892</v>
      </c>
      <c r="G207" s="10" t="s">
        <v>13</v>
      </c>
      <c r="H207" s="12">
        <v>46264</v>
      </c>
      <c r="I207" s="10" t="s">
        <v>430</v>
      </c>
      <c r="J207" s="10" t="str">
        <f>IFERROR(INDEX([1]Programas!$B$2:$B$50,MATCH(LEFT(I207,3),[1]Programas!$A$2:$A$50,0)),"")</f>
        <v>Análisis y Visualización de Datos</v>
      </c>
      <c r="K207" s="10" t="s">
        <v>335</v>
      </c>
    </row>
    <row r="208" spans="1:11" x14ac:dyDescent="0.2">
      <c r="A208" s="10">
        <v>207</v>
      </c>
      <c r="B208" s="10" t="s">
        <v>4893</v>
      </c>
      <c r="C208" s="11" t="s">
        <v>485</v>
      </c>
      <c r="D208" s="10" t="s">
        <v>4419</v>
      </c>
      <c r="E208" s="10" t="s">
        <v>4894</v>
      </c>
      <c r="F208" s="11" t="s">
        <v>4895</v>
      </c>
      <c r="G208" s="10" t="s">
        <v>13</v>
      </c>
      <c r="H208" s="12">
        <v>46264</v>
      </c>
      <c r="I208" s="10" t="s">
        <v>430</v>
      </c>
      <c r="J208" s="10" t="str">
        <f>IFERROR(INDEX([1]Programas!$B$2:$B$50,MATCH(LEFT(I208,3),[1]Programas!$A$2:$A$50,0)),"")</f>
        <v>Análisis y Visualización de Datos</v>
      </c>
      <c r="K208" s="10" t="s">
        <v>335</v>
      </c>
    </row>
    <row r="209" spans="1:11" x14ac:dyDescent="0.2">
      <c r="A209" s="10">
        <v>208</v>
      </c>
      <c r="B209" s="10" t="s">
        <v>488</v>
      </c>
      <c r="C209" s="11" t="s">
        <v>487</v>
      </c>
      <c r="D209" s="10" t="s">
        <v>4419</v>
      </c>
      <c r="E209" s="10" t="s">
        <v>4896</v>
      </c>
      <c r="F209" s="11" t="s">
        <v>4897</v>
      </c>
      <c r="G209" s="10" t="s">
        <v>13</v>
      </c>
      <c r="H209" s="12">
        <v>46264</v>
      </c>
      <c r="I209" s="10" t="s">
        <v>430</v>
      </c>
      <c r="J209" s="10" t="str">
        <f>IFERROR(INDEX([1]Programas!$B$2:$B$50,MATCH(LEFT(I209,3),[1]Programas!$A$2:$A$50,0)),"")</f>
        <v>Análisis y Visualización de Datos</v>
      </c>
      <c r="K209" s="10" t="s">
        <v>335</v>
      </c>
    </row>
    <row r="210" spans="1:11" x14ac:dyDescent="0.2">
      <c r="A210" s="10">
        <v>209</v>
      </c>
      <c r="B210" s="10" t="s">
        <v>490</v>
      </c>
      <c r="C210" s="11" t="s">
        <v>489</v>
      </c>
      <c r="D210" s="10" t="s">
        <v>4419</v>
      </c>
      <c r="E210" s="10" t="s">
        <v>4898</v>
      </c>
      <c r="F210" s="11" t="s">
        <v>4899</v>
      </c>
      <c r="G210" s="10" t="s">
        <v>13</v>
      </c>
      <c r="H210" s="12">
        <v>46264</v>
      </c>
      <c r="I210" s="10" t="s">
        <v>430</v>
      </c>
      <c r="J210" s="10" t="str">
        <f>IFERROR(INDEX([1]Programas!$B$2:$B$50,MATCH(LEFT(I210,3),[1]Programas!$A$2:$A$50,0)),"")</f>
        <v>Análisis y Visualización de Datos</v>
      </c>
      <c r="K210" s="10" t="s">
        <v>335</v>
      </c>
    </row>
    <row r="211" spans="1:11" x14ac:dyDescent="0.2">
      <c r="A211" s="10">
        <v>210</v>
      </c>
      <c r="B211" s="10" t="s">
        <v>492</v>
      </c>
      <c r="C211" s="11" t="s">
        <v>491</v>
      </c>
      <c r="D211" s="10" t="s">
        <v>4419</v>
      </c>
      <c r="E211" s="10" t="s">
        <v>4900</v>
      </c>
      <c r="F211" s="11" t="s">
        <v>4901</v>
      </c>
      <c r="G211" s="10" t="s">
        <v>13</v>
      </c>
      <c r="H211" s="12">
        <v>46264</v>
      </c>
      <c r="I211" s="10" t="s">
        <v>430</v>
      </c>
      <c r="J211" s="10" t="str">
        <f>IFERROR(INDEX([1]Programas!$B$2:$B$50,MATCH(LEFT(I211,3),[1]Programas!$A$2:$A$50,0)),"")</f>
        <v>Análisis y Visualización de Datos</v>
      </c>
      <c r="K211" s="10" t="s">
        <v>335</v>
      </c>
    </row>
    <row r="212" spans="1:11" x14ac:dyDescent="0.2">
      <c r="A212" s="10">
        <v>211</v>
      </c>
      <c r="B212" s="10" t="s">
        <v>494</v>
      </c>
      <c r="C212" s="11" t="s">
        <v>493</v>
      </c>
      <c r="D212" s="10" t="s">
        <v>4419</v>
      </c>
      <c r="E212" s="10" t="s">
        <v>4902</v>
      </c>
      <c r="F212" s="11" t="s">
        <v>4903</v>
      </c>
      <c r="G212" s="10" t="s">
        <v>13</v>
      </c>
      <c r="H212" s="12">
        <v>46264</v>
      </c>
      <c r="I212" s="10" t="s">
        <v>430</v>
      </c>
      <c r="J212" s="10" t="str">
        <f>IFERROR(INDEX([1]Programas!$B$2:$B$50,MATCH(LEFT(I212,3),[1]Programas!$A$2:$A$50,0)),"")</f>
        <v>Análisis y Visualización de Datos</v>
      </c>
      <c r="K212" s="10" t="s">
        <v>335</v>
      </c>
    </row>
    <row r="213" spans="1:11" x14ac:dyDescent="0.2">
      <c r="A213" s="10">
        <v>212</v>
      </c>
      <c r="B213" s="10" t="s">
        <v>4904</v>
      </c>
      <c r="C213" s="11" t="s">
        <v>495</v>
      </c>
      <c r="D213" s="10" t="s">
        <v>4419</v>
      </c>
      <c r="E213" s="10" t="s">
        <v>4905</v>
      </c>
      <c r="F213" s="11" t="s">
        <v>4906</v>
      </c>
      <c r="G213" s="10" t="s">
        <v>13</v>
      </c>
      <c r="H213" s="12">
        <v>46264</v>
      </c>
      <c r="I213" s="10" t="s">
        <v>430</v>
      </c>
      <c r="J213" s="10" t="str">
        <f>IFERROR(INDEX([1]Programas!$B$2:$B$50,MATCH(LEFT(I213,3),[1]Programas!$A$2:$A$50,0)),"")</f>
        <v>Análisis y Visualización de Datos</v>
      </c>
      <c r="K213" s="10" t="s">
        <v>335</v>
      </c>
    </row>
    <row r="214" spans="1:11" x14ac:dyDescent="0.2">
      <c r="A214" s="10">
        <v>213</v>
      </c>
      <c r="B214" s="10" t="s">
        <v>498</v>
      </c>
      <c r="C214" s="11" t="s">
        <v>497</v>
      </c>
      <c r="D214" s="10" t="s">
        <v>4419</v>
      </c>
      <c r="E214" s="10" t="s">
        <v>4907</v>
      </c>
      <c r="F214" s="11" t="s">
        <v>4908</v>
      </c>
      <c r="G214" s="10" t="s">
        <v>13</v>
      </c>
      <c r="H214" s="12">
        <v>46264</v>
      </c>
      <c r="I214" s="10" t="s">
        <v>430</v>
      </c>
      <c r="J214" s="10" t="str">
        <f>IFERROR(INDEX([1]Programas!$B$2:$B$50,MATCH(LEFT(I214,3),[1]Programas!$A$2:$A$50,0)),"")</f>
        <v>Análisis y Visualización de Datos</v>
      </c>
      <c r="K214" s="10" t="s">
        <v>335</v>
      </c>
    </row>
    <row r="215" spans="1:11" x14ac:dyDescent="0.2">
      <c r="A215" s="10">
        <v>214</v>
      </c>
      <c r="B215" s="10" t="s">
        <v>500</v>
      </c>
      <c r="C215" s="11" t="s">
        <v>499</v>
      </c>
      <c r="D215" s="10" t="s">
        <v>4419</v>
      </c>
      <c r="E215" s="10" t="s">
        <v>4909</v>
      </c>
      <c r="F215" s="11" t="s">
        <v>4910</v>
      </c>
      <c r="G215" s="10" t="s">
        <v>13</v>
      </c>
      <c r="H215" s="12">
        <v>46264</v>
      </c>
      <c r="I215" s="10" t="s">
        <v>430</v>
      </c>
      <c r="J215" s="10" t="str">
        <f>IFERROR(INDEX([1]Programas!$B$2:$B$50,MATCH(LEFT(I215,3),[1]Programas!$A$2:$A$50,0)),"")</f>
        <v>Análisis y Visualización de Datos</v>
      </c>
      <c r="K215" s="10" t="s">
        <v>335</v>
      </c>
    </row>
    <row r="216" spans="1:11" x14ac:dyDescent="0.2">
      <c r="A216" s="10">
        <v>215</v>
      </c>
      <c r="B216" s="10" t="s">
        <v>4911</v>
      </c>
      <c r="C216" s="11" t="s">
        <v>501</v>
      </c>
      <c r="D216" s="10" t="s">
        <v>4419</v>
      </c>
      <c r="E216" s="10" t="s">
        <v>4912</v>
      </c>
      <c r="F216" s="11" t="s">
        <v>4913</v>
      </c>
      <c r="G216" s="10" t="s">
        <v>13</v>
      </c>
      <c r="H216" s="12">
        <v>46264</v>
      </c>
      <c r="I216" s="10" t="s">
        <v>430</v>
      </c>
      <c r="J216" s="10" t="str">
        <f>IFERROR(INDEX([1]Programas!$B$2:$B$50,MATCH(LEFT(I216,3),[1]Programas!$A$2:$A$50,0)),"")</f>
        <v>Análisis y Visualización de Datos</v>
      </c>
      <c r="K216" s="10" t="s">
        <v>335</v>
      </c>
    </row>
    <row r="217" spans="1:11" x14ac:dyDescent="0.2">
      <c r="A217" s="10">
        <v>216</v>
      </c>
      <c r="B217" s="10" t="s">
        <v>504</v>
      </c>
      <c r="C217" s="11" t="s">
        <v>503</v>
      </c>
      <c r="D217" s="10" t="s">
        <v>4419</v>
      </c>
      <c r="E217" s="10" t="s">
        <v>4914</v>
      </c>
      <c r="F217" s="11" t="s">
        <v>4915</v>
      </c>
      <c r="G217" s="10" t="s">
        <v>13</v>
      </c>
      <c r="H217" s="12">
        <v>46264</v>
      </c>
      <c r="I217" s="10" t="s">
        <v>430</v>
      </c>
      <c r="J217" s="10" t="str">
        <f>IFERROR(INDEX([1]Programas!$B$2:$B$50,MATCH(LEFT(I217,3),[1]Programas!$A$2:$A$50,0)),"")</f>
        <v>Análisis y Visualización de Datos</v>
      </c>
      <c r="K217" s="10" t="s">
        <v>335</v>
      </c>
    </row>
    <row r="218" spans="1:11" x14ac:dyDescent="0.2">
      <c r="A218" s="10">
        <v>217</v>
      </c>
      <c r="B218" s="10" t="s">
        <v>506</v>
      </c>
      <c r="C218" s="11" t="s">
        <v>505</v>
      </c>
      <c r="D218" s="10" t="s">
        <v>4419</v>
      </c>
      <c r="E218" s="10" t="s">
        <v>4916</v>
      </c>
      <c r="F218" s="11" t="s">
        <v>4917</v>
      </c>
      <c r="G218" s="10" t="s">
        <v>13</v>
      </c>
      <c r="H218" s="12">
        <v>46264</v>
      </c>
      <c r="I218" s="10" t="s">
        <v>430</v>
      </c>
      <c r="J218" s="10" t="str">
        <f>IFERROR(INDEX([1]Programas!$B$2:$B$50,MATCH(LEFT(I218,3),[1]Programas!$A$2:$A$50,0)),"")</f>
        <v>Análisis y Visualización de Datos</v>
      </c>
      <c r="K218" s="10" t="s">
        <v>335</v>
      </c>
    </row>
    <row r="219" spans="1:11" x14ac:dyDescent="0.2">
      <c r="A219" s="10">
        <v>218</v>
      </c>
      <c r="B219" s="10" t="s">
        <v>508</v>
      </c>
      <c r="C219" s="11" t="s">
        <v>507</v>
      </c>
      <c r="D219" s="10" t="s">
        <v>4419</v>
      </c>
      <c r="E219" s="10" t="s">
        <v>4918</v>
      </c>
      <c r="F219" s="11" t="s">
        <v>4919</v>
      </c>
      <c r="G219" s="10" t="s">
        <v>13</v>
      </c>
      <c r="H219" s="12">
        <v>46264</v>
      </c>
      <c r="I219" s="10" t="s">
        <v>430</v>
      </c>
      <c r="J219" s="10" t="str">
        <f>IFERROR(INDEX([1]Programas!$B$2:$B$50,MATCH(LEFT(I219,3),[1]Programas!$A$2:$A$50,0)),"")</f>
        <v>Análisis y Visualización de Datos</v>
      </c>
      <c r="K219" s="10" t="s">
        <v>335</v>
      </c>
    </row>
    <row r="220" spans="1:11" x14ac:dyDescent="0.2">
      <c r="A220" s="10">
        <v>219</v>
      </c>
      <c r="B220" s="10" t="s">
        <v>510</v>
      </c>
      <c r="C220" s="11" t="s">
        <v>509</v>
      </c>
      <c r="D220" s="10" t="s">
        <v>4419</v>
      </c>
      <c r="E220" s="10" t="s">
        <v>4920</v>
      </c>
      <c r="F220" s="11" t="s">
        <v>4921</v>
      </c>
      <c r="G220" s="10" t="s">
        <v>13</v>
      </c>
      <c r="H220" s="12">
        <v>46264</v>
      </c>
      <c r="I220" s="10" t="s">
        <v>430</v>
      </c>
      <c r="J220" s="10" t="str">
        <f>IFERROR(INDEX([1]Programas!$B$2:$B$50,MATCH(LEFT(I220,3),[1]Programas!$A$2:$A$50,0)),"")</f>
        <v>Análisis y Visualización de Datos</v>
      </c>
      <c r="K220" s="10" t="s">
        <v>335</v>
      </c>
    </row>
    <row r="221" spans="1:11" x14ac:dyDescent="0.2">
      <c r="A221" s="10">
        <v>220</v>
      </c>
      <c r="B221" s="10" t="s">
        <v>379</v>
      </c>
      <c r="C221" s="11" t="s">
        <v>378</v>
      </c>
      <c r="D221" s="10" t="s">
        <v>4419</v>
      </c>
      <c r="E221" s="10" t="s">
        <v>4922</v>
      </c>
      <c r="F221" s="11" t="s">
        <v>4923</v>
      </c>
      <c r="G221" s="10" t="s">
        <v>13</v>
      </c>
      <c r="H221" s="12">
        <v>46269</v>
      </c>
      <c r="I221" s="10" t="s">
        <v>430</v>
      </c>
      <c r="J221" s="10" t="str">
        <f>IFERROR(INDEX([1]Programas!$B$2:$B$50,MATCH(LEFT(I221,3),[1]Programas!$A$2:$A$50,0)),"")</f>
        <v>Análisis y Visualización de Datos</v>
      </c>
      <c r="K221" s="10" t="s">
        <v>335</v>
      </c>
    </row>
    <row r="222" spans="1:11" x14ac:dyDescent="0.2">
      <c r="A222" s="10">
        <v>221</v>
      </c>
      <c r="B222" s="10" t="s">
        <v>513</v>
      </c>
      <c r="C222" s="11" t="s">
        <v>512</v>
      </c>
      <c r="D222" s="10" t="s">
        <v>4419</v>
      </c>
      <c r="E222" s="10" t="s">
        <v>4924</v>
      </c>
      <c r="F222" s="11" t="s">
        <v>4925</v>
      </c>
      <c r="G222" s="10" t="s">
        <v>13</v>
      </c>
      <c r="H222" s="12">
        <v>46263</v>
      </c>
      <c r="I222" s="10" t="s">
        <v>515</v>
      </c>
      <c r="J222" s="10" t="str">
        <f>IFERROR(INDEX([1]Programas!$B$2:$B$50,MATCH(LEFT(I222,3),[1]Programas!$A$2:$A$50,0)),"")</f>
        <v>Análisis y Visualización de Datos</v>
      </c>
      <c r="K222" s="10" t="s">
        <v>516</v>
      </c>
    </row>
    <row r="223" spans="1:11" x14ac:dyDescent="0.2">
      <c r="A223" s="10">
        <v>222</v>
      </c>
      <c r="B223" s="10" t="s">
        <v>4926</v>
      </c>
      <c r="C223" s="11" t="s">
        <v>517</v>
      </c>
      <c r="D223" s="10" t="s">
        <v>4419</v>
      </c>
      <c r="E223" s="10" t="s">
        <v>4927</v>
      </c>
      <c r="F223" s="11" t="s">
        <v>4928</v>
      </c>
      <c r="G223" s="10" t="s">
        <v>13</v>
      </c>
      <c r="H223" s="12">
        <v>46263</v>
      </c>
      <c r="I223" s="10" t="s">
        <v>515</v>
      </c>
      <c r="J223" s="10" t="str">
        <f>IFERROR(INDEX([1]Programas!$B$2:$B$50,MATCH(LEFT(I223,3),[1]Programas!$A$2:$A$50,0)),"")</f>
        <v>Análisis y Visualización de Datos</v>
      </c>
      <c r="K223" s="10" t="s">
        <v>516</v>
      </c>
    </row>
    <row r="224" spans="1:11" x14ac:dyDescent="0.2">
      <c r="A224" s="10">
        <v>223</v>
      </c>
      <c r="B224" s="10" t="s">
        <v>520</v>
      </c>
      <c r="C224" s="11" t="s">
        <v>519</v>
      </c>
      <c r="D224" s="10" t="s">
        <v>4419</v>
      </c>
      <c r="E224" s="10" t="s">
        <v>4929</v>
      </c>
      <c r="F224" s="11" t="s">
        <v>4930</v>
      </c>
      <c r="G224" s="10" t="s">
        <v>13</v>
      </c>
      <c r="H224" s="12">
        <v>46264</v>
      </c>
      <c r="I224" s="10" t="s">
        <v>515</v>
      </c>
      <c r="J224" s="10" t="str">
        <f>IFERROR(INDEX([1]Programas!$B$2:$B$50,MATCH(LEFT(I224,3),[1]Programas!$A$2:$A$50,0)),"")</f>
        <v>Análisis y Visualización de Datos</v>
      </c>
      <c r="K224" s="10" t="s">
        <v>516</v>
      </c>
    </row>
    <row r="225" spans="1:11" x14ac:dyDescent="0.2">
      <c r="A225" s="10">
        <v>224</v>
      </c>
      <c r="B225" s="10" t="s">
        <v>4931</v>
      </c>
      <c r="C225" s="11" t="s">
        <v>522</v>
      </c>
      <c r="D225" s="10" t="s">
        <v>4419</v>
      </c>
      <c r="E225" s="10" t="s">
        <v>4932</v>
      </c>
      <c r="F225" s="11" t="s">
        <v>4933</v>
      </c>
      <c r="G225" s="10" t="s">
        <v>13</v>
      </c>
      <c r="H225" s="12">
        <v>46264</v>
      </c>
      <c r="I225" s="10" t="s">
        <v>515</v>
      </c>
      <c r="J225" s="10" t="str">
        <f>IFERROR(INDEX([1]Programas!$B$2:$B$50,MATCH(LEFT(I225,3),[1]Programas!$A$2:$A$50,0)),"")</f>
        <v>Análisis y Visualización de Datos</v>
      </c>
      <c r="K225" s="10" t="s">
        <v>516</v>
      </c>
    </row>
    <row r="226" spans="1:11" x14ac:dyDescent="0.2">
      <c r="A226" s="10">
        <v>225</v>
      </c>
      <c r="B226" s="10" t="s">
        <v>4934</v>
      </c>
      <c r="C226" s="11" t="s">
        <v>524</v>
      </c>
      <c r="D226" s="10" t="s">
        <v>4419</v>
      </c>
      <c r="E226" s="10" t="s">
        <v>4935</v>
      </c>
      <c r="F226" s="11" t="s">
        <v>4936</v>
      </c>
      <c r="G226" s="10" t="s">
        <v>13</v>
      </c>
      <c r="H226" s="12">
        <v>46264</v>
      </c>
      <c r="I226" s="10" t="s">
        <v>515</v>
      </c>
      <c r="J226" s="10" t="str">
        <f>IFERROR(INDEX([1]Programas!$B$2:$B$50,MATCH(LEFT(I226,3),[1]Programas!$A$2:$A$50,0)),"")</f>
        <v>Análisis y Visualización de Datos</v>
      </c>
      <c r="K226" s="10" t="s">
        <v>516</v>
      </c>
    </row>
    <row r="227" spans="1:11" x14ac:dyDescent="0.2">
      <c r="A227" s="10">
        <v>226</v>
      </c>
      <c r="B227" s="10" t="s">
        <v>527</v>
      </c>
      <c r="C227" s="11" t="s">
        <v>526</v>
      </c>
      <c r="D227" s="10" t="s">
        <v>4419</v>
      </c>
      <c r="E227" s="10" t="s">
        <v>4937</v>
      </c>
      <c r="F227" s="11" t="s">
        <v>4938</v>
      </c>
      <c r="G227" s="10" t="s">
        <v>13</v>
      </c>
      <c r="H227" s="12">
        <v>46264</v>
      </c>
      <c r="I227" s="10" t="s">
        <v>515</v>
      </c>
      <c r="J227" s="10" t="str">
        <f>IFERROR(INDEX([1]Programas!$B$2:$B$50,MATCH(LEFT(I227,3),[1]Programas!$A$2:$A$50,0)),"")</f>
        <v>Análisis y Visualización de Datos</v>
      </c>
      <c r="K227" s="10" t="s">
        <v>516</v>
      </c>
    </row>
    <row r="228" spans="1:11" x14ac:dyDescent="0.2">
      <c r="A228" s="10">
        <v>227</v>
      </c>
      <c r="B228" s="10" t="s">
        <v>529</v>
      </c>
      <c r="C228" s="11" t="s">
        <v>528</v>
      </c>
      <c r="D228" s="10" t="s">
        <v>4419</v>
      </c>
      <c r="E228" s="10" t="s">
        <v>4939</v>
      </c>
      <c r="F228" s="11" t="s">
        <v>4940</v>
      </c>
      <c r="G228" s="10" t="s">
        <v>13</v>
      </c>
      <c r="H228" s="12">
        <v>46264</v>
      </c>
      <c r="I228" s="10" t="s">
        <v>515</v>
      </c>
      <c r="J228" s="10" t="str">
        <f>IFERROR(INDEX([1]Programas!$B$2:$B$50,MATCH(LEFT(I228,3),[1]Programas!$A$2:$A$50,0)),"")</f>
        <v>Análisis y Visualización de Datos</v>
      </c>
      <c r="K228" s="10" t="s">
        <v>516</v>
      </c>
    </row>
    <row r="229" spans="1:11" x14ac:dyDescent="0.2">
      <c r="A229" s="10">
        <v>228</v>
      </c>
      <c r="B229" s="10" t="s">
        <v>531</v>
      </c>
      <c r="C229" s="11" t="s">
        <v>530</v>
      </c>
      <c r="D229" s="10" t="s">
        <v>4419</v>
      </c>
      <c r="E229" s="10" t="s">
        <v>4941</v>
      </c>
      <c r="F229" s="11" t="s">
        <v>4942</v>
      </c>
      <c r="G229" s="10" t="s">
        <v>13</v>
      </c>
      <c r="H229" s="12">
        <v>46264</v>
      </c>
      <c r="I229" s="10" t="s">
        <v>515</v>
      </c>
      <c r="J229" s="10" t="str">
        <f>IFERROR(INDEX([1]Programas!$B$2:$B$50,MATCH(LEFT(I229,3),[1]Programas!$A$2:$A$50,0)),"")</f>
        <v>Análisis y Visualización de Datos</v>
      </c>
      <c r="K229" s="10" t="s">
        <v>516</v>
      </c>
    </row>
    <row r="230" spans="1:11" x14ac:dyDescent="0.2">
      <c r="A230" s="10">
        <v>229</v>
      </c>
      <c r="B230" s="10" t="s">
        <v>533</v>
      </c>
      <c r="C230" s="11" t="s">
        <v>532</v>
      </c>
      <c r="D230" s="10" t="s">
        <v>4419</v>
      </c>
      <c r="E230" s="10" t="s">
        <v>4943</v>
      </c>
      <c r="F230" s="11" t="s">
        <v>4944</v>
      </c>
      <c r="G230" s="10" t="s">
        <v>13</v>
      </c>
      <c r="H230" s="12">
        <v>46264</v>
      </c>
      <c r="I230" s="10" t="s">
        <v>515</v>
      </c>
      <c r="J230" s="10" t="str">
        <f>IFERROR(INDEX([1]Programas!$B$2:$B$50,MATCH(LEFT(I230,3),[1]Programas!$A$2:$A$50,0)),"")</f>
        <v>Análisis y Visualización de Datos</v>
      </c>
      <c r="K230" s="10" t="s">
        <v>516</v>
      </c>
    </row>
    <row r="231" spans="1:11" x14ac:dyDescent="0.2">
      <c r="A231" s="10">
        <v>230</v>
      </c>
      <c r="B231" s="10" t="s">
        <v>535</v>
      </c>
      <c r="C231" s="11" t="s">
        <v>534</v>
      </c>
      <c r="D231" s="10" t="s">
        <v>4419</v>
      </c>
      <c r="E231" s="10" t="s">
        <v>4945</v>
      </c>
      <c r="F231" s="11" t="s">
        <v>4946</v>
      </c>
      <c r="G231" s="10" t="s">
        <v>13</v>
      </c>
      <c r="H231" s="12">
        <v>46264</v>
      </c>
      <c r="I231" s="10" t="s">
        <v>515</v>
      </c>
      <c r="J231" s="10" t="str">
        <f>IFERROR(INDEX([1]Programas!$B$2:$B$50,MATCH(LEFT(I231,3),[1]Programas!$A$2:$A$50,0)),"")</f>
        <v>Análisis y Visualización de Datos</v>
      </c>
      <c r="K231" s="10" t="s">
        <v>516</v>
      </c>
    </row>
    <row r="232" spans="1:11" x14ac:dyDescent="0.2">
      <c r="A232" s="10">
        <v>231</v>
      </c>
      <c r="B232" s="10" t="s">
        <v>4947</v>
      </c>
      <c r="C232" s="11" t="s">
        <v>536</v>
      </c>
      <c r="D232" s="10" t="s">
        <v>4419</v>
      </c>
      <c r="E232" s="10" t="s">
        <v>4948</v>
      </c>
      <c r="F232" s="11" t="s">
        <v>4949</v>
      </c>
      <c r="G232" s="10" t="s">
        <v>13</v>
      </c>
      <c r="H232" s="12">
        <v>46264</v>
      </c>
      <c r="I232" s="10" t="s">
        <v>515</v>
      </c>
      <c r="J232" s="10" t="str">
        <f>IFERROR(INDEX([1]Programas!$B$2:$B$50,MATCH(LEFT(I232,3),[1]Programas!$A$2:$A$50,0)),"")</f>
        <v>Análisis y Visualización de Datos</v>
      </c>
      <c r="K232" s="10" t="s">
        <v>516</v>
      </c>
    </row>
    <row r="233" spans="1:11" x14ac:dyDescent="0.2">
      <c r="A233" s="10">
        <v>232</v>
      </c>
      <c r="B233" s="10" t="s">
        <v>539</v>
      </c>
      <c r="C233" s="11" t="s">
        <v>538</v>
      </c>
      <c r="D233" s="10" t="s">
        <v>4419</v>
      </c>
      <c r="E233" s="10" t="s">
        <v>4950</v>
      </c>
      <c r="F233" s="11" t="s">
        <v>4951</v>
      </c>
      <c r="G233" s="10" t="s">
        <v>13</v>
      </c>
      <c r="H233" s="12">
        <v>46264</v>
      </c>
      <c r="I233" s="10" t="s">
        <v>515</v>
      </c>
      <c r="J233" s="10" t="str">
        <f>IFERROR(INDEX([1]Programas!$B$2:$B$50,MATCH(LEFT(I233,3),[1]Programas!$A$2:$A$50,0)),"")</f>
        <v>Análisis y Visualización de Datos</v>
      </c>
      <c r="K233" s="10" t="s">
        <v>516</v>
      </c>
    </row>
    <row r="234" spans="1:11" x14ac:dyDescent="0.2">
      <c r="A234" s="10">
        <v>233</v>
      </c>
      <c r="B234" s="10" t="s">
        <v>541</v>
      </c>
      <c r="C234" s="11" t="s">
        <v>540</v>
      </c>
      <c r="D234" s="10" t="s">
        <v>4419</v>
      </c>
      <c r="E234" s="10" t="s">
        <v>4952</v>
      </c>
      <c r="F234" s="11" t="s">
        <v>4953</v>
      </c>
      <c r="G234" s="10" t="s">
        <v>13</v>
      </c>
      <c r="H234" s="12">
        <v>46264</v>
      </c>
      <c r="I234" s="10" t="s">
        <v>515</v>
      </c>
      <c r="J234" s="10" t="str">
        <f>IFERROR(INDEX([1]Programas!$B$2:$B$50,MATCH(LEFT(I234,3),[1]Programas!$A$2:$A$50,0)),"")</f>
        <v>Análisis y Visualización de Datos</v>
      </c>
      <c r="K234" s="10" t="s">
        <v>516</v>
      </c>
    </row>
    <row r="235" spans="1:11" x14ac:dyDescent="0.2">
      <c r="A235" s="10">
        <v>234</v>
      </c>
      <c r="B235" s="10" t="s">
        <v>543</v>
      </c>
      <c r="C235" s="11" t="s">
        <v>542</v>
      </c>
      <c r="D235" s="10" t="s">
        <v>4419</v>
      </c>
      <c r="E235" s="10" t="s">
        <v>4954</v>
      </c>
      <c r="F235" s="11" t="s">
        <v>4955</v>
      </c>
      <c r="G235" s="10" t="s">
        <v>13</v>
      </c>
      <c r="H235" s="12">
        <v>46264</v>
      </c>
      <c r="I235" s="10" t="s">
        <v>515</v>
      </c>
      <c r="J235" s="10" t="str">
        <f>IFERROR(INDEX([1]Programas!$B$2:$B$50,MATCH(LEFT(I235,3),[1]Programas!$A$2:$A$50,0)),"")</f>
        <v>Análisis y Visualización de Datos</v>
      </c>
      <c r="K235" s="10" t="s">
        <v>516</v>
      </c>
    </row>
    <row r="236" spans="1:11" x14ac:dyDescent="0.2">
      <c r="A236" s="10">
        <v>235</v>
      </c>
      <c r="B236" s="10" t="s">
        <v>545</v>
      </c>
      <c r="C236" s="11" t="s">
        <v>544</v>
      </c>
      <c r="D236" s="10" t="s">
        <v>4419</v>
      </c>
      <c r="E236" s="10" t="s">
        <v>4956</v>
      </c>
      <c r="F236" s="11" t="s">
        <v>4957</v>
      </c>
      <c r="G236" s="10" t="s">
        <v>13</v>
      </c>
      <c r="H236" s="12">
        <v>46264</v>
      </c>
      <c r="I236" s="10" t="s">
        <v>515</v>
      </c>
      <c r="J236" s="10" t="str">
        <f>IFERROR(INDEX([1]Programas!$B$2:$B$50,MATCH(LEFT(I236,3),[1]Programas!$A$2:$A$50,0)),"")</f>
        <v>Análisis y Visualización de Datos</v>
      </c>
      <c r="K236" s="10" t="s">
        <v>516</v>
      </c>
    </row>
    <row r="237" spans="1:11" x14ac:dyDescent="0.2">
      <c r="A237" s="10">
        <v>236</v>
      </c>
      <c r="B237" s="10" t="s">
        <v>547</v>
      </c>
      <c r="C237" s="11" t="s">
        <v>546</v>
      </c>
      <c r="D237" s="10" t="s">
        <v>4419</v>
      </c>
      <c r="E237" s="10" t="s">
        <v>4958</v>
      </c>
      <c r="F237" s="11" t="s">
        <v>4959</v>
      </c>
      <c r="G237" s="10" t="s">
        <v>13</v>
      </c>
      <c r="H237" s="12">
        <v>46264</v>
      </c>
      <c r="I237" s="10" t="s">
        <v>515</v>
      </c>
      <c r="J237" s="10" t="str">
        <f>IFERROR(INDEX([1]Programas!$B$2:$B$50,MATCH(LEFT(I237,3),[1]Programas!$A$2:$A$50,0)),"")</f>
        <v>Análisis y Visualización de Datos</v>
      </c>
      <c r="K237" s="10" t="s">
        <v>516</v>
      </c>
    </row>
    <row r="238" spans="1:11" x14ac:dyDescent="0.2">
      <c r="A238" s="10">
        <v>237</v>
      </c>
      <c r="B238" s="10" t="s">
        <v>549</v>
      </c>
      <c r="C238" s="11" t="s">
        <v>548</v>
      </c>
      <c r="D238" s="10" t="s">
        <v>4419</v>
      </c>
      <c r="E238" s="10" t="s">
        <v>4960</v>
      </c>
      <c r="F238" s="11" t="s">
        <v>4961</v>
      </c>
      <c r="G238" s="10" t="s">
        <v>13</v>
      </c>
      <c r="H238" s="12">
        <v>46264</v>
      </c>
      <c r="I238" s="10" t="s">
        <v>515</v>
      </c>
      <c r="J238" s="10" t="str">
        <f>IFERROR(INDEX([1]Programas!$B$2:$B$50,MATCH(LEFT(I238,3),[1]Programas!$A$2:$A$50,0)),"")</f>
        <v>Análisis y Visualización de Datos</v>
      </c>
      <c r="K238" s="10" t="s">
        <v>516</v>
      </c>
    </row>
    <row r="239" spans="1:11" x14ac:dyDescent="0.2">
      <c r="A239" s="10">
        <v>238</v>
      </c>
      <c r="B239" s="10" t="s">
        <v>551</v>
      </c>
      <c r="C239" s="11" t="s">
        <v>550</v>
      </c>
      <c r="D239" s="10" t="s">
        <v>4419</v>
      </c>
      <c r="E239" s="10" t="s">
        <v>4962</v>
      </c>
      <c r="F239" s="11" t="s">
        <v>4963</v>
      </c>
      <c r="G239" s="10" t="s">
        <v>13</v>
      </c>
      <c r="H239" s="12">
        <v>46264</v>
      </c>
      <c r="I239" s="10" t="s">
        <v>515</v>
      </c>
      <c r="J239" s="10" t="str">
        <f>IFERROR(INDEX([1]Programas!$B$2:$B$50,MATCH(LEFT(I239,3),[1]Programas!$A$2:$A$50,0)),"")</f>
        <v>Análisis y Visualización de Datos</v>
      </c>
      <c r="K239" s="10" t="s">
        <v>516</v>
      </c>
    </row>
    <row r="240" spans="1:11" x14ac:dyDescent="0.2">
      <c r="A240" s="10">
        <v>239</v>
      </c>
      <c r="B240" s="10" t="s">
        <v>553</v>
      </c>
      <c r="C240" s="11" t="s">
        <v>552</v>
      </c>
      <c r="D240" s="10" t="s">
        <v>4419</v>
      </c>
      <c r="E240" s="10" t="s">
        <v>4964</v>
      </c>
      <c r="F240" s="11" t="s">
        <v>4965</v>
      </c>
      <c r="G240" s="10" t="s">
        <v>13</v>
      </c>
      <c r="H240" s="12">
        <v>46264</v>
      </c>
      <c r="I240" s="10" t="s">
        <v>515</v>
      </c>
      <c r="J240" s="10" t="str">
        <f>IFERROR(INDEX([1]Programas!$B$2:$B$50,MATCH(LEFT(I240,3),[1]Programas!$A$2:$A$50,0)),"")</f>
        <v>Análisis y Visualización de Datos</v>
      </c>
      <c r="K240" s="10" t="s">
        <v>516</v>
      </c>
    </row>
    <row r="241" spans="1:11" x14ac:dyDescent="0.2">
      <c r="A241" s="10">
        <v>240</v>
      </c>
      <c r="B241" s="10" t="s">
        <v>555</v>
      </c>
      <c r="C241" s="11" t="s">
        <v>554</v>
      </c>
      <c r="D241" s="10" t="s">
        <v>4419</v>
      </c>
      <c r="E241" s="10" t="s">
        <v>4966</v>
      </c>
      <c r="F241" s="11" t="s">
        <v>4967</v>
      </c>
      <c r="G241" s="10" t="s">
        <v>13</v>
      </c>
      <c r="H241" s="12">
        <v>46264</v>
      </c>
      <c r="I241" s="10" t="s">
        <v>515</v>
      </c>
      <c r="J241" s="10" t="str">
        <f>IFERROR(INDEX([1]Programas!$B$2:$B$50,MATCH(LEFT(I241,3),[1]Programas!$A$2:$A$50,0)),"")</f>
        <v>Análisis y Visualización de Datos</v>
      </c>
      <c r="K241" s="10" t="s">
        <v>516</v>
      </c>
    </row>
    <row r="242" spans="1:11" x14ac:dyDescent="0.2">
      <c r="A242" s="10">
        <v>241</v>
      </c>
      <c r="B242" s="10" t="s">
        <v>557</v>
      </c>
      <c r="C242" s="11" t="s">
        <v>556</v>
      </c>
      <c r="D242" s="10" t="s">
        <v>4419</v>
      </c>
      <c r="E242" s="10" t="s">
        <v>4968</v>
      </c>
      <c r="F242" s="11" t="s">
        <v>4969</v>
      </c>
      <c r="G242" s="10" t="s">
        <v>13</v>
      </c>
      <c r="H242" s="12">
        <v>46264</v>
      </c>
      <c r="I242" s="10" t="s">
        <v>515</v>
      </c>
      <c r="J242" s="10" t="str">
        <f>IFERROR(INDEX([1]Programas!$B$2:$B$50,MATCH(LEFT(I242,3),[1]Programas!$A$2:$A$50,0)),"")</f>
        <v>Análisis y Visualización de Datos</v>
      </c>
      <c r="K242" s="10" t="s">
        <v>516</v>
      </c>
    </row>
    <row r="243" spans="1:11" x14ac:dyDescent="0.2">
      <c r="A243" s="10">
        <v>242</v>
      </c>
      <c r="B243" s="10" t="s">
        <v>559</v>
      </c>
      <c r="C243" s="11" t="s">
        <v>558</v>
      </c>
      <c r="D243" s="10" t="s">
        <v>4419</v>
      </c>
      <c r="E243" s="10" t="s">
        <v>4970</v>
      </c>
      <c r="F243" s="11" t="s">
        <v>4971</v>
      </c>
      <c r="G243" s="10" t="s">
        <v>13</v>
      </c>
      <c r="H243" s="12">
        <v>46264</v>
      </c>
      <c r="I243" s="10" t="s">
        <v>515</v>
      </c>
      <c r="J243" s="10" t="str">
        <f>IFERROR(INDEX([1]Programas!$B$2:$B$50,MATCH(LEFT(I243,3),[1]Programas!$A$2:$A$50,0)),"")</f>
        <v>Análisis y Visualización de Datos</v>
      </c>
      <c r="K243" s="10" t="s">
        <v>516</v>
      </c>
    </row>
    <row r="244" spans="1:11" x14ac:dyDescent="0.2">
      <c r="A244" s="10">
        <v>243</v>
      </c>
      <c r="B244" s="10" t="s">
        <v>4972</v>
      </c>
      <c r="C244" s="11" t="s">
        <v>560</v>
      </c>
      <c r="D244" s="10" t="s">
        <v>4419</v>
      </c>
      <c r="E244" s="10" t="s">
        <v>4973</v>
      </c>
      <c r="F244" s="11" t="s">
        <v>4974</v>
      </c>
      <c r="G244" s="10" t="s">
        <v>13</v>
      </c>
      <c r="H244" s="12">
        <v>46264</v>
      </c>
      <c r="I244" s="10" t="s">
        <v>515</v>
      </c>
      <c r="J244" s="10" t="str">
        <f>IFERROR(INDEX([1]Programas!$B$2:$B$50,MATCH(LEFT(I244,3),[1]Programas!$A$2:$A$50,0)),"")</f>
        <v>Análisis y Visualización de Datos</v>
      </c>
      <c r="K244" s="10" t="s">
        <v>516</v>
      </c>
    </row>
    <row r="245" spans="1:11" x14ac:dyDescent="0.2">
      <c r="A245" s="10">
        <v>244</v>
      </c>
      <c r="B245" s="10" t="s">
        <v>4975</v>
      </c>
      <c r="C245" s="11" t="s">
        <v>562</v>
      </c>
      <c r="D245" s="10" t="s">
        <v>4419</v>
      </c>
      <c r="E245" s="10" t="s">
        <v>4976</v>
      </c>
      <c r="F245" s="11" t="s">
        <v>4977</v>
      </c>
      <c r="G245" s="10" t="s">
        <v>13</v>
      </c>
      <c r="H245" s="12">
        <v>46264</v>
      </c>
      <c r="I245" s="10" t="s">
        <v>515</v>
      </c>
      <c r="J245" s="10" t="str">
        <f>IFERROR(INDEX([1]Programas!$B$2:$B$50,MATCH(LEFT(I245,3),[1]Programas!$A$2:$A$50,0)),"")</f>
        <v>Análisis y Visualización de Datos</v>
      </c>
      <c r="K245" s="10" t="s">
        <v>516</v>
      </c>
    </row>
    <row r="246" spans="1:11" x14ac:dyDescent="0.2">
      <c r="A246" s="10">
        <v>245</v>
      </c>
      <c r="B246" s="10" t="s">
        <v>565</v>
      </c>
      <c r="C246" s="11" t="s">
        <v>564</v>
      </c>
      <c r="D246" s="10" t="s">
        <v>4419</v>
      </c>
      <c r="E246" s="10" t="s">
        <v>4978</v>
      </c>
      <c r="F246" s="11" t="s">
        <v>4979</v>
      </c>
      <c r="G246" s="10" t="s">
        <v>13</v>
      </c>
      <c r="H246" s="12">
        <v>46264</v>
      </c>
      <c r="I246" s="10" t="s">
        <v>515</v>
      </c>
      <c r="J246" s="10" t="str">
        <f>IFERROR(INDEX([1]Programas!$B$2:$B$50,MATCH(LEFT(I246,3),[1]Programas!$A$2:$A$50,0)),"")</f>
        <v>Análisis y Visualización de Datos</v>
      </c>
      <c r="K246" s="10" t="s">
        <v>516</v>
      </c>
    </row>
    <row r="247" spans="1:11" x14ac:dyDescent="0.2">
      <c r="A247" s="10">
        <v>246</v>
      </c>
      <c r="B247" s="10" t="s">
        <v>567</v>
      </c>
      <c r="C247" s="11" t="s">
        <v>566</v>
      </c>
      <c r="D247" s="10" t="s">
        <v>4419</v>
      </c>
      <c r="E247" s="10" t="s">
        <v>4980</v>
      </c>
      <c r="F247" s="11" t="s">
        <v>4981</v>
      </c>
      <c r="G247" s="10" t="s">
        <v>13</v>
      </c>
      <c r="H247" s="12">
        <v>46264</v>
      </c>
      <c r="I247" s="10" t="s">
        <v>515</v>
      </c>
      <c r="J247" s="10" t="str">
        <f>IFERROR(INDEX([1]Programas!$B$2:$B$50,MATCH(LEFT(I247,3),[1]Programas!$A$2:$A$50,0)),"")</f>
        <v>Análisis y Visualización de Datos</v>
      </c>
      <c r="K247" s="10" t="s">
        <v>516</v>
      </c>
    </row>
    <row r="248" spans="1:11" x14ac:dyDescent="0.2">
      <c r="A248" s="10">
        <v>247</v>
      </c>
      <c r="B248" s="10" t="s">
        <v>569</v>
      </c>
      <c r="C248" s="11" t="s">
        <v>568</v>
      </c>
      <c r="D248" s="10" t="s">
        <v>4419</v>
      </c>
      <c r="E248" s="10" t="s">
        <v>4982</v>
      </c>
      <c r="F248" s="11" t="s">
        <v>4983</v>
      </c>
      <c r="G248" s="10" t="s">
        <v>13</v>
      </c>
      <c r="H248" s="12">
        <v>46264</v>
      </c>
      <c r="I248" s="10" t="s">
        <v>515</v>
      </c>
      <c r="J248" s="10" t="str">
        <f>IFERROR(INDEX([1]Programas!$B$2:$B$50,MATCH(LEFT(I248,3),[1]Programas!$A$2:$A$50,0)),"")</f>
        <v>Análisis y Visualización de Datos</v>
      </c>
      <c r="K248" s="10" t="s">
        <v>516</v>
      </c>
    </row>
    <row r="249" spans="1:11" x14ac:dyDescent="0.2">
      <c r="A249" s="10">
        <v>248</v>
      </c>
      <c r="B249" s="10" t="s">
        <v>571</v>
      </c>
      <c r="C249" s="11" t="s">
        <v>570</v>
      </c>
      <c r="D249" s="10" t="s">
        <v>4419</v>
      </c>
      <c r="E249" s="10" t="s">
        <v>4984</v>
      </c>
      <c r="F249" s="11" t="s">
        <v>4985</v>
      </c>
      <c r="G249" s="10" t="s">
        <v>13</v>
      </c>
      <c r="H249" s="12">
        <v>46264</v>
      </c>
      <c r="I249" s="10" t="s">
        <v>515</v>
      </c>
      <c r="J249" s="10" t="str">
        <f>IFERROR(INDEX([1]Programas!$B$2:$B$50,MATCH(LEFT(I249,3),[1]Programas!$A$2:$A$50,0)),"")</f>
        <v>Análisis y Visualización de Datos</v>
      </c>
      <c r="K249" s="10" t="s">
        <v>516</v>
      </c>
    </row>
    <row r="250" spans="1:11" x14ac:dyDescent="0.2">
      <c r="A250" s="10">
        <v>249</v>
      </c>
      <c r="B250" s="10" t="s">
        <v>573</v>
      </c>
      <c r="C250" s="11" t="s">
        <v>572</v>
      </c>
      <c r="D250" s="10" t="s">
        <v>4419</v>
      </c>
      <c r="E250" s="10" t="s">
        <v>4986</v>
      </c>
      <c r="F250" s="11" t="s">
        <v>4987</v>
      </c>
      <c r="G250" s="10" t="s">
        <v>13</v>
      </c>
      <c r="H250" s="12">
        <v>46264</v>
      </c>
      <c r="I250" s="10" t="s">
        <v>515</v>
      </c>
      <c r="J250" s="10" t="str">
        <f>IFERROR(INDEX([1]Programas!$B$2:$B$50,MATCH(LEFT(I250,3),[1]Programas!$A$2:$A$50,0)),"")</f>
        <v>Análisis y Visualización de Datos</v>
      </c>
      <c r="K250" s="10" t="s">
        <v>516</v>
      </c>
    </row>
    <row r="251" spans="1:11" x14ac:dyDescent="0.2">
      <c r="A251" s="10">
        <v>250</v>
      </c>
      <c r="B251" s="10" t="s">
        <v>575</v>
      </c>
      <c r="C251" s="11" t="s">
        <v>574</v>
      </c>
      <c r="D251" s="10" t="s">
        <v>4419</v>
      </c>
      <c r="E251" s="10" t="s">
        <v>4988</v>
      </c>
      <c r="F251" s="11" t="s">
        <v>4989</v>
      </c>
      <c r="G251" s="10" t="s">
        <v>13</v>
      </c>
      <c r="H251" s="12">
        <v>46264</v>
      </c>
      <c r="I251" s="10" t="s">
        <v>515</v>
      </c>
      <c r="J251" s="10" t="str">
        <f>IFERROR(INDEX([1]Programas!$B$2:$B$50,MATCH(LEFT(I251,3),[1]Programas!$A$2:$A$50,0)),"")</f>
        <v>Análisis y Visualización de Datos</v>
      </c>
      <c r="K251" s="10" t="s">
        <v>516</v>
      </c>
    </row>
    <row r="252" spans="1:11" x14ac:dyDescent="0.2">
      <c r="A252" s="10">
        <v>251</v>
      </c>
      <c r="B252" s="10" t="s">
        <v>4990</v>
      </c>
      <c r="C252" s="11" t="s">
        <v>576</v>
      </c>
      <c r="D252" s="10" t="s">
        <v>4419</v>
      </c>
      <c r="E252" s="10" t="s">
        <v>4991</v>
      </c>
      <c r="F252" s="11" t="s">
        <v>4992</v>
      </c>
      <c r="G252" s="10" t="s">
        <v>13</v>
      </c>
      <c r="H252" s="12">
        <v>46264</v>
      </c>
      <c r="I252" s="10" t="s">
        <v>515</v>
      </c>
      <c r="J252" s="10" t="str">
        <f>IFERROR(INDEX([1]Programas!$B$2:$B$50,MATCH(LEFT(I252,3),[1]Programas!$A$2:$A$50,0)),"")</f>
        <v>Análisis y Visualización de Datos</v>
      </c>
      <c r="K252" s="10" t="s">
        <v>516</v>
      </c>
    </row>
    <row r="253" spans="1:11" x14ac:dyDescent="0.2">
      <c r="A253" s="10">
        <v>252</v>
      </c>
      <c r="B253" s="10" t="s">
        <v>4993</v>
      </c>
      <c r="C253" s="11" t="s">
        <v>579</v>
      </c>
      <c r="D253" s="10" t="s">
        <v>4419</v>
      </c>
      <c r="E253" s="10" t="s">
        <v>4994</v>
      </c>
      <c r="F253" s="11" t="s">
        <v>4995</v>
      </c>
      <c r="G253" s="10" t="s">
        <v>13</v>
      </c>
      <c r="H253" s="12">
        <v>46264</v>
      </c>
      <c r="I253" s="10" t="s">
        <v>582</v>
      </c>
      <c r="J253" s="10" t="str">
        <f>IFERROR(INDEX([1]Programas!$B$2:$B$50,MATCH(LEFT(I253,3),[1]Programas!$A$2:$A$50,0)),"")</f>
        <v>Análisis y Visualización de Datos</v>
      </c>
      <c r="K253" s="10" t="s">
        <v>516</v>
      </c>
    </row>
    <row r="254" spans="1:11" x14ac:dyDescent="0.2">
      <c r="A254" s="10">
        <v>253</v>
      </c>
      <c r="B254" s="10" t="s">
        <v>584</v>
      </c>
      <c r="C254" s="11" t="s">
        <v>583</v>
      </c>
      <c r="D254" s="10" t="s">
        <v>4419</v>
      </c>
      <c r="E254" s="10" t="s">
        <v>4996</v>
      </c>
      <c r="F254" s="11" t="s">
        <v>4997</v>
      </c>
      <c r="G254" s="10" t="s">
        <v>13</v>
      </c>
      <c r="H254" s="12">
        <v>46264</v>
      </c>
      <c r="I254" s="10" t="s">
        <v>582</v>
      </c>
      <c r="J254" s="10" t="str">
        <f>IFERROR(INDEX([1]Programas!$B$2:$B$50,MATCH(LEFT(I254,3),[1]Programas!$A$2:$A$50,0)),"")</f>
        <v>Análisis y Visualización de Datos</v>
      </c>
      <c r="K254" s="10" t="s">
        <v>516</v>
      </c>
    </row>
    <row r="255" spans="1:11" x14ac:dyDescent="0.2">
      <c r="A255" s="10">
        <v>254</v>
      </c>
      <c r="B255" s="10" t="s">
        <v>586</v>
      </c>
      <c r="C255" s="11" t="s">
        <v>585</v>
      </c>
      <c r="D255" s="10" t="s">
        <v>4419</v>
      </c>
      <c r="E255" s="10" t="s">
        <v>4998</v>
      </c>
      <c r="F255" s="11" t="s">
        <v>4999</v>
      </c>
      <c r="G255" s="10" t="s">
        <v>13</v>
      </c>
      <c r="H255" s="12">
        <v>46264</v>
      </c>
      <c r="I255" s="10" t="s">
        <v>582</v>
      </c>
      <c r="J255" s="10" t="str">
        <f>IFERROR(INDEX([1]Programas!$B$2:$B$50,MATCH(LEFT(I255,3),[1]Programas!$A$2:$A$50,0)),"")</f>
        <v>Análisis y Visualización de Datos</v>
      </c>
      <c r="K255" s="10" t="s">
        <v>516</v>
      </c>
    </row>
    <row r="256" spans="1:11" x14ac:dyDescent="0.2">
      <c r="A256" s="10">
        <v>255</v>
      </c>
      <c r="B256" s="10" t="s">
        <v>5000</v>
      </c>
      <c r="C256" s="11" t="s">
        <v>587</v>
      </c>
      <c r="D256" s="10" t="s">
        <v>4419</v>
      </c>
      <c r="E256" s="10" t="s">
        <v>5001</v>
      </c>
      <c r="F256" s="11" t="s">
        <v>5002</v>
      </c>
      <c r="G256" s="10" t="s">
        <v>13</v>
      </c>
      <c r="H256" s="12">
        <v>46264</v>
      </c>
      <c r="I256" s="10" t="s">
        <v>582</v>
      </c>
      <c r="J256" s="10" t="str">
        <f>IFERROR(INDEX([1]Programas!$B$2:$B$50,MATCH(LEFT(I256,3),[1]Programas!$A$2:$A$50,0)),"")</f>
        <v>Análisis y Visualización de Datos</v>
      </c>
      <c r="K256" s="10" t="s">
        <v>516</v>
      </c>
    </row>
    <row r="257" spans="1:11" x14ac:dyDescent="0.2">
      <c r="A257" s="10">
        <v>256</v>
      </c>
      <c r="B257" s="10" t="s">
        <v>590</v>
      </c>
      <c r="C257" s="11" t="s">
        <v>589</v>
      </c>
      <c r="D257" s="10" t="s">
        <v>5003</v>
      </c>
      <c r="E257" s="10" t="s">
        <v>5004</v>
      </c>
      <c r="F257" s="11" t="s">
        <v>5005</v>
      </c>
      <c r="G257" s="10" t="s">
        <v>13</v>
      </c>
      <c r="H257" s="12">
        <v>46264</v>
      </c>
      <c r="I257" s="10" t="s">
        <v>582</v>
      </c>
      <c r="J257" s="10" t="str">
        <f>IFERROR(INDEX([1]Programas!$B$2:$B$50,MATCH(LEFT(I257,3),[1]Programas!$A$2:$A$50,0)),"")</f>
        <v>Análisis y Visualización de Datos</v>
      </c>
      <c r="K257" s="10" t="s">
        <v>516</v>
      </c>
    </row>
    <row r="258" spans="1:11" x14ac:dyDescent="0.2">
      <c r="A258" s="10">
        <v>257</v>
      </c>
      <c r="B258" s="10" t="s">
        <v>5006</v>
      </c>
      <c r="C258" s="11" t="s">
        <v>591</v>
      </c>
      <c r="D258" s="10" t="s">
        <v>4419</v>
      </c>
      <c r="E258" s="10" t="s">
        <v>5007</v>
      </c>
      <c r="F258" s="11" t="s">
        <v>5008</v>
      </c>
      <c r="G258" s="10" t="s">
        <v>13</v>
      </c>
      <c r="H258" s="12">
        <v>46264</v>
      </c>
      <c r="I258" s="10" t="s">
        <v>582</v>
      </c>
      <c r="J258" s="10" t="str">
        <f>IFERROR(INDEX([1]Programas!$B$2:$B$50,MATCH(LEFT(I258,3),[1]Programas!$A$2:$A$50,0)),"")</f>
        <v>Análisis y Visualización de Datos</v>
      </c>
      <c r="K258" s="10" t="s">
        <v>516</v>
      </c>
    </row>
    <row r="259" spans="1:11" x14ac:dyDescent="0.2">
      <c r="A259" s="10">
        <v>258</v>
      </c>
      <c r="B259" s="10" t="s">
        <v>594</v>
      </c>
      <c r="C259" s="11" t="s">
        <v>593</v>
      </c>
      <c r="D259" s="10" t="s">
        <v>4419</v>
      </c>
      <c r="E259" s="10" t="s">
        <v>5009</v>
      </c>
      <c r="F259" s="11" t="s">
        <v>5010</v>
      </c>
      <c r="G259" s="10" t="s">
        <v>13</v>
      </c>
      <c r="H259" s="12">
        <v>46264</v>
      </c>
      <c r="I259" s="10" t="s">
        <v>582</v>
      </c>
      <c r="J259" s="10" t="str">
        <f>IFERROR(INDEX([1]Programas!$B$2:$B$50,MATCH(LEFT(I259,3),[1]Programas!$A$2:$A$50,0)),"")</f>
        <v>Análisis y Visualización de Datos</v>
      </c>
      <c r="K259" s="10" t="s">
        <v>516</v>
      </c>
    </row>
    <row r="260" spans="1:11" x14ac:dyDescent="0.2">
      <c r="A260" s="10">
        <v>259</v>
      </c>
      <c r="B260" s="10" t="s">
        <v>5011</v>
      </c>
      <c r="C260" s="11" t="s">
        <v>595</v>
      </c>
      <c r="D260" s="10" t="s">
        <v>4419</v>
      </c>
      <c r="E260" s="10" t="s">
        <v>5012</v>
      </c>
      <c r="F260" s="11" t="s">
        <v>5013</v>
      </c>
      <c r="G260" s="10" t="s">
        <v>13</v>
      </c>
      <c r="H260" s="12">
        <v>46264</v>
      </c>
      <c r="I260" s="10" t="s">
        <v>582</v>
      </c>
      <c r="J260" s="10" t="str">
        <f>IFERROR(INDEX([1]Programas!$B$2:$B$50,MATCH(LEFT(I260,3),[1]Programas!$A$2:$A$50,0)),"")</f>
        <v>Análisis y Visualización de Datos</v>
      </c>
      <c r="K260" s="10" t="s">
        <v>516</v>
      </c>
    </row>
    <row r="261" spans="1:11" x14ac:dyDescent="0.2">
      <c r="A261" s="10">
        <v>260</v>
      </c>
      <c r="B261" s="10" t="s">
        <v>5014</v>
      </c>
      <c r="C261" s="11" t="s">
        <v>597</v>
      </c>
      <c r="D261" s="10" t="s">
        <v>4419</v>
      </c>
      <c r="E261" s="10" t="s">
        <v>5015</v>
      </c>
      <c r="F261" s="11" t="s">
        <v>5016</v>
      </c>
      <c r="G261" s="10" t="s">
        <v>13</v>
      </c>
      <c r="H261" s="12">
        <v>46264</v>
      </c>
      <c r="I261" s="10" t="s">
        <v>582</v>
      </c>
      <c r="J261" s="10" t="str">
        <f>IFERROR(INDEX([1]Programas!$B$2:$B$50,MATCH(LEFT(I261,3),[1]Programas!$A$2:$A$50,0)),"")</f>
        <v>Análisis y Visualización de Datos</v>
      </c>
      <c r="K261" s="10" t="s">
        <v>516</v>
      </c>
    </row>
    <row r="262" spans="1:11" x14ac:dyDescent="0.2">
      <c r="A262" s="10">
        <v>261</v>
      </c>
      <c r="B262" s="10" t="s">
        <v>5017</v>
      </c>
      <c r="C262" s="11" t="s">
        <v>599</v>
      </c>
      <c r="D262" s="10" t="s">
        <v>4419</v>
      </c>
      <c r="E262" s="10" t="s">
        <v>5018</v>
      </c>
      <c r="F262" s="11" t="s">
        <v>5019</v>
      </c>
      <c r="G262" s="10" t="s">
        <v>13</v>
      </c>
      <c r="H262" s="12">
        <v>46264</v>
      </c>
      <c r="I262" s="10" t="s">
        <v>582</v>
      </c>
      <c r="J262" s="10" t="str">
        <f>IFERROR(INDEX([1]Programas!$B$2:$B$50,MATCH(LEFT(I262,3),[1]Programas!$A$2:$A$50,0)),"")</f>
        <v>Análisis y Visualización de Datos</v>
      </c>
      <c r="K262" s="10" t="s">
        <v>516</v>
      </c>
    </row>
    <row r="263" spans="1:11" x14ac:dyDescent="0.2">
      <c r="A263" s="10">
        <v>262</v>
      </c>
      <c r="B263" s="10" t="s">
        <v>602</v>
      </c>
      <c r="C263" s="11" t="s">
        <v>601</v>
      </c>
      <c r="D263" s="10" t="s">
        <v>4419</v>
      </c>
      <c r="E263" s="10" t="s">
        <v>5020</v>
      </c>
      <c r="F263" s="11" t="s">
        <v>5021</v>
      </c>
      <c r="G263" s="10" t="s">
        <v>13</v>
      </c>
      <c r="H263" s="12">
        <v>46264</v>
      </c>
      <c r="I263" s="10" t="s">
        <v>582</v>
      </c>
      <c r="J263" s="10" t="str">
        <f>IFERROR(INDEX([1]Programas!$B$2:$B$50,MATCH(LEFT(I263,3),[1]Programas!$A$2:$A$50,0)),"")</f>
        <v>Análisis y Visualización de Datos</v>
      </c>
      <c r="K263" s="10" t="s">
        <v>516</v>
      </c>
    </row>
    <row r="264" spans="1:11" x14ac:dyDescent="0.2">
      <c r="A264" s="10">
        <v>263</v>
      </c>
      <c r="B264" s="10" t="s">
        <v>604</v>
      </c>
      <c r="C264" s="11" t="s">
        <v>603</v>
      </c>
      <c r="D264" s="10" t="s">
        <v>4419</v>
      </c>
      <c r="E264" s="10" t="s">
        <v>5022</v>
      </c>
      <c r="F264" s="11" t="s">
        <v>5023</v>
      </c>
      <c r="G264" s="10" t="s">
        <v>13</v>
      </c>
      <c r="H264" s="12">
        <v>46264</v>
      </c>
      <c r="I264" s="10" t="s">
        <v>582</v>
      </c>
      <c r="J264" s="10" t="str">
        <f>IFERROR(INDEX([1]Programas!$B$2:$B$50,MATCH(LEFT(I264,3),[1]Programas!$A$2:$A$50,0)),"")</f>
        <v>Análisis y Visualización de Datos</v>
      </c>
      <c r="K264" s="10" t="s">
        <v>516</v>
      </c>
    </row>
    <row r="265" spans="1:11" x14ac:dyDescent="0.2">
      <c r="A265" s="10">
        <v>264</v>
      </c>
      <c r="B265" s="10" t="s">
        <v>606</v>
      </c>
      <c r="C265" s="11" t="s">
        <v>605</v>
      </c>
      <c r="D265" s="10" t="s">
        <v>4419</v>
      </c>
      <c r="E265" s="10" t="s">
        <v>5024</v>
      </c>
      <c r="F265" s="11" t="s">
        <v>5025</v>
      </c>
      <c r="G265" s="10" t="s">
        <v>13</v>
      </c>
      <c r="H265" s="12">
        <v>46264</v>
      </c>
      <c r="I265" s="10" t="s">
        <v>582</v>
      </c>
      <c r="J265" s="10" t="str">
        <f>IFERROR(INDEX([1]Programas!$B$2:$B$50,MATCH(LEFT(I265,3),[1]Programas!$A$2:$A$50,0)),"")</f>
        <v>Análisis y Visualización de Datos</v>
      </c>
      <c r="K265" s="10" t="s">
        <v>516</v>
      </c>
    </row>
    <row r="266" spans="1:11" x14ac:dyDescent="0.2">
      <c r="A266" s="10">
        <v>265</v>
      </c>
      <c r="B266" s="10" t="s">
        <v>608</v>
      </c>
      <c r="C266" s="11" t="s">
        <v>607</v>
      </c>
      <c r="D266" s="10" t="s">
        <v>4419</v>
      </c>
      <c r="E266" s="10" t="s">
        <v>5026</v>
      </c>
      <c r="F266" s="11" t="s">
        <v>5027</v>
      </c>
      <c r="G266" s="10" t="s">
        <v>13</v>
      </c>
      <c r="H266" s="12">
        <v>46264</v>
      </c>
      <c r="I266" s="10" t="s">
        <v>582</v>
      </c>
      <c r="J266" s="10" t="str">
        <f>IFERROR(INDEX([1]Programas!$B$2:$B$50,MATCH(LEFT(I266,3),[1]Programas!$A$2:$A$50,0)),"")</f>
        <v>Análisis y Visualización de Datos</v>
      </c>
      <c r="K266" s="10" t="s">
        <v>516</v>
      </c>
    </row>
    <row r="267" spans="1:11" x14ac:dyDescent="0.2">
      <c r="A267" s="10">
        <v>266</v>
      </c>
      <c r="B267" s="10" t="s">
        <v>610</v>
      </c>
      <c r="C267" s="11" t="s">
        <v>609</v>
      </c>
      <c r="D267" s="10" t="s">
        <v>4419</v>
      </c>
      <c r="E267" s="10" t="s">
        <v>5028</v>
      </c>
      <c r="F267" s="11" t="s">
        <v>5029</v>
      </c>
      <c r="G267" s="10" t="s">
        <v>13</v>
      </c>
      <c r="H267" s="12">
        <v>46264</v>
      </c>
      <c r="I267" s="10" t="s">
        <v>582</v>
      </c>
      <c r="J267" s="10" t="str">
        <f>IFERROR(INDEX([1]Programas!$B$2:$B$50,MATCH(LEFT(I267,3),[1]Programas!$A$2:$A$50,0)),"")</f>
        <v>Análisis y Visualización de Datos</v>
      </c>
      <c r="K267" s="10" t="s">
        <v>516</v>
      </c>
    </row>
    <row r="268" spans="1:11" x14ac:dyDescent="0.2">
      <c r="A268" s="10">
        <v>267</v>
      </c>
      <c r="B268" s="10" t="s">
        <v>612</v>
      </c>
      <c r="C268" s="11" t="s">
        <v>611</v>
      </c>
      <c r="D268" s="10" t="s">
        <v>4419</v>
      </c>
      <c r="E268" s="10" t="s">
        <v>5030</v>
      </c>
      <c r="F268" s="11" t="s">
        <v>5031</v>
      </c>
      <c r="G268" s="10" t="s">
        <v>13</v>
      </c>
      <c r="H268" s="12">
        <v>46264</v>
      </c>
      <c r="I268" s="10" t="s">
        <v>582</v>
      </c>
      <c r="J268" s="10" t="str">
        <f>IFERROR(INDEX([1]Programas!$B$2:$B$50,MATCH(LEFT(I268,3),[1]Programas!$A$2:$A$50,0)),"")</f>
        <v>Análisis y Visualización de Datos</v>
      </c>
      <c r="K268" s="10" t="s">
        <v>516</v>
      </c>
    </row>
    <row r="269" spans="1:11" x14ac:dyDescent="0.2">
      <c r="A269" s="10">
        <v>268</v>
      </c>
      <c r="B269" s="10" t="s">
        <v>616</v>
      </c>
      <c r="C269" s="11" t="s">
        <v>615</v>
      </c>
      <c r="D269" s="10" t="s">
        <v>4419</v>
      </c>
      <c r="E269" s="10" t="s">
        <v>5032</v>
      </c>
      <c r="F269" s="11" t="s">
        <v>5033</v>
      </c>
      <c r="G269" s="10" t="s">
        <v>13</v>
      </c>
      <c r="H269" s="12">
        <v>46264</v>
      </c>
      <c r="I269" s="10" t="s">
        <v>582</v>
      </c>
      <c r="J269" s="10" t="str">
        <f>IFERROR(INDEX([1]Programas!$B$2:$B$50,MATCH(LEFT(I269,3),[1]Programas!$A$2:$A$50,0)),"")</f>
        <v>Análisis y Visualización de Datos</v>
      </c>
      <c r="K269" s="10" t="s">
        <v>516</v>
      </c>
    </row>
    <row r="270" spans="1:11" x14ac:dyDescent="0.2">
      <c r="A270" s="10">
        <v>269</v>
      </c>
      <c r="B270" s="10" t="s">
        <v>618</v>
      </c>
      <c r="C270" s="11" t="s">
        <v>617</v>
      </c>
      <c r="D270" s="10" t="s">
        <v>4419</v>
      </c>
      <c r="E270" s="10" t="s">
        <v>5034</v>
      </c>
      <c r="F270" s="11" t="s">
        <v>5035</v>
      </c>
      <c r="G270" s="10" t="s">
        <v>13</v>
      </c>
      <c r="H270" s="12">
        <v>46264</v>
      </c>
      <c r="I270" s="10" t="s">
        <v>582</v>
      </c>
      <c r="J270" s="10" t="str">
        <f>IFERROR(INDEX([1]Programas!$B$2:$B$50,MATCH(LEFT(I270,3),[1]Programas!$A$2:$A$50,0)),"")</f>
        <v>Análisis y Visualización de Datos</v>
      </c>
      <c r="K270" s="10" t="s">
        <v>516</v>
      </c>
    </row>
    <row r="271" spans="1:11" x14ac:dyDescent="0.2">
      <c r="A271" s="10">
        <v>270</v>
      </c>
      <c r="B271" s="10" t="s">
        <v>620</v>
      </c>
      <c r="C271" s="11" t="s">
        <v>619</v>
      </c>
      <c r="D271" s="10" t="s">
        <v>4419</v>
      </c>
      <c r="E271" s="10" t="s">
        <v>5036</v>
      </c>
      <c r="F271" s="11" t="s">
        <v>5037</v>
      </c>
      <c r="G271" s="10" t="s">
        <v>13</v>
      </c>
      <c r="H271" s="12">
        <v>46264</v>
      </c>
      <c r="I271" s="10" t="s">
        <v>582</v>
      </c>
      <c r="J271" s="10" t="str">
        <f>IFERROR(INDEX([1]Programas!$B$2:$B$50,MATCH(LEFT(I271,3),[1]Programas!$A$2:$A$50,0)),"")</f>
        <v>Análisis y Visualización de Datos</v>
      </c>
      <c r="K271" s="10" t="s">
        <v>516</v>
      </c>
    </row>
    <row r="272" spans="1:11" x14ac:dyDescent="0.2">
      <c r="A272" s="10">
        <v>271</v>
      </c>
      <c r="B272" s="10" t="s">
        <v>5038</v>
      </c>
      <c r="C272" s="11" t="s">
        <v>621</v>
      </c>
      <c r="D272" s="10" t="s">
        <v>4419</v>
      </c>
      <c r="E272" s="10" t="s">
        <v>5039</v>
      </c>
      <c r="F272" s="11" t="s">
        <v>5040</v>
      </c>
      <c r="G272" s="10" t="s">
        <v>13</v>
      </c>
      <c r="H272" s="12">
        <v>46264</v>
      </c>
      <c r="I272" s="10" t="s">
        <v>582</v>
      </c>
      <c r="J272" s="10" t="str">
        <f>IFERROR(INDEX([1]Programas!$B$2:$B$50,MATCH(LEFT(I272,3),[1]Programas!$A$2:$A$50,0)),"")</f>
        <v>Análisis y Visualización de Datos</v>
      </c>
      <c r="K272" s="10" t="s">
        <v>516</v>
      </c>
    </row>
    <row r="273" spans="1:11" x14ac:dyDescent="0.2">
      <c r="A273" s="10">
        <v>272</v>
      </c>
      <c r="B273" s="10" t="s">
        <v>5041</v>
      </c>
      <c r="C273" s="11" t="s">
        <v>623</v>
      </c>
      <c r="D273" s="10" t="s">
        <v>4419</v>
      </c>
      <c r="E273" s="10" t="s">
        <v>5042</v>
      </c>
      <c r="F273" s="11" t="s">
        <v>5043</v>
      </c>
      <c r="G273" s="10" t="s">
        <v>13</v>
      </c>
      <c r="H273" s="12">
        <v>46264</v>
      </c>
      <c r="I273" s="10" t="s">
        <v>582</v>
      </c>
      <c r="J273" s="10" t="str">
        <f>IFERROR(INDEX([1]Programas!$B$2:$B$50,MATCH(LEFT(I273,3),[1]Programas!$A$2:$A$50,0)),"")</f>
        <v>Análisis y Visualización de Datos</v>
      </c>
      <c r="K273" s="10" t="s">
        <v>516</v>
      </c>
    </row>
    <row r="274" spans="1:11" x14ac:dyDescent="0.2">
      <c r="A274" s="10">
        <v>273</v>
      </c>
      <c r="B274" s="10" t="s">
        <v>5044</v>
      </c>
      <c r="C274" s="11" t="s">
        <v>625</v>
      </c>
      <c r="D274" s="10" t="s">
        <v>4419</v>
      </c>
      <c r="E274" s="10" t="s">
        <v>5045</v>
      </c>
      <c r="F274" s="11" t="s">
        <v>5046</v>
      </c>
      <c r="G274" s="10" t="s">
        <v>13</v>
      </c>
      <c r="H274" s="12">
        <v>46264</v>
      </c>
      <c r="I274" s="10" t="s">
        <v>582</v>
      </c>
      <c r="J274" s="10" t="str">
        <f>IFERROR(INDEX([1]Programas!$B$2:$B$50,MATCH(LEFT(I274,3),[1]Programas!$A$2:$A$50,0)),"")</f>
        <v>Análisis y Visualización de Datos</v>
      </c>
      <c r="K274" s="10" t="s">
        <v>516</v>
      </c>
    </row>
    <row r="275" spans="1:11" x14ac:dyDescent="0.2">
      <c r="A275" s="10">
        <v>274</v>
      </c>
      <c r="B275" s="10" t="s">
        <v>628</v>
      </c>
      <c r="C275" s="11" t="s">
        <v>627</v>
      </c>
      <c r="D275" s="10" t="s">
        <v>4419</v>
      </c>
      <c r="E275" s="10" t="s">
        <v>5047</v>
      </c>
      <c r="F275" s="11" t="s">
        <v>5048</v>
      </c>
      <c r="G275" s="10" t="s">
        <v>13</v>
      </c>
      <c r="H275" s="12">
        <v>46264</v>
      </c>
      <c r="I275" s="10" t="s">
        <v>582</v>
      </c>
      <c r="J275" s="10" t="str">
        <f>IFERROR(INDEX([1]Programas!$B$2:$B$50,MATCH(LEFT(I275,3),[1]Programas!$A$2:$A$50,0)),"")</f>
        <v>Análisis y Visualización de Datos</v>
      </c>
      <c r="K275" s="10" t="s">
        <v>516</v>
      </c>
    </row>
    <row r="276" spans="1:11" x14ac:dyDescent="0.2">
      <c r="A276" s="10">
        <v>275</v>
      </c>
      <c r="B276" s="10" t="s">
        <v>630</v>
      </c>
      <c r="C276" s="11" t="s">
        <v>629</v>
      </c>
      <c r="D276" s="10" t="s">
        <v>4419</v>
      </c>
      <c r="E276" s="10" t="s">
        <v>5049</v>
      </c>
      <c r="F276" s="11" t="s">
        <v>5050</v>
      </c>
      <c r="G276" s="10" t="s">
        <v>13</v>
      </c>
      <c r="H276" s="12">
        <v>46264</v>
      </c>
      <c r="I276" s="10" t="s">
        <v>582</v>
      </c>
      <c r="J276" s="10" t="str">
        <f>IFERROR(INDEX([1]Programas!$B$2:$B$50,MATCH(LEFT(I276,3),[1]Programas!$A$2:$A$50,0)),"")</f>
        <v>Análisis y Visualización de Datos</v>
      </c>
      <c r="K276" s="10" t="s">
        <v>516</v>
      </c>
    </row>
    <row r="277" spans="1:11" x14ac:dyDescent="0.2">
      <c r="A277" s="10">
        <v>276</v>
      </c>
      <c r="B277" s="10" t="s">
        <v>632</v>
      </c>
      <c r="C277" s="11" t="s">
        <v>631</v>
      </c>
      <c r="D277" s="10" t="s">
        <v>4419</v>
      </c>
      <c r="E277" s="10" t="s">
        <v>5051</v>
      </c>
      <c r="F277" s="11" t="s">
        <v>5052</v>
      </c>
      <c r="G277" s="10" t="s">
        <v>13</v>
      </c>
      <c r="H277" s="12">
        <v>46264</v>
      </c>
      <c r="I277" s="10" t="s">
        <v>582</v>
      </c>
      <c r="J277" s="10" t="str">
        <f>IFERROR(INDEX([1]Programas!$B$2:$B$50,MATCH(LEFT(I277,3),[1]Programas!$A$2:$A$50,0)),"")</f>
        <v>Análisis y Visualización de Datos</v>
      </c>
      <c r="K277" s="10" t="s">
        <v>516</v>
      </c>
    </row>
    <row r="278" spans="1:11" x14ac:dyDescent="0.2">
      <c r="A278" s="10">
        <v>277</v>
      </c>
      <c r="B278" s="10" t="s">
        <v>634</v>
      </c>
      <c r="C278" s="11" t="s">
        <v>633</v>
      </c>
      <c r="D278" s="10" t="s">
        <v>4419</v>
      </c>
      <c r="E278" s="10" t="s">
        <v>5053</v>
      </c>
      <c r="F278" s="11" t="s">
        <v>5054</v>
      </c>
      <c r="G278" s="10" t="s">
        <v>13</v>
      </c>
      <c r="H278" s="12">
        <v>46264</v>
      </c>
      <c r="I278" s="10" t="s">
        <v>582</v>
      </c>
      <c r="J278" s="10" t="str">
        <f>IFERROR(INDEX([1]Programas!$B$2:$B$50,MATCH(LEFT(I278,3),[1]Programas!$A$2:$A$50,0)),"")</f>
        <v>Análisis y Visualización de Datos</v>
      </c>
      <c r="K278" s="10" t="s">
        <v>516</v>
      </c>
    </row>
    <row r="279" spans="1:11" x14ac:dyDescent="0.2">
      <c r="A279" s="10">
        <v>278</v>
      </c>
      <c r="B279" s="10" t="s">
        <v>636</v>
      </c>
      <c r="C279" s="11" t="s">
        <v>635</v>
      </c>
      <c r="D279" s="10" t="s">
        <v>4419</v>
      </c>
      <c r="E279" s="10" t="s">
        <v>5055</v>
      </c>
      <c r="F279" s="11" t="s">
        <v>5056</v>
      </c>
      <c r="G279" s="10" t="s">
        <v>13</v>
      </c>
      <c r="H279" s="12">
        <v>46264</v>
      </c>
      <c r="I279" s="10" t="s">
        <v>582</v>
      </c>
      <c r="J279" s="10" t="str">
        <f>IFERROR(INDEX([1]Programas!$B$2:$B$50,MATCH(LEFT(I279,3),[1]Programas!$A$2:$A$50,0)),"")</f>
        <v>Análisis y Visualización de Datos</v>
      </c>
      <c r="K279" s="10" t="s">
        <v>516</v>
      </c>
    </row>
    <row r="280" spans="1:11" x14ac:dyDescent="0.2">
      <c r="A280" s="10">
        <v>279</v>
      </c>
      <c r="B280" s="10" t="s">
        <v>5057</v>
      </c>
      <c r="C280" s="11" t="s">
        <v>637</v>
      </c>
      <c r="D280" s="10" t="s">
        <v>4419</v>
      </c>
      <c r="E280" s="10" t="s">
        <v>5058</v>
      </c>
      <c r="F280" s="11" t="s">
        <v>5059</v>
      </c>
      <c r="G280" s="10" t="s">
        <v>13</v>
      </c>
      <c r="H280" s="12">
        <v>46264</v>
      </c>
      <c r="I280" s="10" t="s">
        <v>582</v>
      </c>
      <c r="J280" s="10" t="str">
        <f>IFERROR(INDEX([1]Programas!$B$2:$B$50,MATCH(LEFT(I280,3),[1]Programas!$A$2:$A$50,0)),"")</f>
        <v>Análisis y Visualización de Datos</v>
      </c>
      <c r="K280" s="10" t="s">
        <v>516</v>
      </c>
    </row>
    <row r="281" spans="1:11" x14ac:dyDescent="0.2">
      <c r="A281" s="10">
        <v>280</v>
      </c>
      <c r="B281" s="10" t="s">
        <v>5060</v>
      </c>
      <c r="C281" s="11" t="s">
        <v>639</v>
      </c>
      <c r="D281" s="10" t="s">
        <v>4419</v>
      </c>
      <c r="E281" s="10" t="s">
        <v>5061</v>
      </c>
      <c r="F281" s="11" t="s">
        <v>5062</v>
      </c>
      <c r="G281" s="10" t="s">
        <v>13</v>
      </c>
      <c r="H281" s="12">
        <v>46264</v>
      </c>
      <c r="I281" s="10" t="s">
        <v>582</v>
      </c>
      <c r="J281" s="10" t="str">
        <f>IFERROR(INDEX([1]Programas!$B$2:$B$50,MATCH(LEFT(I281,3),[1]Programas!$A$2:$A$50,0)),"")</f>
        <v>Análisis y Visualización de Datos</v>
      </c>
      <c r="K281" s="10" t="s">
        <v>516</v>
      </c>
    </row>
    <row r="282" spans="1:11" x14ac:dyDescent="0.2">
      <c r="A282" s="10">
        <v>281</v>
      </c>
      <c r="B282" s="10" t="s">
        <v>642</v>
      </c>
      <c r="C282" s="11" t="s">
        <v>641</v>
      </c>
      <c r="D282" s="10" t="s">
        <v>4419</v>
      </c>
      <c r="E282" s="10" t="s">
        <v>5063</v>
      </c>
      <c r="F282" s="11" t="s">
        <v>5064</v>
      </c>
      <c r="G282" s="10" t="s">
        <v>13</v>
      </c>
      <c r="H282" s="12">
        <v>46264</v>
      </c>
      <c r="I282" s="10" t="s">
        <v>582</v>
      </c>
      <c r="J282" s="10" t="str">
        <f>IFERROR(INDEX([1]Programas!$B$2:$B$50,MATCH(LEFT(I282,3),[1]Programas!$A$2:$A$50,0)),"")</f>
        <v>Análisis y Visualización de Datos</v>
      </c>
      <c r="K282" s="10" t="s">
        <v>516</v>
      </c>
    </row>
    <row r="283" spans="1:11" x14ac:dyDescent="0.2">
      <c r="A283" s="10">
        <v>282</v>
      </c>
      <c r="B283" s="10" t="s">
        <v>644</v>
      </c>
      <c r="C283" s="11" t="s">
        <v>643</v>
      </c>
      <c r="D283" s="10" t="s">
        <v>4419</v>
      </c>
      <c r="E283" s="10" t="s">
        <v>5065</v>
      </c>
      <c r="F283" s="11" t="s">
        <v>5066</v>
      </c>
      <c r="G283" s="10" t="s">
        <v>13</v>
      </c>
      <c r="H283" s="12">
        <v>46272</v>
      </c>
      <c r="I283" s="10" t="s">
        <v>582</v>
      </c>
      <c r="J283" s="10" t="str">
        <f>IFERROR(INDEX([1]Programas!$B$2:$B$50,MATCH(LEFT(I283,3),[1]Programas!$A$2:$A$50,0)),"")</f>
        <v>Análisis y Visualización de Datos</v>
      </c>
      <c r="K283" s="10" t="s">
        <v>516</v>
      </c>
    </row>
    <row r="284" spans="1:11" x14ac:dyDescent="0.2">
      <c r="A284" s="10">
        <v>283</v>
      </c>
      <c r="B284" s="10" t="s">
        <v>5067</v>
      </c>
      <c r="C284" s="11" t="s">
        <v>645</v>
      </c>
      <c r="D284" s="10" t="s">
        <v>4419</v>
      </c>
      <c r="E284" s="10" t="s">
        <v>5068</v>
      </c>
      <c r="F284" s="11" t="s">
        <v>5069</v>
      </c>
      <c r="G284" s="10" t="s">
        <v>13</v>
      </c>
      <c r="H284" s="12">
        <v>46263</v>
      </c>
      <c r="I284" s="10" t="s">
        <v>648</v>
      </c>
      <c r="J284" s="10" t="str">
        <f>IFERROR(INDEX([1]Programas!$B$2:$B$50,MATCH(LEFT(I284,3),[1]Programas!$A$2:$A$50,0)),"")</f>
        <v>Análisis y Visualización de Datos</v>
      </c>
      <c r="K284" s="10" t="s">
        <v>649</v>
      </c>
    </row>
    <row r="285" spans="1:11" x14ac:dyDescent="0.2">
      <c r="A285" s="10">
        <v>284</v>
      </c>
      <c r="B285" s="10" t="s">
        <v>5070</v>
      </c>
      <c r="C285" s="11" t="s">
        <v>650</v>
      </c>
      <c r="D285" s="10" t="s">
        <v>4419</v>
      </c>
      <c r="E285" s="10" t="s">
        <v>5071</v>
      </c>
      <c r="F285" s="11" t="s">
        <v>5072</v>
      </c>
      <c r="G285" s="10" t="s">
        <v>13</v>
      </c>
      <c r="H285" s="12">
        <v>46263</v>
      </c>
      <c r="I285" s="10" t="s">
        <v>648</v>
      </c>
      <c r="J285" s="10" t="str">
        <f>IFERROR(INDEX([1]Programas!$B$2:$B$50,MATCH(LEFT(I285,3),[1]Programas!$A$2:$A$50,0)),"")</f>
        <v>Análisis y Visualización de Datos</v>
      </c>
      <c r="K285" s="10" t="s">
        <v>649</v>
      </c>
    </row>
    <row r="286" spans="1:11" x14ac:dyDescent="0.2">
      <c r="A286" s="10">
        <v>285</v>
      </c>
      <c r="B286" s="10" t="s">
        <v>653</v>
      </c>
      <c r="C286" s="11" t="s">
        <v>652</v>
      </c>
      <c r="D286" s="10" t="s">
        <v>4419</v>
      </c>
      <c r="E286" s="10" t="s">
        <v>5073</v>
      </c>
      <c r="F286" s="11" t="s">
        <v>5074</v>
      </c>
      <c r="G286" s="10" t="s">
        <v>13</v>
      </c>
      <c r="H286" s="12">
        <v>46263</v>
      </c>
      <c r="I286" s="10" t="s">
        <v>648</v>
      </c>
      <c r="J286" s="10" t="str">
        <f>IFERROR(INDEX([1]Programas!$B$2:$B$50,MATCH(LEFT(I286,3),[1]Programas!$A$2:$A$50,0)),"")</f>
        <v>Análisis y Visualización de Datos</v>
      </c>
      <c r="K286" s="10" t="s">
        <v>649</v>
      </c>
    </row>
    <row r="287" spans="1:11" x14ac:dyDescent="0.2">
      <c r="A287" s="10">
        <v>286</v>
      </c>
      <c r="B287" s="10" t="s">
        <v>655</v>
      </c>
      <c r="C287" s="11" t="s">
        <v>654</v>
      </c>
      <c r="D287" s="10" t="s">
        <v>4453</v>
      </c>
      <c r="E287" s="10" t="s">
        <v>5075</v>
      </c>
      <c r="F287" s="11" t="s">
        <v>5076</v>
      </c>
      <c r="G287" s="10" t="s">
        <v>13</v>
      </c>
      <c r="H287" s="12">
        <v>46263</v>
      </c>
      <c r="I287" s="10" t="s">
        <v>648</v>
      </c>
      <c r="J287" s="10" t="str">
        <f>IFERROR(INDEX([1]Programas!$B$2:$B$50,MATCH(LEFT(I287,3),[1]Programas!$A$2:$A$50,0)),"")</f>
        <v>Análisis y Visualización de Datos</v>
      </c>
      <c r="K287" s="10" t="s">
        <v>649</v>
      </c>
    </row>
    <row r="288" spans="1:11" x14ac:dyDescent="0.2">
      <c r="A288" s="10">
        <v>287</v>
      </c>
      <c r="B288" s="10" t="s">
        <v>5077</v>
      </c>
      <c r="C288" s="11" t="s">
        <v>658</v>
      </c>
      <c r="D288" s="10" t="s">
        <v>4419</v>
      </c>
      <c r="E288" s="10" t="s">
        <v>5078</v>
      </c>
      <c r="F288" s="11" t="s">
        <v>5079</v>
      </c>
      <c r="G288" s="10" t="s">
        <v>13</v>
      </c>
      <c r="H288" s="12">
        <v>46263</v>
      </c>
      <c r="I288" s="10" t="s">
        <v>648</v>
      </c>
      <c r="J288" s="10" t="str">
        <f>IFERROR(INDEX([1]Programas!$B$2:$B$50,MATCH(LEFT(I288,3),[1]Programas!$A$2:$A$50,0)),"")</f>
        <v>Análisis y Visualización de Datos</v>
      </c>
      <c r="K288" s="10" t="s">
        <v>649</v>
      </c>
    </row>
    <row r="289" spans="1:11" x14ac:dyDescent="0.2">
      <c r="A289" s="10">
        <v>288</v>
      </c>
      <c r="B289" s="10" t="s">
        <v>661</v>
      </c>
      <c r="C289" s="11" t="s">
        <v>660</v>
      </c>
      <c r="D289" s="10" t="s">
        <v>4419</v>
      </c>
      <c r="E289" s="10" t="s">
        <v>5080</v>
      </c>
      <c r="F289" s="11" t="s">
        <v>5081</v>
      </c>
      <c r="G289" s="10" t="s">
        <v>13</v>
      </c>
      <c r="H289" s="12">
        <v>46264</v>
      </c>
      <c r="I289" s="10" t="s">
        <v>648</v>
      </c>
      <c r="J289" s="10" t="str">
        <f>IFERROR(INDEX([1]Programas!$B$2:$B$50,MATCH(LEFT(I289,3),[1]Programas!$A$2:$A$50,0)),"")</f>
        <v>Análisis y Visualización de Datos</v>
      </c>
      <c r="K289" s="10" t="s">
        <v>649</v>
      </c>
    </row>
    <row r="290" spans="1:11" x14ac:dyDescent="0.2">
      <c r="A290" s="10">
        <v>289</v>
      </c>
      <c r="B290" s="10" t="s">
        <v>663</v>
      </c>
      <c r="C290" s="11" t="s">
        <v>662</v>
      </c>
      <c r="D290" s="10" t="s">
        <v>4419</v>
      </c>
      <c r="E290" s="10" t="s">
        <v>5082</v>
      </c>
      <c r="F290" s="11" t="s">
        <v>5083</v>
      </c>
      <c r="G290" s="10" t="s">
        <v>13</v>
      </c>
      <c r="H290" s="12">
        <v>46264</v>
      </c>
      <c r="I290" s="10" t="s">
        <v>648</v>
      </c>
      <c r="J290" s="10" t="str">
        <f>IFERROR(INDEX([1]Programas!$B$2:$B$50,MATCH(LEFT(I290,3),[1]Programas!$A$2:$A$50,0)),"")</f>
        <v>Análisis y Visualización de Datos</v>
      </c>
      <c r="K290" s="10" t="s">
        <v>649</v>
      </c>
    </row>
    <row r="291" spans="1:11" x14ac:dyDescent="0.2">
      <c r="A291" s="10">
        <v>290</v>
      </c>
      <c r="B291" s="10" t="s">
        <v>665</v>
      </c>
      <c r="C291" s="11" t="s">
        <v>664</v>
      </c>
      <c r="D291" s="10" t="s">
        <v>4419</v>
      </c>
      <c r="E291" s="10" t="s">
        <v>5084</v>
      </c>
      <c r="F291" s="11" t="s">
        <v>5085</v>
      </c>
      <c r="G291" s="10" t="s">
        <v>13</v>
      </c>
      <c r="H291" s="12">
        <v>46264</v>
      </c>
      <c r="I291" s="10" t="s">
        <v>648</v>
      </c>
      <c r="J291" s="10" t="str">
        <f>IFERROR(INDEX([1]Programas!$B$2:$B$50,MATCH(LEFT(I291,3),[1]Programas!$A$2:$A$50,0)),"")</f>
        <v>Análisis y Visualización de Datos</v>
      </c>
      <c r="K291" s="10" t="s">
        <v>649</v>
      </c>
    </row>
    <row r="292" spans="1:11" x14ac:dyDescent="0.2">
      <c r="A292" s="10">
        <v>291</v>
      </c>
      <c r="B292" s="10" t="s">
        <v>667</v>
      </c>
      <c r="C292" s="11" t="s">
        <v>666</v>
      </c>
      <c r="D292" s="10" t="s">
        <v>4419</v>
      </c>
      <c r="E292" s="10" t="s">
        <v>5086</v>
      </c>
      <c r="F292" s="11" t="s">
        <v>5087</v>
      </c>
      <c r="G292" s="10" t="s">
        <v>13</v>
      </c>
      <c r="H292" s="12">
        <v>46264</v>
      </c>
      <c r="I292" s="10" t="s">
        <v>648</v>
      </c>
      <c r="J292" s="10" t="str">
        <f>IFERROR(INDEX([1]Programas!$B$2:$B$50,MATCH(LEFT(I292,3),[1]Programas!$A$2:$A$50,0)),"")</f>
        <v>Análisis y Visualización de Datos</v>
      </c>
      <c r="K292" s="10" t="s">
        <v>649</v>
      </c>
    </row>
    <row r="293" spans="1:11" x14ac:dyDescent="0.2">
      <c r="A293" s="10">
        <v>292</v>
      </c>
      <c r="B293" s="10" t="s">
        <v>669</v>
      </c>
      <c r="C293" s="11" t="s">
        <v>668</v>
      </c>
      <c r="D293" s="10" t="s">
        <v>4419</v>
      </c>
      <c r="E293" s="10" t="s">
        <v>5088</v>
      </c>
      <c r="F293" s="11" t="s">
        <v>5089</v>
      </c>
      <c r="G293" s="10" t="s">
        <v>13</v>
      </c>
      <c r="H293" s="12">
        <v>46264</v>
      </c>
      <c r="I293" s="10" t="s">
        <v>648</v>
      </c>
      <c r="J293" s="10" t="str">
        <f>IFERROR(INDEX([1]Programas!$B$2:$B$50,MATCH(LEFT(I293,3),[1]Programas!$A$2:$A$50,0)),"")</f>
        <v>Análisis y Visualización de Datos</v>
      </c>
      <c r="K293" s="10" t="s">
        <v>649</v>
      </c>
    </row>
    <row r="294" spans="1:11" x14ac:dyDescent="0.2">
      <c r="A294" s="10">
        <v>293</v>
      </c>
      <c r="B294" s="10" t="s">
        <v>671</v>
      </c>
      <c r="C294" s="11" t="s">
        <v>670</v>
      </c>
      <c r="D294" s="10" t="s">
        <v>4419</v>
      </c>
      <c r="E294" s="10" t="s">
        <v>5090</v>
      </c>
      <c r="F294" s="11" t="s">
        <v>5091</v>
      </c>
      <c r="G294" s="10" t="s">
        <v>13</v>
      </c>
      <c r="H294" s="12">
        <v>46264</v>
      </c>
      <c r="I294" s="10" t="s">
        <v>648</v>
      </c>
      <c r="J294" s="10" t="str">
        <f>IFERROR(INDEX([1]Programas!$B$2:$B$50,MATCH(LEFT(I294,3),[1]Programas!$A$2:$A$50,0)),"")</f>
        <v>Análisis y Visualización de Datos</v>
      </c>
      <c r="K294" s="10" t="s">
        <v>649</v>
      </c>
    </row>
    <row r="295" spans="1:11" x14ac:dyDescent="0.2">
      <c r="A295" s="10">
        <v>294</v>
      </c>
      <c r="B295" s="10" t="s">
        <v>673</v>
      </c>
      <c r="C295" s="11" t="s">
        <v>672</v>
      </c>
      <c r="D295" s="10" t="s">
        <v>4419</v>
      </c>
      <c r="E295" s="10" t="s">
        <v>5092</v>
      </c>
      <c r="F295" s="11" t="s">
        <v>5093</v>
      </c>
      <c r="G295" s="10" t="s">
        <v>13</v>
      </c>
      <c r="H295" s="12">
        <v>46264</v>
      </c>
      <c r="I295" s="10" t="s">
        <v>648</v>
      </c>
      <c r="J295" s="10" t="str">
        <f>IFERROR(INDEX([1]Programas!$B$2:$B$50,MATCH(LEFT(I295,3),[1]Programas!$A$2:$A$50,0)),"")</f>
        <v>Análisis y Visualización de Datos</v>
      </c>
      <c r="K295" s="10" t="s">
        <v>649</v>
      </c>
    </row>
    <row r="296" spans="1:11" x14ac:dyDescent="0.2">
      <c r="A296" s="10">
        <v>295</v>
      </c>
      <c r="B296" s="10" t="s">
        <v>675</v>
      </c>
      <c r="C296" s="11" t="s">
        <v>674</v>
      </c>
      <c r="D296" s="10" t="s">
        <v>4419</v>
      </c>
      <c r="E296" s="10" t="s">
        <v>5094</v>
      </c>
      <c r="F296" s="11" t="s">
        <v>5095</v>
      </c>
      <c r="G296" s="10" t="s">
        <v>13</v>
      </c>
      <c r="H296" s="12">
        <v>46264</v>
      </c>
      <c r="I296" s="10" t="s">
        <v>648</v>
      </c>
      <c r="J296" s="10" t="str">
        <f>IFERROR(INDEX([1]Programas!$B$2:$B$50,MATCH(LEFT(I296,3),[1]Programas!$A$2:$A$50,0)),"")</f>
        <v>Análisis y Visualización de Datos</v>
      </c>
      <c r="K296" s="10" t="s">
        <v>649</v>
      </c>
    </row>
    <row r="297" spans="1:11" x14ac:dyDescent="0.2">
      <c r="A297" s="10">
        <v>296</v>
      </c>
      <c r="B297" s="10" t="s">
        <v>5096</v>
      </c>
      <c r="C297" s="11" t="s">
        <v>676</v>
      </c>
      <c r="D297" s="10" t="s">
        <v>4419</v>
      </c>
      <c r="E297" s="10" t="s">
        <v>5097</v>
      </c>
      <c r="F297" s="11" t="s">
        <v>5098</v>
      </c>
      <c r="G297" s="10" t="s">
        <v>13</v>
      </c>
      <c r="H297" s="12">
        <v>46264</v>
      </c>
      <c r="I297" s="10" t="s">
        <v>648</v>
      </c>
      <c r="J297" s="10" t="str">
        <f>IFERROR(INDEX([1]Programas!$B$2:$B$50,MATCH(LEFT(I297,3),[1]Programas!$A$2:$A$50,0)),"")</f>
        <v>Análisis y Visualización de Datos</v>
      </c>
      <c r="K297" s="10" t="s">
        <v>649</v>
      </c>
    </row>
    <row r="298" spans="1:11" x14ac:dyDescent="0.2">
      <c r="A298" s="10">
        <v>297</v>
      </c>
      <c r="B298" s="10" t="s">
        <v>5099</v>
      </c>
      <c r="C298" s="11" t="s">
        <v>678</v>
      </c>
      <c r="D298" s="10" t="s">
        <v>4419</v>
      </c>
      <c r="E298" s="10" t="s">
        <v>5100</v>
      </c>
      <c r="F298" s="11" t="s">
        <v>5101</v>
      </c>
      <c r="G298" s="10" t="s">
        <v>13</v>
      </c>
      <c r="H298" s="12">
        <v>46264</v>
      </c>
      <c r="I298" s="10" t="s">
        <v>648</v>
      </c>
      <c r="J298" s="10" t="str">
        <f>IFERROR(INDEX([1]Programas!$B$2:$B$50,MATCH(LEFT(I298,3),[1]Programas!$A$2:$A$50,0)),"")</f>
        <v>Análisis y Visualización de Datos</v>
      </c>
      <c r="K298" s="10" t="s">
        <v>649</v>
      </c>
    </row>
    <row r="299" spans="1:11" x14ac:dyDescent="0.2">
      <c r="A299" s="10">
        <v>298</v>
      </c>
      <c r="B299" s="10" t="s">
        <v>681</v>
      </c>
      <c r="C299" s="11" t="s">
        <v>680</v>
      </c>
      <c r="D299" s="10" t="s">
        <v>4419</v>
      </c>
      <c r="E299" s="10" t="s">
        <v>5102</v>
      </c>
      <c r="F299" s="11" t="s">
        <v>5103</v>
      </c>
      <c r="G299" s="10" t="s">
        <v>13</v>
      </c>
      <c r="H299" s="12">
        <v>46264</v>
      </c>
      <c r="I299" s="10" t="s">
        <v>648</v>
      </c>
      <c r="J299" s="10" t="str">
        <f>IFERROR(INDEX([1]Programas!$B$2:$B$50,MATCH(LEFT(I299,3),[1]Programas!$A$2:$A$50,0)),"")</f>
        <v>Análisis y Visualización de Datos</v>
      </c>
      <c r="K299" s="10" t="s">
        <v>649</v>
      </c>
    </row>
    <row r="300" spans="1:11" x14ac:dyDescent="0.2">
      <c r="A300" s="10">
        <v>299</v>
      </c>
      <c r="B300" s="10" t="s">
        <v>683</v>
      </c>
      <c r="C300" s="11" t="s">
        <v>682</v>
      </c>
      <c r="D300" s="10" t="s">
        <v>4419</v>
      </c>
      <c r="E300" s="10" t="s">
        <v>5104</v>
      </c>
      <c r="F300" s="11" t="s">
        <v>5105</v>
      </c>
      <c r="G300" s="10" t="s">
        <v>13</v>
      </c>
      <c r="H300" s="12">
        <v>46264</v>
      </c>
      <c r="I300" s="10" t="s">
        <v>648</v>
      </c>
      <c r="J300" s="10" t="str">
        <f>IFERROR(INDEX([1]Programas!$B$2:$B$50,MATCH(LEFT(I300,3),[1]Programas!$A$2:$A$50,0)),"")</f>
        <v>Análisis y Visualización de Datos</v>
      </c>
      <c r="K300" s="10" t="s">
        <v>649</v>
      </c>
    </row>
    <row r="301" spans="1:11" x14ac:dyDescent="0.2">
      <c r="A301" s="10">
        <v>300</v>
      </c>
      <c r="B301" s="10" t="s">
        <v>685</v>
      </c>
      <c r="C301" s="11" t="s">
        <v>684</v>
      </c>
      <c r="D301" s="10" t="s">
        <v>4419</v>
      </c>
      <c r="E301" s="10" t="s">
        <v>5106</v>
      </c>
      <c r="F301" s="11" t="s">
        <v>5107</v>
      </c>
      <c r="G301" s="10" t="s">
        <v>13</v>
      </c>
      <c r="H301" s="12">
        <v>46264</v>
      </c>
      <c r="I301" s="10" t="s">
        <v>648</v>
      </c>
      <c r="J301" s="10" t="str">
        <f>IFERROR(INDEX([1]Programas!$B$2:$B$50,MATCH(LEFT(I301,3),[1]Programas!$A$2:$A$50,0)),"")</f>
        <v>Análisis y Visualización de Datos</v>
      </c>
      <c r="K301" s="10" t="s">
        <v>649</v>
      </c>
    </row>
    <row r="302" spans="1:11" x14ac:dyDescent="0.2">
      <c r="A302" s="10">
        <v>301</v>
      </c>
      <c r="B302" s="10" t="s">
        <v>687</v>
      </c>
      <c r="C302" s="11" t="s">
        <v>686</v>
      </c>
      <c r="D302" s="10" t="s">
        <v>4419</v>
      </c>
      <c r="E302" s="10" t="s">
        <v>5108</v>
      </c>
      <c r="F302" s="11" t="s">
        <v>5109</v>
      </c>
      <c r="G302" s="10" t="s">
        <v>13</v>
      </c>
      <c r="H302" s="12">
        <v>46264</v>
      </c>
      <c r="I302" s="10" t="s">
        <v>648</v>
      </c>
      <c r="J302" s="10" t="str">
        <f>IFERROR(INDEX([1]Programas!$B$2:$B$50,MATCH(LEFT(I302,3),[1]Programas!$A$2:$A$50,0)),"")</f>
        <v>Análisis y Visualización de Datos</v>
      </c>
      <c r="K302" s="10" t="s">
        <v>649</v>
      </c>
    </row>
    <row r="303" spans="1:11" x14ac:dyDescent="0.2">
      <c r="A303" s="10">
        <v>302</v>
      </c>
      <c r="B303" s="10" t="s">
        <v>689</v>
      </c>
      <c r="C303" s="11" t="s">
        <v>688</v>
      </c>
      <c r="D303" s="10" t="s">
        <v>4419</v>
      </c>
      <c r="E303" s="10" t="s">
        <v>5110</v>
      </c>
      <c r="F303" s="11" t="s">
        <v>5111</v>
      </c>
      <c r="G303" s="10" t="s">
        <v>13</v>
      </c>
      <c r="H303" s="12">
        <v>46264</v>
      </c>
      <c r="I303" s="10" t="s">
        <v>648</v>
      </c>
      <c r="J303" s="10" t="str">
        <f>IFERROR(INDEX([1]Programas!$B$2:$B$50,MATCH(LEFT(I303,3),[1]Programas!$A$2:$A$50,0)),"")</f>
        <v>Análisis y Visualización de Datos</v>
      </c>
      <c r="K303" s="10" t="s">
        <v>649</v>
      </c>
    </row>
    <row r="304" spans="1:11" x14ac:dyDescent="0.2">
      <c r="A304" s="10">
        <v>303</v>
      </c>
      <c r="B304" s="10" t="s">
        <v>691</v>
      </c>
      <c r="C304" s="11" t="s">
        <v>690</v>
      </c>
      <c r="D304" s="10" t="s">
        <v>4419</v>
      </c>
      <c r="E304" s="10" t="s">
        <v>5112</v>
      </c>
      <c r="F304" s="11" t="s">
        <v>5113</v>
      </c>
      <c r="G304" s="10" t="s">
        <v>13</v>
      </c>
      <c r="H304" s="12">
        <v>46264</v>
      </c>
      <c r="I304" s="10" t="s">
        <v>648</v>
      </c>
      <c r="J304" s="10" t="str">
        <f>IFERROR(INDEX([1]Programas!$B$2:$B$50,MATCH(LEFT(I304,3),[1]Programas!$A$2:$A$50,0)),"")</f>
        <v>Análisis y Visualización de Datos</v>
      </c>
      <c r="K304" s="10" t="s">
        <v>649</v>
      </c>
    </row>
    <row r="305" spans="1:11" x14ac:dyDescent="0.2">
      <c r="A305" s="10">
        <v>304</v>
      </c>
      <c r="B305" s="10" t="s">
        <v>693</v>
      </c>
      <c r="C305" s="11" t="s">
        <v>692</v>
      </c>
      <c r="D305" s="10" t="s">
        <v>4419</v>
      </c>
      <c r="E305" s="10" t="s">
        <v>5114</v>
      </c>
      <c r="F305" s="11" t="s">
        <v>5115</v>
      </c>
      <c r="G305" s="10" t="s">
        <v>13</v>
      </c>
      <c r="H305" s="12">
        <v>46264</v>
      </c>
      <c r="I305" s="10" t="s">
        <v>648</v>
      </c>
      <c r="J305" s="10" t="str">
        <f>IFERROR(INDEX([1]Programas!$B$2:$B$50,MATCH(LEFT(I305,3),[1]Programas!$A$2:$A$50,0)),"")</f>
        <v>Análisis y Visualización de Datos</v>
      </c>
      <c r="K305" s="10" t="s">
        <v>649</v>
      </c>
    </row>
    <row r="306" spans="1:11" x14ac:dyDescent="0.2">
      <c r="A306" s="10">
        <v>305</v>
      </c>
      <c r="B306" s="10" t="s">
        <v>5116</v>
      </c>
      <c r="C306" s="11" t="s">
        <v>694</v>
      </c>
      <c r="D306" s="10" t="s">
        <v>4419</v>
      </c>
      <c r="E306" s="10" t="s">
        <v>5117</v>
      </c>
      <c r="F306" s="11" t="s">
        <v>5118</v>
      </c>
      <c r="G306" s="10" t="s">
        <v>13</v>
      </c>
      <c r="H306" s="12">
        <v>46264</v>
      </c>
      <c r="I306" s="10" t="s">
        <v>648</v>
      </c>
      <c r="J306" s="10" t="str">
        <f>IFERROR(INDEX([1]Programas!$B$2:$B$50,MATCH(LEFT(I306,3),[1]Programas!$A$2:$A$50,0)),"")</f>
        <v>Análisis y Visualización de Datos</v>
      </c>
      <c r="K306" s="10" t="s">
        <v>649</v>
      </c>
    </row>
    <row r="307" spans="1:11" x14ac:dyDescent="0.2">
      <c r="A307" s="10">
        <v>306</v>
      </c>
      <c r="B307" s="10" t="s">
        <v>697</v>
      </c>
      <c r="C307" s="11" t="s">
        <v>696</v>
      </c>
      <c r="D307" s="10" t="s">
        <v>4419</v>
      </c>
      <c r="E307" s="10" t="s">
        <v>5119</v>
      </c>
      <c r="F307" s="11" t="s">
        <v>5120</v>
      </c>
      <c r="G307" s="10" t="s">
        <v>13</v>
      </c>
      <c r="H307" s="12">
        <v>46264</v>
      </c>
      <c r="I307" s="10" t="s">
        <v>648</v>
      </c>
      <c r="J307" s="10" t="str">
        <f>IFERROR(INDEX([1]Programas!$B$2:$B$50,MATCH(LEFT(I307,3),[1]Programas!$A$2:$A$50,0)),"")</f>
        <v>Análisis y Visualización de Datos</v>
      </c>
      <c r="K307" s="10" t="s">
        <v>649</v>
      </c>
    </row>
    <row r="308" spans="1:11" x14ac:dyDescent="0.2">
      <c r="A308" s="10">
        <v>307</v>
      </c>
      <c r="B308" s="10" t="s">
        <v>699</v>
      </c>
      <c r="C308" s="11" t="s">
        <v>698</v>
      </c>
      <c r="D308" s="10" t="s">
        <v>4419</v>
      </c>
      <c r="E308" s="10" t="s">
        <v>5121</v>
      </c>
      <c r="F308" s="11" t="s">
        <v>5122</v>
      </c>
      <c r="G308" s="10" t="s">
        <v>13</v>
      </c>
      <c r="H308" s="12">
        <v>46264</v>
      </c>
      <c r="I308" s="10" t="s">
        <v>648</v>
      </c>
      <c r="J308" s="10" t="str">
        <f>IFERROR(INDEX([1]Programas!$B$2:$B$50,MATCH(LEFT(I308,3),[1]Programas!$A$2:$A$50,0)),"")</f>
        <v>Análisis y Visualización de Datos</v>
      </c>
      <c r="K308" s="10" t="s">
        <v>649</v>
      </c>
    </row>
    <row r="309" spans="1:11" x14ac:dyDescent="0.2">
      <c r="A309" s="10">
        <v>308</v>
      </c>
      <c r="B309" s="10" t="s">
        <v>5123</v>
      </c>
      <c r="C309" s="11" t="s">
        <v>700</v>
      </c>
      <c r="D309" s="10" t="s">
        <v>4453</v>
      </c>
      <c r="E309" s="10" t="s">
        <v>5124</v>
      </c>
      <c r="F309" s="11" t="s">
        <v>5125</v>
      </c>
      <c r="G309" s="10" t="s">
        <v>13</v>
      </c>
      <c r="H309" s="12">
        <v>46264</v>
      </c>
      <c r="I309" s="10" t="s">
        <v>648</v>
      </c>
      <c r="J309" s="10" t="str">
        <f>IFERROR(INDEX([1]Programas!$B$2:$B$50,MATCH(LEFT(I309,3),[1]Programas!$A$2:$A$50,0)),"")</f>
        <v>Análisis y Visualización de Datos</v>
      </c>
      <c r="K309" s="10" t="s">
        <v>649</v>
      </c>
    </row>
    <row r="310" spans="1:11" x14ac:dyDescent="0.2">
      <c r="A310" s="10">
        <v>309</v>
      </c>
      <c r="B310" s="10" t="s">
        <v>703</v>
      </c>
      <c r="C310" s="11" t="s">
        <v>702</v>
      </c>
      <c r="D310" s="10" t="s">
        <v>4419</v>
      </c>
      <c r="E310" s="10" t="s">
        <v>5126</v>
      </c>
      <c r="F310" s="11" t="s">
        <v>5127</v>
      </c>
      <c r="G310" s="10" t="s">
        <v>13</v>
      </c>
      <c r="H310" s="12">
        <v>46264</v>
      </c>
      <c r="I310" s="10" t="s">
        <v>648</v>
      </c>
      <c r="J310" s="10" t="str">
        <f>IFERROR(INDEX([1]Programas!$B$2:$B$50,MATCH(LEFT(I310,3),[1]Programas!$A$2:$A$50,0)),"")</f>
        <v>Análisis y Visualización de Datos</v>
      </c>
      <c r="K310" s="10" t="s">
        <v>649</v>
      </c>
    </row>
    <row r="311" spans="1:11" x14ac:dyDescent="0.2">
      <c r="A311" s="10">
        <v>310</v>
      </c>
      <c r="B311" s="10" t="s">
        <v>705</v>
      </c>
      <c r="C311" s="11" t="s">
        <v>704</v>
      </c>
      <c r="D311" s="10" t="s">
        <v>4419</v>
      </c>
      <c r="E311" s="10" t="s">
        <v>5128</v>
      </c>
      <c r="F311" s="11" t="s">
        <v>5129</v>
      </c>
      <c r="G311" s="10" t="s">
        <v>13</v>
      </c>
      <c r="H311" s="12">
        <v>46264</v>
      </c>
      <c r="I311" s="10" t="s">
        <v>648</v>
      </c>
      <c r="J311" s="10" t="str">
        <f>IFERROR(INDEX([1]Programas!$B$2:$B$50,MATCH(LEFT(I311,3),[1]Programas!$A$2:$A$50,0)),"")</f>
        <v>Análisis y Visualización de Datos</v>
      </c>
      <c r="K311" s="10" t="s">
        <v>649</v>
      </c>
    </row>
    <row r="312" spans="1:11" x14ac:dyDescent="0.2">
      <c r="A312" s="10">
        <v>311</v>
      </c>
      <c r="B312" s="10" t="s">
        <v>707</v>
      </c>
      <c r="C312" s="11" t="s">
        <v>706</v>
      </c>
      <c r="D312" s="10" t="s">
        <v>4419</v>
      </c>
      <c r="E312" s="10" t="s">
        <v>5130</v>
      </c>
      <c r="F312" s="11" t="s">
        <v>5131</v>
      </c>
      <c r="G312" s="10" t="s">
        <v>13</v>
      </c>
      <c r="H312" s="12">
        <v>46264</v>
      </c>
      <c r="I312" s="10" t="s">
        <v>648</v>
      </c>
      <c r="J312" s="10" t="str">
        <f>IFERROR(INDEX([1]Programas!$B$2:$B$50,MATCH(LEFT(I312,3),[1]Programas!$A$2:$A$50,0)),"")</f>
        <v>Análisis y Visualización de Datos</v>
      </c>
      <c r="K312" s="10" t="s">
        <v>649</v>
      </c>
    </row>
    <row r="313" spans="1:11" x14ac:dyDescent="0.2">
      <c r="A313" s="10">
        <v>312</v>
      </c>
      <c r="B313" s="10" t="s">
        <v>5132</v>
      </c>
      <c r="C313" s="11" t="s">
        <v>708</v>
      </c>
      <c r="D313" s="10" t="s">
        <v>4419</v>
      </c>
      <c r="E313" s="10" t="s">
        <v>5133</v>
      </c>
      <c r="F313" s="11" t="s">
        <v>5134</v>
      </c>
      <c r="G313" s="10" t="s">
        <v>13</v>
      </c>
      <c r="H313" s="12">
        <v>46264</v>
      </c>
      <c r="I313" s="10" t="s">
        <v>648</v>
      </c>
      <c r="J313" s="10" t="str">
        <f>IFERROR(INDEX([1]Programas!$B$2:$B$50,MATCH(LEFT(I313,3),[1]Programas!$A$2:$A$50,0)),"")</f>
        <v>Análisis y Visualización de Datos</v>
      </c>
      <c r="K313" s="10" t="s">
        <v>649</v>
      </c>
    </row>
    <row r="314" spans="1:11" x14ac:dyDescent="0.2">
      <c r="A314" s="10">
        <v>313</v>
      </c>
      <c r="B314" s="10" t="s">
        <v>713</v>
      </c>
      <c r="C314" s="11" t="s">
        <v>712</v>
      </c>
      <c r="D314" s="10" t="s">
        <v>4419</v>
      </c>
      <c r="E314" s="10" t="s">
        <v>5135</v>
      </c>
      <c r="F314" s="11" t="s">
        <v>5136</v>
      </c>
      <c r="G314" s="10" t="s">
        <v>13</v>
      </c>
      <c r="H314" s="12">
        <v>46264</v>
      </c>
      <c r="I314" s="10" t="s">
        <v>648</v>
      </c>
      <c r="J314" s="10" t="str">
        <f>IFERROR(INDEX([1]Programas!$B$2:$B$50,MATCH(LEFT(I314,3),[1]Programas!$A$2:$A$50,0)),"")</f>
        <v>Análisis y Visualización de Datos</v>
      </c>
      <c r="K314" s="10" t="s">
        <v>649</v>
      </c>
    </row>
    <row r="315" spans="1:11" x14ac:dyDescent="0.2">
      <c r="A315" s="10">
        <v>314</v>
      </c>
      <c r="B315" s="10" t="s">
        <v>5137</v>
      </c>
      <c r="C315" s="11" t="s">
        <v>714</v>
      </c>
      <c r="D315" s="10" t="s">
        <v>4419</v>
      </c>
      <c r="E315" s="10" t="s">
        <v>5138</v>
      </c>
      <c r="F315" s="11" t="s">
        <v>5139</v>
      </c>
      <c r="G315" s="10" t="s">
        <v>13</v>
      </c>
      <c r="H315" s="12">
        <v>46264</v>
      </c>
      <c r="I315" s="10" t="s">
        <v>648</v>
      </c>
      <c r="J315" s="10" t="str">
        <f>IFERROR(INDEX([1]Programas!$B$2:$B$50,MATCH(LEFT(I315,3),[1]Programas!$A$2:$A$50,0)),"")</f>
        <v>Análisis y Visualización de Datos</v>
      </c>
      <c r="K315" s="10" t="s">
        <v>649</v>
      </c>
    </row>
    <row r="316" spans="1:11" x14ac:dyDescent="0.2">
      <c r="A316" s="10">
        <v>315</v>
      </c>
      <c r="B316" s="10" t="s">
        <v>717</v>
      </c>
      <c r="C316" s="11" t="s">
        <v>716</v>
      </c>
      <c r="D316" s="10" t="s">
        <v>4419</v>
      </c>
      <c r="E316" s="10" t="s">
        <v>5140</v>
      </c>
      <c r="F316" s="11" t="s">
        <v>5141</v>
      </c>
      <c r="G316" s="10" t="s">
        <v>13</v>
      </c>
      <c r="H316" s="12">
        <v>46264</v>
      </c>
      <c r="I316" s="10" t="s">
        <v>648</v>
      </c>
      <c r="J316" s="10" t="str">
        <f>IFERROR(INDEX([1]Programas!$B$2:$B$50,MATCH(LEFT(I316,3),[1]Programas!$A$2:$A$50,0)),"")</f>
        <v>Análisis y Visualización de Datos</v>
      </c>
      <c r="K316" s="10" t="s">
        <v>649</v>
      </c>
    </row>
    <row r="317" spans="1:11" x14ac:dyDescent="0.2">
      <c r="A317" s="10">
        <v>316</v>
      </c>
      <c r="B317" s="10" t="s">
        <v>719</v>
      </c>
      <c r="C317" s="11" t="s">
        <v>718</v>
      </c>
      <c r="D317" s="10" t="s">
        <v>4419</v>
      </c>
      <c r="E317" s="10" t="s">
        <v>5142</v>
      </c>
      <c r="F317" s="11" t="s">
        <v>5143</v>
      </c>
      <c r="G317" s="10" t="s">
        <v>13</v>
      </c>
      <c r="H317" s="12">
        <v>46264</v>
      </c>
      <c r="I317" s="10" t="s">
        <v>648</v>
      </c>
      <c r="J317" s="10" t="str">
        <f>IFERROR(INDEX([1]Programas!$B$2:$B$50,MATCH(LEFT(I317,3),[1]Programas!$A$2:$A$50,0)),"")</f>
        <v>Análisis y Visualización de Datos</v>
      </c>
      <c r="K317" s="10" t="s">
        <v>649</v>
      </c>
    </row>
    <row r="318" spans="1:11" x14ac:dyDescent="0.2">
      <c r="A318" s="10">
        <v>317</v>
      </c>
      <c r="B318" s="10" t="s">
        <v>721</v>
      </c>
      <c r="C318" s="11" t="s">
        <v>720</v>
      </c>
      <c r="D318" s="10" t="s">
        <v>4419</v>
      </c>
      <c r="E318" s="10" t="s">
        <v>5144</v>
      </c>
      <c r="F318" s="11" t="s">
        <v>5145</v>
      </c>
      <c r="G318" s="10" t="s">
        <v>13</v>
      </c>
      <c r="H318" s="12">
        <v>46264</v>
      </c>
      <c r="I318" s="10" t="s">
        <v>648</v>
      </c>
      <c r="J318" s="10" t="str">
        <f>IFERROR(INDEX([1]Programas!$B$2:$B$50,MATCH(LEFT(I318,3),[1]Programas!$A$2:$A$50,0)),"")</f>
        <v>Análisis y Visualización de Datos</v>
      </c>
      <c r="K318" s="10" t="s">
        <v>649</v>
      </c>
    </row>
    <row r="319" spans="1:11" x14ac:dyDescent="0.2">
      <c r="A319" s="10">
        <v>318</v>
      </c>
      <c r="B319" s="10" t="s">
        <v>723</v>
      </c>
      <c r="C319" s="11" t="s">
        <v>722</v>
      </c>
      <c r="D319" s="10" t="s">
        <v>4419</v>
      </c>
      <c r="E319" s="10" t="s">
        <v>5146</v>
      </c>
      <c r="F319" s="11" t="s">
        <v>5147</v>
      </c>
      <c r="G319" s="10" t="s">
        <v>13</v>
      </c>
      <c r="H319" s="12">
        <v>46264</v>
      </c>
      <c r="I319" s="10" t="s">
        <v>648</v>
      </c>
      <c r="J319" s="10" t="str">
        <f>IFERROR(INDEX([1]Programas!$B$2:$B$50,MATCH(LEFT(I319,3),[1]Programas!$A$2:$A$50,0)),"")</f>
        <v>Análisis y Visualización de Datos</v>
      </c>
      <c r="K319" s="10" t="s">
        <v>649</v>
      </c>
    </row>
    <row r="320" spans="1:11" x14ac:dyDescent="0.2">
      <c r="A320" s="10">
        <v>319</v>
      </c>
      <c r="B320" s="10" t="s">
        <v>725</v>
      </c>
      <c r="C320" s="11" t="s">
        <v>724</v>
      </c>
      <c r="D320" s="10" t="s">
        <v>4419</v>
      </c>
      <c r="E320" s="10" t="s">
        <v>5148</v>
      </c>
      <c r="F320" s="11" t="s">
        <v>5149</v>
      </c>
      <c r="G320" s="10" t="s">
        <v>13</v>
      </c>
      <c r="H320" s="12">
        <v>46264</v>
      </c>
      <c r="I320" s="10" t="s">
        <v>648</v>
      </c>
      <c r="J320" s="10" t="str">
        <f>IFERROR(INDEX([1]Programas!$B$2:$B$50,MATCH(LEFT(I320,3),[1]Programas!$A$2:$A$50,0)),"")</f>
        <v>Análisis y Visualización de Datos</v>
      </c>
      <c r="K320" s="10" t="s">
        <v>649</v>
      </c>
    </row>
    <row r="321" spans="1:11" x14ac:dyDescent="0.2">
      <c r="A321" s="10">
        <v>320</v>
      </c>
      <c r="B321" s="10" t="s">
        <v>5150</v>
      </c>
      <c r="C321" s="11" t="s">
        <v>726</v>
      </c>
      <c r="D321" s="10" t="s">
        <v>4453</v>
      </c>
      <c r="E321" s="10" t="s">
        <v>5151</v>
      </c>
      <c r="F321" s="11" t="s">
        <v>5152</v>
      </c>
      <c r="G321" s="10" t="s">
        <v>13</v>
      </c>
      <c r="H321" s="12">
        <v>46264</v>
      </c>
      <c r="I321" s="10" t="s">
        <v>648</v>
      </c>
      <c r="J321" s="10" t="str">
        <f>IFERROR(INDEX([1]Programas!$B$2:$B$50,MATCH(LEFT(I321,3),[1]Programas!$A$2:$A$50,0)),"")</f>
        <v>Análisis y Visualización de Datos</v>
      </c>
      <c r="K321" s="10" t="s">
        <v>649</v>
      </c>
    </row>
    <row r="322" spans="1:11" x14ac:dyDescent="0.2">
      <c r="A322" s="10">
        <v>321</v>
      </c>
      <c r="B322" s="10" t="s">
        <v>5153</v>
      </c>
      <c r="C322" s="11" t="s">
        <v>728</v>
      </c>
      <c r="D322" s="10" t="s">
        <v>4419</v>
      </c>
      <c r="E322" s="10" t="s">
        <v>5154</v>
      </c>
      <c r="F322" s="11" t="s">
        <v>5155</v>
      </c>
      <c r="G322" s="10" t="s">
        <v>13</v>
      </c>
      <c r="H322" s="12">
        <v>46264</v>
      </c>
      <c r="I322" s="10" t="s">
        <v>648</v>
      </c>
      <c r="J322" s="10" t="str">
        <f>IFERROR(INDEX([1]Programas!$B$2:$B$50,MATCH(LEFT(I322,3),[1]Programas!$A$2:$A$50,0)),"")</f>
        <v>Análisis y Visualización de Datos</v>
      </c>
      <c r="K322" s="10" t="s">
        <v>649</v>
      </c>
    </row>
    <row r="323" spans="1:11" x14ac:dyDescent="0.2">
      <c r="A323" s="10">
        <v>322</v>
      </c>
      <c r="B323" s="10" t="s">
        <v>731</v>
      </c>
      <c r="C323" s="11" t="s">
        <v>730</v>
      </c>
      <c r="D323" s="10" t="s">
        <v>4419</v>
      </c>
      <c r="E323" s="10" t="s">
        <v>5156</v>
      </c>
      <c r="F323" s="11" t="s">
        <v>5157</v>
      </c>
      <c r="G323" s="10" t="s">
        <v>13</v>
      </c>
      <c r="H323" s="12">
        <v>46264</v>
      </c>
      <c r="I323" s="10" t="s">
        <v>648</v>
      </c>
      <c r="J323" s="10" t="str">
        <f>IFERROR(INDEX([1]Programas!$B$2:$B$50,MATCH(LEFT(I323,3),[1]Programas!$A$2:$A$50,0)),"")</f>
        <v>Análisis y Visualización de Datos</v>
      </c>
      <c r="K323" s="10" t="s">
        <v>649</v>
      </c>
    </row>
    <row r="324" spans="1:11" x14ac:dyDescent="0.2">
      <c r="A324" s="10">
        <v>323</v>
      </c>
      <c r="B324" s="10" t="s">
        <v>5158</v>
      </c>
      <c r="C324" s="11" t="s">
        <v>732</v>
      </c>
      <c r="D324" s="10" t="s">
        <v>4419</v>
      </c>
      <c r="E324" s="10" t="s">
        <v>5159</v>
      </c>
      <c r="F324" s="11" t="s">
        <v>5160</v>
      </c>
      <c r="G324" s="10" t="s">
        <v>13</v>
      </c>
      <c r="H324" s="12">
        <v>46264</v>
      </c>
      <c r="I324" s="10" t="s">
        <v>648</v>
      </c>
      <c r="J324" s="10" t="str">
        <f>IFERROR(INDEX([1]Programas!$B$2:$B$50,MATCH(LEFT(I324,3),[1]Programas!$A$2:$A$50,0)),"")</f>
        <v>Análisis y Visualización de Datos</v>
      </c>
      <c r="K324" s="10" t="s">
        <v>649</v>
      </c>
    </row>
    <row r="325" spans="1:11" x14ac:dyDescent="0.2">
      <c r="A325" s="10">
        <v>324</v>
      </c>
      <c r="B325" s="10" t="s">
        <v>735</v>
      </c>
      <c r="C325" s="11" t="s">
        <v>734</v>
      </c>
      <c r="D325" s="10" t="s">
        <v>4419</v>
      </c>
      <c r="E325" s="10" t="s">
        <v>5161</v>
      </c>
      <c r="F325" s="11" t="s">
        <v>5162</v>
      </c>
      <c r="G325" s="10" t="s">
        <v>13</v>
      </c>
      <c r="H325" s="12">
        <v>46264</v>
      </c>
      <c r="I325" s="10" t="s">
        <v>648</v>
      </c>
      <c r="J325" s="10" t="str">
        <f>IFERROR(INDEX([1]Programas!$B$2:$B$50,MATCH(LEFT(I325,3),[1]Programas!$A$2:$A$50,0)),"")</f>
        <v>Análisis y Visualización de Datos</v>
      </c>
      <c r="K325" s="10" t="s">
        <v>649</v>
      </c>
    </row>
    <row r="326" spans="1:11" x14ac:dyDescent="0.2">
      <c r="A326" s="10">
        <v>325</v>
      </c>
      <c r="B326" s="10" t="s">
        <v>737</v>
      </c>
      <c r="C326" s="11" t="s">
        <v>736</v>
      </c>
      <c r="D326" s="10" t="s">
        <v>4419</v>
      </c>
      <c r="E326" s="10" t="s">
        <v>5163</v>
      </c>
      <c r="F326" s="11" t="s">
        <v>5164</v>
      </c>
      <c r="G326" s="10" t="s">
        <v>13</v>
      </c>
      <c r="H326" s="12">
        <v>46264</v>
      </c>
      <c r="I326" s="10" t="s">
        <v>648</v>
      </c>
      <c r="J326" s="10" t="str">
        <f>IFERROR(INDEX([1]Programas!$B$2:$B$50,MATCH(LEFT(I326,3),[1]Programas!$A$2:$A$50,0)),"")</f>
        <v>Análisis y Visualización de Datos</v>
      </c>
      <c r="K326" s="10" t="s">
        <v>649</v>
      </c>
    </row>
    <row r="327" spans="1:11" x14ac:dyDescent="0.2">
      <c r="A327" s="10">
        <v>326</v>
      </c>
      <c r="B327" s="10" t="s">
        <v>5165</v>
      </c>
      <c r="C327" s="11" t="s">
        <v>738</v>
      </c>
      <c r="D327" s="10" t="s">
        <v>4419</v>
      </c>
      <c r="E327" s="10" t="s">
        <v>5166</v>
      </c>
      <c r="F327" s="11" t="s">
        <v>5167</v>
      </c>
      <c r="G327" s="10" t="s">
        <v>13</v>
      </c>
      <c r="H327" s="12">
        <v>46264</v>
      </c>
      <c r="I327" s="10" t="s">
        <v>648</v>
      </c>
      <c r="J327" s="10" t="str">
        <f>IFERROR(INDEX([1]Programas!$B$2:$B$50,MATCH(LEFT(I327,3),[1]Programas!$A$2:$A$50,0)),"")</f>
        <v>Análisis y Visualización de Datos</v>
      </c>
      <c r="K327" s="10" t="s">
        <v>649</v>
      </c>
    </row>
    <row r="328" spans="1:11" x14ac:dyDescent="0.2">
      <c r="A328" s="10">
        <v>327</v>
      </c>
      <c r="B328" s="10" t="s">
        <v>5168</v>
      </c>
      <c r="C328" s="11" t="s">
        <v>740</v>
      </c>
      <c r="D328" s="10" t="s">
        <v>4419</v>
      </c>
      <c r="E328" s="10" t="s">
        <v>5169</v>
      </c>
      <c r="F328" s="11" t="s">
        <v>5170</v>
      </c>
      <c r="G328" s="10" t="s">
        <v>13</v>
      </c>
      <c r="H328" s="12">
        <v>46264</v>
      </c>
      <c r="I328" s="10" t="s">
        <v>648</v>
      </c>
      <c r="J328" s="10" t="str">
        <f>IFERROR(INDEX([1]Programas!$B$2:$B$50,MATCH(LEFT(I328,3),[1]Programas!$A$2:$A$50,0)),"")</f>
        <v>Análisis y Visualización de Datos</v>
      </c>
      <c r="K328" s="10" t="s">
        <v>649</v>
      </c>
    </row>
    <row r="329" spans="1:11" x14ac:dyDescent="0.2">
      <c r="A329" s="10">
        <v>328</v>
      </c>
      <c r="B329" s="10" t="s">
        <v>743</v>
      </c>
      <c r="C329" s="11" t="s">
        <v>742</v>
      </c>
      <c r="D329" s="10" t="s">
        <v>4419</v>
      </c>
      <c r="E329" s="10" t="s">
        <v>5171</v>
      </c>
      <c r="F329" s="11" t="s">
        <v>5172</v>
      </c>
      <c r="G329" s="10" t="s">
        <v>13</v>
      </c>
      <c r="H329" s="12">
        <v>46264</v>
      </c>
      <c r="I329" s="10" t="s">
        <v>648</v>
      </c>
      <c r="J329" s="10" t="str">
        <f>IFERROR(INDEX([1]Programas!$B$2:$B$50,MATCH(LEFT(I329,3),[1]Programas!$A$2:$A$50,0)),"")</f>
        <v>Análisis y Visualización de Datos</v>
      </c>
      <c r="K329" s="10" t="s">
        <v>649</v>
      </c>
    </row>
    <row r="330" spans="1:11" x14ac:dyDescent="0.2">
      <c r="A330" s="10">
        <v>329</v>
      </c>
      <c r="B330" s="10" t="s">
        <v>5173</v>
      </c>
      <c r="C330" s="11" t="s">
        <v>744</v>
      </c>
      <c r="D330" s="10" t="s">
        <v>4419</v>
      </c>
      <c r="E330" s="10" t="s">
        <v>5174</v>
      </c>
      <c r="F330" s="11" t="s">
        <v>5175</v>
      </c>
      <c r="G330" s="10" t="s">
        <v>13</v>
      </c>
      <c r="H330" s="12">
        <v>46264</v>
      </c>
      <c r="I330" s="10" t="s">
        <v>648</v>
      </c>
      <c r="J330" s="10" t="str">
        <f>IFERROR(INDEX([1]Programas!$B$2:$B$50,MATCH(LEFT(I330,3),[1]Programas!$A$2:$A$50,0)),"")</f>
        <v>Análisis y Visualización de Datos</v>
      </c>
      <c r="K330" s="10" t="s">
        <v>649</v>
      </c>
    </row>
    <row r="331" spans="1:11" x14ac:dyDescent="0.2">
      <c r="A331" s="10">
        <v>330</v>
      </c>
      <c r="B331" s="10" t="s">
        <v>747</v>
      </c>
      <c r="C331" s="11" t="s">
        <v>746</v>
      </c>
      <c r="D331" s="10" t="s">
        <v>4419</v>
      </c>
      <c r="E331" s="10" t="s">
        <v>5176</v>
      </c>
      <c r="F331" s="11" t="s">
        <v>5177</v>
      </c>
      <c r="G331" s="10" t="s">
        <v>13</v>
      </c>
      <c r="H331" s="12">
        <v>46263</v>
      </c>
      <c r="I331" s="10" t="s">
        <v>749</v>
      </c>
      <c r="J331" s="10" t="str">
        <f>IFERROR(INDEX([1]Programas!$B$2:$B$50,MATCH(LEFT(I331,3),[1]Programas!$A$2:$A$50,0)),"")</f>
        <v>Análisis y Visualización de Datos</v>
      </c>
      <c r="K331" s="10" t="s">
        <v>750</v>
      </c>
    </row>
    <row r="332" spans="1:11" x14ac:dyDescent="0.2">
      <c r="A332" s="10">
        <v>331</v>
      </c>
      <c r="B332" s="10" t="s">
        <v>752</v>
      </c>
      <c r="C332" s="11" t="s">
        <v>751</v>
      </c>
      <c r="D332" s="10" t="s">
        <v>5003</v>
      </c>
      <c r="E332" s="10" t="s">
        <v>5178</v>
      </c>
      <c r="F332" s="11" t="s">
        <v>5179</v>
      </c>
      <c r="G332" s="10" t="s">
        <v>13</v>
      </c>
      <c r="H332" s="12">
        <v>46263</v>
      </c>
      <c r="I332" s="10" t="s">
        <v>749</v>
      </c>
      <c r="J332" s="10" t="str">
        <f>IFERROR(INDEX([1]Programas!$B$2:$B$50,MATCH(LEFT(I332,3),[1]Programas!$A$2:$A$50,0)),"")</f>
        <v>Análisis y Visualización de Datos</v>
      </c>
      <c r="K332" s="10" t="s">
        <v>750</v>
      </c>
    </row>
    <row r="333" spans="1:11" x14ac:dyDescent="0.2">
      <c r="A333" s="10">
        <v>332</v>
      </c>
      <c r="B333" s="10" t="s">
        <v>754</v>
      </c>
      <c r="C333" s="11" t="s">
        <v>753</v>
      </c>
      <c r="D333" s="10" t="s">
        <v>4419</v>
      </c>
      <c r="E333" s="10" t="s">
        <v>5180</v>
      </c>
      <c r="F333" s="11" t="s">
        <v>5181</v>
      </c>
      <c r="G333" s="10" t="s">
        <v>13</v>
      </c>
      <c r="H333" s="12">
        <v>46263</v>
      </c>
      <c r="I333" s="10" t="s">
        <v>749</v>
      </c>
      <c r="J333" s="10" t="str">
        <f>IFERROR(INDEX([1]Programas!$B$2:$B$50,MATCH(LEFT(I333,3),[1]Programas!$A$2:$A$50,0)),"")</f>
        <v>Análisis y Visualización de Datos</v>
      </c>
      <c r="K333" s="10" t="s">
        <v>750</v>
      </c>
    </row>
    <row r="334" spans="1:11" x14ac:dyDescent="0.2">
      <c r="A334" s="10">
        <v>333</v>
      </c>
      <c r="B334" s="10" t="s">
        <v>756</v>
      </c>
      <c r="C334" s="11" t="s">
        <v>755</v>
      </c>
      <c r="D334" s="10" t="s">
        <v>4419</v>
      </c>
      <c r="E334" s="10" t="s">
        <v>5182</v>
      </c>
      <c r="F334" s="11" t="s">
        <v>5183</v>
      </c>
      <c r="G334" s="10" t="s">
        <v>13</v>
      </c>
      <c r="H334" s="12">
        <v>46263</v>
      </c>
      <c r="I334" s="10" t="s">
        <v>749</v>
      </c>
      <c r="J334" s="10" t="str">
        <f>IFERROR(INDEX([1]Programas!$B$2:$B$50,MATCH(LEFT(I334,3),[1]Programas!$A$2:$A$50,0)),"")</f>
        <v>Análisis y Visualización de Datos</v>
      </c>
      <c r="K334" s="10" t="s">
        <v>750</v>
      </c>
    </row>
    <row r="335" spans="1:11" x14ac:dyDescent="0.2">
      <c r="A335" s="10">
        <v>334</v>
      </c>
      <c r="B335" s="10" t="s">
        <v>758</v>
      </c>
      <c r="C335" s="11" t="s">
        <v>757</v>
      </c>
      <c r="D335" s="10" t="s">
        <v>4419</v>
      </c>
      <c r="E335" s="10" t="s">
        <v>5184</v>
      </c>
      <c r="F335" s="11" t="s">
        <v>5185</v>
      </c>
      <c r="G335" s="10" t="s">
        <v>13</v>
      </c>
      <c r="H335" s="12">
        <v>46263</v>
      </c>
      <c r="I335" s="10" t="s">
        <v>749</v>
      </c>
      <c r="J335" s="10" t="str">
        <f>IFERROR(INDEX([1]Programas!$B$2:$B$50,MATCH(LEFT(I335,3),[1]Programas!$A$2:$A$50,0)),"")</f>
        <v>Análisis y Visualización de Datos</v>
      </c>
      <c r="K335" s="10" t="s">
        <v>750</v>
      </c>
    </row>
    <row r="336" spans="1:11" x14ac:dyDescent="0.2">
      <c r="A336" s="10">
        <v>335</v>
      </c>
      <c r="B336" s="10" t="s">
        <v>760</v>
      </c>
      <c r="C336" s="11" t="s">
        <v>759</v>
      </c>
      <c r="D336" s="10" t="s">
        <v>4453</v>
      </c>
      <c r="E336" s="10" t="s">
        <v>5186</v>
      </c>
      <c r="F336" s="11" t="s">
        <v>5187</v>
      </c>
      <c r="G336" s="10" t="s">
        <v>13</v>
      </c>
      <c r="H336" s="12">
        <v>46263</v>
      </c>
      <c r="I336" s="10" t="s">
        <v>749</v>
      </c>
      <c r="J336" s="10" t="str">
        <f>IFERROR(INDEX([1]Programas!$B$2:$B$50,MATCH(LEFT(I336,3),[1]Programas!$A$2:$A$50,0)),"")</f>
        <v>Análisis y Visualización de Datos</v>
      </c>
      <c r="K336" s="10" t="s">
        <v>750</v>
      </c>
    </row>
    <row r="337" spans="1:11" x14ac:dyDescent="0.2">
      <c r="A337" s="10">
        <v>336</v>
      </c>
      <c r="B337" s="10" t="s">
        <v>762</v>
      </c>
      <c r="C337" s="11" t="s">
        <v>761</v>
      </c>
      <c r="D337" s="10" t="s">
        <v>4419</v>
      </c>
      <c r="E337" s="10" t="s">
        <v>5188</v>
      </c>
      <c r="F337" s="11" t="s">
        <v>5189</v>
      </c>
      <c r="G337" s="10" t="s">
        <v>13</v>
      </c>
      <c r="H337" s="12">
        <v>46263</v>
      </c>
      <c r="I337" s="10" t="s">
        <v>749</v>
      </c>
      <c r="J337" s="10" t="str">
        <f>IFERROR(INDEX([1]Programas!$B$2:$B$50,MATCH(LEFT(I337,3),[1]Programas!$A$2:$A$50,0)),"")</f>
        <v>Análisis y Visualización de Datos</v>
      </c>
      <c r="K337" s="10" t="s">
        <v>750</v>
      </c>
    </row>
    <row r="338" spans="1:11" x14ac:dyDescent="0.2">
      <c r="A338" s="10">
        <v>337</v>
      </c>
      <c r="B338" s="10" t="s">
        <v>764</v>
      </c>
      <c r="C338" s="11" t="s">
        <v>763</v>
      </c>
      <c r="D338" s="10" t="s">
        <v>4419</v>
      </c>
      <c r="E338" s="10" t="s">
        <v>5190</v>
      </c>
      <c r="F338" s="11" t="s">
        <v>5191</v>
      </c>
      <c r="G338" s="10" t="s">
        <v>13</v>
      </c>
      <c r="H338" s="12">
        <v>46263</v>
      </c>
      <c r="I338" s="10" t="s">
        <v>749</v>
      </c>
      <c r="J338" s="10" t="str">
        <f>IFERROR(INDEX([1]Programas!$B$2:$B$50,MATCH(LEFT(I338,3),[1]Programas!$A$2:$A$50,0)),"")</f>
        <v>Análisis y Visualización de Datos</v>
      </c>
      <c r="K338" s="10" t="s">
        <v>750</v>
      </c>
    </row>
    <row r="339" spans="1:11" x14ac:dyDescent="0.2">
      <c r="A339" s="10">
        <v>338</v>
      </c>
      <c r="B339" s="10" t="s">
        <v>5192</v>
      </c>
      <c r="C339" s="11" t="s">
        <v>765</v>
      </c>
      <c r="D339" s="10" t="s">
        <v>4419</v>
      </c>
      <c r="E339" s="10" t="s">
        <v>5193</v>
      </c>
      <c r="F339" s="11" t="s">
        <v>5194</v>
      </c>
      <c r="G339" s="10" t="s">
        <v>13</v>
      </c>
      <c r="H339" s="12">
        <v>46263</v>
      </c>
      <c r="I339" s="10" t="s">
        <v>749</v>
      </c>
      <c r="J339" s="10" t="str">
        <f>IFERROR(INDEX([1]Programas!$B$2:$B$50,MATCH(LEFT(I339,3),[1]Programas!$A$2:$A$50,0)),"")</f>
        <v>Análisis y Visualización de Datos</v>
      </c>
      <c r="K339" s="10" t="s">
        <v>750</v>
      </c>
    </row>
    <row r="340" spans="1:11" x14ac:dyDescent="0.2">
      <c r="A340" s="10">
        <v>339</v>
      </c>
      <c r="B340" s="10" t="s">
        <v>768</v>
      </c>
      <c r="C340" s="11" t="s">
        <v>767</v>
      </c>
      <c r="D340" s="10" t="s">
        <v>4419</v>
      </c>
      <c r="E340" s="10" t="s">
        <v>5195</v>
      </c>
      <c r="F340" s="11" t="s">
        <v>5196</v>
      </c>
      <c r="G340" s="10" t="s">
        <v>13</v>
      </c>
      <c r="H340" s="12">
        <v>46263</v>
      </c>
      <c r="I340" s="10" t="s">
        <v>749</v>
      </c>
      <c r="J340" s="10" t="str">
        <f>IFERROR(INDEX([1]Programas!$B$2:$B$50,MATCH(LEFT(I340,3),[1]Programas!$A$2:$A$50,0)),"")</f>
        <v>Análisis y Visualización de Datos</v>
      </c>
      <c r="K340" s="10" t="s">
        <v>750</v>
      </c>
    </row>
    <row r="341" spans="1:11" x14ac:dyDescent="0.2">
      <c r="A341" s="10">
        <v>340</v>
      </c>
      <c r="B341" s="10" t="s">
        <v>5197</v>
      </c>
      <c r="C341" s="11" t="s">
        <v>769</v>
      </c>
      <c r="D341" s="10" t="s">
        <v>4419</v>
      </c>
      <c r="E341" s="10" t="s">
        <v>5198</v>
      </c>
      <c r="F341" s="11" t="s">
        <v>5199</v>
      </c>
      <c r="G341" s="10" t="s">
        <v>13</v>
      </c>
      <c r="H341" s="12">
        <v>46263</v>
      </c>
      <c r="I341" s="10" t="s">
        <v>749</v>
      </c>
      <c r="J341" s="10" t="str">
        <f>IFERROR(INDEX([1]Programas!$B$2:$B$50,MATCH(LEFT(I341,3),[1]Programas!$A$2:$A$50,0)),"")</f>
        <v>Análisis y Visualización de Datos</v>
      </c>
      <c r="K341" s="10" t="s">
        <v>750</v>
      </c>
    </row>
    <row r="342" spans="1:11" x14ac:dyDescent="0.2">
      <c r="A342" s="10">
        <v>341</v>
      </c>
      <c r="B342" s="10" t="s">
        <v>772</v>
      </c>
      <c r="C342" s="11" t="s">
        <v>771</v>
      </c>
      <c r="D342" s="10" t="s">
        <v>4419</v>
      </c>
      <c r="E342" s="10" t="s">
        <v>5200</v>
      </c>
      <c r="F342" s="11" t="s">
        <v>5201</v>
      </c>
      <c r="G342" s="10" t="s">
        <v>13</v>
      </c>
      <c r="H342" s="12">
        <v>46263</v>
      </c>
      <c r="I342" s="10" t="s">
        <v>749</v>
      </c>
      <c r="J342" s="10" t="str">
        <f>IFERROR(INDEX([1]Programas!$B$2:$B$50,MATCH(LEFT(I342,3),[1]Programas!$A$2:$A$50,0)),"")</f>
        <v>Análisis y Visualización de Datos</v>
      </c>
      <c r="K342" s="10" t="s">
        <v>750</v>
      </c>
    </row>
    <row r="343" spans="1:11" x14ac:dyDescent="0.2">
      <c r="A343" s="10">
        <v>342</v>
      </c>
      <c r="B343" s="10" t="s">
        <v>774</v>
      </c>
      <c r="C343" s="11" t="s">
        <v>773</v>
      </c>
      <c r="D343" s="10" t="s">
        <v>4419</v>
      </c>
      <c r="E343" s="10" t="s">
        <v>5202</v>
      </c>
      <c r="F343" s="11" t="s">
        <v>5203</v>
      </c>
      <c r="G343" s="10" t="s">
        <v>13</v>
      </c>
      <c r="H343" s="12">
        <v>46263</v>
      </c>
      <c r="I343" s="10" t="s">
        <v>749</v>
      </c>
      <c r="J343" s="10" t="str">
        <f>IFERROR(INDEX([1]Programas!$B$2:$B$50,MATCH(LEFT(I343,3),[1]Programas!$A$2:$A$50,0)),"")</f>
        <v>Análisis y Visualización de Datos</v>
      </c>
      <c r="K343" s="10" t="s">
        <v>750</v>
      </c>
    </row>
    <row r="344" spans="1:11" x14ac:dyDescent="0.2">
      <c r="A344" s="10">
        <v>343</v>
      </c>
      <c r="B344" s="10" t="s">
        <v>776</v>
      </c>
      <c r="C344" s="11" t="s">
        <v>775</v>
      </c>
      <c r="D344" s="10" t="s">
        <v>4419</v>
      </c>
      <c r="E344" s="10" t="s">
        <v>5204</v>
      </c>
      <c r="F344" s="11" t="s">
        <v>5205</v>
      </c>
      <c r="G344" s="10" t="s">
        <v>13</v>
      </c>
      <c r="H344" s="12">
        <v>46263</v>
      </c>
      <c r="I344" s="10" t="s">
        <v>749</v>
      </c>
      <c r="J344" s="10" t="str">
        <f>IFERROR(INDEX([1]Programas!$B$2:$B$50,MATCH(LEFT(I344,3),[1]Programas!$A$2:$A$50,0)),"")</f>
        <v>Análisis y Visualización de Datos</v>
      </c>
      <c r="K344" s="10" t="s">
        <v>750</v>
      </c>
    </row>
    <row r="345" spans="1:11" x14ac:dyDescent="0.2">
      <c r="A345" s="10">
        <v>344</v>
      </c>
      <c r="B345" s="10" t="s">
        <v>778</v>
      </c>
      <c r="C345" s="11" t="s">
        <v>777</v>
      </c>
      <c r="D345" s="10" t="s">
        <v>5003</v>
      </c>
      <c r="E345" s="10" t="s">
        <v>5206</v>
      </c>
      <c r="F345" s="11" t="s">
        <v>5207</v>
      </c>
      <c r="G345" s="10" t="s">
        <v>13</v>
      </c>
      <c r="H345" s="12">
        <v>46263</v>
      </c>
      <c r="I345" s="10" t="s">
        <v>749</v>
      </c>
      <c r="J345" s="10" t="str">
        <f>IFERROR(INDEX([1]Programas!$B$2:$B$50,MATCH(LEFT(I345,3),[1]Programas!$A$2:$A$50,0)),"")</f>
        <v>Análisis y Visualización de Datos</v>
      </c>
      <c r="K345" s="10" t="s">
        <v>750</v>
      </c>
    </row>
    <row r="346" spans="1:11" x14ac:dyDescent="0.2">
      <c r="A346" s="10">
        <v>345</v>
      </c>
      <c r="B346" s="10" t="s">
        <v>5208</v>
      </c>
      <c r="C346" s="11" t="s">
        <v>779</v>
      </c>
      <c r="D346" s="10" t="s">
        <v>4419</v>
      </c>
      <c r="E346" s="10" t="s">
        <v>5209</v>
      </c>
      <c r="F346" s="11" t="s">
        <v>5210</v>
      </c>
      <c r="G346" s="10" t="s">
        <v>13</v>
      </c>
      <c r="H346" s="12">
        <v>46263</v>
      </c>
      <c r="I346" s="10" t="s">
        <v>749</v>
      </c>
      <c r="J346" s="10" t="str">
        <f>IFERROR(INDEX([1]Programas!$B$2:$B$50,MATCH(LEFT(I346,3),[1]Programas!$A$2:$A$50,0)),"")</f>
        <v>Análisis y Visualización de Datos</v>
      </c>
      <c r="K346" s="10" t="s">
        <v>750</v>
      </c>
    </row>
    <row r="347" spans="1:11" x14ac:dyDescent="0.2">
      <c r="A347" s="10">
        <v>346</v>
      </c>
      <c r="B347" s="10" t="s">
        <v>782</v>
      </c>
      <c r="C347" s="11" t="s">
        <v>781</v>
      </c>
      <c r="D347" s="10" t="s">
        <v>4419</v>
      </c>
      <c r="E347" s="10" t="s">
        <v>5211</v>
      </c>
      <c r="F347" s="11" t="s">
        <v>5212</v>
      </c>
      <c r="G347" s="10" t="s">
        <v>13</v>
      </c>
      <c r="H347" s="12">
        <v>46263</v>
      </c>
      <c r="I347" s="10" t="s">
        <v>749</v>
      </c>
      <c r="J347" s="10" t="str">
        <f>IFERROR(INDEX([1]Programas!$B$2:$B$50,MATCH(LEFT(I347,3),[1]Programas!$A$2:$A$50,0)),"")</f>
        <v>Análisis y Visualización de Datos</v>
      </c>
      <c r="K347" s="10" t="s">
        <v>750</v>
      </c>
    </row>
    <row r="348" spans="1:11" x14ac:dyDescent="0.2">
      <c r="A348" s="10">
        <v>347</v>
      </c>
      <c r="B348" s="10" t="s">
        <v>784</v>
      </c>
      <c r="C348" s="11" t="s">
        <v>783</v>
      </c>
      <c r="D348" s="10" t="s">
        <v>4419</v>
      </c>
      <c r="E348" s="10" t="s">
        <v>5213</v>
      </c>
      <c r="F348" s="11" t="s">
        <v>5214</v>
      </c>
      <c r="G348" s="10" t="s">
        <v>13</v>
      </c>
      <c r="H348" s="12">
        <v>46263</v>
      </c>
      <c r="I348" s="10" t="s">
        <v>749</v>
      </c>
      <c r="J348" s="10" t="str">
        <f>IFERROR(INDEX([1]Programas!$B$2:$B$50,MATCH(LEFT(I348,3),[1]Programas!$A$2:$A$50,0)),"")</f>
        <v>Análisis y Visualización de Datos</v>
      </c>
      <c r="K348" s="10" t="s">
        <v>750</v>
      </c>
    </row>
    <row r="349" spans="1:11" x14ac:dyDescent="0.2">
      <c r="A349" s="10">
        <v>348</v>
      </c>
      <c r="B349" s="10" t="s">
        <v>5215</v>
      </c>
      <c r="C349" s="11" t="s">
        <v>785</v>
      </c>
      <c r="D349" s="10" t="s">
        <v>4419</v>
      </c>
      <c r="E349" s="10" t="s">
        <v>5216</v>
      </c>
      <c r="F349" s="11" t="s">
        <v>5217</v>
      </c>
      <c r="G349" s="10" t="s">
        <v>13</v>
      </c>
      <c r="H349" s="12">
        <v>46263</v>
      </c>
      <c r="I349" s="10" t="s">
        <v>749</v>
      </c>
      <c r="J349" s="10" t="str">
        <f>IFERROR(INDEX([1]Programas!$B$2:$B$50,MATCH(LEFT(I349,3),[1]Programas!$A$2:$A$50,0)),"")</f>
        <v>Análisis y Visualización de Datos</v>
      </c>
      <c r="K349" s="10" t="s">
        <v>750</v>
      </c>
    </row>
    <row r="350" spans="1:11" x14ac:dyDescent="0.2">
      <c r="A350" s="10">
        <v>349</v>
      </c>
      <c r="B350" s="10" t="s">
        <v>5218</v>
      </c>
      <c r="C350" s="11" t="s">
        <v>787</v>
      </c>
      <c r="D350" s="10" t="s">
        <v>4419</v>
      </c>
      <c r="E350" s="10" t="s">
        <v>5219</v>
      </c>
      <c r="F350" s="11" t="s">
        <v>5220</v>
      </c>
      <c r="G350" s="10" t="s">
        <v>13</v>
      </c>
      <c r="H350" s="12">
        <v>46263</v>
      </c>
      <c r="I350" s="10" t="s">
        <v>749</v>
      </c>
      <c r="J350" s="10" t="str">
        <f>IFERROR(INDEX([1]Programas!$B$2:$B$50,MATCH(LEFT(I350,3),[1]Programas!$A$2:$A$50,0)),"")</f>
        <v>Análisis y Visualización de Datos</v>
      </c>
      <c r="K350" s="10" t="s">
        <v>750</v>
      </c>
    </row>
    <row r="351" spans="1:11" x14ac:dyDescent="0.2">
      <c r="A351" s="10">
        <v>350</v>
      </c>
      <c r="B351" s="10" t="s">
        <v>790</v>
      </c>
      <c r="C351" s="11" t="s">
        <v>789</v>
      </c>
      <c r="D351" s="10" t="s">
        <v>4419</v>
      </c>
      <c r="E351" s="10" t="s">
        <v>5221</v>
      </c>
      <c r="F351" s="11" t="s">
        <v>5222</v>
      </c>
      <c r="G351" s="10" t="s">
        <v>13</v>
      </c>
      <c r="H351" s="12">
        <v>46263</v>
      </c>
      <c r="I351" s="10" t="s">
        <v>749</v>
      </c>
      <c r="J351" s="10" t="str">
        <f>IFERROR(INDEX([1]Programas!$B$2:$B$50,MATCH(LEFT(I351,3),[1]Programas!$A$2:$A$50,0)),"")</f>
        <v>Análisis y Visualización de Datos</v>
      </c>
      <c r="K351" s="10" t="s">
        <v>750</v>
      </c>
    </row>
    <row r="352" spans="1:11" x14ac:dyDescent="0.2">
      <c r="A352" s="10">
        <v>351</v>
      </c>
      <c r="B352" s="10" t="s">
        <v>792</v>
      </c>
      <c r="C352" s="11" t="s">
        <v>791</v>
      </c>
      <c r="D352" s="10" t="s">
        <v>4419</v>
      </c>
      <c r="E352" s="10" t="s">
        <v>5223</v>
      </c>
      <c r="F352" s="11" t="s">
        <v>5224</v>
      </c>
      <c r="G352" s="10" t="s">
        <v>13</v>
      </c>
      <c r="H352" s="12">
        <v>46264</v>
      </c>
      <c r="I352" s="10" t="s">
        <v>749</v>
      </c>
      <c r="J352" s="10" t="str">
        <f>IFERROR(INDEX([1]Programas!$B$2:$B$50,MATCH(LEFT(I352,3),[1]Programas!$A$2:$A$50,0)),"")</f>
        <v>Análisis y Visualización de Datos</v>
      </c>
      <c r="K352" s="10" t="s">
        <v>750</v>
      </c>
    </row>
    <row r="353" spans="1:11" x14ac:dyDescent="0.2">
      <c r="A353" s="10">
        <v>352</v>
      </c>
      <c r="B353" s="10" t="s">
        <v>794</v>
      </c>
      <c r="C353" s="11" t="s">
        <v>793</v>
      </c>
      <c r="D353" s="10" t="s">
        <v>4419</v>
      </c>
      <c r="E353" s="10" t="s">
        <v>5225</v>
      </c>
      <c r="F353" s="11" t="s">
        <v>5226</v>
      </c>
      <c r="G353" s="10" t="s">
        <v>13</v>
      </c>
      <c r="H353" s="12">
        <v>46264</v>
      </c>
      <c r="I353" s="10" t="s">
        <v>749</v>
      </c>
      <c r="J353" s="10" t="str">
        <f>IFERROR(INDEX([1]Programas!$B$2:$B$50,MATCH(LEFT(I353,3),[1]Programas!$A$2:$A$50,0)),"")</f>
        <v>Análisis y Visualización de Datos</v>
      </c>
      <c r="K353" s="10" t="s">
        <v>750</v>
      </c>
    </row>
    <row r="354" spans="1:11" x14ac:dyDescent="0.2">
      <c r="A354" s="10">
        <v>353</v>
      </c>
      <c r="B354" s="10" t="s">
        <v>796</v>
      </c>
      <c r="C354" s="11" t="s">
        <v>795</v>
      </c>
      <c r="D354" s="10" t="s">
        <v>4419</v>
      </c>
      <c r="E354" s="10" t="s">
        <v>5227</v>
      </c>
      <c r="F354" s="11" t="s">
        <v>5228</v>
      </c>
      <c r="G354" s="10" t="s">
        <v>13</v>
      </c>
      <c r="H354" s="12">
        <v>46264</v>
      </c>
      <c r="I354" s="10" t="s">
        <v>749</v>
      </c>
      <c r="J354" s="10" t="str">
        <f>IFERROR(INDEX([1]Programas!$B$2:$B$50,MATCH(LEFT(I354,3),[1]Programas!$A$2:$A$50,0)),"")</f>
        <v>Análisis y Visualización de Datos</v>
      </c>
      <c r="K354" s="10" t="s">
        <v>750</v>
      </c>
    </row>
    <row r="355" spans="1:11" x14ac:dyDescent="0.2">
      <c r="A355" s="10">
        <v>354</v>
      </c>
      <c r="B355" s="10" t="s">
        <v>5229</v>
      </c>
      <c r="C355" s="11" t="s">
        <v>797</v>
      </c>
      <c r="D355" s="10" t="s">
        <v>4419</v>
      </c>
      <c r="E355" s="10" t="s">
        <v>5230</v>
      </c>
      <c r="F355" s="11" t="s">
        <v>5231</v>
      </c>
      <c r="G355" s="10" t="s">
        <v>13</v>
      </c>
      <c r="H355" s="12">
        <v>46264</v>
      </c>
      <c r="I355" s="10" t="s">
        <v>749</v>
      </c>
      <c r="J355" s="10" t="str">
        <f>IFERROR(INDEX([1]Programas!$B$2:$B$50,MATCH(LEFT(I355,3),[1]Programas!$A$2:$A$50,0)),"")</f>
        <v>Análisis y Visualización de Datos</v>
      </c>
      <c r="K355" s="10" t="s">
        <v>750</v>
      </c>
    </row>
    <row r="356" spans="1:11" x14ac:dyDescent="0.2">
      <c r="A356" s="10">
        <v>355</v>
      </c>
      <c r="B356" s="10" t="s">
        <v>5232</v>
      </c>
      <c r="C356" s="11" t="s">
        <v>799</v>
      </c>
      <c r="D356" s="10" t="s">
        <v>4419</v>
      </c>
      <c r="E356" s="10" t="s">
        <v>5233</v>
      </c>
      <c r="F356" s="11" t="s">
        <v>5234</v>
      </c>
      <c r="G356" s="10" t="s">
        <v>13</v>
      </c>
      <c r="H356" s="12">
        <v>46264</v>
      </c>
      <c r="I356" s="10" t="s">
        <v>749</v>
      </c>
      <c r="J356" s="10" t="str">
        <f>IFERROR(INDEX([1]Programas!$B$2:$B$50,MATCH(LEFT(I356,3),[1]Programas!$A$2:$A$50,0)),"")</f>
        <v>Análisis y Visualización de Datos</v>
      </c>
      <c r="K356" s="10" t="s">
        <v>750</v>
      </c>
    </row>
    <row r="357" spans="1:11" x14ac:dyDescent="0.2">
      <c r="A357" s="10">
        <v>356</v>
      </c>
      <c r="B357" s="10" t="s">
        <v>802</v>
      </c>
      <c r="C357" s="11" t="s">
        <v>801</v>
      </c>
      <c r="D357" s="10" t="s">
        <v>4419</v>
      </c>
      <c r="E357" s="10" t="s">
        <v>5235</v>
      </c>
      <c r="F357" s="11" t="s">
        <v>5236</v>
      </c>
      <c r="G357" s="10" t="s">
        <v>13</v>
      </c>
      <c r="H357" s="12">
        <v>46273</v>
      </c>
      <c r="I357" s="10" t="s">
        <v>749</v>
      </c>
      <c r="J357" s="10" t="str">
        <f>IFERROR(INDEX([1]Programas!$B$2:$B$50,MATCH(LEFT(I357,3),[1]Programas!$A$2:$A$50,0)),"")</f>
        <v>Análisis y Visualización de Datos</v>
      </c>
      <c r="K357" s="10" t="s">
        <v>750</v>
      </c>
    </row>
    <row r="358" spans="1:11" x14ac:dyDescent="0.2">
      <c r="A358" s="10">
        <v>357</v>
      </c>
      <c r="B358" s="10" t="s">
        <v>5237</v>
      </c>
      <c r="C358" s="11" t="s">
        <v>803</v>
      </c>
      <c r="D358" s="10" t="s">
        <v>4419</v>
      </c>
      <c r="E358" s="10" t="s">
        <v>5238</v>
      </c>
      <c r="F358" s="11" t="s">
        <v>5239</v>
      </c>
      <c r="G358" s="10" t="s">
        <v>13</v>
      </c>
      <c r="H358" s="12">
        <v>46263</v>
      </c>
      <c r="I358" s="10" t="s">
        <v>806</v>
      </c>
      <c r="J358" s="10" t="str">
        <f>IFERROR(INDEX([1]Programas!$B$2:$B$50,MATCH(LEFT(I358,3),[1]Programas!$A$2:$A$50,0)),"")</f>
        <v>Análisis y Visualización de Datos</v>
      </c>
      <c r="K358" s="10" t="s">
        <v>807</v>
      </c>
    </row>
    <row r="359" spans="1:11" x14ac:dyDescent="0.2">
      <c r="A359" s="10">
        <v>358</v>
      </c>
      <c r="B359" s="10" t="s">
        <v>5240</v>
      </c>
      <c r="C359" s="11" t="s">
        <v>808</v>
      </c>
      <c r="D359" s="10" t="s">
        <v>4419</v>
      </c>
      <c r="E359" s="10" t="s">
        <v>5241</v>
      </c>
      <c r="F359" s="11" t="s">
        <v>5242</v>
      </c>
      <c r="G359" s="10" t="s">
        <v>13</v>
      </c>
      <c r="H359" s="12">
        <v>46263</v>
      </c>
      <c r="I359" s="10" t="s">
        <v>806</v>
      </c>
      <c r="J359" s="10" t="str">
        <f>IFERROR(INDEX([1]Programas!$B$2:$B$50,MATCH(LEFT(I359,3),[1]Programas!$A$2:$A$50,0)),"")</f>
        <v>Análisis y Visualización de Datos</v>
      </c>
      <c r="K359" s="10" t="s">
        <v>807</v>
      </c>
    </row>
    <row r="360" spans="1:11" x14ac:dyDescent="0.2">
      <c r="A360" s="10">
        <v>359</v>
      </c>
      <c r="B360" s="10" t="s">
        <v>811</v>
      </c>
      <c r="C360" s="11" t="s">
        <v>810</v>
      </c>
      <c r="D360" s="10" t="s">
        <v>4419</v>
      </c>
      <c r="E360" s="10" t="s">
        <v>5243</v>
      </c>
      <c r="F360" s="11" t="s">
        <v>5244</v>
      </c>
      <c r="G360" s="10" t="s">
        <v>13</v>
      </c>
      <c r="H360" s="12">
        <v>46263</v>
      </c>
      <c r="I360" s="10" t="s">
        <v>806</v>
      </c>
      <c r="J360" s="10" t="str">
        <f>IFERROR(INDEX([1]Programas!$B$2:$B$50,MATCH(LEFT(I360,3),[1]Programas!$A$2:$A$50,0)),"")</f>
        <v>Análisis y Visualización de Datos</v>
      </c>
      <c r="K360" s="10" t="s">
        <v>807</v>
      </c>
    </row>
    <row r="361" spans="1:11" x14ac:dyDescent="0.2">
      <c r="A361" s="10">
        <v>360</v>
      </c>
      <c r="B361" s="10" t="s">
        <v>813</v>
      </c>
      <c r="C361" s="11" t="s">
        <v>812</v>
      </c>
      <c r="D361" s="10" t="s">
        <v>4419</v>
      </c>
      <c r="E361" s="10" t="s">
        <v>5245</v>
      </c>
      <c r="F361" s="11" t="s">
        <v>5246</v>
      </c>
      <c r="G361" s="10" t="s">
        <v>13</v>
      </c>
      <c r="H361" s="12">
        <v>46263</v>
      </c>
      <c r="I361" s="10" t="s">
        <v>806</v>
      </c>
      <c r="J361" s="10" t="str">
        <f>IFERROR(INDEX([1]Programas!$B$2:$B$50,MATCH(LEFT(I361,3),[1]Programas!$A$2:$A$50,0)),"")</f>
        <v>Análisis y Visualización de Datos</v>
      </c>
      <c r="K361" s="10" t="s">
        <v>807</v>
      </c>
    </row>
    <row r="362" spans="1:11" x14ac:dyDescent="0.2">
      <c r="A362" s="10">
        <v>361</v>
      </c>
      <c r="B362" s="10" t="s">
        <v>5247</v>
      </c>
      <c r="C362" s="11" t="s">
        <v>814</v>
      </c>
      <c r="D362" s="10" t="s">
        <v>4419</v>
      </c>
      <c r="E362" s="10" t="s">
        <v>5248</v>
      </c>
      <c r="F362" s="11" t="s">
        <v>5249</v>
      </c>
      <c r="G362" s="10" t="s">
        <v>13</v>
      </c>
      <c r="H362" s="12">
        <v>46263</v>
      </c>
      <c r="I362" s="10" t="s">
        <v>806</v>
      </c>
      <c r="J362" s="10" t="str">
        <f>IFERROR(INDEX([1]Programas!$B$2:$B$50,MATCH(LEFT(I362,3),[1]Programas!$A$2:$A$50,0)),"")</f>
        <v>Análisis y Visualización de Datos</v>
      </c>
      <c r="K362" s="10" t="s">
        <v>807</v>
      </c>
    </row>
    <row r="363" spans="1:11" x14ac:dyDescent="0.2">
      <c r="A363" s="10">
        <v>362</v>
      </c>
      <c r="B363" s="10" t="s">
        <v>817</v>
      </c>
      <c r="C363" s="11" t="s">
        <v>816</v>
      </c>
      <c r="D363" s="10" t="s">
        <v>4419</v>
      </c>
      <c r="E363" s="10" t="s">
        <v>5250</v>
      </c>
      <c r="F363" s="11" t="s">
        <v>5251</v>
      </c>
      <c r="G363" s="10" t="s">
        <v>13</v>
      </c>
      <c r="H363" s="12">
        <v>46263</v>
      </c>
      <c r="I363" s="10" t="s">
        <v>806</v>
      </c>
      <c r="J363" s="10" t="str">
        <f>IFERROR(INDEX([1]Programas!$B$2:$B$50,MATCH(LEFT(I363,3),[1]Programas!$A$2:$A$50,0)),"")</f>
        <v>Análisis y Visualización de Datos</v>
      </c>
      <c r="K363" s="10" t="s">
        <v>807</v>
      </c>
    </row>
    <row r="364" spans="1:11" x14ac:dyDescent="0.2">
      <c r="A364" s="10">
        <v>363</v>
      </c>
      <c r="B364" s="10" t="s">
        <v>819</v>
      </c>
      <c r="C364" s="11" t="s">
        <v>818</v>
      </c>
      <c r="D364" s="10" t="s">
        <v>4419</v>
      </c>
      <c r="E364" s="10" t="s">
        <v>5252</v>
      </c>
      <c r="F364" s="11" t="s">
        <v>5253</v>
      </c>
      <c r="G364" s="10" t="s">
        <v>13</v>
      </c>
      <c r="H364" s="12">
        <v>46263</v>
      </c>
      <c r="I364" s="10" t="s">
        <v>806</v>
      </c>
      <c r="J364" s="10" t="str">
        <f>IFERROR(INDEX([1]Programas!$B$2:$B$50,MATCH(LEFT(I364,3),[1]Programas!$A$2:$A$50,0)),"")</f>
        <v>Análisis y Visualización de Datos</v>
      </c>
      <c r="K364" s="10" t="s">
        <v>807</v>
      </c>
    </row>
    <row r="365" spans="1:11" x14ac:dyDescent="0.2">
      <c r="A365" s="10">
        <v>364</v>
      </c>
      <c r="B365" s="10" t="s">
        <v>5254</v>
      </c>
      <c r="C365" s="11" t="s">
        <v>820</v>
      </c>
      <c r="D365" s="10" t="s">
        <v>4419</v>
      </c>
      <c r="E365" s="10" t="s">
        <v>5255</v>
      </c>
      <c r="F365" s="11" t="s">
        <v>5256</v>
      </c>
      <c r="G365" s="10" t="s">
        <v>13</v>
      </c>
      <c r="H365" s="12">
        <v>46263</v>
      </c>
      <c r="I365" s="10" t="s">
        <v>806</v>
      </c>
      <c r="J365" s="10" t="str">
        <f>IFERROR(INDEX([1]Programas!$B$2:$B$50,MATCH(LEFT(I365,3),[1]Programas!$A$2:$A$50,0)),"")</f>
        <v>Análisis y Visualización de Datos</v>
      </c>
      <c r="K365" s="10" t="s">
        <v>807</v>
      </c>
    </row>
    <row r="366" spans="1:11" x14ac:dyDescent="0.2">
      <c r="A366" s="10">
        <v>365</v>
      </c>
      <c r="B366" s="10" t="s">
        <v>823</v>
      </c>
      <c r="C366" s="11" t="s">
        <v>822</v>
      </c>
      <c r="D366" s="10" t="s">
        <v>4419</v>
      </c>
      <c r="E366" s="10" t="s">
        <v>5257</v>
      </c>
      <c r="F366" s="11" t="s">
        <v>5258</v>
      </c>
      <c r="G366" s="10" t="s">
        <v>13</v>
      </c>
      <c r="H366" s="12">
        <v>46263</v>
      </c>
      <c r="I366" s="10" t="s">
        <v>806</v>
      </c>
      <c r="J366" s="10" t="str">
        <f>IFERROR(INDEX([1]Programas!$B$2:$B$50,MATCH(LEFT(I366,3),[1]Programas!$A$2:$A$50,0)),"")</f>
        <v>Análisis y Visualización de Datos</v>
      </c>
      <c r="K366" s="10" t="s">
        <v>807</v>
      </c>
    </row>
    <row r="367" spans="1:11" x14ac:dyDescent="0.2">
      <c r="A367" s="10">
        <v>366</v>
      </c>
      <c r="B367" s="10" t="s">
        <v>825</v>
      </c>
      <c r="C367" s="11" t="s">
        <v>824</v>
      </c>
      <c r="D367" s="10" t="s">
        <v>4453</v>
      </c>
      <c r="E367" s="10" t="s">
        <v>5259</v>
      </c>
      <c r="F367" s="11" t="s">
        <v>5260</v>
      </c>
      <c r="G367" s="10" t="s">
        <v>13</v>
      </c>
      <c r="H367" s="12">
        <v>46263</v>
      </c>
      <c r="I367" s="10" t="s">
        <v>806</v>
      </c>
      <c r="J367" s="10" t="str">
        <f>IFERROR(INDEX([1]Programas!$B$2:$B$50,MATCH(LEFT(I367,3),[1]Programas!$A$2:$A$50,0)),"")</f>
        <v>Análisis y Visualización de Datos</v>
      </c>
      <c r="K367" s="10" t="s">
        <v>807</v>
      </c>
    </row>
    <row r="368" spans="1:11" x14ac:dyDescent="0.2">
      <c r="A368" s="10">
        <v>367</v>
      </c>
      <c r="B368" s="10" t="s">
        <v>5261</v>
      </c>
      <c r="C368" s="11" t="s">
        <v>826</v>
      </c>
      <c r="D368" s="10" t="s">
        <v>4419</v>
      </c>
      <c r="E368" s="10" t="s">
        <v>5262</v>
      </c>
      <c r="F368" s="11" t="s">
        <v>5263</v>
      </c>
      <c r="G368" s="10" t="s">
        <v>13</v>
      </c>
      <c r="H368" s="12">
        <v>46263</v>
      </c>
      <c r="I368" s="10" t="s">
        <v>806</v>
      </c>
      <c r="J368" s="10" t="str">
        <f>IFERROR(INDEX([1]Programas!$B$2:$B$50,MATCH(LEFT(I368,3),[1]Programas!$A$2:$A$50,0)),"")</f>
        <v>Análisis y Visualización de Datos</v>
      </c>
      <c r="K368" s="10" t="s">
        <v>807</v>
      </c>
    </row>
    <row r="369" spans="1:11" x14ac:dyDescent="0.2">
      <c r="A369" s="10">
        <v>368</v>
      </c>
      <c r="B369" s="10" t="s">
        <v>829</v>
      </c>
      <c r="C369" s="11" t="s">
        <v>828</v>
      </c>
      <c r="D369" s="10" t="s">
        <v>4419</v>
      </c>
      <c r="E369" s="10" t="s">
        <v>5264</v>
      </c>
      <c r="F369" s="11" t="s">
        <v>5265</v>
      </c>
      <c r="G369" s="10" t="s">
        <v>13</v>
      </c>
      <c r="H369" s="12">
        <v>46263</v>
      </c>
      <c r="I369" s="10" t="s">
        <v>806</v>
      </c>
      <c r="J369" s="10" t="str">
        <f>IFERROR(INDEX([1]Programas!$B$2:$B$50,MATCH(LEFT(I369,3),[1]Programas!$A$2:$A$50,0)),"")</f>
        <v>Análisis y Visualización de Datos</v>
      </c>
      <c r="K369" s="10" t="s">
        <v>807</v>
      </c>
    </row>
    <row r="370" spans="1:11" x14ac:dyDescent="0.2">
      <c r="A370" s="10">
        <v>369</v>
      </c>
      <c r="B370" s="10" t="s">
        <v>5266</v>
      </c>
      <c r="C370" s="11" t="s">
        <v>830</v>
      </c>
      <c r="D370" s="10" t="s">
        <v>4419</v>
      </c>
      <c r="E370" s="10" t="s">
        <v>5267</v>
      </c>
      <c r="F370" s="11" t="s">
        <v>5268</v>
      </c>
      <c r="G370" s="10" t="s">
        <v>13</v>
      </c>
      <c r="H370" s="12">
        <v>46263</v>
      </c>
      <c r="I370" s="10" t="s">
        <v>806</v>
      </c>
      <c r="J370" s="10" t="str">
        <f>IFERROR(INDEX([1]Programas!$B$2:$B$50,MATCH(LEFT(I370,3),[1]Programas!$A$2:$A$50,0)),"")</f>
        <v>Análisis y Visualización de Datos</v>
      </c>
      <c r="K370" s="10" t="s">
        <v>807</v>
      </c>
    </row>
    <row r="371" spans="1:11" x14ac:dyDescent="0.2">
      <c r="A371" s="10">
        <v>370</v>
      </c>
      <c r="B371" s="10" t="s">
        <v>833</v>
      </c>
      <c r="C371" s="11" t="s">
        <v>832</v>
      </c>
      <c r="D371" s="10" t="s">
        <v>4419</v>
      </c>
      <c r="E371" s="10" t="s">
        <v>5269</v>
      </c>
      <c r="F371" s="11" t="s">
        <v>5270</v>
      </c>
      <c r="G371" s="10" t="s">
        <v>13</v>
      </c>
      <c r="H371" s="12">
        <v>46263</v>
      </c>
      <c r="I371" s="10" t="s">
        <v>806</v>
      </c>
      <c r="J371" s="10" t="str">
        <f>IFERROR(INDEX([1]Programas!$B$2:$B$50,MATCH(LEFT(I371,3),[1]Programas!$A$2:$A$50,0)),"")</f>
        <v>Análisis y Visualización de Datos</v>
      </c>
      <c r="K371" s="10" t="s">
        <v>807</v>
      </c>
    </row>
    <row r="372" spans="1:11" x14ac:dyDescent="0.2">
      <c r="A372" s="10">
        <v>371</v>
      </c>
      <c r="B372" s="10" t="s">
        <v>5271</v>
      </c>
      <c r="C372" s="11" t="s">
        <v>834</v>
      </c>
      <c r="D372" s="10" t="s">
        <v>4419</v>
      </c>
      <c r="E372" s="10" t="s">
        <v>5272</v>
      </c>
      <c r="F372" s="11" t="s">
        <v>5273</v>
      </c>
      <c r="G372" s="10" t="s">
        <v>13</v>
      </c>
      <c r="H372" s="12">
        <v>46263</v>
      </c>
      <c r="I372" s="10" t="s">
        <v>806</v>
      </c>
      <c r="J372" s="10" t="str">
        <f>IFERROR(INDEX([1]Programas!$B$2:$B$50,MATCH(LEFT(I372,3),[1]Programas!$A$2:$A$50,0)),"")</f>
        <v>Análisis y Visualización de Datos</v>
      </c>
      <c r="K372" s="10" t="s">
        <v>807</v>
      </c>
    </row>
    <row r="373" spans="1:11" x14ac:dyDescent="0.2">
      <c r="A373" s="10">
        <v>372</v>
      </c>
      <c r="B373" s="10" t="s">
        <v>837</v>
      </c>
      <c r="C373" s="11" t="s">
        <v>836</v>
      </c>
      <c r="D373" s="10" t="s">
        <v>4419</v>
      </c>
      <c r="E373" s="10" t="s">
        <v>5274</v>
      </c>
      <c r="F373" s="11" t="s">
        <v>5275</v>
      </c>
      <c r="G373" s="10" t="s">
        <v>13</v>
      </c>
      <c r="H373" s="12">
        <v>46263</v>
      </c>
      <c r="I373" s="10" t="s">
        <v>806</v>
      </c>
      <c r="J373" s="10" t="str">
        <f>IFERROR(INDEX([1]Programas!$B$2:$B$50,MATCH(LEFT(I373,3),[1]Programas!$A$2:$A$50,0)),"")</f>
        <v>Análisis y Visualización de Datos</v>
      </c>
      <c r="K373" s="10" t="s">
        <v>807</v>
      </c>
    </row>
    <row r="374" spans="1:11" x14ac:dyDescent="0.2">
      <c r="A374" s="10">
        <v>373</v>
      </c>
      <c r="B374" s="10" t="s">
        <v>839</v>
      </c>
      <c r="C374" s="11" t="s">
        <v>838</v>
      </c>
      <c r="D374" s="10" t="s">
        <v>4419</v>
      </c>
      <c r="E374" s="10" t="s">
        <v>5276</v>
      </c>
      <c r="F374" s="11" t="s">
        <v>5277</v>
      </c>
      <c r="G374" s="10" t="s">
        <v>13</v>
      </c>
      <c r="H374" s="12">
        <v>46263</v>
      </c>
      <c r="I374" s="10" t="s">
        <v>806</v>
      </c>
      <c r="J374" s="10" t="str">
        <f>IFERROR(INDEX([1]Programas!$B$2:$B$50,MATCH(LEFT(I374,3),[1]Programas!$A$2:$A$50,0)),"")</f>
        <v>Análisis y Visualización de Datos</v>
      </c>
      <c r="K374" s="10" t="s">
        <v>807</v>
      </c>
    </row>
    <row r="375" spans="1:11" x14ac:dyDescent="0.2">
      <c r="A375" s="10">
        <v>374</v>
      </c>
      <c r="B375" s="10" t="s">
        <v>841</v>
      </c>
      <c r="C375" s="11" t="s">
        <v>840</v>
      </c>
      <c r="D375" s="10" t="s">
        <v>4419</v>
      </c>
      <c r="E375" s="10" t="s">
        <v>5278</v>
      </c>
      <c r="F375" s="11" t="s">
        <v>5279</v>
      </c>
      <c r="G375" s="10" t="s">
        <v>13</v>
      </c>
      <c r="H375" s="12">
        <v>46263</v>
      </c>
      <c r="I375" s="10" t="s">
        <v>806</v>
      </c>
      <c r="J375" s="10" t="str">
        <f>IFERROR(INDEX([1]Programas!$B$2:$B$50,MATCH(LEFT(I375,3),[1]Programas!$A$2:$A$50,0)),"")</f>
        <v>Análisis y Visualización de Datos</v>
      </c>
      <c r="K375" s="10" t="s">
        <v>807</v>
      </c>
    </row>
    <row r="376" spans="1:11" x14ac:dyDescent="0.2">
      <c r="A376" s="10">
        <v>375</v>
      </c>
      <c r="B376" s="10" t="s">
        <v>843</v>
      </c>
      <c r="C376" s="11" t="s">
        <v>842</v>
      </c>
      <c r="D376" s="10" t="s">
        <v>4419</v>
      </c>
      <c r="E376" s="10" t="s">
        <v>5280</v>
      </c>
      <c r="F376" s="11" t="s">
        <v>5281</v>
      </c>
      <c r="G376" s="10" t="s">
        <v>13</v>
      </c>
      <c r="H376" s="12">
        <v>46263</v>
      </c>
      <c r="I376" s="10" t="s">
        <v>806</v>
      </c>
      <c r="J376" s="10" t="str">
        <f>IFERROR(INDEX([1]Programas!$B$2:$B$50,MATCH(LEFT(I376,3),[1]Programas!$A$2:$A$50,0)),"")</f>
        <v>Análisis y Visualización de Datos</v>
      </c>
      <c r="K376" s="10" t="s">
        <v>807</v>
      </c>
    </row>
    <row r="377" spans="1:11" x14ac:dyDescent="0.2">
      <c r="A377" s="10">
        <v>376</v>
      </c>
      <c r="B377" s="10" t="s">
        <v>845</v>
      </c>
      <c r="C377" s="11" t="s">
        <v>844</v>
      </c>
      <c r="D377" s="10" t="s">
        <v>4419</v>
      </c>
      <c r="E377" s="10" t="s">
        <v>5282</v>
      </c>
      <c r="F377" s="11" t="s">
        <v>5283</v>
      </c>
      <c r="G377" s="10" t="s">
        <v>13</v>
      </c>
      <c r="H377" s="12">
        <v>46263</v>
      </c>
      <c r="I377" s="10" t="s">
        <v>806</v>
      </c>
      <c r="J377" s="10" t="str">
        <f>IFERROR(INDEX([1]Programas!$B$2:$B$50,MATCH(LEFT(I377,3),[1]Programas!$A$2:$A$50,0)),"")</f>
        <v>Análisis y Visualización de Datos</v>
      </c>
      <c r="K377" s="10" t="s">
        <v>807</v>
      </c>
    </row>
    <row r="378" spans="1:11" x14ac:dyDescent="0.2">
      <c r="A378" s="10">
        <v>377</v>
      </c>
      <c r="B378" s="10" t="s">
        <v>847</v>
      </c>
      <c r="C378" s="11" t="s">
        <v>846</v>
      </c>
      <c r="D378" s="10" t="s">
        <v>4419</v>
      </c>
      <c r="E378" s="10" t="s">
        <v>5284</v>
      </c>
      <c r="F378" s="11" t="s">
        <v>5285</v>
      </c>
      <c r="G378" s="10" t="s">
        <v>13</v>
      </c>
      <c r="H378" s="12">
        <v>46264</v>
      </c>
      <c r="I378" s="10" t="s">
        <v>806</v>
      </c>
      <c r="J378" s="10" t="str">
        <f>IFERROR(INDEX([1]Programas!$B$2:$B$50,MATCH(LEFT(I378,3),[1]Programas!$A$2:$A$50,0)),"")</f>
        <v>Análisis y Visualización de Datos</v>
      </c>
      <c r="K378" s="10" t="s">
        <v>807</v>
      </c>
    </row>
    <row r="379" spans="1:11" x14ac:dyDescent="0.2">
      <c r="A379" s="10">
        <v>378</v>
      </c>
      <c r="B379" s="10" t="s">
        <v>849</v>
      </c>
      <c r="C379" s="11" t="s">
        <v>848</v>
      </c>
      <c r="D379" s="10" t="s">
        <v>4419</v>
      </c>
      <c r="E379" s="10" t="s">
        <v>5286</v>
      </c>
      <c r="F379" s="11" t="s">
        <v>5287</v>
      </c>
      <c r="G379" s="10" t="s">
        <v>13</v>
      </c>
      <c r="H379" s="12">
        <v>46262</v>
      </c>
      <c r="I379" s="10" t="s">
        <v>851</v>
      </c>
      <c r="J379" s="10" t="str">
        <f>IFERROR(INDEX([1]Programas!$B$2:$B$50,MATCH(LEFT(I379,3),[1]Programas!$A$2:$A$50,0)),"")</f>
        <v>Cloud Computing, Redes</v>
      </c>
      <c r="K379" s="10" t="s">
        <v>111</v>
      </c>
    </row>
    <row r="380" spans="1:11" x14ac:dyDescent="0.2">
      <c r="A380" s="10">
        <v>379</v>
      </c>
      <c r="B380" s="10" t="s">
        <v>857</v>
      </c>
      <c r="C380" s="11" t="s">
        <v>856</v>
      </c>
      <c r="D380" s="10" t="s">
        <v>4419</v>
      </c>
      <c r="E380" s="10" t="s">
        <v>5288</v>
      </c>
      <c r="F380" s="11" t="s">
        <v>5289</v>
      </c>
      <c r="G380" s="10" t="s">
        <v>13</v>
      </c>
      <c r="H380" s="12">
        <v>46262</v>
      </c>
      <c r="I380" s="10" t="s">
        <v>851</v>
      </c>
      <c r="J380" s="10" t="str">
        <f>IFERROR(INDEX([1]Programas!$B$2:$B$50,MATCH(LEFT(I380,3),[1]Programas!$A$2:$A$50,0)),"")</f>
        <v>Cloud Computing, Redes</v>
      </c>
      <c r="K380" s="10" t="s">
        <v>111</v>
      </c>
    </row>
    <row r="381" spans="1:11" x14ac:dyDescent="0.2">
      <c r="A381" s="10">
        <v>380</v>
      </c>
      <c r="B381" s="10" t="s">
        <v>859</v>
      </c>
      <c r="C381" s="11" t="s">
        <v>858</v>
      </c>
      <c r="D381" s="10" t="s">
        <v>4419</v>
      </c>
      <c r="E381" s="10" t="s">
        <v>5290</v>
      </c>
      <c r="F381" s="11" t="s">
        <v>5291</v>
      </c>
      <c r="G381" s="10" t="s">
        <v>13</v>
      </c>
      <c r="H381" s="12">
        <v>46262</v>
      </c>
      <c r="I381" s="10" t="s">
        <v>851</v>
      </c>
      <c r="J381" s="10" t="str">
        <f>IFERROR(INDEX([1]Programas!$B$2:$B$50,MATCH(LEFT(I381,3),[1]Programas!$A$2:$A$50,0)),"")</f>
        <v>Cloud Computing, Redes</v>
      </c>
      <c r="K381" s="10" t="s">
        <v>111</v>
      </c>
    </row>
    <row r="382" spans="1:11" x14ac:dyDescent="0.2">
      <c r="A382" s="10">
        <v>381</v>
      </c>
      <c r="B382" s="10" t="s">
        <v>861</v>
      </c>
      <c r="C382" s="11" t="s">
        <v>860</v>
      </c>
      <c r="D382" s="10" t="s">
        <v>4419</v>
      </c>
      <c r="E382" s="10" t="s">
        <v>5292</v>
      </c>
      <c r="F382" s="11" t="s">
        <v>5293</v>
      </c>
      <c r="G382" s="10" t="s">
        <v>13</v>
      </c>
      <c r="H382" s="12">
        <v>46262</v>
      </c>
      <c r="I382" s="10" t="s">
        <v>851</v>
      </c>
      <c r="J382" s="10" t="str">
        <f>IFERROR(INDEX([1]Programas!$B$2:$B$50,MATCH(LEFT(I382,3),[1]Programas!$A$2:$A$50,0)),"")</f>
        <v>Cloud Computing, Redes</v>
      </c>
      <c r="K382" s="10" t="s">
        <v>111</v>
      </c>
    </row>
    <row r="383" spans="1:11" x14ac:dyDescent="0.2">
      <c r="A383" s="10">
        <v>382</v>
      </c>
      <c r="B383" s="10" t="s">
        <v>864</v>
      </c>
      <c r="C383" s="11" t="s">
        <v>863</v>
      </c>
      <c r="D383" s="10" t="s">
        <v>4419</v>
      </c>
      <c r="E383" s="10" t="s">
        <v>5294</v>
      </c>
      <c r="F383" s="11" t="s">
        <v>5295</v>
      </c>
      <c r="G383" s="10" t="s">
        <v>13</v>
      </c>
      <c r="H383" s="12">
        <v>46262</v>
      </c>
      <c r="I383" s="10" t="s">
        <v>851</v>
      </c>
      <c r="J383" s="10" t="str">
        <f>IFERROR(INDEX([1]Programas!$B$2:$B$50,MATCH(LEFT(I383,3),[1]Programas!$A$2:$A$50,0)),"")</f>
        <v>Cloud Computing, Redes</v>
      </c>
      <c r="K383" s="10" t="s">
        <v>111</v>
      </c>
    </row>
    <row r="384" spans="1:11" x14ac:dyDescent="0.2">
      <c r="A384" s="10">
        <v>383</v>
      </c>
      <c r="B384" s="10" t="s">
        <v>866</v>
      </c>
      <c r="C384" s="11" t="s">
        <v>865</v>
      </c>
      <c r="D384" s="10" t="s">
        <v>4419</v>
      </c>
      <c r="E384" s="10" t="s">
        <v>5296</v>
      </c>
      <c r="F384" s="11" t="s">
        <v>5297</v>
      </c>
      <c r="G384" s="10" t="s">
        <v>13</v>
      </c>
      <c r="H384" s="12">
        <v>46262</v>
      </c>
      <c r="I384" s="10" t="s">
        <v>851</v>
      </c>
      <c r="J384" s="10" t="str">
        <f>IFERROR(INDEX([1]Programas!$B$2:$B$50,MATCH(LEFT(I384,3),[1]Programas!$A$2:$A$50,0)),"")</f>
        <v>Cloud Computing, Redes</v>
      </c>
      <c r="K384" s="10" t="s">
        <v>111</v>
      </c>
    </row>
    <row r="385" spans="1:11" x14ac:dyDescent="0.2">
      <c r="A385" s="10">
        <v>384</v>
      </c>
      <c r="B385" s="10" t="s">
        <v>869</v>
      </c>
      <c r="C385" s="11" t="s">
        <v>868</v>
      </c>
      <c r="D385" s="10" t="s">
        <v>4419</v>
      </c>
      <c r="E385" s="10" t="s">
        <v>5298</v>
      </c>
      <c r="F385" s="11" t="s">
        <v>5299</v>
      </c>
      <c r="G385" s="10" t="s">
        <v>13</v>
      </c>
      <c r="H385" s="12">
        <v>46262</v>
      </c>
      <c r="I385" s="10" t="s">
        <v>851</v>
      </c>
      <c r="J385" s="10" t="str">
        <f>IFERROR(INDEX([1]Programas!$B$2:$B$50,MATCH(LEFT(I385,3),[1]Programas!$A$2:$A$50,0)),"")</f>
        <v>Cloud Computing, Redes</v>
      </c>
      <c r="K385" s="10" t="s">
        <v>111</v>
      </c>
    </row>
    <row r="386" spans="1:11" x14ac:dyDescent="0.2">
      <c r="A386" s="10">
        <v>385</v>
      </c>
      <c r="B386" s="10" t="s">
        <v>872</v>
      </c>
      <c r="C386" s="11" t="s">
        <v>871</v>
      </c>
      <c r="D386" s="10" t="s">
        <v>4419</v>
      </c>
      <c r="E386" s="10" t="s">
        <v>5300</v>
      </c>
      <c r="F386" s="11" t="s">
        <v>5301</v>
      </c>
      <c r="G386" s="10" t="s">
        <v>13</v>
      </c>
      <c r="H386" s="12">
        <v>46262</v>
      </c>
      <c r="I386" s="10" t="s">
        <v>851</v>
      </c>
      <c r="J386" s="10" t="str">
        <f>IFERROR(INDEX([1]Programas!$B$2:$B$50,MATCH(LEFT(I386,3),[1]Programas!$A$2:$A$50,0)),"")</f>
        <v>Cloud Computing, Redes</v>
      </c>
      <c r="K386" s="10" t="s">
        <v>111</v>
      </c>
    </row>
    <row r="387" spans="1:11" x14ac:dyDescent="0.2">
      <c r="A387" s="10">
        <v>386</v>
      </c>
      <c r="B387" s="10" t="s">
        <v>5302</v>
      </c>
      <c r="C387" s="11" t="s">
        <v>873</v>
      </c>
      <c r="D387" s="10" t="s">
        <v>4419</v>
      </c>
      <c r="E387" s="10" t="s">
        <v>5303</v>
      </c>
      <c r="F387" s="11" t="s">
        <v>5304</v>
      </c>
      <c r="G387" s="10" t="s">
        <v>13</v>
      </c>
      <c r="H387" s="12">
        <v>46262</v>
      </c>
      <c r="I387" s="10" t="s">
        <v>851</v>
      </c>
      <c r="J387" s="10" t="str">
        <f>IFERROR(INDEX([1]Programas!$B$2:$B$50,MATCH(LEFT(I387,3),[1]Programas!$A$2:$A$50,0)),"")</f>
        <v>Cloud Computing, Redes</v>
      </c>
      <c r="K387" s="10" t="s">
        <v>111</v>
      </c>
    </row>
    <row r="388" spans="1:11" x14ac:dyDescent="0.2">
      <c r="A388" s="10">
        <v>387</v>
      </c>
      <c r="B388" s="10" t="s">
        <v>876</v>
      </c>
      <c r="C388" s="11" t="s">
        <v>875</v>
      </c>
      <c r="D388" s="10" t="s">
        <v>4419</v>
      </c>
      <c r="E388" s="10" t="s">
        <v>5305</v>
      </c>
      <c r="F388" s="11" t="s">
        <v>5306</v>
      </c>
      <c r="G388" s="10" t="s">
        <v>13</v>
      </c>
      <c r="H388" s="12">
        <v>46262</v>
      </c>
      <c r="I388" s="10" t="s">
        <v>851</v>
      </c>
      <c r="J388" s="10" t="str">
        <f>IFERROR(INDEX([1]Programas!$B$2:$B$50,MATCH(LEFT(I388,3),[1]Programas!$A$2:$A$50,0)),"")</f>
        <v>Cloud Computing, Redes</v>
      </c>
      <c r="K388" s="10" t="s">
        <v>111</v>
      </c>
    </row>
    <row r="389" spans="1:11" x14ac:dyDescent="0.2">
      <c r="A389" s="10">
        <v>388</v>
      </c>
      <c r="B389" s="10" t="s">
        <v>878</v>
      </c>
      <c r="C389" s="11" t="s">
        <v>877</v>
      </c>
      <c r="D389" s="10" t="s">
        <v>4419</v>
      </c>
      <c r="E389" s="10" t="s">
        <v>5307</v>
      </c>
      <c r="F389" s="11" t="s">
        <v>5308</v>
      </c>
      <c r="G389" s="10" t="s">
        <v>13</v>
      </c>
      <c r="H389" s="12">
        <v>46262</v>
      </c>
      <c r="I389" s="10" t="s">
        <v>851</v>
      </c>
      <c r="J389" s="10" t="str">
        <f>IFERROR(INDEX([1]Programas!$B$2:$B$50,MATCH(LEFT(I389,3),[1]Programas!$A$2:$A$50,0)),"")</f>
        <v>Cloud Computing, Redes</v>
      </c>
      <c r="K389" s="10" t="s">
        <v>111</v>
      </c>
    </row>
    <row r="390" spans="1:11" x14ac:dyDescent="0.2">
      <c r="A390" s="10">
        <v>389</v>
      </c>
      <c r="B390" s="10" t="s">
        <v>880</v>
      </c>
      <c r="C390" s="11" t="s">
        <v>879</v>
      </c>
      <c r="D390" s="10" t="s">
        <v>4419</v>
      </c>
      <c r="E390" s="10" t="s">
        <v>5309</v>
      </c>
      <c r="F390" s="11" t="s">
        <v>5310</v>
      </c>
      <c r="G390" s="10" t="s">
        <v>13</v>
      </c>
      <c r="H390" s="12">
        <v>46262</v>
      </c>
      <c r="I390" s="10" t="s">
        <v>851</v>
      </c>
      <c r="J390" s="10" t="str">
        <f>IFERROR(INDEX([1]Programas!$B$2:$B$50,MATCH(LEFT(I390,3),[1]Programas!$A$2:$A$50,0)),"")</f>
        <v>Cloud Computing, Redes</v>
      </c>
      <c r="K390" s="10" t="s">
        <v>111</v>
      </c>
    </row>
    <row r="391" spans="1:11" x14ac:dyDescent="0.2">
      <c r="A391" s="10">
        <v>390</v>
      </c>
      <c r="B391" s="10" t="s">
        <v>885</v>
      </c>
      <c r="C391" s="11" t="s">
        <v>884</v>
      </c>
      <c r="D391" s="10" t="s">
        <v>4419</v>
      </c>
      <c r="E391" s="10" t="s">
        <v>5311</v>
      </c>
      <c r="F391" s="11" t="s">
        <v>5312</v>
      </c>
      <c r="G391" s="10" t="s">
        <v>13</v>
      </c>
      <c r="H391" s="12">
        <v>46262</v>
      </c>
      <c r="I391" s="10" t="s">
        <v>851</v>
      </c>
      <c r="J391" s="10" t="str">
        <f>IFERROR(INDEX([1]Programas!$B$2:$B$50,MATCH(LEFT(I391,3),[1]Programas!$A$2:$A$50,0)),"")</f>
        <v>Cloud Computing, Redes</v>
      </c>
      <c r="K391" s="10" t="s">
        <v>111</v>
      </c>
    </row>
    <row r="392" spans="1:11" x14ac:dyDescent="0.2">
      <c r="A392" s="10">
        <v>391</v>
      </c>
      <c r="B392" s="10" t="s">
        <v>887</v>
      </c>
      <c r="C392" s="11" t="s">
        <v>886</v>
      </c>
      <c r="D392" s="10" t="s">
        <v>4419</v>
      </c>
      <c r="E392" s="10" t="s">
        <v>5313</v>
      </c>
      <c r="F392" s="11" t="s">
        <v>5314</v>
      </c>
      <c r="G392" s="10" t="s">
        <v>13</v>
      </c>
      <c r="H392" s="12">
        <v>46262</v>
      </c>
      <c r="I392" s="10" t="s">
        <v>851</v>
      </c>
      <c r="J392" s="10" t="str">
        <f>IFERROR(INDEX([1]Programas!$B$2:$B$50,MATCH(LEFT(I392,3),[1]Programas!$A$2:$A$50,0)),"")</f>
        <v>Cloud Computing, Redes</v>
      </c>
      <c r="K392" s="10" t="s">
        <v>111</v>
      </c>
    </row>
    <row r="393" spans="1:11" x14ac:dyDescent="0.2">
      <c r="A393" s="10">
        <v>392</v>
      </c>
      <c r="B393" s="10" t="s">
        <v>889</v>
      </c>
      <c r="C393" s="11" t="s">
        <v>888</v>
      </c>
      <c r="D393" s="10" t="s">
        <v>4419</v>
      </c>
      <c r="E393" s="10" t="s">
        <v>5315</v>
      </c>
      <c r="F393" s="11" t="s">
        <v>5316</v>
      </c>
      <c r="G393" s="10" t="s">
        <v>13</v>
      </c>
      <c r="H393" s="12">
        <v>46262</v>
      </c>
      <c r="I393" s="10" t="s">
        <v>851</v>
      </c>
      <c r="J393" s="10" t="str">
        <f>IFERROR(INDEX([1]Programas!$B$2:$B$50,MATCH(LEFT(I393,3),[1]Programas!$A$2:$A$50,0)),"")</f>
        <v>Cloud Computing, Redes</v>
      </c>
      <c r="K393" s="10" t="s">
        <v>111</v>
      </c>
    </row>
    <row r="394" spans="1:11" x14ac:dyDescent="0.2">
      <c r="A394" s="10">
        <v>393</v>
      </c>
      <c r="B394" s="10" t="s">
        <v>891</v>
      </c>
      <c r="C394" s="11" t="s">
        <v>890</v>
      </c>
      <c r="D394" s="10" t="s">
        <v>4419</v>
      </c>
      <c r="E394" s="10" t="s">
        <v>5317</v>
      </c>
      <c r="F394" s="11" t="s">
        <v>5318</v>
      </c>
      <c r="G394" s="10" t="s">
        <v>13</v>
      </c>
      <c r="H394" s="12">
        <v>46262</v>
      </c>
      <c r="I394" s="10" t="s">
        <v>851</v>
      </c>
      <c r="J394" s="10" t="str">
        <f>IFERROR(INDEX([1]Programas!$B$2:$B$50,MATCH(LEFT(I394,3),[1]Programas!$A$2:$A$50,0)),"")</f>
        <v>Cloud Computing, Redes</v>
      </c>
      <c r="K394" s="10" t="s">
        <v>111</v>
      </c>
    </row>
    <row r="395" spans="1:11" x14ac:dyDescent="0.2">
      <c r="A395" s="10">
        <v>394</v>
      </c>
      <c r="B395" s="10" t="s">
        <v>893</v>
      </c>
      <c r="C395" s="11" t="s">
        <v>892</v>
      </c>
      <c r="D395" s="10" t="s">
        <v>4419</v>
      </c>
      <c r="E395" s="10" t="s">
        <v>5319</v>
      </c>
      <c r="F395" s="11" t="s">
        <v>5320</v>
      </c>
      <c r="G395" s="10" t="s">
        <v>13</v>
      </c>
      <c r="H395" s="12">
        <v>46262</v>
      </c>
      <c r="I395" s="10" t="s">
        <v>851</v>
      </c>
      <c r="J395" s="10" t="str">
        <f>IFERROR(INDEX([1]Programas!$B$2:$B$50,MATCH(LEFT(I395,3),[1]Programas!$A$2:$A$50,0)),"")</f>
        <v>Cloud Computing, Redes</v>
      </c>
      <c r="K395" s="10" t="s">
        <v>111</v>
      </c>
    </row>
    <row r="396" spans="1:11" x14ac:dyDescent="0.2">
      <c r="A396" s="10">
        <v>395</v>
      </c>
      <c r="B396" s="10" t="s">
        <v>5321</v>
      </c>
      <c r="C396" s="11" t="s">
        <v>894</v>
      </c>
      <c r="D396" s="10" t="s">
        <v>4419</v>
      </c>
      <c r="E396" s="10" t="s">
        <v>5322</v>
      </c>
      <c r="F396" s="11" t="s">
        <v>5323</v>
      </c>
      <c r="G396" s="10" t="s">
        <v>13</v>
      </c>
      <c r="H396" s="12">
        <v>46262</v>
      </c>
      <c r="I396" s="10" t="s">
        <v>851</v>
      </c>
      <c r="J396" s="10" t="str">
        <f>IFERROR(INDEX([1]Programas!$B$2:$B$50,MATCH(LEFT(I396,3),[1]Programas!$A$2:$A$50,0)),"")</f>
        <v>Cloud Computing, Redes</v>
      </c>
      <c r="K396" s="10" t="s">
        <v>111</v>
      </c>
    </row>
    <row r="397" spans="1:11" x14ac:dyDescent="0.2">
      <c r="A397" s="10">
        <v>396</v>
      </c>
      <c r="B397" s="10" t="s">
        <v>5324</v>
      </c>
      <c r="C397" s="11" t="s">
        <v>896</v>
      </c>
      <c r="D397" s="10" t="s">
        <v>4419</v>
      </c>
      <c r="E397" s="10" t="s">
        <v>5325</v>
      </c>
      <c r="F397" s="11" t="s">
        <v>5326</v>
      </c>
      <c r="G397" s="10" t="s">
        <v>13</v>
      </c>
      <c r="H397" s="12">
        <v>46262</v>
      </c>
      <c r="I397" s="10" t="s">
        <v>851</v>
      </c>
      <c r="J397" s="10" t="str">
        <f>IFERROR(INDEX([1]Programas!$B$2:$B$50,MATCH(LEFT(I397,3),[1]Programas!$A$2:$A$50,0)),"")</f>
        <v>Cloud Computing, Redes</v>
      </c>
      <c r="K397" s="10" t="s">
        <v>111</v>
      </c>
    </row>
    <row r="398" spans="1:11" x14ac:dyDescent="0.2">
      <c r="A398" s="10">
        <v>397</v>
      </c>
      <c r="B398" s="10" t="s">
        <v>899</v>
      </c>
      <c r="C398" s="11" t="s">
        <v>898</v>
      </c>
      <c r="D398" s="10" t="s">
        <v>4419</v>
      </c>
      <c r="E398" s="10" t="s">
        <v>5327</v>
      </c>
      <c r="F398" s="11" t="s">
        <v>5328</v>
      </c>
      <c r="G398" s="10" t="s">
        <v>13</v>
      </c>
      <c r="H398" s="12">
        <v>46262</v>
      </c>
      <c r="I398" s="10" t="s">
        <v>851</v>
      </c>
      <c r="J398" s="10" t="str">
        <f>IFERROR(INDEX([1]Programas!$B$2:$B$50,MATCH(LEFT(I398,3),[1]Programas!$A$2:$A$50,0)),"")</f>
        <v>Cloud Computing, Redes</v>
      </c>
      <c r="K398" s="10" t="s">
        <v>111</v>
      </c>
    </row>
    <row r="399" spans="1:11" x14ac:dyDescent="0.2">
      <c r="A399" s="10">
        <v>398</v>
      </c>
      <c r="B399" s="10" t="s">
        <v>901</v>
      </c>
      <c r="C399" s="11" t="s">
        <v>900</v>
      </c>
      <c r="D399" s="10" t="s">
        <v>4419</v>
      </c>
      <c r="E399" s="10" t="s">
        <v>5329</v>
      </c>
      <c r="F399" s="11" t="s">
        <v>5330</v>
      </c>
      <c r="G399" s="10" t="s">
        <v>13</v>
      </c>
      <c r="H399" s="12">
        <v>46262</v>
      </c>
      <c r="I399" s="10" t="s">
        <v>851</v>
      </c>
      <c r="J399" s="10" t="str">
        <f>IFERROR(INDEX([1]Programas!$B$2:$B$50,MATCH(LEFT(I399,3),[1]Programas!$A$2:$A$50,0)),"")</f>
        <v>Cloud Computing, Redes</v>
      </c>
      <c r="K399" s="10" t="s">
        <v>111</v>
      </c>
    </row>
    <row r="400" spans="1:11" x14ac:dyDescent="0.2">
      <c r="A400" s="10">
        <v>399</v>
      </c>
      <c r="B400" s="10" t="s">
        <v>5331</v>
      </c>
      <c r="C400" s="11" t="s">
        <v>902</v>
      </c>
      <c r="D400" s="10" t="s">
        <v>4419</v>
      </c>
      <c r="E400" s="10" t="s">
        <v>5332</v>
      </c>
      <c r="F400" s="11" t="s">
        <v>5333</v>
      </c>
      <c r="G400" s="10" t="s">
        <v>13</v>
      </c>
      <c r="H400" s="12">
        <v>46262</v>
      </c>
      <c r="I400" s="10" t="s">
        <v>851</v>
      </c>
      <c r="J400" s="10" t="str">
        <f>IFERROR(INDEX([1]Programas!$B$2:$B$50,MATCH(LEFT(I400,3),[1]Programas!$A$2:$A$50,0)),"")</f>
        <v>Cloud Computing, Redes</v>
      </c>
      <c r="K400" s="10" t="s">
        <v>111</v>
      </c>
    </row>
    <row r="401" spans="1:11" x14ac:dyDescent="0.2">
      <c r="A401" s="10">
        <v>400</v>
      </c>
      <c r="B401" s="10" t="s">
        <v>905</v>
      </c>
      <c r="C401" s="11" t="s">
        <v>904</v>
      </c>
      <c r="D401" s="10" t="s">
        <v>4419</v>
      </c>
      <c r="E401" s="10" t="s">
        <v>5334</v>
      </c>
      <c r="F401" s="11" t="s">
        <v>5335</v>
      </c>
      <c r="G401" s="10" t="s">
        <v>13</v>
      </c>
      <c r="H401" s="12">
        <v>46262</v>
      </c>
      <c r="I401" s="10" t="s">
        <v>851</v>
      </c>
      <c r="J401" s="10" t="str">
        <f>IFERROR(INDEX([1]Programas!$B$2:$B$50,MATCH(LEFT(I401,3),[1]Programas!$A$2:$A$50,0)),"")</f>
        <v>Cloud Computing, Redes</v>
      </c>
      <c r="K401" s="10" t="s">
        <v>111</v>
      </c>
    </row>
    <row r="402" spans="1:11" x14ac:dyDescent="0.2">
      <c r="A402" s="10">
        <v>401</v>
      </c>
      <c r="B402" s="10" t="s">
        <v>907</v>
      </c>
      <c r="C402" s="11" t="s">
        <v>906</v>
      </c>
      <c r="D402" s="10" t="s">
        <v>4419</v>
      </c>
      <c r="E402" s="10" t="s">
        <v>5336</v>
      </c>
      <c r="F402" s="11" t="s">
        <v>5337</v>
      </c>
      <c r="G402" s="10" t="s">
        <v>13</v>
      </c>
      <c r="H402" s="12">
        <v>46262</v>
      </c>
      <c r="I402" s="10" t="s">
        <v>851</v>
      </c>
      <c r="J402" s="10" t="str">
        <f>IFERROR(INDEX([1]Programas!$B$2:$B$50,MATCH(LEFT(I402,3),[1]Programas!$A$2:$A$50,0)),"")</f>
        <v>Cloud Computing, Redes</v>
      </c>
      <c r="K402" s="10" t="s">
        <v>111</v>
      </c>
    </row>
    <row r="403" spans="1:11" x14ac:dyDescent="0.2">
      <c r="A403" s="10">
        <v>402</v>
      </c>
      <c r="B403" s="10" t="s">
        <v>909</v>
      </c>
      <c r="C403" s="11" t="s">
        <v>908</v>
      </c>
      <c r="D403" s="10" t="s">
        <v>4419</v>
      </c>
      <c r="E403" s="10" t="s">
        <v>5338</v>
      </c>
      <c r="F403" s="11" t="s">
        <v>5339</v>
      </c>
      <c r="G403" s="10" t="s">
        <v>13</v>
      </c>
      <c r="H403" s="12">
        <v>46262</v>
      </c>
      <c r="I403" s="10" t="s">
        <v>851</v>
      </c>
      <c r="J403" s="10" t="str">
        <f>IFERROR(INDEX([1]Programas!$B$2:$B$50,MATCH(LEFT(I403,3),[1]Programas!$A$2:$A$50,0)),"")</f>
        <v>Cloud Computing, Redes</v>
      </c>
      <c r="K403" s="10" t="s">
        <v>111</v>
      </c>
    </row>
    <row r="404" spans="1:11" x14ac:dyDescent="0.2">
      <c r="A404" s="10">
        <v>403</v>
      </c>
      <c r="B404" s="10" t="s">
        <v>911</v>
      </c>
      <c r="C404" s="11" t="s">
        <v>910</v>
      </c>
      <c r="D404" s="10" t="s">
        <v>4419</v>
      </c>
      <c r="E404" s="10" t="s">
        <v>5340</v>
      </c>
      <c r="F404" s="11" t="s">
        <v>5341</v>
      </c>
      <c r="G404" s="10" t="s">
        <v>13</v>
      </c>
      <c r="H404" s="12">
        <v>46262</v>
      </c>
      <c r="I404" s="10" t="s">
        <v>851</v>
      </c>
      <c r="J404" s="10" t="str">
        <f>IFERROR(INDEX([1]Programas!$B$2:$B$50,MATCH(LEFT(I404,3),[1]Programas!$A$2:$A$50,0)),"")</f>
        <v>Cloud Computing, Redes</v>
      </c>
      <c r="K404" s="10" t="s">
        <v>111</v>
      </c>
    </row>
    <row r="405" spans="1:11" x14ac:dyDescent="0.2">
      <c r="A405" s="10">
        <v>404</v>
      </c>
      <c r="B405" s="10" t="s">
        <v>913</v>
      </c>
      <c r="C405" s="11" t="s">
        <v>912</v>
      </c>
      <c r="D405" s="10" t="s">
        <v>4419</v>
      </c>
      <c r="E405" s="10" t="s">
        <v>5342</v>
      </c>
      <c r="F405" s="11" t="s">
        <v>5343</v>
      </c>
      <c r="G405" s="10" t="s">
        <v>13</v>
      </c>
      <c r="H405" s="12">
        <v>46262</v>
      </c>
      <c r="I405" s="10" t="s">
        <v>851</v>
      </c>
      <c r="J405" s="10" t="str">
        <f>IFERROR(INDEX([1]Programas!$B$2:$B$50,MATCH(LEFT(I405,3),[1]Programas!$A$2:$A$50,0)),"")</f>
        <v>Cloud Computing, Redes</v>
      </c>
      <c r="K405" s="10" t="s">
        <v>111</v>
      </c>
    </row>
    <row r="406" spans="1:11" x14ac:dyDescent="0.2">
      <c r="A406" s="10">
        <v>405</v>
      </c>
      <c r="B406" s="10" t="s">
        <v>915</v>
      </c>
      <c r="C406" s="11" t="s">
        <v>914</v>
      </c>
      <c r="D406" s="10" t="s">
        <v>4419</v>
      </c>
      <c r="E406" s="10" t="s">
        <v>5344</v>
      </c>
      <c r="F406" s="11" t="s">
        <v>5345</v>
      </c>
      <c r="G406" s="10" t="s">
        <v>13</v>
      </c>
      <c r="H406" s="12">
        <v>46262</v>
      </c>
      <c r="I406" s="10" t="s">
        <v>851</v>
      </c>
      <c r="J406" s="10" t="str">
        <f>IFERROR(INDEX([1]Programas!$B$2:$B$50,MATCH(LEFT(I406,3),[1]Programas!$A$2:$A$50,0)),"")</f>
        <v>Cloud Computing, Redes</v>
      </c>
      <c r="K406" s="10" t="s">
        <v>111</v>
      </c>
    </row>
    <row r="407" spans="1:11" x14ac:dyDescent="0.2">
      <c r="A407" s="10">
        <v>406</v>
      </c>
      <c r="B407" s="10" t="s">
        <v>5346</v>
      </c>
      <c r="C407" s="11" t="s">
        <v>916</v>
      </c>
      <c r="D407" s="10" t="s">
        <v>4419</v>
      </c>
      <c r="E407" s="10" t="s">
        <v>5347</v>
      </c>
      <c r="F407" s="11" t="s">
        <v>5348</v>
      </c>
      <c r="G407" s="10" t="s">
        <v>13</v>
      </c>
      <c r="H407" s="12">
        <v>46262</v>
      </c>
      <c r="I407" s="10" t="s">
        <v>851</v>
      </c>
      <c r="J407" s="10" t="str">
        <f>IFERROR(INDEX([1]Programas!$B$2:$B$50,MATCH(LEFT(I407,3),[1]Programas!$A$2:$A$50,0)),"")</f>
        <v>Cloud Computing, Redes</v>
      </c>
      <c r="K407" s="10" t="s">
        <v>111</v>
      </c>
    </row>
    <row r="408" spans="1:11" x14ac:dyDescent="0.2">
      <c r="A408" s="10">
        <v>407</v>
      </c>
      <c r="B408" s="10" t="s">
        <v>920</v>
      </c>
      <c r="C408" s="11" t="s">
        <v>919</v>
      </c>
      <c r="D408" s="10" t="s">
        <v>4419</v>
      </c>
      <c r="E408" s="10" t="s">
        <v>5349</v>
      </c>
      <c r="F408" s="11" t="s">
        <v>5350</v>
      </c>
      <c r="G408" s="10" t="s">
        <v>13</v>
      </c>
      <c r="H408" s="12">
        <v>46262</v>
      </c>
      <c r="I408" s="10" t="s">
        <v>851</v>
      </c>
      <c r="J408" s="10" t="str">
        <f>IFERROR(INDEX([1]Programas!$B$2:$B$50,MATCH(LEFT(I408,3),[1]Programas!$A$2:$A$50,0)),"")</f>
        <v>Cloud Computing, Redes</v>
      </c>
      <c r="K408" s="10" t="s">
        <v>111</v>
      </c>
    </row>
    <row r="409" spans="1:11" x14ac:dyDescent="0.2">
      <c r="A409" s="10">
        <v>408</v>
      </c>
      <c r="B409" s="10" t="s">
        <v>923</v>
      </c>
      <c r="C409" s="11" t="s">
        <v>922</v>
      </c>
      <c r="D409" s="10" t="s">
        <v>4419</v>
      </c>
      <c r="E409" s="10" t="s">
        <v>5351</v>
      </c>
      <c r="F409" s="11" t="s">
        <v>5352</v>
      </c>
      <c r="G409" s="10" t="s">
        <v>13</v>
      </c>
      <c r="H409" s="12">
        <v>46262</v>
      </c>
      <c r="I409" s="10" t="s">
        <v>851</v>
      </c>
      <c r="J409" s="10" t="str">
        <f>IFERROR(INDEX([1]Programas!$B$2:$B$50,MATCH(LEFT(I409,3),[1]Programas!$A$2:$A$50,0)),"")</f>
        <v>Cloud Computing, Redes</v>
      </c>
      <c r="K409" s="10" t="s">
        <v>111</v>
      </c>
    </row>
    <row r="410" spans="1:11" x14ac:dyDescent="0.2">
      <c r="A410" s="10">
        <v>409</v>
      </c>
      <c r="B410" s="10" t="s">
        <v>925</v>
      </c>
      <c r="C410" s="11" t="s">
        <v>924</v>
      </c>
      <c r="D410" s="10" t="s">
        <v>4419</v>
      </c>
      <c r="E410" s="10" t="s">
        <v>5353</v>
      </c>
      <c r="F410" s="11" t="s">
        <v>5354</v>
      </c>
      <c r="G410" s="10" t="s">
        <v>13</v>
      </c>
      <c r="H410" s="12">
        <v>46262</v>
      </c>
      <c r="I410" s="10" t="s">
        <v>851</v>
      </c>
      <c r="J410" s="10" t="str">
        <f>IFERROR(INDEX([1]Programas!$B$2:$B$50,MATCH(LEFT(I410,3),[1]Programas!$A$2:$A$50,0)),"")</f>
        <v>Cloud Computing, Redes</v>
      </c>
      <c r="K410" s="10" t="s">
        <v>111</v>
      </c>
    </row>
    <row r="411" spans="1:11" x14ac:dyDescent="0.2">
      <c r="A411" s="10">
        <v>410</v>
      </c>
      <c r="B411" s="10" t="s">
        <v>927</v>
      </c>
      <c r="C411" s="11" t="s">
        <v>926</v>
      </c>
      <c r="D411" s="10" t="s">
        <v>4419</v>
      </c>
      <c r="E411" s="10" t="s">
        <v>5355</v>
      </c>
      <c r="F411" s="11" t="s">
        <v>5356</v>
      </c>
      <c r="G411" s="10" t="s">
        <v>13</v>
      </c>
      <c r="H411" s="12">
        <v>46262</v>
      </c>
      <c r="I411" s="10" t="s">
        <v>851</v>
      </c>
      <c r="J411" s="10" t="str">
        <f>IFERROR(INDEX([1]Programas!$B$2:$B$50,MATCH(LEFT(I411,3),[1]Programas!$A$2:$A$50,0)),"")</f>
        <v>Cloud Computing, Redes</v>
      </c>
      <c r="K411" s="10" t="s">
        <v>111</v>
      </c>
    </row>
    <row r="412" spans="1:11" x14ac:dyDescent="0.2">
      <c r="A412" s="10">
        <v>411</v>
      </c>
      <c r="B412" s="10" t="s">
        <v>929</v>
      </c>
      <c r="C412" s="11" t="s">
        <v>928</v>
      </c>
      <c r="D412" s="10" t="s">
        <v>4419</v>
      </c>
      <c r="E412" s="10" t="s">
        <v>5357</v>
      </c>
      <c r="F412" s="11" t="s">
        <v>5358</v>
      </c>
      <c r="G412" s="10" t="s">
        <v>13</v>
      </c>
      <c r="H412" s="12">
        <v>46262</v>
      </c>
      <c r="I412" s="10" t="s">
        <v>851</v>
      </c>
      <c r="J412" s="10" t="str">
        <f>IFERROR(INDEX([1]Programas!$B$2:$B$50,MATCH(LEFT(I412,3),[1]Programas!$A$2:$A$50,0)),"")</f>
        <v>Cloud Computing, Redes</v>
      </c>
      <c r="K412" s="10" t="s">
        <v>111</v>
      </c>
    </row>
    <row r="413" spans="1:11" x14ac:dyDescent="0.2">
      <c r="A413" s="10">
        <v>412</v>
      </c>
      <c r="B413" s="10" t="s">
        <v>931</v>
      </c>
      <c r="C413" s="11" t="s">
        <v>930</v>
      </c>
      <c r="D413" s="10" t="s">
        <v>4419</v>
      </c>
      <c r="E413" s="10" t="s">
        <v>5359</v>
      </c>
      <c r="F413" s="11" t="s">
        <v>5360</v>
      </c>
      <c r="G413" s="10" t="s">
        <v>13</v>
      </c>
      <c r="H413" s="12">
        <v>46262</v>
      </c>
      <c r="I413" s="10" t="s">
        <v>851</v>
      </c>
      <c r="J413" s="10" t="str">
        <f>IFERROR(INDEX([1]Programas!$B$2:$B$50,MATCH(LEFT(I413,3),[1]Programas!$A$2:$A$50,0)),"")</f>
        <v>Cloud Computing, Redes</v>
      </c>
      <c r="K413" s="10" t="s">
        <v>111</v>
      </c>
    </row>
    <row r="414" spans="1:11" x14ac:dyDescent="0.2">
      <c r="A414" s="10">
        <v>413</v>
      </c>
      <c r="B414" s="10" t="s">
        <v>933</v>
      </c>
      <c r="C414" s="11" t="s">
        <v>932</v>
      </c>
      <c r="D414" s="10" t="s">
        <v>4419</v>
      </c>
      <c r="E414" s="10" t="s">
        <v>5361</v>
      </c>
      <c r="F414" s="11" t="s">
        <v>5362</v>
      </c>
      <c r="G414" s="10" t="s">
        <v>13</v>
      </c>
      <c r="H414" s="12">
        <v>46262</v>
      </c>
      <c r="I414" s="10" t="s">
        <v>851</v>
      </c>
      <c r="J414" s="10" t="str">
        <f>IFERROR(INDEX([1]Programas!$B$2:$B$50,MATCH(LEFT(I414,3),[1]Programas!$A$2:$A$50,0)),"")</f>
        <v>Cloud Computing, Redes</v>
      </c>
      <c r="K414" s="10" t="s">
        <v>111</v>
      </c>
    </row>
    <row r="415" spans="1:11" x14ac:dyDescent="0.2">
      <c r="A415" s="10">
        <v>414</v>
      </c>
      <c r="B415" s="10" t="s">
        <v>5363</v>
      </c>
      <c r="C415" s="11" t="s">
        <v>934</v>
      </c>
      <c r="D415" s="10" t="s">
        <v>4419</v>
      </c>
      <c r="E415" s="10" t="s">
        <v>5364</v>
      </c>
      <c r="F415" s="11" t="s">
        <v>5365</v>
      </c>
      <c r="G415" s="10" t="s">
        <v>13</v>
      </c>
      <c r="H415" s="12">
        <v>46262</v>
      </c>
      <c r="I415" s="10" t="s">
        <v>851</v>
      </c>
      <c r="J415" s="10" t="str">
        <f>IFERROR(INDEX([1]Programas!$B$2:$B$50,MATCH(LEFT(I415,3),[1]Programas!$A$2:$A$50,0)),"")</f>
        <v>Cloud Computing, Redes</v>
      </c>
      <c r="K415" s="10" t="s">
        <v>111</v>
      </c>
    </row>
    <row r="416" spans="1:11" x14ac:dyDescent="0.2">
      <c r="A416" s="10">
        <v>415</v>
      </c>
      <c r="B416" s="10" t="s">
        <v>939</v>
      </c>
      <c r="C416" s="11" t="s">
        <v>938</v>
      </c>
      <c r="D416" s="10" t="s">
        <v>4419</v>
      </c>
      <c r="E416" s="10" t="s">
        <v>5366</v>
      </c>
      <c r="F416" s="11" t="s">
        <v>5367</v>
      </c>
      <c r="G416" s="10" t="s">
        <v>13</v>
      </c>
      <c r="H416" s="12">
        <v>46262</v>
      </c>
      <c r="I416" s="10" t="s">
        <v>851</v>
      </c>
      <c r="J416" s="10" t="str">
        <f>IFERROR(INDEX([1]Programas!$B$2:$B$50,MATCH(LEFT(I416,3),[1]Programas!$A$2:$A$50,0)),"")</f>
        <v>Cloud Computing, Redes</v>
      </c>
      <c r="K416" s="10" t="s">
        <v>111</v>
      </c>
    </row>
    <row r="417" spans="1:11" x14ac:dyDescent="0.2">
      <c r="A417" s="10">
        <v>416</v>
      </c>
      <c r="B417" s="10" t="s">
        <v>5368</v>
      </c>
      <c r="C417" s="11" t="s">
        <v>940</v>
      </c>
      <c r="D417" s="10" t="s">
        <v>4419</v>
      </c>
      <c r="E417" s="10" t="s">
        <v>5369</v>
      </c>
      <c r="F417" s="11" t="s">
        <v>5370</v>
      </c>
      <c r="G417" s="10" t="s">
        <v>13</v>
      </c>
      <c r="H417" s="12">
        <v>46262</v>
      </c>
      <c r="I417" s="10" t="s">
        <v>851</v>
      </c>
      <c r="J417" s="10" t="str">
        <f>IFERROR(INDEX([1]Programas!$B$2:$B$50,MATCH(LEFT(I417,3),[1]Programas!$A$2:$A$50,0)),"")</f>
        <v>Cloud Computing, Redes</v>
      </c>
      <c r="K417" s="10" t="s">
        <v>111</v>
      </c>
    </row>
    <row r="418" spans="1:11" x14ac:dyDescent="0.2">
      <c r="A418" s="10">
        <v>417</v>
      </c>
      <c r="B418" s="10" t="s">
        <v>943</v>
      </c>
      <c r="C418" s="11" t="s">
        <v>942</v>
      </c>
      <c r="D418" s="10" t="s">
        <v>4419</v>
      </c>
      <c r="E418" s="10" t="s">
        <v>5371</v>
      </c>
      <c r="F418" s="11" t="s">
        <v>5372</v>
      </c>
      <c r="G418" s="10" t="s">
        <v>13</v>
      </c>
      <c r="H418" s="12">
        <v>46263</v>
      </c>
      <c r="I418" s="10" t="s">
        <v>851</v>
      </c>
      <c r="J418" s="10" t="str">
        <f>IFERROR(INDEX([1]Programas!$B$2:$B$50,MATCH(LEFT(I418,3),[1]Programas!$A$2:$A$50,0)),"")</f>
        <v>Cloud Computing, Redes</v>
      </c>
      <c r="K418" s="10" t="s">
        <v>111</v>
      </c>
    </row>
    <row r="419" spans="1:11" x14ac:dyDescent="0.2">
      <c r="A419" s="10">
        <v>418</v>
      </c>
      <c r="B419" s="10" t="s">
        <v>945</v>
      </c>
      <c r="C419" s="11" t="s">
        <v>944</v>
      </c>
      <c r="D419" s="10" t="s">
        <v>4419</v>
      </c>
      <c r="E419" s="10" t="s">
        <v>5373</v>
      </c>
      <c r="F419" s="11" t="s">
        <v>5374</v>
      </c>
      <c r="G419" s="10" t="s">
        <v>13</v>
      </c>
      <c r="H419" s="12">
        <v>46263</v>
      </c>
      <c r="I419" s="10" t="s">
        <v>851</v>
      </c>
      <c r="J419" s="10" t="str">
        <f>IFERROR(INDEX([1]Programas!$B$2:$B$50,MATCH(LEFT(I419,3),[1]Programas!$A$2:$A$50,0)),"")</f>
        <v>Cloud Computing, Redes</v>
      </c>
      <c r="K419" s="10" t="s">
        <v>111</v>
      </c>
    </row>
    <row r="420" spans="1:11" x14ac:dyDescent="0.2">
      <c r="A420" s="10">
        <v>419</v>
      </c>
      <c r="B420" s="10" t="s">
        <v>947</v>
      </c>
      <c r="C420" s="11" t="s">
        <v>946</v>
      </c>
      <c r="D420" s="10" t="s">
        <v>4419</v>
      </c>
      <c r="E420" s="10" t="s">
        <v>5375</v>
      </c>
      <c r="F420" s="11" t="s">
        <v>5376</v>
      </c>
      <c r="G420" s="10" t="s">
        <v>13</v>
      </c>
      <c r="H420" s="12">
        <v>46263</v>
      </c>
      <c r="I420" s="10" t="s">
        <v>851</v>
      </c>
      <c r="J420" s="10" t="str">
        <f>IFERROR(INDEX([1]Programas!$B$2:$B$50,MATCH(LEFT(I420,3),[1]Programas!$A$2:$A$50,0)),"")</f>
        <v>Cloud Computing, Redes</v>
      </c>
      <c r="K420" s="10" t="s">
        <v>111</v>
      </c>
    </row>
    <row r="421" spans="1:11" x14ac:dyDescent="0.2">
      <c r="A421" s="10">
        <v>420</v>
      </c>
      <c r="B421" s="10" t="s">
        <v>949</v>
      </c>
      <c r="C421" s="11" t="s">
        <v>948</v>
      </c>
      <c r="D421" s="10" t="s">
        <v>4419</v>
      </c>
      <c r="E421" s="10" t="s">
        <v>5377</v>
      </c>
      <c r="F421" s="11" t="s">
        <v>5378</v>
      </c>
      <c r="G421" s="10" t="s">
        <v>13</v>
      </c>
      <c r="H421" s="12">
        <v>46263</v>
      </c>
      <c r="I421" s="10" t="s">
        <v>851</v>
      </c>
      <c r="J421" s="10" t="str">
        <f>IFERROR(INDEX([1]Programas!$B$2:$B$50,MATCH(LEFT(I421,3),[1]Programas!$A$2:$A$50,0)),"")</f>
        <v>Cloud Computing, Redes</v>
      </c>
      <c r="K421" s="10" t="s">
        <v>111</v>
      </c>
    </row>
    <row r="422" spans="1:11" x14ac:dyDescent="0.2">
      <c r="A422" s="10">
        <v>421</v>
      </c>
      <c r="B422" s="10" t="s">
        <v>951</v>
      </c>
      <c r="C422" s="11" t="s">
        <v>950</v>
      </c>
      <c r="D422" s="10" t="s">
        <v>4419</v>
      </c>
      <c r="E422" s="10" t="s">
        <v>5379</v>
      </c>
      <c r="F422" s="11" t="s">
        <v>5380</v>
      </c>
      <c r="G422" s="10" t="s">
        <v>13</v>
      </c>
      <c r="H422" s="12">
        <v>46265</v>
      </c>
      <c r="I422" s="10" t="s">
        <v>851</v>
      </c>
      <c r="J422" s="10" t="str">
        <f>IFERROR(INDEX([1]Programas!$B$2:$B$50,MATCH(LEFT(I422,3),[1]Programas!$A$2:$A$50,0)),"")</f>
        <v>Cloud Computing, Redes</v>
      </c>
      <c r="K422" s="10" t="s">
        <v>111</v>
      </c>
    </row>
    <row r="423" spans="1:11" x14ac:dyDescent="0.2">
      <c r="A423" s="10">
        <v>422</v>
      </c>
      <c r="B423" s="10" t="s">
        <v>955</v>
      </c>
      <c r="C423" s="11" t="s">
        <v>954</v>
      </c>
      <c r="D423" s="10" t="s">
        <v>4419</v>
      </c>
      <c r="E423" s="10" t="s">
        <v>5381</v>
      </c>
      <c r="F423" s="11" t="s">
        <v>5382</v>
      </c>
      <c r="G423" s="10" t="s">
        <v>13</v>
      </c>
      <c r="H423" s="12">
        <v>46262</v>
      </c>
      <c r="I423" s="10" t="s">
        <v>957</v>
      </c>
      <c r="J423" s="10" t="str">
        <f>IFERROR(INDEX([1]Programas!$B$2:$B$50,MATCH(LEFT(I423,3),[1]Programas!$A$2:$A$50,0)),"")</f>
        <v>Cloud Computing, Redes</v>
      </c>
      <c r="K423" s="10" t="s">
        <v>335</v>
      </c>
    </row>
    <row r="424" spans="1:11" x14ac:dyDescent="0.2">
      <c r="A424" s="10">
        <v>423</v>
      </c>
      <c r="B424" s="10" t="s">
        <v>5383</v>
      </c>
      <c r="C424" s="11" t="s">
        <v>958</v>
      </c>
      <c r="D424" s="10" t="s">
        <v>4419</v>
      </c>
      <c r="E424" s="10" t="s">
        <v>5384</v>
      </c>
      <c r="F424" s="11" t="s">
        <v>5385</v>
      </c>
      <c r="G424" s="10" t="s">
        <v>13</v>
      </c>
      <c r="H424" s="12">
        <v>46262</v>
      </c>
      <c r="I424" s="10" t="s">
        <v>957</v>
      </c>
      <c r="J424" s="10" t="str">
        <f>IFERROR(INDEX([1]Programas!$B$2:$B$50,MATCH(LEFT(I424,3),[1]Programas!$A$2:$A$50,0)),"")</f>
        <v>Cloud Computing, Redes</v>
      </c>
      <c r="K424" s="10" t="s">
        <v>335</v>
      </c>
    </row>
    <row r="425" spans="1:11" x14ac:dyDescent="0.2">
      <c r="A425" s="10">
        <v>424</v>
      </c>
      <c r="B425" s="10" t="s">
        <v>962</v>
      </c>
      <c r="C425" s="11" t="s">
        <v>961</v>
      </c>
      <c r="D425" s="10" t="s">
        <v>4419</v>
      </c>
      <c r="E425" s="10" t="s">
        <v>5386</v>
      </c>
      <c r="F425" s="11" t="s">
        <v>5387</v>
      </c>
      <c r="G425" s="10" t="s">
        <v>13</v>
      </c>
      <c r="H425" s="12">
        <v>46262</v>
      </c>
      <c r="I425" s="10" t="s">
        <v>957</v>
      </c>
      <c r="J425" s="10" t="str">
        <f>IFERROR(INDEX([1]Programas!$B$2:$B$50,MATCH(LEFT(I425,3),[1]Programas!$A$2:$A$50,0)),"")</f>
        <v>Cloud Computing, Redes</v>
      </c>
      <c r="K425" s="10" t="s">
        <v>335</v>
      </c>
    </row>
    <row r="426" spans="1:11" x14ac:dyDescent="0.2">
      <c r="A426" s="10">
        <v>425</v>
      </c>
      <c r="B426" s="10" t="s">
        <v>964</v>
      </c>
      <c r="C426" s="11" t="s">
        <v>963</v>
      </c>
      <c r="D426" s="10" t="s">
        <v>4419</v>
      </c>
      <c r="E426" s="10" t="s">
        <v>5388</v>
      </c>
      <c r="F426" s="11" t="s">
        <v>5389</v>
      </c>
      <c r="G426" s="10" t="s">
        <v>13</v>
      </c>
      <c r="H426" s="12">
        <v>46262</v>
      </c>
      <c r="I426" s="10" t="s">
        <v>957</v>
      </c>
      <c r="J426" s="10" t="str">
        <f>IFERROR(INDEX([1]Programas!$B$2:$B$50,MATCH(LEFT(I426,3),[1]Programas!$A$2:$A$50,0)),"")</f>
        <v>Cloud Computing, Redes</v>
      </c>
      <c r="K426" s="10" t="s">
        <v>335</v>
      </c>
    </row>
    <row r="427" spans="1:11" x14ac:dyDescent="0.2">
      <c r="A427" s="10">
        <v>426</v>
      </c>
      <c r="B427" s="10" t="s">
        <v>966</v>
      </c>
      <c r="C427" s="11" t="s">
        <v>965</v>
      </c>
      <c r="D427" s="10" t="s">
        <v>4419</v>
      </c>
      <c r="E427" s="10" t="s">
        <v>5390</v>
      </c>
      <c r="F427" s="11" t="s">
        <v>5391</v>
      </c>
      <c r="G427" s="10" t="s">
        <v>13</v>
      </c>
      <c r="H427" s="12">
        <v>46262</v>
      </c>
      <c r="I427" s="10" t="s">
        <v>957</v>
      </c>
      <c r="J427" s="10" t="str">
        <f>IFERROR(INDEX([1]Programas!$B$2:$B$50,MATCH(LEFT(I427,3),[1]Programas!$A$2:$A$50,0)),"")</f>
        <v>Cloud Computing, Redes</v>
      </c>
      <c r="K427" s="10" t="s">
        <v>335</v>
      </c>
    </row>
    <row r="428" spans="1:11" x14ac:dyDescent="0.2">
      <c r="A428" s="10">
        <v>427</v>
      </c>
      <c r="B428" s="10" t="s">
        <v>968</v>
      </c>
      <c r="C428" s="11" t="s">
        <v>967</v>
      </c>
      <c r="D428" s="10" t="s">
        <v>4419</v>
      </c>
      <c r="E428" s="10" t="s">
        <v>5392</v>
      </c>
      <c r="F428" s="11" t="s">
        <v>5393</v>
      </c>
      <c r="G428" s="10" t="s">
        <v>13</v>
      </c>
      <c r="H428" s="12">
        <v>46262</v>
      </c>
      <c r="I428" s="10" t="s">
        <v>957</v>
      </c>
      <c r="J428" s="10" t="str">
        <f>IFERROR(INDEX([1]Programas!$B$2:$B$50,MATCH(LEFT(I428,3),[1]Programas!$A$2:$A$50,0)),"")</f>
        <v>Cloud Computing, Redes</v>
      </c>
      <c r="K428" s="10" t="s">
        <v>335</v>
      </c>
    </row>
    <row r="429" spans="1:11" x14ac:dyDescent="0.2">
      <c r="A429" s="10">
        <v>428</v>
      </c>
      <c r="B429" s="10" t="s">
        <v>970</v>
      </c>
      <c r="C429" s="11" t="s">
        <v>969</v>
      </c>
      <c r="D429" s="10" t="s">
        <v>4419</v>
      </c>
      <c r="E429" s="10" t="s">
        <v>5394</v>
      </c>
      <c r="F429" s="11" t="s">
        <v>5395</v>
      </c>
      <c r="G429" s="10" t="s">
        <v>13</v>
      </c>
      <c r="H429" s="12">
        <v>46262</v>
      </c>
      <c r="I429" s="10" t="s">
        <v>957</v>
      </c>
      <c r="J429" s="10" t="str">
        <f>IFERROR(INDEX([1]Programas!$B$2:$B$50,MATCH(LEFT(I429,3),[1]Programas!$A$2:$A$50,0)),"")</f>
        <v>Cloud Computing, Redes</v>
      </c>
      <c r="K429" s="10" t="s">
        <v>335</v>
      </c>
    </row>
    <row r="430" spans="1:11" x14ac:dyDescent="0.2">
      <c r="A430" s="10">
        <v>429</v>
      </c>
      <c r="B430" s="10" t="s">
        <v>972</v>
      </c>
      <c r="C430" s="11" t="s">
        <v>971</v>
      </c>
      <c r="D430" s="10" t="s">
        <v>4419</v>
      </c>
      <c r="E430" s="10" t="s">
        <v>5396</v>
      </c>
      <c r="F430" s="11" t="s">
        <v>5397</v>
      </c>
      <c r="G430" s="10" t="s">
        <v>13</v>
      </c>
      <c r="H430" s="12">
        <v>46262</v>
      </c>
      <c r="I430" s="10" t="s">
        <v>957</v>
      </c>
      <c r="J430" s="10" t="str">
        <f>IFERROR(INDEX([1]Programas!$B$2:$B$50,MATCH(LEFT(I430,3),[1]Programas!$A$2:$A$50,0)),"")</f>
        <v>Cloud Computing, Redes</v>
      </c>
      <c r="K430" s="10" t="s">
        <v>335</v>
      </c>
    </row>
    <row r="431" spans="1:11" x14ac:dyDescent="0.2">
      <c r="A431" s="10">
        <v>430</v>
      </c>
      <c r="B431" s="10" t="s">
        <v>974</v>
      </c>
      <c r="C431" s="11" t="s">
        <v>973</v>
      </c>
      <c r="D431" s="10" t="s">
        <v>4419</v>
      </c>
      <c r="E431" s="10" t="s">
        <v>5398</v>
      </c>
      <c r="F431" s="11" t="s">
        <v>5399</v>
      </c>
      <c r="G431" s="10" t="s">
        <v>13</v>
      </c>
      <c r="H431" s="12">
        <v>46262</v>
      </c>
      <c r="I431" s="10" t="s">
        <v>957</v>
      </c>
      <c r="J431" s="10" t="str">
        <f>IFERROR(INDEX([1]Programas!$B$2:$B$50,MATCH(LEFT(I431,3),[1]Programas!$A$2:$A$50,0)),"")</f>
        <v>Cloud Computing, Redes</v>
      </c>
      <c r="K431" s="10" t="s">
        <v>335</v>
      </c>
    </row>
    <row r="432" spans="1:11" x14ac:dyDescent="0.2">
      <c r="A432" s="10">
        <v>431</v>
      </c>
      <c r="B432" s="10" t="s">
        <v>976</v>
      </c>
      <c r="C432" s="11" t="s">
        <v>975</v>
      </c>
      <c r="D432" s="10" t="s">
        <v>4453</v>
      </c>
      <c r="E432" s="10" t="s">
        <v>5400</v>
      </c>
      <c r="F432" s="11" t="s">
        <v>5401</v>
      </c>
      <c r="G432" s="10" t="s">
        <v>13</v>
      </c>
      <c r="H432" s="12">
        <v>46262</v>
      </c>
      <c r="I432" s="10" t="s">
        <v>957</v>
      </c>
      <c r="J432" s="10" t="str">
        <f>IFERROR(INDEX([1]Programas!$B$2:$B$50,MATCH(LEFT(I432,3),[1]Programas!$A$2:$A$50,0)),"")</f>
        <v>Cloud Computing, Redes</v>
      </c>
      <c r="K432" s="10" t="s">
        <v>335</v>
      </c>
    </row>
    <row r="433" spans="1:11" x14ac:dyDescent="0.2">
      <c r="A433" s="10">
        <v>432</v>
      </c>
      <c r="B433" s="10" t="s">
        <v>978</v>
      </c>
      <c r="C433" s="11" t="s">
        <v>977</v>
      </c>
      <c r="D433" s="10" t="s">
        <v>4419</v>
      </c>
      <c r="E433" s="10" t="s">
        <v>5402</v>
      </c>
      <c r="F433" s="11" t="s">
        <v>5403</v>
      </c>
      <c r="G433" s="10" t="s">
        <v>13</v>
      </c>
      <c r="H433" s="12">
        <v>46262</v>
      </c>
      <c r="I433" s="10" t="s">
        <v>957</v>
      </c>
      <c r="J433" s="10" t="str">
        <f>IFERROR(INDEX([1]Programas!$B$2:$B$50,MATCH(LEFT(I433,3),[1]Programas!$A$2:$A$50,0)),"")</f>
        <v>Cloud Computing, Redes</v>
      </c>
      <c r="K433" s="10" t="s">
        <v>335</v>
      </c>
    </row>
    <row r="434" spans="1:11" x14ac:dyDescent="0.2">
      <c r="A434" s="10">
        <v>433</v>
      </c>
      <c r="B434" s="10" t="s">
        <v>980</v>
      </c>
      <c r="C434" s="11" t="s">
        <v>979</v>
      </c>
      <c r="D434" s="10" t="s">
        <v>4419</v>
      </c>
      <c r="E434" s="10" t="s">
        <v>5404</v>
      </c>
      <c r="F434" s="11" t="s">
        <v>5405</v>
      </c>
      <c r="G434" s="10" t="s">
        <v>13</v>
      </c>
      <c r="H434" s="12">
        <v>46262</v>
      </c>
      <c r="I434" s="10" t="s">
        <v>957</v>
      </c>
      <c r="J434" s="10" t="str">
        <f>IFERROR(INDEX([1]Programas!$B$2:$B$50,MATCH(LEFT(I434,3),[1]Programas!$A$2:$A$50,0)),"")</f>
        <v>Cloud Computing, Redes</v>
      </c>
      <c r="K434" s="10" t="s">
        <v>335</v>
      </c>
    </row>
    <row r="435" spans="1:11" x14ac:dyDescent="0.2">
      <c r="A435" s="10">
        <v>434</v>
      </c>
      <c r="B435" s="10" t="s">
        <v>982</v>
      </c>
      <c r="C435" s="11" t="s">
        <v>981</v>
      </c>
      <c r="D435" s="10" t="s">
        <v>4419</v>
      </c>
      <c r="E435" s="10" t="s">
        <v>5406</v>
      </c>
      <c r="F435" s="11" t="s">
        <v>5407</v>
      </c>
      <c r="G435" s="10" t="s">
        <v>13</v>
      </c>
      <c r="H435" s="12">
        <v>46262</v>
      </c>
      <c r="I435" s="10" t="s">
        <v>957</v>
      </c>
      <c r="J435" s="10" t="str">
        <f>IFERROR(INDEX([1]Programas!$B$2:$B$50,MATCH(LEFT(I435,3),[1]Programas!$A$2:$A$50,0)),"")</f>
        <v>Cloud Computing, Redes</v>
      </c>
      <c r="K435" s="10" t="s">
        <v>335</v>
      </c>
    </row>
    <row r="436" spans="1:11" x14ac:dyDescent="0.2">
      <c r="A436" s="10">
        <v>435</v>
      </c>
      <c r="B436" s="10" t="s">
        <v>984</v>
      </c>
      <c r="C436" s="11" t="s">
        <v>983</v>
      </c>
      <c r="D436" s="10" t="s">
        <v>4419</v>
      </c>
      <c r="E436" s="10" t="s">
        <v>5408</v>
      </c>
      <c r="F436" s="11" t="s">
        <v>5409</v>
      </c>
      <c r="G436" s="10" t="s">
        <v>13</v>
      </c>
      <c r="H436" s="12">
        <v>46262</v>
      </c>
      <c r="I436" s="10" t="s">
        <v>957</v>
      </c>
      <c r="J436" s="10" t="str">
        <f>IFERROR(INDEX([1]Programas!$B$2:$B$50,MATCH(LEFT(I436,3),[1]Programas!$A$2:$A$50,0)),"")</f>
        <v>Cloud Computing, Redes</v>
      </c>
      <c r="K436" s="10" t="s">
        <v>335</v>
      </c>
    </row>
    <row r="437" spans="1:11" x14ac:dyDescent="0.2">
      <c r="A437" s="10">
        <v>436</v>
      </c>
      <c r="B437" s="10" t="s">
        <v>986</v>
      </c>
      <c r="C437" s="11" t="s">
        <v>985</v>
      </c>
      <c r="D437" s="10" t="s">
        <v>4419</v>
      </c>
      <c r="E437" s="10" t="s">
        <v>5410</v>
      </c>
      <c r="F437" s="11" t="s">
        <v>5411</v>
      </c>
      <c r="G437" s="10" t="s">
        <v>13</v>
      </c>
      <c r="H437" s="12">
        <v>46262</v>
      </c>
      <c r="I437" s="10" t="s">
        <v>957</v>
      </c>
      <c r="J437" s="10" t="str">
        <f>IFERROR(INDEX([1]Programas!$B$2:$B$50,MATCH(LEFT(I437,3),[1]Programas!$A$2:$A$50,0)),"")</f>
        <v>Cloud Computing, Redes</v>
      </c>
      <c r="K437" s="10" t="s">
        <v>335</v>
      </c>
    </row>
    <row r="438" spans="1:11" x14ac:dyDescent="0.2">
      <c r="A438" s="10">
        <v>437</v>
      </c>
      <c r="B438" s="10" t="s">
        <v>988</v>
      </c>
      <c r="C438" s="11" t="s">
        <v>987</v>
      </c>
      <c r="D438" s="10" t="s">
        <v>4419</v>
      </c>
      <c r="E438" s="10" t="s">
        <v>5412</v>
      </c>
      <c r="F438" s="11" t="s">
        <v>5413</v>
      </c>
      <c r="G438" s="10" t="s">
        <v>13</v>
      </c>
      <c r="H438" s="12">
        <v>46262</v>
      </c>
      <c r="I438" s="10" t="s">
        <v>957</v>
      </c>
      <c r="J438" s="10" t="str">
        <f>IFERROR(INDEX([1]Programas!$B$2:$B$50,MATCH(LEFT(I438,3),[1]Programas!$A$2:$A$50,0)),"")</f>
        <v>Cloud Computing, Redes</v>
      </c>
      <c r="K438" s="10" t="s">
        <v>335</v>
      </c>
    </row>
    <row r="439" spans="1:11" x14ac:dyDescent="0.2">
      <c r="A439" s="10">
        <v>438</v>
      </c>
      <c r="B439" s="10" t="s">
        <v>992</v>
      </c>
      <c r="C439" s="11" t="s">
        <v>991</v>
      </c>
      <c r="D439" s="10" t="s">
        <v>4419</v>
      </c>
      <c r="E439" s="10" t="s">
        <v>5414</v>
      </c>
      <c r="F439" s="11" t="s">
        <v>5415</v>
      </c>
      <c r="G439" s="10" t="s">
        <v>13</v>
      </c>
      <c r="H439" s="12">
        <v>46262</v>
      </c>
      <c r="I439" s="10" t="s">
        <v>957</v>
      </c>
      <c r="J439" s="10" t="str">
        <f>IFERROR(INDEX([1]Programas!$B$2:$B$50,MATCH(LEFT(I439,3),[1]Programas!$A$2:$A$50,0)),"")</f>
        <v>Cloud Computing, Redes</v>
      </c>
      <c r="K439" s="10" t="s">
        <v>335</v>
      </c>
    </row>
    <row r="440" spans="1:11" x14ac:dyDescent="0.2">
      <c r="A440" s="10">
        <v>439</v>
      </c>
      <c r="B440" s="10" t="s">
        <v>994</v>
      </c>
      <c r="C440" s="11" t="s">
        <v>993</v>
      </c>
      <c r="D440" s="10" t="s">
        <v>4419</v>
      </c>
      <c r="E440" s="10" t="s">
        <v>5416</v>
      </c>
      <c r="F440" s="11" t="s">
        <v>5417</v>
      </c>
      <c r="G440" s="10" t="s">
        <v>13</v>
      </c>
      <c r="H440" s="12">
        <v>46262</v>
      </c>
      <c r="I440" s="10" t="s">
        <v>957</v>
      </c>
      <c r="J440" s="10" t="str">
        <f>IFERROR(INDEX([1]Programas!$B$2:$B$50,MATCH(LEFT(I440,3),[1]Programas!$A$2:$A$50,0)),"")</f>
        <v>Cloud Computing, Redes</v>
      </c>
      <c r="K440" s="10" t="s">
        <v>335</v>
      </c>
    </row>
    <row r="441" spans="1:11" x14ac:dyDescent="0.2">
      <c r="A441" s="10">
        <v>440</v>
      </c>
      <c r="B441" s="10" t="s">
        <v>996</v>
      </c>
      <c r="C441" s="11" t="s">
        <v>995</v>
      </c>
      <c r="D441" s="10" t="s">
        <v>5003</v>
      </c>
      <c r="E441" s="10" t="s">
        <v>5418</v>
      </c>
      <c r="F441" s="11" t="s">
        <v>5419</v>
      </c>
      <c r="G441" s="10" t="s">
        <v>13</v>
      </c>
      <c r="H441" s="12">
        <v>46262</v>
      </c>
      <c r="I441" s="10" t="s">
        <v>957</v>
      </c>
      <c r="J441" s="10" t="str">
        <f>IFERROR(INDEX([1]Programas!$B$2:$B$50,MATCH(LEFT(I441,3),[1]Programas!$A$2:$A$50,0)),"")</f>
        <v>Cloud Computing, Redes</v>
      </c>
      <c r="K441" s="10" t="s">
        <v>335</v>
      </c>
    </row>
    <row r="442" spans="1:11" x14ac:dyDescent="0.2">
      <c r="A442" s="10">
        <v>441</v>
      </c>
      <c r="B442" s="10" t="s">
        <v>998</v>
      </c>
      <c r="C442" s="11" t="s">
        <v>997</v>
      </c>
      <c r="D442" s="10" t="s">
        <v>4419</v>
      </c>
      <c r="E442" s="10" t="s">
        <v>5420</v>
      </c>
      <c r="F442" s="11" t="s">
        <v>5421</v>
      </c>
      <c r="G442" s="10" t="s">
        <v>13</v>
      </c>
      <c r="H442" s="12">
        <v>46262</v>
      </c>
      <c r="I442" s="10" t="s">
        <v>957</v>
      </c>
      <c r="J442" s="10" t="str">
        <f>IFERROR(INDEX([1]Programas!$B$2:$B$50,MATCH(LEFT(I442,3),[1]Programas!$A$2:$A$50,0)),"")</f>
        <v>Cloud Computing, Redes</v>
      </c>
      <c r="K442" s="10" t="s">
        <v>335</v>
      </c>
    </row>
    <row r="443" spans="1:11" x14ac:dyDescent="0.2">
      <c r="A443" s="10">
        <v>442</v>
      </c>
      <c r="B443" s="10" t="s">
        <v>1000</v>
      </c>
      <c r="C443" s="11" t="s">
        <v>999</v>
      </c>
      <c r="D443" s="10" t="s">
        <v>4419</v>
      </c>
      <c r="E443" s="10" t="s">
        <v>5422</v>
      </c>
      <c r="F443" s="11" t="s">
        <v>5423</v>
      </c>
      <c r="G443" s="10" t="s">
        <v>13</v>
      </c>
      <c r="H443" s="12">
        <v>46262</v>
      </c>
      <c r="I443" s="10" t="s">
        <v>957</v>
      </c>
      <c r="J443" s="10" t="str">
        <f>IFERROR(INDEX([1]Programas!$B$2:$B$50,MATCH(LEFT(I443,3),[1]Programas!$A$2:$A$50,0)),"")</f>
        <v>Cloud Computing, Redes</v>
      </c>
      <c r="K443" s="10" t="s">
        <v>335</v>
      </c>
    </row>
    <row r="444" spans="1:11" x14ac:dyDescent="0.2">
      <c r="A444" s="10">
        <v>443</v>
      </c>
      <c r="B444" s="10" t="s">
        <v>1002</v>
      </c>
      <c r="C444" s="11" t="s">
        <v>1001</v>
      </c>
      <c r="D444" s="10" t="s">
        <v>4419</v>
      </c>
      <c r="E444" s="10" t="s">
        <v>5424</v>
      </c>
      <c r="F444" s="11" t="s">
        <v>5425</v>
      </c>
      <c r="G444" s="10" t="s">
        <v>13</v>
      </c>
      <c r="H444" s="12">
        <v>46263</v>
      </c>
      <c r="I444" s="10" t="s">
        <v>957</v>
      </c>
      <c r="J444" s="10" t="str">
        <f>IFERROR(INDEX([1]Programas!$B$2:$B$50,MATCH(LEFT(I444,3),[1]Programas!$A$2:$A$50,0)),"")</f>
        <v>Cloud Computing, Redes</v>
      </c>
      <c r="K444" s="10" t="s">
        <v>335</v>
      </c>
    </row>
    <row r="445" spans="1:11" x14ac:dyDescent="0.2">
      <c r="A445" s="10">
        <v>444</v>
      </c>
      <c r="B445" s="10" t="s">
        <v>1004</v>
      </c>
      <c r="C445" s="11" t="s">
        <v>1003</v>
      </c>
      <c r="D445" s="10" t="s">
        <v>4419</v>
      </c>
      <c r="E445" s="10" t="s">
        <v>5426</v>
      </c>
      <c r="F445" s="11" t="s">
        <v>5427</v>
      </c>
      <c r="G445" s="10" t="s">
        <v>13</v>
      </c>
      <c r="H445" s="12">
        <v>46281</v>
      </c>
      <c r="I445" s="10" t="s">
        <v>957</v>
      </c>
      <c r="J445" s="10" t="str">
        <f>IFERROR(INDEX([1]Programas!$B$2:$B$50,MATCH(LEFT(I445,3),[1]Programas!$A$2:$A$50,0)),"")</f>
        <v>Cloud Computing, Redes</v>
      </c>
      <c r="K445" s="10" t="s">
        <v>335</v>
      </c>
    </row>
    <row r="446" spans="1:11" x14ac:dyDescent="0.2">
      <c r="A446" s="10">
        <v>445</v>
      </c>
      <c r="B446" s="10" t="s">
        <v>1006</v>
      </c>
      <c r="C446" s="11" t="s">
        <v>1005</v>
      </c>
      <c r="D446" s="10" t="s">
        <v>4419</v>
      </c>
      <c r="E446" s="10" t="s">
        <v>5428</v>
      </c>
      <c r="F446" s="11" t="s">
        <v>5429</v>
      </c>
      <c r="G446" s="10" t="s">
        <v>13</v>
      </c>
      <c r="H446" s="12">
        <v>46288</v>
      </c>
      <c r="I446" s="10" t="s">
        <v>957</v>
      </c>
      <c r="J446" s="10" t="str">
        <f>IFERROR(INDEX([1]Programas!$B$2:$B$50,MATCH(LEFT(I446,3),[1]Programas!$A$2:$A$50,0)),"")</f>
        <v>Cloud Computing, Redes</v>
      </c>
      <c r="K446" s="10" t="s">
        <v>335</v>
      </c>
    </row>
    <row r="447" spans="1:11" x14ac:dyDescent="0.2">
      <c r="A447" s="10">
        <v>446</v>
      </c>
      <c r="B447" s="10" t="s">
        <v>1008</v>
      </c>
      <c r="C447" s="11" t="s">
        <v>1007</v>
      </c>
      <c r="D447" s="10" t="s">
        <v>4419</v>
      </c>
      <c r="E447" s="10" t="s">
        <v>5430</v>
      </c>
      <c r="F447" s="11" t="s">
        <v>5431</v>
      </c>
      <c r="G447" s="10" t="s">
        <v>13</v>
      </c>
      <c r="H447" s="12">
        <v>46262</v>
      </c>
      <c r="I447" s="10" t="s">
        <v>1010</v>
      </c>
      <c r="J447" s="10" t="str">
        <f>IFERROR(INDEX([1]Programas!$B$2:$B$50,MATCH(LEFT(I447,3),[1]Programas!$A$2:$A$50,0)),"")</f>
        <v>Cloud Computing, Redes</v>
      </c>
      <c r="K447" s="10" t="s">
        <v>516</v>
      </c>
    </row>
    <row r="448" spans="1:11" x14ac:dyDescent="0.2">
      <c r="A448" s="10">
        <v>447</v>
      </c>
      <c r="B448" s="10" t="s">
        <v>1013</v>
      </c>
      <c r="C448" s="11" t="s">
        <v>1012</v>
      </c>
      <c r="D448" s="10" t="s">
        <v>4419</v>
      </c>
      <c r="E448" s="10" t="s">
        <v>5432</v>
      </c>
      <c r="F448" s="11" t="s">
        <v>5433</v>
      </c>
      <c r="G448" s="10" t="s">
        <v>13</v>
      </c>
      <c r="H448" s="12">
        <v>46262</v>
      </c>
      <c r="I448" s="10" t="s">
        <v>1010</v>
      </c>
      <c r="J448" s="10" t="str">
        <f>IFERROR(INDEX([1]Programas!$B$2:$B$50,MATCH(LEFT(I448,3),[1]Programas!$A$2:$A$50,0)),"")</f>
        <v>Cloud Computing, Redes</v>
      </c>
      <c r="K448" s="10" t="s">
        <v>516</v>
      </c>
    </row>
    <row r="449" spans="1:11" x14ac:dyDescent="0.2">
      <c r="A449" s="10">
        <v>448</v>
      </c>
      <c r="B449" s="10" t="s">
        <v>1015</v>
      </c>
      <c r="C449" s="11" t="s">
        <v>1014</v>
      </c>
      <c r="D449" s="10" t="s">
        <v>4419</v>
      </c>
      <c r="E449" s="10" t="s">
        <v>5434</v>
      </c>
      <c r="F449" s="11" t="s">
        <v>5435</v>
      </c>
      <c r="G449" s="10" t="s">
        <v>13</v>
      </c>
      <c r="H449" s="12">
        <v>46262</v>
      </c>
      <c r="I449" s="10" t="s">
        <v>1010</v>
      </c>
      <c r="J449" s="10" t="str">
        <f>IFERROR(INDEX([1]Programas!$B$2:$B$50,MATCH(LEFT(I449,3),[1]Programas!$A$2:$A$50,0)),"")</f>
        <v>Cloud Computing, Redes</v>
      </c>
      <c r="K449" s="10" t="s">
        <v>516</v>
      </c>
    </row>
    <row r="450" spans="1:11" x14ac:dyDescent="0.2">
      <c r="A450" s="10">
        <v>449</v>
      </c>
      <c r="B450" s="10" t="s">
        <v>1017</v>
      </c>
      <c r="C450" s="11" t="s">
        <v>1016</v>
      </c>
      <c r="D450" s="10" t="s">
        <v>4419</v>
      </c>
      <c r="E450" s="10" t="s">
        <v>5436</v>
      </c>
      <c r="F450" s="11" t="s">
        <v>5437</v>
      </c>
      <c r="G450" s="10" t="s">
        <v>13</v>
      </c>
      <c r="H450" s="12">
        <v>46262</v>
      </c>
      <c r="I450" s="10" t="s">
        <v>1010</v>
      </c>
      <c r="J450" s="10" t="str">
        <f>IFERROR(INDEX([1]Programas!$B$2:$B$50,MATCH(LEFT(I450,3),[1]Programas!$A$2:$A$50,0)),"")</f>
        <v>Cloud Computing, Redes</v>
      </c>
      <c r="K450" s="10" t="s">
        <v>516</v>
      </c>
    </row>
    <row r="451" spans="1:11" x14ac:dyDescent="0.2">
      <c r="A451" s="10">
        <v>450</v>
      </c>
      <c r="B451" s="10" t="s">
        <v>5438</v>
      </c>
      <c r="C451" s="11" t="s">
        <v>1018</v>
      </c>
      <c r="D451" s="10" t="s">
        <v>4419</v>
      </c>
      <c r="E451" s="10" t="s">
        <v>5439</v>
      </c>
      <c r="F451" s="11" t="s">
        <v>5440</v>
      </c>
      <c r="G451" s="10" t="s">
        <v>13</v>
      </c>
      <c r="H451" s="12">
        <v>46262</v>
      </c>
      <c r="I451" s="10" t="s">
        <v>1010</v>
      </c>
      <c r="J451" s="10" t="str">
        <f>IFERROR(INDEX([1]Programas!$B$2:$B$50,MATCH(LEFT(I451,3),[1]Programas!$A$2:$A$50,0)),"")</f>
        <v>Cloud Computing, Redes</v>
      </c>
      <c r="K451" s="10" t="s">
        <v>516</v>
      </c>
    </row>
    <row r="452" spans="1:11" x14ac:dyDescent="0.2">
      <c r="A452" s="10">
        <v>451</v>
      </c>
      <c r="B452" s="10" t="s">
        <v>1021</v>
      </c>
      <c r="C452" s="11" t="s">
        <v>1020</v>
      </c>
      <c r="D452" s="10" t="s">
        <v>4419</v>
      </c>
      <c r="E452" s="10" t="s">
        <v>5441</v>
      </c>
      <c r="F452" s="11" t="s">
        <v>5442</v>
      </c>
      <c r="G452" s="10" t="s">
        <v>13</v>
      </c>
      <c r="H452" s="12">
        <v>46262</v>
      </c>
      <c r="I452" s="10" t="s">
        <v>1010</v>
      </c>
      <c r="J452" s="10" t="str">
        <f>IFERROR(INDEX([1]Programas!$B$2:$B$50,MATCH(LEFT(I452,3),[1]Programas!$A$2:$A$50,0)),"")</f>
        <v>Cloud Computing, Redes</v>
      </c>
      <c r="K452" s="10" t="s">
        <v>516</v>
      </c>
    </row>
    <row r="453" spans="1:11" x14ac:dyDescent="0.2">
      <c r="A453" s="10">
        <v>452</v>
      </c>
      <c r="B453" s="10" t="s">
        <v>1023</v>
      </c>
      <c r="C453" s="11" t="s">
        <v>1022</v>
      </c>
      <c r="D453" s="10" t="s">
        <v>4419</v>
      </c>
      <c r="E453" s="10" t="s">
        <v>5443</v>
      </c>
      <c r="F453" s="11" t="s">
        <v>5444</v>
      </c>
      <c r="G453" s="10" t="s">
        <v>13</v>
      </c>
      <c r="H453" s="12">
        <v>46262</v>
      </c>
      <c r="I453" s="10" t="s">
        <v>1010</v>
      </c>
      <c r="J453" s="10" t="str">
        <f>IFERROR(INDEX([1]Programas!$B$2:$B$50,MATCH(LEFT(I453,3),[1]Programas!$A$2:$A$50,0)),"")</f>
        <v>Cloud Computing, Redes</v>
      </c>
      <c r="K453" s="10" t="s">
        <v>516</v>
      </c>
    </row>
    <row r="454" spans="1:11" x14ac:dyDescent="0.2">
      <c r="A454" s="10">
        <v>453</v>
      </c>
      <c r="B454" s="10" t="s">
        <v>1025</v>
      </c>
      <c r="C454" s="11" t="s">
        <v>1024</v>
      </c>
      <c r="D454" s="10" t="s">
        <v>4419</v>
      </c>
      <c r="E454" s="10" t="s">
        <v>5445</v>
      </c>
      <c r="F454" s="11" t="s">
        <v>5446</v>
      </c>
      <c r="G454" s="10" t="s">
        <v>13</v>
      </c>
      <c r="H454" s="12">
        <v>46262</v>
      </c>
      <c r="I454" s="10" t="s">
        <v>1010</v>
      </c>
      <c r="J454" s="10" t="str">
        <f>IFERROR(INDEX([1]Programas!$B$2:$B$50,MATCH(LEFT(I454,3),[1]Programas!$A$2:$A$50,0)),"")</f>
        <v>Cloud Computing, Redes</v>
      </c>
      <c r="K454" s="10" t="s">
        <v>516</v>
      </c>
    </row>
    <row r="455" spans="1:11" x14ac:dyDescent="0.2">
      <c r="A455" s="10">
        <v>454</v>
      </c>
      <c r="B455" s="10" t="s">
        <v>1027</v>
      </c>
      <c r="C455" s="11" t="s">
        <v>1026</v>
      </c>
      <c r="D455" s="10" t="s">
        <v>4453</v>
      </c>
      <c r="E455" s="10" t="s">
        <v>5447</v>
      </c>
      <c r="F455" s="11" t="s">
        <v>5448</v>
      </c>
      <c r="G455" s="10" t="s">
        <v>13</v>
      </c>
      <c r="H455" s="12">
        <v>46262</v>
      </c>
      <c r="I455" s="10" t="s">
        <v>1010</v>
      </c>
      <c r="J455" s="10" t="str">
        <f>IFERROR(INDEX([1]Programas!$B$2:$B$50,MATCH(LEFT(I455,3),[1]Programas!$A$2:$A$50,0)),"")</f>
        <v>Cloud Computing, Redes</v>
      </c>
      <c r="K455" s="10" t="s">
        <v>516</v>
      </c>
    </row>
    <row r="456" spans="1:11" x14ac:dyDescent="0.2">
      <c r="A456" s="10">
        <v>455</v>
      </c>
      <c r="B456" s="10" t="s">
        <v>1029</v>
      </c>
      <c r="C456" s="11" t="s">
        <v>1028</v>
      </c>
      <c r="D456" s="10" t="s">
        <v>4419</v>
      </c>
      <c r="E456" s="10" t="s">
        <v>5449</v>
      </c>
      <c r="F456" s="11" t="s">
        <v>5450</v>
      </c>
      <c r="G456" s="10" t="s">
        <v>13</v>
      </c>
      <c r="H456" s="12">
        <v>46262</v>
      </c>
      <c r="I456" s="10" t="s">
        <v>1010</v>
      </c>
      <c r="J456" s="10" t="str">
        <f>IFERROR(INDEX([1]Programas!$B$2:$B$50,MATCH(LEFT(I456,3),[1]Programas!$A$2:$A$50,0)),"")</f>
        <v>Cloud Computing, Redes</v>
      </c>
      <c r="K456" s="10" t="s">
        <v>516</v>
      </c>
    </row>
    <row r="457" spans="1:11" x14ac:dyDescent="0.2">
      <c r="A457" s="10">
        <v>456</v>
      </c>
      <c r="B457" s="10" t="s">
        <v>1031</v>
      </c>
      <c r="C457" s="11" t="s">
        <v>1030</v>
      </c>
      <c r="D457" s="10" t="s">
        <v>4419</v>
      </c>
      <c r="E457" s="10" t="s">
        <v>5451</v>
      </c>
      <c r="F457" s="11" t="s">
        <v>5452</v>
      </c>
      <c r="G457" s="10" t="s">
        <v>13</v>
      </c>
      <c r="H457" s="12">
        <v>46262</v>
      </c>
      <c r="I457" s="10" t="s">
        <v>1010</v>
      </c>
      <c r="J457" s="10" t="str">
        <f>IFERROR(INDEX([1]Programas!$B$2:$B$50,MATCH(LEFT(I457,3),[1]Programas!$A$2:$A$50,0)),"")</f>
        <v>Cloud Computing, Redes</v>
      </c>
      <c r="K457" s="10" t="s">
        <v>516</v>
      </c>
    </row>
    <row r="458" spans="1:11" x14ac:dyDescent="0.2">
      <c r="A458" s="10">
        <v>457</v>
      </c>
      <c r="B458" s="10" t="s">
        <v>5453</v>
      </c>
      <c r="C458" s="11" t="s">
        <v>1032</v>
      </c>
      <c r="D458" s="10" t="s">
        <v>4419</v>
      </c>
      <c r="E458" s="10" t="s">
        <v>5454</v>
      </c>
      <c r="F458" s="11" t="s">
        <v>5455</v>
      </c>
      <c r="G458" s="10" t="s">
        <v>13</v>
      </c>
      <c r="H458" s="12">
        <v>46262</v>
      </c>
      <c r="I458" s="10" t="s">
        <v>1010</v>
      </c>
      <c r="J458" s="10" t="str">
        <f>IFERROR(INDEX([1]Programas!$B$2:$B$50,MATCH(LEFT(I458,3),[1]Programas!$A$2:$A$50,0)),"")</f>
        <v>Cloud Computing, Redes</v>
      </c>
      <c r="K458" s="10" t="s">
        <v>516</v>
      </c>
    </row>
    <row r="459" spans="1:11" x14ac:dyDescent="0.2">
      <c r="A459" s="10">
        <v>458</v>
      </c>
      <c r="B459" s="10" t="s">
        <v>1035</v>
      </c>
      <c r="C459" s="11" t="s">
        <v>1034</v>
      </c>
      <c r="D459" s="10" t="s">
        <v>4419</v>
      </c>
      <c r="E459" s="10" t="s">
        <v>5456</v>
      </c>
      <c r="F459" s="11" t="s">
        <v>5457</v>
      </c>
      <c r="G459" s="10" t="s">
        <v>13</v>
      </c>
      <c r="H459" s="12">
        <v>46262</v>
      </c>
      <c r="I459" s="10" t="s">
        <v>1010</v>
      </c>
      <c r="J459" s="10" t="str">
        <f>IFERROR(INDEX([1]Programas!$B$2:$B$50,MATCH(LEFT(I459,3),[1]Programas!$A$2:$A$50,0)),"")</f>
        <v>Cloud Computing, Redes</v>
      </c>
      <c r="K459" s="10" t="s">
        <v>516</v>
      </c>
    </row>
    <row r="460" spans="1:11" x14ac:dyDescent="0.2">
      <c r="A460" s="10">
        <v>459</v>
      </c>
      <c r="B460" s="10" t="s">
        <v>1037</v>
      </c>
      <c r="C460" s="11" t="s">
        <v>1036</v>
      </c>
      <c r="D460" s="10" t="s">
        <v>4419</v>
      </c>
      <c r="E460" s="10" t="s">
        <v>5458</v>
      </c>
      <c r="F460" s="11" t="s">
        <v>5459</v>
      </c>
      <c r="G460" s="10" t="s">
        <v>13</v>
      </c>
      <c r="H460" s="12">
        <v>46262</v>
      </c>
      <c r="I460" s="10" t="s">
        <v>1010</v>
      </c>
      <c r="J460" s="10" t="str">
        <f>IFERROR(INDEX([1]Programas!$B$2:$B$50,MATCH(LEFT(I460,3),[1]Programas!$A$2:$A$50,0)),"")</f>
        <v>Cloud Computing, Redes</v>
      </c>
      <c r="K460" s="10" t="s">
        <v>516</v>
      </c>
    </row>
    <row r="461" spans="1:11" x14ac:dyDescent="0.2">
      <c r="A461" s="10">
        <v>460</v>
      </c>
      <c r="B461" s="10" t="s">
        <v>1039</v>
      </c>
      <c r="C461" s="11" t="s">
        <v>1038</v>
      </c>
      <c r="D461" s="10" t="s">
        <v>4419</v>
      </c>
      <c r="E461" s="10" t="s">
        <v>5460</v>
      </c>
      <c r="F461" s="11" t="s">
        <v>5461</v>
      </c>
      <c r="G461" s="10" t="s">
        <v>13</v>
      </c>
      <c r="H461" s="12">
        <v>46262</v>
      </c>
      <c r="I461" s="10" t="s">
        <v>1010</v>
      </c>
      <c r="J461" s="10" t="str">
        <f>IFERROR(INDEX([1]Programas!$B$2:$B$50,MATCH(LEFT(I461,3),[1]Programas!$A$2:$A$50,0)),"")</f>
        <v>Cloud Computing, Redes</v>
      </c>
      <c r="K461" s="10" t="s">
        <v>516</v>
      </c>
    </row>
    <row r="462" spans="1:11" x14ac:dyDescent="0.2">
      <c r="A462" s="10">
        <v>461</v>
      </c>
      <c r="B462" s="10" t="s">
        <v>1041</v>
      </c>
      <c r="C462" s="11" t="s">
        <v>1040</v>
      </c>
      <c r="D462" s="10" t="s">
        <v>4419</v>
      </c>
      <c r="E462" s="10" t="s">
        <v>5462</v>
      </c>
      <c r="F462" s="11" t="s">
        <v>5463</v>
      </c>
      <c r="G462" s="10" t="s">
        <v>13</v>
      </c>
      <c r="H462" s="12">
        <v>46262</v>
      </c>
      <c r="I462" s="10" t="s">
        <v>1010</v>
      </c>
      <c r="J462" s="10" t="str">
        <f>IFERROR(INDEX([1]Programas!$B$2:$B$50,MATCH(LEFT(I462,3),[1]Programas!$A$2:$A$50,0)),"")</f>
        <v>Cloud Computing, Redes</v>
      </c>
      <c r="K462" s="10" t="s">
        <v>516</v>
      </c>
    </row>
    <row r="463" spans="1:11" x14ac:dyDescent="0.2">
      <c r="A463" s="10">
        <v>462</v>
      </c>
      <c r="B463" s="10" t="s">
        <v>5464</v>
      </c>
      <c r="C463" s="11" t="s">
        <v>1042</v>
      </c>
      <c r="D463" s="10" t="s">
        <v>4419</v>
      </c>
      <c r="E463" s="10" t="s">
        <v>5465</v>
      </c>
      <c r="F463" s="11" t="s">
        <v>5466</v>
      </c>
      <c r="G463" s="10" t="s">
        <v>13</v>
      </c>
      <c r="H463" s="12">
        <v>46262</v>
      </c>
      <c r="I463" s="10" t="s">
        <v>1010</v>
      </c>
      <c r="J463" s="10" t="str">
        <f>IFERROR(INDEX([1]Programas!$B$2:$B$50,MATCH(LEFT(I463,3),[1]Programas!$A$2:$A$50,0)),"")</f>
        <v>Cloud Computing, Redes</v>
      </c>
      <c r="K463" s="10" t="s">
        <v>516</v>
      </c>
    </row>
    <row r="464" spans="1:11" x14ac:dyDescent="0.2">
      <c r="A464" s="10">
        <v>463</v>
      </c>
      <c r="B464" s="10" t="s">
        <v>5467</v>
      </c>
      <c r="C464" s="11" t="s">
        <v>1044</v>
      </c>
      <c r="D464" s="10" t="s">
        <v>4419</v>
      </c>
      <c r="E464" s="10" t="s">
        <v>5468</v>
      </c>
      <c r="F464" s="11" t="s">
        <v>5469</v>
      </c>
      <c r="G464" s="10" t="s">
        <v>13</v>
      </c>
      <c r="H464" s="12">
        <v>46262</v>
      </c>
      <c r="I464" s="10" t="s">
        <v>1010</v>
      </c>
      <c r="J464" s="10" t="str">
        <f>IFERROR(INDEX([1]Programas!$B$2:$B$50,MATCH(LEFT(I464,3),[1]Programas!$A$2:$A$50,0)),"")</f>
        <v>Cloud Computing, Redes</v>
      </c>
      <c r="K464" s="10" t="s">
        <v>516</v>
      </c>
    </row>
    <row r="465" spans="1:11" x14ac:dyDescent="0.2">
      <c r="A465" s="10">
        <v>464</v>
      </c>
      <c r="B465" s="10" t="s">
        <v>1047</v>
      </c>
      <c r="C465" s="11" t="s">
        <v>1046</v>
      </c>
      <c r="D465" s="10" t="s">
        <v>4419</v>
      </c>
      <c r="E465" s="10" t="s">
        <v>5470</v>
      </c>
      <c r="F465" s="11" t="s">
        <v>5471</v>
      </c>
      <c r="G465" s="10" t="s">
        <v>13</v>
      </c>
      <c r="H465" s="12">
        <v>46262</v>
      </c>
      <c r="I465" s="10" t="s">
        <v>1010</v>
      </c>
      <c r="J465" s="10" t="str">
        <f>IFERROR(INDEX([1]Programas!$B$2:$B$50,MATCH(LEFT(I465,3),[1]Programas!$A$2:$A$50,0)),"")</f>
        <v>Cloud Computing, Redes</v>
      </c>
      <c r="K465" s="10" t="s">
        <v>516</v>
      </c>
    </row>
    <row r="466" spans="1:11" x14ac:dyDescent="0.2">
      <c r="A466" s="10">
        <v>465</v>
      </c>
      <c r="B466" s="10" t="s">
        <v>1049</v>
      </c>
      <c r="C466" s="11" t="s">
        <v>1048</v>
      </c>
      <c r="D466" s="10" t="s">
        <v>4419</v>
      </c>
      <c r="E466" s="10" t="s">
        <v>5472</v>
      </c>
      <c r="F466" s="11" t="s">
        <v>5473</v>
      </c>
      <c r="G466" s="10" t="s">
        <v>13</v>
      </c>
      <c r="H466" s="12">
        <v>46262</v>
      </c>
      <c r="I466" s="10" t="s">
        <v>1010</v>
      </c>
      <c r="J466" s="10" t="str">
        <f>IFERROR(INDEX([1]Programas!$B$2:$B$50,MATCH(LEFT(I466,3),[1]Programas!$A$2:$A$50,0)),"")</f>
        <v>Cloud Computing, Redes</v>
      </c>
      <c r="K466" s="10" t="s">
        <v>516</v>
      </c>
    </row>
    <row r="467" spans="1:11" x14ac:dyDescent="0.2">
      <c r="A467" s="10">
        <v>466</v>
      </c>
      <c r="B467" s="10" t="s">
        <v>1051</v>
      </c>
      <c r="C467" s="11" t="s">
        <v>1050</v>
      </c>
      <c r="D467" s="10" t="s">
        <v>4419</v>
      </c>
      <c r="E467" s="10" t="s">
        <v>5474</v>
      </c>
      <c r="F467" s="11" t="s">
        <v>5475</v>
      </c>
      <c r="G467" s="10" t="s">
        <v>13</v>
      </c>
      <c r="H467" s="12">
        <v>46262</v>
      </c>
      <c r="I467" s="10" t="s">
        <v>1010</v>
      </c>
      <c r="J467" s="10" t="str">
        <f>IFERROR(INDEX([1]Programas!$B$2:$B$50,MATCH(LEFT(I467,3),[1]Programas!$A$2:$A$50,0)),"")</f>
        <v>Cloud Computing, Redes</v>
      </c>
      <c r="K467" s="10" t="s">
        <v>516</v>
      </c>
    </row>
    <row r="468" spans="1:11" x14ac:dyDescent="0.2">
      <c r="A468" s="10">
        <v>467</v>
      </c>
      <c r="B468" s="10" t="s">
        <v>1055</v>
      </c>
      <c r="C468" s="11" t="s">
        <v>1054</v>
      </c>
      <c r="D468" s="10" t="s">
        <v>4419</v>
      </c>
      <c r="E468" s="10" t="s">
        <v>5476</v>
      </c>
      <c r="F468" s="11" t="s">
        <v>5477</v>
      </c>
      <c r="G468" s="10" t="s">
        <v>13</v>
      </c>
      <c r="H468" s="12">
        <v>46262</v>
      </c>
      <c r="I468" s="10" t="s">
        <v>1010</v>
      </c>
      <c r="J468" s="10" t="str">
        <f>IFERROR(INDEX([1]Programas!$B$2:$B$50,MATCH(LEFT(I468,3),[1]Programas!$A$2:$A$50,0)),"")</f>
        <v>Cloud Computing, Redes</v>
      </c>
      <c r="K468" s="10" t="s">
        <v>516</v>
      </c>
    </row>
    <row r="469" spans="1:11" x14ac:dyDescent="0.2">
      <c r="A469" s="10">
        <v>468</v>
      </c>
      <c r="B469" s="10" t="s">
        <v>1057</v>
      </c>
      <c r="C469" s="11" t="s">
        <v>1056</v>
      </c>
      <c r="D469" s="10" t="s">
        <v>4419</v>
      </c>
      <c r="E469" s="10" t="s">
        <v>5478</v>
      </c>
      <c r="F469" s="11" t="s">
        <v>5479</v>
      </c>
      <c r="G469" s="10" t="s">
        <v>13</v>
      </c>
      <c r="H469" s="12">
        <v>46262</v>
      </c>
      <c r="I469" s="10" t="s">
        <v>1010</v>
      </c>
      <c r="J469" s="10" t="str">
        <f>IFERROR(INDEX([1]Programas!$B$2:$B$50,MATCH(LEFT(I469,3),[1]Programas!$A$2:$A$50,0)),"")</f>
        <v>Cloud Computing, Redes</v>
      </c>
      <c r="K469" s="10" t="s">
        <v>516</v>
      </c>
    </row>
    <row r="470" spans="1:11" x14ac:dyDescent="0.2">
      <c r="A470" s="10">
        <v>469</v>
      </c>
      <c r="B470" s="10" t="s">
        <v>5480</v>
      </c>
      <c r="C470" s="11" t="s">
        <v>1058</v>
      </c>
      <c r="D470" s="10" t="s">
        <v>4419</v>
      </c>
      <c r="E470" s="10" t="s">
        <v>5481</v>
      </c>
      <c r="F470" s="11" t="s">
        <v>5482</v>
      </c>
      <c r="G470" s="10" t="s">
        <v>13</v>
      </c>
      <c r="H470" s="12">
        <v>46262</v>
      </c>
      <c r="I470" s="10" t="s">
        <v>1010</v>
      </c>
      <c r="J470" s="10" t="str">
        <f>IFERROR(INDEX([1]Programas!$B$2:$B$50,MATCH(LEFT(I470,3),[1]Programas!$A$2:$A$50,0)),"")</f>
        <v>Cloud Computing, Redes</v>
      </c>
      <c r="K470" s="10" t="s">
        <v>516</v>
      </c>
    </row>
    <row r="471" spans="1:11" x14ac:dyDescent="0.2">
      <c r="A471" s="10">
        <v>470</v>
      </c>
      <c r="B471" s="10" t="s">
        <v>1061</v>
      </c>
      <c r="C471" s="11" t="s">
        <v>1060</v>
      </c>
      <c r="D471" s="10" t="s">
        <v>4419</v>
      </c>
      <c r="E471" s="10" t="s">
        <v>5483</v>
      </c>
      <c r="F471" s="11" t="s">
        <v>5484</v>
      </c>
      <c r="G471" s="10" t="s">
        <v>13</v>
      </c>
      <c r="H471" s="12">
        <v>46262</v>
      </c>
      <c r="I471" s="10" t="s">
        <v>1010</v>
      </c>
      <c r="J471" s="10" t="str">
        <f>IFERROR(INDEX([1]Programas!$B$2:$B$50,MATCH(LEFT(I471,3),[1]Programas!$A$2:$A$50,0)),"")</f>
        <v>Cloud Computing, Redes</v>
      </c>
      <c r="K471" s="10" t="s">
        <v>516</v>
      </c>
    </row>
    <row r="472" spans="1:11" x14ac:dyDescent="0.2">
      <c r="A472" s="10">
        <v>471</v>
      </c>
      <c r="B472" s="10" t="s">
        <v>5485</v>
      </c>
      <c r="C472" s="11" t="s">
        <v>1062</v>
      </c>
      <c r="D472" s="10" t="s">
        <v>4419</v>
      </c>
      <c r="E472" s="10" t="s">
        <v>5486</v>
      </c>
      <c r="F472" s="11" t="s">
        <v>5487</v>
      </c>
      <c r="G472" s="10" t="s">
        <v>13</v>
      </c>
      <c r="H472" s="12">
        <v>46262</v>
      </c>
      <c r="I472" s="10" t="s">
        <v>1010</v>
      </c>
      <c r="J472" s="10" t="str">
        <f>IFERROR(INDEX([1]Programas!$B$2:$B$50,MATCH(LEFT(I472,3),[1]Programas!$A$2:$A$50,0)),"")</f>
        <v>Cloud Computing, Redes</v>
      </c>
      <c r="K472" s="10" t="s">
        <v>516</v>
      </c>
    </row>
    <row r="473" spans="1:11" x14ac:dyDescent="0.2">
      <c r="A473" s="10">
        <v>472</v>
      </c>
      <c r="B473" s="10" t="s">
        <v>1065</v>
      </c>
      <c r="C473" s="11" t="s">
        <v>1064</v>
      </c>
      <c r="D473" s="10" t="s">
        <v>4419</v>
      </c>
      <c r="E473" s="10" t="s">
        <v>5488</v>
      </c>
      <c r="F473" s="11" t="s">
        <v>5489</v>
      </c>
      <c r="G473" s="10" t="s">
        <v>13</v>
      </c>
      <c r="H473" s="12">
        <v>46262</v>
      </c>
      <c r="I473" s="10" t="s">
        <v>1010</v>
      </c>
      <c r="J473" s="10" t="str">
        <f>IFERROR(INDEX([1]Programas!$B$2:$B$50,MATCH(LEFT(I473,3),[1]Programas!$A$2:$A$50,0)),"")</f>
        <v>Cloud Computing, Redes</v>
      </c>
      <c r="K473" s="10" t="s">
        <v>516</v>
      </c>
    </row>
    <row r="474" spans="1:11" x14ac:dyDescent="0.2">
      <c r="A474" s="10">
        <v>473</v>
      </c>
      <c r="B474" s="10" t="s">
        <v>1068</v>
      </c>
      <c r="C474" s="11" t="s">
        <v>1067</v>
      </c>
      <c r="D474" s="10" t="s">
        <v>4419</v>
      </c>
      <c r="E474" s="10" t="s">
        <v>5490</v>
      </c>
      <c r="F474" s="11" t="s">
        <v>5491</v>
      </c>
      <c r="G474" s="10" t="s">
        <v>13</v>
      </c>
      <c r="H474" s="12">
        <v>46263</v>
      </c>
      <c r="I474" s="10" t="s">
        <v>1010</v>
      </c>
      <c r="J474" s="10" t="str">
        <f>IFERROR(INDEX([1]Programas!$B$2:$B$50,MATCH(LEFT(I474,3),[1]Programas!$A$2:$A$50,0)),"")</f>
        <v>Cloud Computing, Redes</v>
      </c>
      <c r="K474" s="10" t="s">
        <v>516</v>
      </c>
    </row>
    <row r="475" spans="1:11" x14ac:dyDescent="0.2">
      <c r="A475" s="10">
        <v>474</v>
      </c>
      <c r="B475" s="10" t="s">
        <v>1070</v>
      </c>
      <c r="C475" s="11" t="s">
        <v>1069</v>
      </c>
      <c r="D475" s="10" t="s">
        <v>4419</v>
      </c>
      <c r="E475" s="10" t="s">
        <v>5492</v>
      </c>
      <c r="F475" s="11" t="s">
        <v>5493</v>
      </c>
      <c r="G475" s="10" t="s">
        <v>13</v>
      </c>
      <c r="H475" s="12">
        <v>46263</v>
      </c>
      <c r="I475" s="10" t="s">
        <v>1010</v>
      </c>
      <c r="J475" s="10" t="str">
        <f>IFERROR(INDEX([1]Programas!$B$2:$B$50,MATCH(LEFT(I475,3),[1]Programas!$A$2:$A$50,0)),"")</f>
        <v>Cloud Computing, Redes</v>
      </c>
      <c r="K475" s="10" t="s">
        <v>516</v>
      </c>
    </row>
    <row r="476" spans="1:11" x14ac:dyDescent="0.2">
      <c r="A476" s="10">
        <v>475</v>
      </c>
      <c r="B476" s="10" t="s">
        <v>1072</v>
      </c>
      <c r="C476" s="11" t="s">
        <v>1071</v>
      </c>
      <c r="D476" s="10" t="s">
        <v>4419</v>
      </c>
      <c r="E476" s="10" t="s">
        <v>5494</v>
      </c>
      <c r="F476" s="11" t="s">
        <v>5495</v>
      </c>
      <c r="G476" s="10" t="s">
        <v>13</v>
      </c>
      <c r="H476" s="12">
        <v>46265</v>
      </c>
      <c r="I476" s="10" t="s">
        <v>1010</v>
      </c>
      <c r="J476" s="10" t="str">
        <f>IFERROR(INDEX([1]Programas!$B$2:$B$50,MATCH(LEFT(I476,3),[1]Programas!$A$2:$A$50,0)),"")</f>
        <v>Cloud Computing, Redes</v>
      </c>
      <c r="K476" s="10" t="s">
        <v>516</v>
      </c>
    </row>
    <row r="477" spans="1:11" x14ac:dyDescent="0.2">
      <c r="A477" s="10">
        <v>476</v>
      </c>
      <c r="B477" s="10" t="s">
        <v>1074</v>
      </c>
      <c r="C477" s="11" t="s">
        <v>1073</v>
      </c>
      <c r="D477" s="10" t="s">
        <v>4419</v>
      </c>
      <c r="E477" s="10" t="s">
        <v>5496</v>
      </c>
      <c r="F477" s="11" t="s">
        <v>5497</v>
      </c>
      <c r="G477" s="10" t="s">
        <v>13</v>
      </c>
      <c r="H477" s="12">
        <v>46262</v>
      </c>
      <c r="I477" s="10" t="s">
        <v>1076</v>
      </c>
      <c r="J477" s="10" t="str">
        <f>IFERROR(INDEX([1]Programas!$B$2:$B$50,MATCH(LEFT(I477,3),[1]Programas!$A$2:$A$50,0)),"")</f>
        <v>Cloud Computing, Redes</v>
      </c>
      <c r="K477" s="10" t="s">
        <v>649</v>
      </c>
    </row>
    <row r="478" spans="1:11" x14ac:dyDescent="0.2">
      <c r="A478" s="10">
        <v>477</v>
      </c>
      <c r="B478" s="10" t="s">
        <v>1079</v>
      </c>
      <c r="C478" s="11" t="s">
        <v>1078</v>
      </c>
      <c r="D478" s="10" t="s">
        <v>4419</v>
      </c>
      <c r="E478" s="10" t="s">
        <v>5498</v>
      </c>
      <c r="F478" s="11" t="s">
        <v>5499</v>
      </c>
      <c r="G478" s="10" t="s">
        <v>13</v>
      </c>
      <c r="H478" s="12">
        <v>46262</v>
      </c>
      <c r="I478" s="10" t="s">
        <v>1076</v>
      </c>
      <c r="J478" s="10" t="str">
        <f>IFERROR(INDEX([1]Programas!$B$2:$B$50,MATCH(LEFT(I478,3),[1]Programas!$A$2:$A$50,0)),"")</f>
        <v>Cloud Computing, Redes</v>
      </c>
      <c r="K478" s="10" t="s">
        <v>649</v>
      </c>
    </row>
    <row r="479" spans="1:11" x14ac:dyDescent="0.2">
      <c r="A479" s="10">
        <v>478</v>
      </c>
      <c r="B479" s="10" t="s">
        <v>1081</v>
      </c>
      <c r="C479" s="11" t="s">
        <v>1080</v>
      </c>
      <c r="D479" s="10" t="s">
        <v>4419</v>
      </c>
      <c r="E479" s="10" t="s">
        <v>5500</v>
      </c>
      <c r="F479" s="11" t="s">
        <v>5501</v>
      </c>
      <c r="G479" s="10" t="s">
        <v>13</v>
      </c>
      <c r="H479" s="12">
        <v>46262</v>
      </c>
      <c r="I479" s="10" t="s">
        <v>1076</v>
      </c>
      <c r="J479" s="10" t="str">
        <f>IFERROR(INDEX([1]Programas!$B$2:$B$50,MATCH(LEFT(I479,3),[1]Programas!$A$2:$A$50,0)),"")</f>
        <v>Cloud Computing, Redes</v>
      </c>
      <c r="K479" s="10" t="s">
        <v>649</v>
      </c>
    </row>
    <row r="480" spans="1:11" x14ac:dyDescent="0.2">
      <c r="A480" s="10">
        <v>479</v>
      </c>
      <c r="B480" s="10" t="s">
        <v>5502</v>
      </c>
      <c r="C480" s="11" t="s">
        <v>1082</v>
      </c>
      <c r="D480" s="10" t="s">
        <v>4419</v>
      </c>
      <c r="E480" s="10" t="s">
        <v>5503</v>
      </c>
      <c r="F480" s="11" t="s">
        <v>5504</v>
      </c>
      <c r="G480" s="10" t="s">
        <v>13</v>
      </c>
      <c r="H480" s="12">
        <v>46262</v>
      </c>
      <c r="I480" s="10" t="s">
        <v>1076</v>
      </c>
      <c r="J480" s="10" t="str">
        <f>IFERROR(INDEX([1]Programas!$B$2:$B$50,MATCH(LEFT(I480,3),[1]Programas!$A$2:$A$50,0)),"")</f>
        <v>Cloud Computing, Redes</v>
      </c>
      <c r="K480" s="10" t="s">
        <v>649</v>
      </c>
    </row>
    <row r="481" spans="1:11" x14ac:dyDescent="0.2">
      <c r="A481" s="10">
        <v>480</v>
      </c>
      <c r="B481" s="10" t="s">
        <v>1085</v>
      </c>
      <c r="C481" s="11" t="s">
        <v>1084</v>
      </c>
      <c r="D481" s="10" t="s">
        <v>4419</v>
      </c>
      <c r="E481" s="10" t="s">
        <v>5505</v>
      </c>
      <c r="F481" s="11" t="s">
        <v>5506</v>
      </c>
      <c r="G481" s="10" t="s">
        <v>13</v>
      </c>
      <c r="H481" s="12">
        <v>46262</v>
      </c>
      <c r="I481" s="10" t="s">
        <v>1076</v>
      </c>
      <c r="J481" s="10" t="str">
        <f>IFERROR(INDEX([1]Programas!$B$2:$B$50,MATCH(LEFT(I481,3),[1]Programas!$A$2:$A$50,0)),"")</f>
        <v>Cloud Computing, Redes</v>
      </c>
      <c r="K481" s="10" t="s">
        <v>649</v>
      </c>
    </row>
    <row r="482" spans="1:11" x14ac:dyDescent="0.2">
      <c r="A482" s="10">
        <v>481</v>
      </c>
      <c r="B482" s="10" t="s">
        <v>5507</v>
      </c>
      <c r="C482" s="11" t="s">
        <v>1086</v>
      </c>
      <c r="D482" s="10" t="s">
        <v>4419</v>
      </c>
      <c r="E482" s="10" t="s">
        <v>5508</v>
      </c>
      <c r="F482" s="11" t="s">
        <v>5509</v>
      </c>
      <c r="G482" s="10" t="s">
        <v>13</v>
      </c>
      <c r="H482" s="12">
        <v>46262</v>
      </c>
      <c r="I482" s="10" t="s">
        <v>1076</v>
      </c>
      <c r="J482" s="10" t="str">
        <f>IFERROR(INDEX([1]Programas!$B$2:$B$50,MATCH(LEFT(I482,3),[1]Programas!$A$2:$A$50,0)),"")</f>
        <v>Cloud Computing, Redes</v>
      </c>
      <c r="K482" s="10" t="s">
        <v>649</v>
      </c>
    </row>
    <row r="483" spans="1:11" x14ac:dyDescent="0.2">
      <c r="A483" s="10">
        <v>482</v>
      </c>
      <c r="B483" s="10" t="s">
        <v>1089</v>
      </c>
      <c r="C483" s="11" t="s">
        <v>1088</v>
      </c>
      <c r="D483" s="10" t="s">
        <v>4419</v>
      </c>
      <c r="E483" s="10" t="s">
        <v>5510</v>
      </c>
      <c r="F483" s="11" t="s">
        <v>5511</v>
      </c>
      <c r="G483" s="10" t="s">
        <v>13</v>
      </c>
      <c r="H483" s="12">
        <v>46262</v>
      </c>
      <c r="I483" s="10" t="s">
        <v>1076</v>
      </c>
      <c r="J483" s="10" t="str">
        <f>IFERROR(INDEX([1]Programas!$B$2:$B$50,MATCH(LEFT(I483,3),[1]Programas!$A$2:$A$50,0)),"")</f>
        <v>Cloud Computing, Redes</v>
      </c>
      <c r="K483" s="10" t="s">
        <v>649</v>
      </c>
    </row>
    <row r="484" spans="1:11" x14ac:dyDescent="0.2">
      <c r="A484" s="10">
        <v>483</v>
      </c>
      <c r="B484" s="10" t="s">
        <v>5512</v>
      </c>
      <c r="C484" s="11" t="s">
        <v>1090</v>
      </c>
      <c r="D484" s="10" t="s">
        <v>4419</v>
      </c>
      <c r="E484" s="10" t="s">
        <v>5513</v>
      </c>
      <c r="F484" s="11" t="s">
        <v>5514</v>
      </c>
      <c r="G484" s="10" t="s">
        <v>13</v>
      </c>
      <c r="H484" s="12">
        <v>46262</v>
      </c>
      <c r="I484" s="10" t="s">
        <v>1076</v>
      </c>
      <c r="J484" s="10" t="str">
        <f>IFERROR(INDEX([1]Programas!$B$2:$B$50,MATCH(LEFT(I484,3),[1]Programas!$A$2:$A$50,0)),"")</f>
        <v>Cloud Computing, Redes</v>
      </c>
      <c r="K484" s="10" t="s">
        <v>649</v>
      </c>
    </row>
    <row r="485" spans="1:11" x14ac:dyDescent="0.2">
      <c r="A485" s="10">
        <v>484</v>
      </c>
      <c r="B485" s="10" t="s">
        <v>5515</v>
      </c>
      <c r="C485" s="11" t="s">
        <v>1092</v>
      </c>
      <c r="D485" s="10" t="s">
        <v>4419</v>
      </c>
      <c r="E485" s="10" t="s">
        <v>5516</v>
      </c>
      <c r="F485" s="11" t="s">
        <v>5517</v>
      </c>
      <c r="G485" s="10" t="s">
        <v>13</v>
      </c>
      <c r="H485" s="12">
        <v>46262</v>
      </c>
      <c r="I485" s="10" t="s">
        <v>1076</v>
      </c>
      <c r="J485" s="10" t="str">
        <f>IFERROR(INDEX([1]Programas!$B$2:$B$50,MATCH(LEFT(I485,3),[1]Programas!$A$2:$A$50,0)),"")</f>
        <v>Cloud Computing, Redes</v>
      </c>
      <c r="K485" s="10" t="s">
        <v>649</v>
      </c>
    </row>
    <row r="486" spans="1:11" x14ac:dyDescent="0.2">
      <c r="A486" s="10">
        <v>485</v>
      </c>
      <c r="B486" s="10" t="s">
        <v>1095</v>
      </c>
      <c r="C486" s="11" t="s">
        <v>1094</v>
      </c>
      <c r="D486" s="10" t="s">
        <v>4419</v>
      </c>
      <c r="E486" s="10" t="s">
        <v>5518</v>
      </c>
      <c r="F486" s="11" t="s">
        <v>5519</v>
      </c>
      <c r="G486" s="10" t="s">
        <v>13</v>
      </c>
      <c r="H486" s="12">
        <v>46262</v>
      </c>
      <c r="I486" s="10" t="s">
        <v>1076</v>
      </c>
      <c r="J486" s="10" t="str">
        <f>IFERROR(INDEX([1]Programas!$B$2:$B$50,MATCH(LEFT(I486,3),[1]Programas!$A$2:$A$50,0)),"")</f>
        <v>Cloud Computing, Redes</v>
      </c>
      <c r="K486" s="10" t="s">
        <v>649</v>
      </c>
    </row>
    <row r="487" spans="1:11" x14ac:dyDescent="0.2">
      <c r="A487" s="10">
        <v>486</v>
      </c>
      <c r="B487" s="10" t="s">
        <v>1097</v>
      </c>
      <c r="C487" s="11" t="s">
        <v>1096</v>
      </c>
      <c r="D487" s="10" t="s">
        <v>4419</v>
      </c>
      <c r="E487" s="10" t="s">
        <v>5520</v>
      </c>
      <c r="F487" s="11" t="s">
        <v>5521</v>
      </c>
      <c r="G487" s="10" t="s">
        <v>13</v>
      </c>
      <c r="H487" s="12">
        <v>46262</v>
      </c>
      <c r="I487" s="10" t="s">
        <v>1076</v>
      </c>
      <c r="J487" s="10" t="str">
        <f>IFERROR(INDEX([1]Programas!$B$2:$B$50,MATCH(LEFT(I487,3),[1]Programas!$A$2:$A$50,0)),"")</f>
        <v>Cloud Computing, Redes</v>
      </c>
      <c r="K487" s="10" t="s">
        <v>649</v>
      </c>
    </row>
    <row r="488" spans="1:11" x14ac:dyDescent="0.2">
      <c r="A488" s="10">
        <v>487</v>
      </c>
      <c r="B488" s="10" t="s">
        <v>1099</v>
      </c>
      <c r="C488" s="11" t="s">
        <v>1098</v>
      </c>
      <c r="D488" s="10" t="s">
        <v>4419</v>
      </c>
      <c r="E488" s="10" t="s">
        <v>5522</v>
      </c>
      <c r="F488" s="11" t="s">
        <v>5523</v>
      </c>
      <c r="G488" s="10" t="s">
        <v>13</v>
      </c>
      <c r="H488" s="12">
        <v>46262</v>
      </c>
      <c r="I488" s="10" t="s">
        <v>1076</v>
      </c>
      <c r="J488" s="10" t="str">
        <f>IFERROR(INDEX([1]Programas!$B$2:$B$50,MATCH(LEFT(I488,3),[1]Programas!$A$2:$A$50,0)),"")</f>
        <v>Cloud Computing, Redes</v>
      </c>
      <c r="K488" s="10" t="s">
        <v>649</v>
      </c>
    </row>
    <row r="489" spans="1:11" x14ac:dyDescent="0.2">
      <c r="A489" s="10">
        <v>488</v>
      </c>
      <c r="B489" s="10" t="s">
        <v>1101</v>
      </c>
      <c r="C489" s="11" t="s">
        <v>1100</v>
      </c>
      <c r="D489" s="10" t="s">
        <v>4419</v>
      </c>
      <c r="E489" s="10" t="s">
        <v>5524</v>
      </c>
      <c r="F489" s="11" t="s">
        <v>5525</v>
      </c>
      <c r="G489" s="10" t="s">
        <v>13</v>
      </c>
      <c r="H489" s="12">
        <v>46262</v>
      </c>
      <c r="I489" s="10" t="s">
        <v>1076</v>
      </c>
      <c r="J489" s="10" t="str">
        <f>IFERROR(INDEX([1]Programas!$B$2:$B$50,MATCH(LEFT(I489,3),[1]Programas!$A$2:$A$50,0)),"")</f>
        <v>Cloud Computing, Redes</v>
      </c>
      <c r="K489" s="10" t="s">
        <v>649</v>
      </c>
    </row>
    <row r="490" spans="1:11" x14ac:dyDescent="0.2">
      <c r="A490" s="10">
        <v>489</v>
      </c>
      <c r="B490" s="10" t="s">
        <v>5526</v>
      </c>
      <c r="C490" s="11" t="s">
        <v>1102</v>
      </c>
      <c r="D490" s="10" t="s">
        <v>4419</v>
      </c>
      <c r="E490" s="10" t="s">
        <v>5527</v>
      </c>
      <c r="F490" s="11" t="s">
        <v>5528</v>
      </c>
      <c r="G490" s="10" t="s">
        <v>13</v>
      </c>
      <c r="H490" s="12">
        <v>46262</v>
      </c>
      <c r="I490" s="10" t="s">
        <v>1076</v>
      </c>
      <c r="J490" s="10" t="str">
        <f>IFERROR(INDEX([1]Programas!$B$2:$B$50,MATCH(LEFT(I490,3),[1]Programas!$A$2:$A$50,0)),"")</f>
        <v>Cloud Computing, Redes</v>
      </c>
      <c r="K490" s="10" t="s">
        <v>649</v>
      </c>
    </row>
    <row r="491" spans="1:11" x14ac:dyDescent="0.2">
      <c r="A491" s="10">
        <v>490</v>
      </c>
      <c r="B491" s="10" t="s">
        <v>5529</v>
      </c>
      <c r="C491" s="11" t="s">
        <v>1104</v>
      </c>
      <c r="D491" s="10" t="s">
        <v>4419</v>
      </c>
      <c r="E491" s="10" t="s">
        <v>5530</v>
      </c>
      <c r="F491" s="11" t="s">
        <v>5531</v>
      </c>
      <c r="G491" s="10" t="s">
        <v>13</v>
      </c>
      <c r="H491" s="12">
        <v>46262</v>
      </c>
      <c r="I491" s="10" t="s">
        <v>1076</v>
      </c>
      <c r="J491" s="10" t="str">
        <f>IFERROR(INDEX([1]Programas!$B$2:$B$50,MATCH(LEFT(I491,3),[1]Programas!$A$2:$A$50,0)),"")</f>
        <v>Cloud Computing, Redes</v>
      </c>
      <c r="K491" s="10" t="s">
        <v>649</v>
      </c>
    </row>
    <row r="492" spans="1:11" x14ac:dyDescent="0.2">
      <c r="A492" s="10">
        <v>491</v>
      </c>
      <c r="B492" s="10" t="s">
        <v>1107</v>
      </c>
      <c r="C492" s="11" t="s">
        <v>1106</v>
      </c>
      <c r="D492" s="10" t="s">
        <v>4419</v>
      </c>
      <c r="E492" s="10" t="s">
        <v>5532</v>
      </c>
      <c r="F492" s="11" t="s">
        <v>5533</v>
      </c>
      <c r="G492" s="10" t="s">
        <v>13</v>
      </c>
      <c r="H492" s="12">
        <v>46262</v>
      </c>
      <c r="I492" s="10" t="s">
        <v>1076</v>
      </c>
      <c r="J492" s="10" t="str">
        <f>IFERROR(INDEX([1]Programas!$B$2:$B$50,MATCH(LEFT(I492,3),[1]Programas!$A$2:$A$50,0)),"")</f>
        <v>Cloud Computing, Redes</v>
      </c>
      <c r="K492" s="10" t="s">
        <v>649</v>
      </c>
    </row>
    <row r="493" spans="1:11" x14ac:dyDescent="0.2">
      <c r="A493" s="10">
        <v>492</v>
      </c>
      <c r="B493" s="10" t="s">
        <v>5534</v>
      </c>
      <c r="C493" s="11" t="s">
        <v>1108</v>
      </c>
      <c r="D493" s="10" t="s">
        <v>4419</v>
      </c>
      <c r="E493" s="10" t="s">
        <v>5535</v>
      </c>
      <c r="F493" s="11" t="s">
        <v>5536</v>
      </c>
      <c r="G493" s="10" t="s">
        <v>13</v>
      </c>
      <c r="H493" s="12">
        <v>46262</v>
      </c>
      <c r="I493" s="10" t="s">
        <v>1076</v>
      </c>
      <c r="J493" s="10" t="str">
        <f>IFERROR(INDEX([1]Programas!$B$2:$B$50,MATCH(LEFT(I493,3),[1]Programas!$A$2:$A$50,0)),"")</f>
        <v>Cloud Computing, Redes</v>
      </c>
      <c r="K493" s="10" t="s">
        <v>649</v>
      </c>
    </row>
    <row r="494" spans="1:11" x14ac:dyDescent="0.2">
      <c r="A494" s="10">
        <v>493</v>
      </c>
      <c r="B494" s="10" t="s">
        <v>5537</v>
      </c>
      <c r="C494" s="11" t="s">
        <v>1110</v>
      </c>
      <c r="D494" s="10" t="s">
        <v>4419</v>
      </c>
      <c r="E494" s="10" t="s">
        <v>5538</v>
      </c>
      <c r="F494" s="11" t="s">
        <v>5539</v>
      </c>
      <c r="G494" s="10" t="s">
        <v>13</v>
      </c>
      <c r="H494" s="12">
        <v>46262</v>
      </c>
      <c r="I494" s="10" t="s">
        <v>1076</v>
      </c>
      <c r="J494" s="10" t="str">
        <f>IFERROR(INDEX([1]Programas!$B$2:$B$50,MATCH(LEFT(I494,3),[1]Programas!$A$2:$A$50,0)),"")</f>
        <v>Cloud Computing, Redes</v>
      </c>
      <c r="K494" s="10" t="s">
        <v>649</v>
      </c>
    </row>
    <row r="495" spans="1:11" x14ac:dyDescent="0.2">
      <c r="A495" s="10">
        <v>494</v>
      </c>
      <c r="B495" s="10" t="s">
        <v>1113</v>
      </c>
      <c r="C495" s="11" t="s">
        <v>1112</v>
      </c>
      <c r="D495" s="10" t="s">
        <v>4453</v>
      </c>
      <c r="E495" s="10" t="s">
        <v>5540</v>
      </c>
      <c r="F495" s="11" t="s">
        <v>5541</v>
      </c>
      <c r="G495" s="10" t="s">
        <v>13</v>
      </c>
      <c r="H495" s="12">
        <v>46262</v>
      </c>
      <c r="I495" s="10" t="s">
        <v>1076</v>
      </c>
      <c r="J495" s="10" t="str">
        <f>IFERROR(INDEX([1]Programas!$B$2:$B$50,MATCH(LEFT(I495,3),[1]Programas!$A$2:$A$50,0)),"")</f>
        <v>Cloud Computing, Redes</v>
      </c>
      <c r="K495" s="10" t="s">
        <v>649</v>
      </c>
    </row>
    <row r="496" spans="1:11" x14ac:dyDescent="0.2">
      <c r="A496" s="10">
        <v>495</v>
      </c>
      <c r="B496" s="10" t="s">
        <v>1115</v>
      </c>
      <c r="C496" s="11" t="s">
        <v>1114</v>
      </c>
      <c r="D496" s="10" t="s">
        <v>4419</v>
      </c>
      <c r="E496" s="10" t="s">
        <v>5542</v>
      </c>
      <c r="F496" s="11" t="s">
        <v>5543</v>
      </c>
      <c r="G496" s="10" t="s">
        <v>13</v>
      </c>
      <c r="H496" s="12">
        <v>46262</v>
      </c>
      <c r="I496" s="10" t="s">
        <v>1076</v>
      </c>
      <c r="J496" s="10" t="str">
        <f>IFERROR(INDEX([1]Programas!$B$2:$B$50,MATCH(LEFT(I496,3),[1]Programas!$A$2:$A$50,0)),"")</f>
        <v>Cloud Computing, Redes</v>
      </c>
      <c r="K496" s="10" t="s">
        <v>649</v>
      </c>
    </row>
    <row r="497" spans="1:11" x14ac:dyDescent="0.2">
      <c r="A497" s="10">
        <v>496</v>
      </c>
      <c r="B497" s="10" t="s">
        <v>1117</v>
      </c>
      <c r="C497" s="11" t="s">
        <v>1116</v>
      </c>
      <c r="D497" s="10" t="s">
        <v>4419</v>
      </c>
      <c r="E497" s="10" t="s">
        <v>5544</v>
      </c>
      <c r="F497" s="11" t="s">
        <v>5545</v>
      </c>
      <c r="G497" s="10" t="s">
        <v>13</v>
      </c>
      <c r="H497" s="12">
        <v>46262</v>
      </c>
      <c r="I497" s="10" t="s">
        <v>1076</v>
      </c>
      <c r="J497" s="10" t="str">
        <f>IFERROR(INDEX([1]Programas!$B$2:$B$50,MATCH(LEFT(I497,3),[1]Programas!$A$2:$A$50,0)),"")</f>
        <v>Cloud Computing, Redes</v>
      </c>
      <c r="K497" s="10" t="s">
        <v>649</v>
      </c>
    </row>
    <row r="498" spans="1:11" x14ac:dyDescent="0.2">
      <c r="A498" s="10">
        <v>497</v>
      </c>
      <c r="B498" s="10" t="s">
        <v>5546</v>
      </c>
      <c r="C498" s="11" t="s">
        <v>1118</v>
      </c>
      <c r="D498" s="10" t="s">
        <v>4419</v>
      </c>
      <c r="E498" s="10" t="s">
        <v>5547</v>
      </c>
      <c r="F498" s="11" t="s">
        <v>5548</v>
      </c>
      <c r="G498" s="10" t="s">
        <v>13</v>
      </c>
      <c r="H498" s="12">
        <v>46262</v>
      </c>
      <c r="I498" s="10" t="s">
        <v>1076</v>
      </c>
      <c r="J498" s="10" t="str">
        <f>IFERROR(INDEX([1]Programas!$B$2:$B$50,MATCH(LEFT(I498,3),[1]Programas!$A$2:$A$50,0)),"")</f>
        <v>Cloud Computing, Redes</v>
      </c>
      <c r="K498" s="10" t="s">
        <v>649</v>
      </c>
    </row>
    <row r="499" spans="1:11" x14ac:dyDescent="0.2">
      <c r="A499" s="10">
        <v>498</v>
      </c>
      <c r="B499" s="10" t="s">
        <v>5549</v>
      </c>
      <c r="C499" s="11" t="s">
        <v>1120</v>
      </c>
      <c r="D499" s="10" t="s">
        <v>4453</v>
      </c>
      <c r="E499" s="10" t="s">
        <v>5550</v>
      </c>
      <c r="F499" s="11" t="s">
        <v>5551</v>
      </c>
      <c r="G499" s="10" t="s">
        <v>13</v>
      </c>
      <c r="H499" s="12">
        <v>46263</v>
      </c>
      <c r="I499" s="10" t="s">
        <v>1076</v>
      </c>
      <c r="J499" s="10" t="str">
        <f>IFERROR(INDEX([1]Programas!$B$2:$B$50,MATCH(LEFT(I499,3),[1]Programas!$A$2:$A$50,0)),"")</f>
        <v>Cloud Computing, Redes</v>
      </c>
      <c r="K499" s="10" t="s">
        <v>649</v>
      </c>
    </row>
    <row r="500" spans="1:11" x14ac:dyDescent="0.2">
      <c r="A500" s="10">
        <v>499</v>
      </c>
      <c r="B500" s="10" t="s">
        <v>1123</v>
      </c>
      <c r="C500" s="11" t="s">
        <v>1122</v>
      </c>
      <c r="D500" s="10" t="s">
        <v>4419</v>
      </c>
      <c r="E500" s="10" t="s">
        <v>5552</v>
      </c>
      <c r="F500" s="11" t="s">
        <v>5553</v>
      </c>
      <c r="G500" s="10" t="s">
        <v>13</v>
      </c>
      <c r="H500" s="12">
        <v>46263</v>
      </c>
      <c r="I500" s="10" t="s">
        <v>1076</v>
      </c>
      <c r="J500" s="10" t="str">
        <f>IFERROR(INDEX([1]Programas!$B$2:$B$50,MATCH(LEFT(I500,3),[1]Programas!$A$2:$A$50,0)),"")</f>
        <v>Cloud Computing, Redes</v>
      </c>
      <c r="K500" s="10" t="s">
        <v>649</v>
      </c>
    </row>
    <row r="501" spans="1:11" x14ac:dyDescent="0.2">
      <c r="A501" s="10">
        <v>500</v>
      </c>
      <c r="B501" s="10" t="s">
        <v>1125</v>
      </c>
      <c r="C501" s="11" t="s">
        <v>1124</v>
      </c>
      <c r="D501" s="10" t="s">
        <v>4419</v>
      </c>
      <c r="E501" s="10" t="s">
        <v>5554</v>
      </c>
      <c r="F501" s="11" t="s">
        <v>5555</v>
      </c>
      <c r="G501" s="10" t="s">
        <v>13</v>
      </c>
      <c r="H501" s="12">
        <v>46263</v>
      </c>
      <c r="I501" s="10" t="s">
        <v>1076</v>
      </c>
      <c r="J501" s="10" t="str">
        <f>IFERROR(INDEX([1]Programas!$B$2:$B$50,MATCH(LEFT(I501,3),[1]Programas!$A$2:$A$50,0)),"")</f>
        <v>Cloud Computing, Redes</v>
      </c>
      <c r="K501" s="10" t="s">
        <v>649</v>
      </c>
    </row>
    <row r="502" spans="1:11" x14ac:dyDescent="0.2">
      <c r="A502" s="10">
        <v>501</v>
      </c>
      <c r="B502" s="10" t="s">
        <v>1127</v>
      </c>
      <c r="C502" s="11" t="s">
        <v>1126</v>
      </c>
      <c r="D502" s="10" t="s">
        <v>4419</v>
      </c>
      <c r="E502" s="10" t="s">
        <v>5556</v>
      </c>
      <c r="F502" s="11" t="s">
        <v>5557</v>
      </c>
      <c r="G502" s="10" t="s">
        <v>13</v>
      </c>
      <c r="H502" s="12">
        <v>46263</v>
      </c>
      <c r="I502" s="10" t="s">
        <v>1076</v>
      </c>
      <c r="J502" s="10" t="str">
        <f>IFERROR(INDEX([1]Programas!$B$2:$B$50,MATCH(LEFT(I502,3),[1]Programas!$A$2:$A$50,0)),"")</f>
        <v>Cloud Computing, Redes</v>
      </c>
      <c r="K502" s="10" t="s">
        <v>649</v>
      </c>
    </row>
    <row r="503" spans="1:11" x14ac:dyDescent="0.2">
      <c r="A503" s="10">
        <v>502</v>
      </c>
      <c r="B503" s="10" t="s">
        <v>1132</v>
      </c>
      <c r="C503" s="11" t="s">
        <v>1131</v>
      </c>
      <c r="D503" s="10" t="s">
        <v>4419</v>
      </c>
      <c r="E503" s="10" t="s">
        <v>5558</v>
      </c>
      <c r="F503" s="11" t="s">
        <v>5559</v>
      </c>
      <c r="G503" s="10" t="s">
        <v>13</v>
      </c>
      <c r="H503" s="12">
        <v>46263</v>
      </c>
      <c r="I503" s="10" t="s">
        <v>1076</v>
      </c>
      <c r="J503" s="10" t="str">
        <f>IFERROR(INDEX([1]Programas!$B$2:$B$50,MATCH(LEFT(I503,3),[1]Programas!$A$2:$A$50,0)),"")</f>
        <v>Cloud Computing, Redes</v>
      </c>
      <c r="K503" s="10" t="s">
        <v>649</v>
      </c>
    </row>
    <row r="504" spans="1:11" x14ac:dyDescent="0.2">
      <c r="A504" s="10">
        <v>503</v>
      </c>
      <c r="B504" s="10" t="s">
        <v>1136</v>
      </c>
      <c r="C504" s="11" t="s">
        <v>1135</v>
      </c>
      <c r="D504" s="10" t="s">
        <v>4453</v>
      </c>
      <c r="E504" s="10" t="s">
        <v>5560</v>
      </c>
      <c r="F504" s="11" t="s">
        <v>5561</v>
      </c>
      <c r="G504" s="10" t="s">
        <v>13</v>
      </c>
      <c r="H504" s="12">
        <v>46265</v>
      </c>
      <c r="I504" s="10" t="s">
        <v>1076</v>
      </c>
      <c r="J504" s="10" t="str">
        <f>IFERROR(INDEX([1]Programas!$B$2:$B$50,MATCH(LEFT(I504,3),[1]Programas!$A$2:$A$50,0)),"")</f>
        <v>Cloud Computing, Redes</v>
      </c>
      <c r="K504" s="10" t="s">
        <v>649</v>
      </c>
    </row>
    <row r="505" spans="1:11" x14ac:dyDescent="0.2">
      <c r="A505" s="10">
        <v>504</v>
      </c>
      <c r="B505" s="10" t="s">
        <v>1138</v>
      </c>
      <c r="C505" s="11" t="s">
        <v>1137</v>
      </c>
      <c r="D505" s="10" t="s">
        <v>4419</v>
      </c>
      <c r="E505" s="10" t="s">
        <v>5562</v>
      </c>
      <c r="F505" s="11" t="s">
        <v>5563</v>
      </c>
      <c r="G505" s="10" t="s">
        <v>13</v>
      </c>
      <c r="H505" s="12">
        <v>46272</v>
      </c>
      <c r="I505" s="10" t="s">
        <v>1076</v>
      </c>
      <c r="J505" s="10" t="str">
        <f>IFERROR(INDEX([1]Programas!$B$2:$B$50,MATCH(LEFT(I505,3),[1]Programas!$A$2:$A$50,0)),"")</f>
        <v>Cloud Computing, Redes</v>
      </c>
      <c r="K505" s="10" t="s">
        <v>649</v>
      </c>
    </row>
    <row r="506" spans="1:11" x14ac:dyDescent="0.2">
      <c r="A506" s="10">
        <v>505</v>
      </c>
      <c r="B506" s="10" t="s">
        <v>1140</v>
      </c>
      <c r="C506" s="11" t="s">
        <v>1139</v>
      </c>
      <c r="D506" s="10" t="s">
        <v>4419</v>
      </c>
      <c r="E506" s="10" t="s">
        <v>5564</v>
      </c>
      <c r="F506" s="11" t="s">
        <v>5565</v>
      </c>
      <c r="G506" s="10" t="s">
        <v>13</v>
      </c>
      <c r="H506" s="12">
        <v>46273</v>
      </c>
      <c r="I506" s="10" t="s">
        <v>1076</v>
      </c>
      <c r="J506" s="10" t="str">
        <f>IFERROR(INDEX([1]Programas!$B$2:$B$50,MATCH(LEFT(I506,3),[1]Programas!$A$2:$A$50,0)),"")</f>
        <v>Cloud Computing, Redes</v>
      </c>
      <c r="K506" s="10" t="s">
        <v>649</v>
      </c>
    </row>
    <row r="507" spans="1:11" x14ac:dyDescent="0.2">
      <c r="A507" s="10">
        <v>506</v>
      </c>
      <c r="B507" s="10" t="s">
        <v>5566</v>
      </c>
      <c r="C507" s="11" t="s">
        <v>710</v>
      </c>
      <c r="D507" s="10" t="s">
        <v>4419</v>
      </c>
      <c r="E507" s="10" t="s">
        <v>5567</v>
      </c>
      <c r="F507" s="11" t="s">
        <v>5568</v>
      </c>
      <c r="G507" s="10" t="s">
        <v>13</v>
      </c>
      <c r="H507" s="12">
        <v>46281</v>
      </c>
      <c r="I507" s="10" t="s">
        <v>1076</v>
      </c>
      <c r="J507" s="10" t="str">
        <f>IFERROR(INDEX([1]Programas!$B$2:$B$50,MATCH(LEFT(I507,3),[1]Programas!$A$2:$A$50,0)),"")</f>
        <v>Cloud Computing, Redes</v>
      </c>
      <c r="K507" s="10" t="s">
        <v>649</v>
      </c>
    </row>
    <row r="508" spans="1:11" x14ac:dyDescent="0.2">
      <c r="A508" s="10">
        <v>507</v>
      </c>
      <c r="B508" s="10" t="s">
        <v>3166</v>
      </c>
      <c r="C508" s="11" t="s">
        <v>3165</v>
      </c>
      <c r="D508" s="10" t="s">
        <v>4419</v>
      </c>
      <c r="E508" s="10" t="s">
        <v>5569</v>
      </c>
      <c r="F508" s="11" t="s">
        <v>5570</v>
      </c>
      <c r="G508" s="10" t="s">
        <v>13</v>
      </c>
      <c r="H508" s="12">
        <v>46262</v>
      </c>
      <c r="I508" s="10" t="s">
        <v>3168</v>
      </c>
      <c r="J508" s="10" t="str">
        <f>IFERROR(INDEX([1]Programas!$B$2:$B$50,MATCH(LEFT(I508,3),[1]Programas!$A$2:$A$50,0)),"")</f>
        <v>Creación y Producción</v>
      </c>
      <c r="K508" s="10" t="s">
        <v>1453</v>
      </c>
    </row>
    <row r="509" spans="1:11" x14ac:dyDescent="0.2">
      <c r="A509" s="10">
        <v>508</v>
      </c>
      <c r="B509" s="10" t="s">
        <v>3173</v>
      </c>
      <c r="C509" s="11" t="s">
        <v>3172</v>
      </c>
      <c r="D509" s="10" t="s">
        <v>4419</v>
      </c>
      <c r="E509" s="10" t="s">
        <v>5571</v>
      </c>
      <c r="F509" s="11" t="s">
        <v>5572</v>
      </c>
      <c r="G509" s="10" t="s">
        <v>13</v>
      </c>
      <c r="H509" s="12">
        <v>46262</v>
      </c>
      <c r="I509" s="10" t="s">
        <v>3168</v>
      </c>
      <c r="J509" s="10" t="str">
        <f>IFERROR(INDEX([1]Programas!$B$2:$B$50,MATCH(LEFT(I509,3),[1]Programas!$A$2:$A$50,0)),"")</f>
        <v>Creación y Producción</v>
      </c>
      <c r="K509" s="10" t="s">
        <v>1453</v>
      </c>
    </row>
    <row r="510" spans="1:11" x14ac:dyDescent="0.2">
      <c r="A510" s="10">
        <v>509</v>
      </c>
      <c r="B510" s="10" t="s">
        <v>3176</v>
      </c>
      <c r="C510" s="11" t="s">
        <v>3175</v>
      </c>
      <c r="D510" s="10" t="s">
        <v>4419</v>
      </c>
      <c r="E510" s="10" t="s">
        <v>5573</v>
      </c>
      <c r="F510" s="11" t="s">
        <v>5574</v>
      </c>
      <c r="G510" s="10" t="s">
        <v>13</v>
      </c>
      <c r="H510" s="12">
        <v>46262</v>
      </c>
      <c r="I510" s="10" t="s">
        <v>3168</v>
      </c>
      <c r="J510" s="10" t="str">
        <f>IFERROR(INDEX([1]Programas!$B$2:$B$50,MATCH(LEFT(I510,3),[1]Programas!$A$2:$A$50,0)),"")</f>
        <v>Creación y Producción</v>
      </c>
      <c r="K510" s="10" t="s">
        <v>1453</v>
      </c>
    </row>
    <row r="511" spans="1:11" x14ac:dyDescent="0.2">
      <c r="A511" s="10">
        <v>510</v>
      </c>
      <c r="B511" s="10" t="s">
        <v>5575</v>
      </c>
      <c r="C511" s="11" t="s">
        <v>3177</v>
      </c>
      <c r="D511" s="10" t="s">
        <v>4419</v>
      </c>
      <c r="E511" s="10" t="s">
        <v>5576</v>
      </c>
      <c r="F511" s="11" t="s">
        <v>5577</v>
      </c>
      <c r="G511" s="10" t="s">
        <v>13</v>
      </c>
      <c r="H511" s="12">
        <v>46262</v>
      </c>
      <c r="I511" s="10" t="s">
        <v>3168</v>
      </c>
      <c r="J511" s="10" t="str">
        <f>IFERROR(INDEX([1]Programas!$B$2:$B$50,MATCH(LEFT(I511,3),[1]Programas!$A$2:$A$50,0)),"")</f>
        <v>Creación y Producción</v>
      </c>
      <c r="K511" s="10" t="s">
        <v>1453</v>
      </c>
    </row>
    <row r="512" spans="1:11" x14ac:dyDescent="0.2">
      <c r="A512" s="10">
        <v>511</v>
      </c>
      <c r="B512" s="10" t="s">
        <v>3181</v>
      </c>
      <c r="C512" s="11" t="s">
        <v>3180</v>
      </c>
      <c r="D512" s="10" t="s">
        <v>4419</v>
      </c>
      <c r="E512" s="10" t="s">
        <v>5578</v>
      </c>
      <c r="F512" s="11" t="s">
        <v>5579</v>
      </c>
      <c r="G512" s="10" t="s">
        <v>13</v>
      </c>
      <c r="H512" s="12">
        <v>46262</v>
      </c>
      <c r="I512" s="10" t="s">
        <v>3168</v>
      </c>
      <c r="J512" s="10" t="str">
        <f>IFERROR(INDEX([1]Programas!$B$2:$B$50,MATCH(LEFT(I512,3),[1]Programas!$A$2:$A$50,0)),"")</f>
        <v>Creación y Producción</v>
      </c>
      <c r="K512" s="10" t="s">
        <v>1453</v>
      </c>
    </row>
    <row r="513" spans="1:11" x14ac:dyDescent="0.2">
      <c r="A513" s="10">
        <v>512</v>
      </c>
      <c r="B513" s="10" t="s">
        <v>3185</v>
      </c>
      <c r="C513" s="11" t="s">
        <v>3184</v>
      </c>
      <c r="D513" s="10" t="s">
        <v>4419</v>
      </c>
      <c r="E513" s="10" t="s">
        <v>5580</v>
      </c>
      <c r="F513" s="11" t="s">
        <v>5581</v>
      </c>
      <c r="G513" s="10" t="s">
        <v>13</v>
      </c>
      <c r="H513" s="12">
        <v>46262</v>
      </c>
      <c r="I513" s="10" t="s">
        <v>3168</v>
      </c>
      <c r="J513" s="10" t="str">
        <f>IFERROR(INDEX([1]Programas!$B$2:$B$50,MATCH(LEFT(I513,3),[1]Programas!$A$2:$A$50,0)),"")</f>
        <v>Creación y Producción</v>
      </c>
      <c r="K513" s="10" t="s">
        <v>1453</v>
      </c>
    </row>
    <row r="514" spans="1:11" x14ac:dyDescent="0.2">
      <c r="A514" s="10">
        <v>513</v>
      </c>
      <c r="B514" s="10" t="s">
        <v>5582</v>
      </c>
      <c r="C514" s="11" t="s">
        <v>3186</v>
      </c>
      <c r="D514" s="10" t="s">
        <v>4419</v>
      </c>
      <c r="E514" s="10" t="s">
        <v>5583</v>
      </c>
      <c r="F514" s="11" t="s">
        <v>5584</v>
      </c>
      <c r="G514" s="10" t="s">
        <v>13</v>
      </c>
      <c r="H514" s="12">
        <v>46262</v>
      </c>
      <c r="I514" s="10" t="s">
        <v>3168</v>
      </c>
      <c r="J514" s="10" t="str">
        <f>IFERROR(INDEX([1]Programas!$B$2:$B$50,MATCH(LEFT(I514,3),[1]Programas!$A$2:$A$50,0)),"")</f>
        <v>Creación y Producción</v>
      </c>
      <c r="K514" s="10" t="s">
        <v>1453</v>
      </c>
    </row>
    <row r="515" spans="1:11" x14ac:dyDescent="0.2">
      <c r="A515" s="10">
        <v>514</v>
      </c>
      <c r="B515" s="10" t="s">
        <v>3189</v>
      </c>
      <c r="C515" s="11" t="s">
        <v>3188</v>
      </c>
      <c r="D515" s="10" t="s">
        <v>4419</v>
      </c>
      <c r="E515" s="10" t="s">
        <v>5585</v>
      </c>
      <c r="F515" s="11" t="s">
        <v>5586</v>
      </c>
      <c r="G515" s="10" t="s">
        <v>13</v>
      </c>
      <c r="H515" s="12">
        <v>46262</v>
      </c>
      <c r="I515" s="10" t="s">
        <v>3168</v>
      </c>
      <c r="J515" s="10" t="str">
        <f>IFERROR(INDEX([1]Programas!$B$2:$B$50,MATCH(LEFT(I515,3),[1]Programas!$A$2:$A$50,0)),"")</f>
        <v>Creación y Producción</v>
      </c>
      <c r="K515" s="10" t="s">
        <v>1453</v>
      </c>
    </row>
    <row r="516" spans="1:11" x14ac:dyDescent="0.2">
      <c r="A516" s="10">
        <v>515</v>
      </c>
      <c r="B516" s="10" t="s">
        <v>5587</v>
      </c>
      <c r="C516" s="11" t="s">
        <v>3190</v>
      </c>
      <c r="D516" s="10" t="s">
        <v>4419</v>
      </c>
      <c r="E516" s="10" t="s">
        <v>5588</v>
      </c>
      <c r="F516" s="11" t="s">
        <v>5589</v>
      </c>
      <c r="G516" s="10" t="s">
        <v>13</v>
      </c>
      <c r="H516" s="12">
        <v>46262</v>
      </c>
      <c r="I516" s="10" t="s">
        <v>3168</v>
      </c>
      <c r="J516" s="10" t="str">
        <f>IFERROR(INDEX([1]Programas!$B$2:$B$50,MATCH(LEFT(I516,3),[1]Programas!$A$2:$A$50,0)),"")</f>
        <v>Creación y Producción</v>
      </c>
      <c r="K516" s="10" t="s">
        <v>1453</v>
      </c>
    </row>
    <row r="517" spans="1:11" x14ac:dyDescent="0.2">
      <c r="A517" s="10">
        <v>516</v>
      </c>
      <c r="B517" s="10" t="s">
        <v>5590</v>
      </c>
      <c r="C517" s="11" t="s">
        <v>3192</v>
      </c>
      <c r="D517" s="10" t="s">
        <v>4419</v>
      </c>
      <c r="E517" s="10" t="s">
        <v>5591</v>
      </c>
      <c r="F517" s="11" t="s">
        <v>5592</v>
      </c>
      <c r="G517" s="10" t="s">
        <v>13</v>
      </c>
      <c r="H517" s="12">
        <v>46262</v>
      </c>
      <c r="I517" s="10" t="s">
        <v>3168</v>
      </c>
      <c r="J517" s="10" t="str">
        <f>IFERROR(INDEX([1]Programas!$B$2:$B$50,MATCH(LEFT(I517,3),[1]Programas!$A$2:$A$50,0)),"")</f>
        <v>Creación y Producción</v>
      </c>
      <c r="K517" s="10" t="s">
        <v>1453</v>
      </c>
    </row>
    <row r="518" spans="1:11" x14ac:dyDescent="0.2">
      <c r="A518" s="10">
        <v>517</v>
      </c>
      <c r="B518" s="10" t="s">
        <v>5593</v>
      </c>
      <c r="C518" s="11" t="s">
        <v>3194</v>
      </c>
      <c r="D518" s="10" t="s">
        <v>4419</v>
      </c>
      <c r="E518" s="10" t="s">
        <v>5594</v>
      </c>
      <c r="F518" s="11" t="s">
        <v>5595</v>
      </c>
      <c r="G518" s="10" t="s">
        <v>13</v>
      </c>
      <c r="H518" s="12">
        <v>46262</v>
      </c>
      <c r="I518" s="10" t="s">
        <v>3168</v>
      </c>
      <c r="J518" s="10" t="str">
        <f>IFERROR(INDEX([1]Programas!$B$2:$B$50,MATCH(LEFT(I518,3),[1]Programas!$A$2:$A$50,0)),"")</f>
        <v>Creación y Producción</v>
      </c>
      <c r="K518" s="10" t="s">
        <v>1453</v>
      </c>
    </row>
    <row r="519" spans="1:11" x14ac:dyDescent="0.2">
      <c r="A519" s="10">
        <v>518</v>
      </c>
      <c r="B519" s="10" t="s">
        <v>3197</v>
      </c>
      <c r="C519" s="11" t="s">
        <v>3196</v>
      </c>
      <c r="D519" s="10" t="s">
        <v>4419</v>
      </c>
      <c r="E519" s="10" t="s">
        <v>5596</v>
      </c>
      <c r="F519" s="11" t="s">
        <v>5597</v>
      </c>
      <c r="G519" s="10" t="s">
        <v>13</v>
      </c>
      <c r="H519" s="12">
        <v>46262</v>
      </c>
      <c r="I519" s="10" t="s">
        <v>3168</v>
      </c>
      <c r="J519" s="10" t="str">
        <f>IFERROR(INDEX([1]Programas!$B$2:$B$50,MATCH(LEFT(I519,3),[1]Programas!$A$2:$A$50,0)),"")</f>
        <v>Creación y Producción</v>
      </c>
      <c r="K519" s="10" t="s">
        <v>1453</v>
      </c>
    </row>
    <row r="520" spans="1:11" x14ac:dyDescent="0.2">
      <c r="A520" s="10">
        <v>519</v>
      </c>
      <c r="B520" s="10" t="s">
        <v>5598</v>
      </c>
      <c r="C520" s="11" t="s">
        <v>3198</v>
      </c>
      <c r="D520" s="10" t="s">
        <v>4419</v>
      </c>
      <c r="E520" s="10" t="s">
        <v>5599</v>
      </c>
      <c r="F520" s="11" t="s">
        <v>5600</v>
      </c>
      <c r="G520" s="10" t="s">
        <v>13</v>
      </c>
      <c r="H520" s="12">
        <v>46262</v>
      </c>
      <c r="I520" s="10" t="s">
        <v>3168</v>
      </c>
      <c r="J520" s="10" t="str">
        <f>IFERROR(INDEX([1]Programas!$B$2:$B$50,MATCH(LEFT(I520,3),[1]Programas!$A$2:$A$50,0)),"")</f>
        <v>Creación y Producción</v>
      </c>
      <c r="K520" s="10" t="s">
        <v>1453</v>
      </c>
    </row>
    <row r="521" spans="1:11" x14ac:dyDescent="0.2">
      <c r="A521" s="10">
        <v>520</v>
      </c>
      <c r="B521" s="10" t="s">
        <v>3201</v>
      </c>
      <c r="C521" s="11" t="s">
        <v>3200</v>
      </c>
      <c r="D521" s="10" t="s">
        <v>4419</v>
      </c>
      <c r="E521" s="10" t="s">
        <v>5601</v>
      </c>
      <c r="F521" s="11" t="s">
        <v>5602</v>
      </c>
      <c r="G521" s="10" t="s">
        <v>13</v>
      </c>
      <c r="H521" s="12">
        <v>46262</v>
      </c>
      <c r="I521" s="10" t="s">
        <v>3168</v>
      </c>
      <c r="J521" s="10" t="str">
        <f>IFERROR(INDEX([1]Programas!$B$2:$B$50,MATCH(LEFT(I521,3),[1]Programas!$A$2:$A$50,0)),"")</f>
        <v>Creación y Producción</v>
      </c>
      <c r="K521" s="10" t="s">
        <v>1453</v>
      </c>
    </row>
    <row r="522" spans="1:11" x14ac:dyDescent="0.2">
      <c r="A522" s="10">
        <v>521</v>
      </c>
      <c r="B522" s="10" t="s">
        <v>3205</v>
      </c>
      <c r="C522" s="11" t="s">
        <v>3204</v>
      </c>
      <c r="D522" s="10" t="s">
        <v>4419</v>
      </c>
      <c r="E522" s="10" t="s">
        <v>5603</v>
      </c>
      <c r="F522" s="11" t="s">
        <v>5604</v>
      </c>
      <c r="G522" s="10" t="s">
        <v>13</v>
      </c>
      <c r="H522" s="12">
        <v>46262</v>
      </c>
      <c r="I522" s="10" t="s">
        <v>3168</v>
      </c>
      <c r="J522" s="10" t="str">
        <f>IFERROR(INDEX([1]Programas!$B$2:$B$50,MATCH(LEFT(I522,3),[1]Programas!$A$2:$A$50,0)),"")</f>
        <v>Creación y Producción</v>
      </c>
      <c r="K522" s="10" t="s">
        <v>1453</v>
      </c>
    </row>
    <row r="523" spans="1:11" x14ac:dyDescent="0.2">
      <c r="A523" s="10">
        <v>522</v>
      </c>
      <c r="B523" s="10" t="s">
        <v>3207</v>
      </c>
      <c r="C523" s="11" t="s">
        <v>3206</v>
      </c>
      <c r="D523" s="10" t="s">
        <v>4419</v>
      </c>
      <c r="E523" s="10" t="s">
        <v>5605</v>
      </c>
      <c r="F523" s="11" t="s">
        <v>5606</v>
      </c>
      <c r="G523" s="10" t="s">
        <v>13</v>
      </c>
      <c r="H523" s="12">
        <v>46262</v>
      </c>
      <c r="I523" s="10" t="s">
        <v>3168</v>
      </c>
      <c r="J523" s="10" t="str">
        <f>IFERROR(INDEX([1]Programas!$B$2:$B$50,MATCH(LEFT(I523,3),[1]Programas!$A$2:$A$50,0)),"")</f>
        <v>Creación y Producción</v>
      </c>
      <c r="K523" s="10" t="s">
        <v>1453</v>
      </c>
    </row>
    <row r="524" spans="1:11" x14ac:dyDescent="0.2">
      <c r="A524" s="10">
        <v>523</v>
      </c>
      <c r="B524" s="10" t="s">
        <v>3209</v>
      </c>
      <c r="C524" s="11" t="s">
        <v>3208</v>
      </c>
      <c r="D524" s="10" t="s">
        <v>4419</v>
      </c>
      <c r="E524" s="10" t="s">
        <v>5607</v>
      </c>
      <c r="F524" s="11" t="s">
        <v>5608</v>
      </c>
      <c r="G524" s="10" t="s">
        <v>13</v>
      </c>
      <c r="H524" s="12">
        <v>46262</v>
      </c>
      <c r="I524" s="10" t="s">
        <v>3168</v>
      </c>
      <c r="J524" s="10" t="str">
        <f>IFERROR(INDEX([1]Programas!$B$2:$B$50,MATCH(LEFT(I524,3),[1]Programas!$A$2:$A$50,0)),"")</f>
        <v>Creación y Producción</v>
      </c>
      <c r="K524" s="10" t="s">
        <v>1453</v>
      </c>
    </row>
    <row r="525" spans="1:11" x14ac:dyDescent="0.2">
      <c r="A525" s="10">
        <v>524</v>
      </c>
      <c r="B525" s="10" t="s">
        <v>5609</v>
      </c>
      <c r="C525" s="11" t="s">
        <v>3210</v>
      </c>
      <c r="D525" s="10" t="s">
        <v>4419</v>
      </c>
      <c r="E525" s="10" t="s">
        <v>5610</v>
      </c>
      <c r="F525" s="11" t="s">
        <v>5611</v>
      </c>
      <c r="G525" s="10" t="s">
        <v>13</v>
      </c>
      <c r="H525" s="12">
        <v>46262</v>
      </c>
      <c r="I525" s="10" t="s">
        <v>3168</v>
      </c>
      <c r="J525" s="10" t="str">
        <f>IFERROR(INDEX([1]Programas!$B$2:$B$50,MATCH(LEFT(I525,3),[1]Programas!$A$2:$A$50,0)),"")</f>
        <v>Creación y Producción</v>
      </c>
      <c r="K525" s="10" t="s">
        <v>1453</v>
      </c>
    </row>
    <row r="526" spans="1:11" x14ac:dyDescent="0.2">
      <c r="A526" s="10">
        <v>525</v>
      </c>
      <c r="B526" s="10" t="s">
        <v>5612</v>
      </c>
      <c r="C526" s="11" t="s">
        <v>3212</v>
      </c>
      <c r="D526" s="10" t="s">
        <v>4419</v>
      </c>
      <c r="E526" s="10" t="s">
        <v>5613</v>
      </c>
      <c r="F526" s="11" t="s">
        <v>5614</v>
      </c>
      <c r="G526" s="10" t="s">
        <v>13</v>
      </c>
      <c r="H526" s="12">
        <v>46262</v>
      </c>
      <c r="I526" s="10" t="s">
        <v>3168</v>
      </c>
      <c r="J526" s="10" t="str">
        <f>IFERROR(INDEX([1]Programas!$B$2:$B$50,MATCH(LEFT(I526,3),[1]Programas!$A$2:$A$50,0)),"")</f>
        <v>Creación y Producción</v>
      </c>
      <c r="K526" s="10" t="s">
        <v>1453</v>
      </c>
    </row>
    <row r="527" spans="1:11" x14ac:dyDescent="0.2">
      <c r="A527" s="10">
        <v>526</v>
      </c>
      <c r="B527" s="10" t="s">
        <v>3215</v>
      </c>
      <c r="C527" s="11" t="s">
        <v>3214</v>
      </c>
      <c r="D527" s="10" t="s">
        <v>4419</v>
      </c>
      <c r="E527" s="10" t="s">
        <v>5615</v>
      </c>
      <c r="F527" s="11" t="s">
        <v>5616</v>
      </c>
      <c r="G527" s="10" t="s">
        <v>13</v>
      </c>
      <c r="H527" s="12">
        <v>46262</v>
      </c>
      <c r="I527" s="10" t="s">
        <v>3168</v>
      </c>
      <c r="J527" s="10" t="str">
        <f>IFERROR(INDEX([1]Programas!$B$2:$B$50,MATCH(LEFT(I527,3),[1]Programas!$A$2:$A$50,0)),"")</f>
        <v>Creación y Producción</v>
      </c>
      <c r="K527" s="10" t="s">
        <v>1453</v>
      </c>
    </row>
    <row r="528" spans="1:11" x14ac:dyDescent="0.2">
      <c r="A528" s="10">
        <v>527</v>
      </c>
      <c r="B528" s="10" t="s">
        <v>3217</v>
      </c>
      <c r="C528" s="11" t="s">
        <v>3216</v>
      </c>
      <c r="D528" s="10" t="s">
        <v>4419</v>
      </c>
      <c r="E528" s="10" t="s">
        <v>5617</v>
      </c>
      <c r="F528" s="11" t="s">
        <v>5618</v>
      </c>
      <c r="G528" s="10" t="s">
        <v>13</v>
      </c>
      <c r="H528" s="12">
        <v>46262</v>
      </c>
      <c r="I528" s="10" t="s">
        <v>3168</v>
      </c>
      <c r="J528" s="10" t="str">
        <f>IFERROR(INDEX([1]Programas!$B$2:$B$50,MATCH(LEFT(I528,3),[1]Programas!$A$2:$A$50,0)),"")</f>
        <v>Creación y Producción</v>
      </c>
      <c r="K528" s="10" t="s">
        <v>1453</v>
      </c>
    </row>
    <row r="529" spans="1:11" x14ac:dyDescent="0.2">
      <c r="A529" s="10">
        <v>528</v>
      </c>
      <c r="B529" s="10" t="s">
        <v>5619</v>
      </c>
      <c r="C529" s="11" t="s">
        <v>3218</v>
      </c>
      <c r="D529" s="10" t="s">
        <v>4419</v>
      </c>
      <c r="E529" s="10" t="s">
        <v>5620</v>
      </c>
      <c r="F529" s="11" t="s">
        <v>5621</v>
      </c>
      <c r="G529" s="10" t="s">
        <v>13</v>
      </c>
      <c r="H529" s="12">
        <v>46262</v>
      </c>
      <c r="I529" s="10" t="s">
        <v>3168</v>
      </c>
      <c r="J529" s="10" t="str">
        <f>IFERROR(INDEX([1]Programas!$B$2:$B$50,MATCH(LEFT(I529,3),[1]Programas!$A$2:$A$50,0)),"")</f>
        <v>Creación y Producción</v>
      </c>
      <c r="K529" s="10" t="s">
        <v>1453</v>
      </c>
    </row>
    <row r="530" spans="1:11" x14ac:dyDescent="0.2">
      <c r="A530" s="10">
        <v>529</v>
      </c>
      <c r="B530" s="10" t="s">
        <v>3223</v>
      </c>
      <c r="C530" s="11" t="s">
        <v>3222</v>
      </c>
      <c r="D530" s="10" t="s">
        <v>4419</v>
      </c>
      <c r="E530" s="10" t="s">
        <v>5622</v>
      </c>
      <c r="F530" s="11" t="s">
        <v>5623</v>
      </c>
      <c r="G530" s="10" t="s">
        <v>13</v>
      </c>
      <c r="H530" s="12">
        <v>46262</v>
      </c>
      <c r="I530" s="10" t="s">
        <v>3168</v>
      </c>
      <c r="J530" s="10" t="str">
        <f>IFERROR(INDEX([1]Programas!$B$2:$B$50,MATCH(LEFT(I530,3),[1]Programas!$A$2:$A$50,0)),"")</f>
        <v>Creación y Producción</v>
      </c>
      <c r="K530" s="10" t="s">
        <v>1453</v>
      </c>
    </row>
    <row r="531" spans="1:11" x14ac:dyDescent="0.2">
      <c r="A531" s="10">
        <v>530</v>
      </c>
      <c r="B531" s="10" t="s">
        <v>3225</v>
      </c>
      <c r="C531" s="11" t="s">
        <v>3224</v>
      </c>
      <c r="D531" s="10" t="s">
        <v>4419</v>
      </c>
      <c r="E531" s="10" t="s">
        <v>5624</v>
      </c>
      <c r="F531" s="11" t="s">
        <v>5625</v>
      </c>
      <c r="G531" s="10" t="s">
        <v>13</v>
      </c>
      <c r="H531" s="12">
        <v>46262</v>
      </c>
      <c r="I531" s="10" t="s">
        <v>3168</v>
      </c>
      <c r="J531" s="10" t="str">
        <f>IFERROR(INDEX([1]Programas!$B$2:$B$50,MATCH(LEFT(I531,3),[1]Programas!$A$2:$A$50,0)),"")</f>
        <v>Creación y Producción</v>
      </c>
      <c r="K531" s="10" t="s">
        <v>1453</v>
      </c>
    </row>
    <row r="532" spans="1:11" x14ac:dyDescent="0.2">
      <c r="A532" s="10">
        <v>531</v>
      </c>
      <c r="B532" s="10" t="s">
        <v>3227</v>
      </c>
      <c r="C532" s="11" t="s">
        <v>3226</v>
      </c>
      <c r="D532" s="10" t="s">
        <v>4419</v>
      </c>
      <c r="E532" s="10" t="s">
        <v>5626</v>
      </c>
      <c r="F532" s="11" t="s">
        <v>5627</v>
      </c>
      <c r="G532" s="10" t="s">
        <v>13</v>
      </c>
      <c r="H532" s="12">
        <v>46262</v>
      </c>
      <c r="I532" s="10" t="s">
        <v>3168</v>
      </c>
      <c r="J532" s="10" t="str">
        <f>IFERROR(INDEX([1]Programas!$B$2:$B$50,MATCH(LEFT(I532,3),[1]Programas!$A$2:$A$50,0)),"")</f>
        <v>Creación y Producción</v>
      </c>
      <c r="K532" s="10" t="s">
        <v>1453</v>
      </c>
    </row>
    <row r="533" spans="1:11" x14ac:dyDescent="0.2">
      <c r="A533" s="10">
        <v>532</v>
      </c>
      <c r="B533" s="10" t="s">
        <v>3229</v>
      </c>
      <c r="C533" s="11" t="s">
        <v>3228</v>
      </c>
      <c r="D533" s="10" t="s">
        <v>4419</v>
      </c>
      <c r="E533" s="10" t="s">
        <v>5628</v>
      </c>
      <c r="F533" s="11" t="s">
        <v>5629</v>
      </c>
      <c r="G533" s="10" t="s">
        <v>13</v>
      </c>
      <c r="H533" s="12">
        <v>46262</v>
      </c>
      <c r="I533" s="10" t="s">
        <v>3168</v>
      </c>
      <c r="J533" s="10" t="str">
        <f>IFERROR(INDEX([1]Programas!$B$2:$B$50,MATCH(LEFT(I533,3),[1]Programas!$A$2:$A$50,0)),"")</f>
        <v>Creación y Producción</v>
      </c>
      <c r="K533" s="10" t="s">
        <v>1453</v>
      </c>
    </row>
    <row r="534" spans="1:11" x14ac:dyDescent="0.2">
      <c r="A534" s="10">
        <v>533</v>
      </c>
      <c r="B534" s="10" t="s">
        <v>3233</v>
      </c>
      <c r="C534" s="11" t="s">
        <v>3232</v>
      </c>
      <c r="D534" s="10" t="s">
        <v>4419</v>
      </c>
      <c r="E534" s="10" t="s">
        <v>5630</v>
      </c>
      <c r="F534" s="11" t="s">
        <v>5631</v>
      </c>
      <c r="G534" s="10" t="s">
        <v>13</v>
      </c>
      <c r="H534" s="12">
        <v>46262</v>
      </c>
      <c r="I534" s="10" t="s">
        <v>3168</v>
      </c>
      <c r="J534" s="10" t="str">
        <f>IFERROR(INDEX([1]Programas!$B$2:$B$50,MATCH(LEFT(I534,3),[1]Programas!$A$2:$A$50,0)),"")</f>
        <v>Creación y Producción</v>
      </c>
      <c r="K534" s="10" t="s">
        <v>1453</v>
      </c>
    </row>
    <row r="535" spans="1:11" x14ac:dyDescent="0.2">
      <c r="A535" s="10">
        <v>534</v>
      </c>
      <c r="B535" s="10" t="s">
        <v>5632</v>
      </c>
      <c r="C535" s="11" t="s">
        <v>3234</v>
      </c>
      <c r="D535" s="10" t="s">
        <v>4419</v>
      </c>
      <c r="E535" s="10" t="s">
        <v>5633</v>
      </c>
      <c r="F535" s="11" t="s">
        <v>5634</v>
      </c>
      <c r="G535" s="10" t="s">
        <v>13</v>
      </c>
      <c r="H535" s="12">
        <v>46265</v>
      </c>
      <c r="I535" s="10" t="s">
        <v>3168</v>
      </c>
      <c r="J535" s="10" t="str">
        <f>IFERROR(INDEX([1]Programas!$B$2:$B$50,MATCH(LEFT(I535,3),[1]Programas!$A$2:$A$50,0)),"")</f>
        <v>Creación y Producción</v>
      </c>
      <c r="K535" s="10" t="s">
        <v>1453</v>
      </c>
    </row>
    <row r="536" spans="1:11" x14ac:dyDescent="0.2">
      <c r="A536" s="10">
        <v>535</v>
      </c>
      <c r="B536" s="10" t="s">
        <v>3239</v>
      </c>
      <c r="C536" s="11" t="s">
        <v>3238</v>
      </c>
      <c r="D536" s="10" t="s">
        <v>4419</v>
      </c>
      <c r="E536" s="10" t="s">
        <v>5635</v>
      </c>
      <c r="F536" s="11" t="s">
        <v>5636</v>
      </c>
      <c r="G536" s="10" t="s">
        <v>13</v>
      </c>
      <c r="H536" s="12">
        <v>46265</v>
      </c>
      <c r="I536" s="10" t="s">
        <v>3168</v>
      </c>
      <c r="J536" s="10" t="str">
        <f>IFERROR(INDEX([1]Programas!$B$2:$B$50,MATCH(LEFT(I536,3),[1]Programas!$A$2:$A$50,0)),"")</f>
        <v>Creación y Producción</v>
      </c>
      <c r="K536" s="10" t="s">
        <v>1453</v>
      </c>
    </row>
    <row r="537" spans="1:11" x14ac:dyDescent="0.2">
      <c r="A537" s="10">
        <v>536</v>
      </c>
      <c r="B537" s="10" t="s">
        <v>3082</v>
      </c>
      <c r="C537" s="11" t="s">
        <v>3081</v>
      </c>
      <c r="D537" s="10" t="s">
        <v>4419</v>
      </c>
      <c r="E537" s="10" t="s">
        <v>5637</v>
      </c>
      <c r="F537" s="11" t="s">
        <v>5638</v>
      </c>
      <c r="G537" s="10" t="s">
        <v>13</v>
      </c>
      <c r="H537" s="12">
        <v>46261</v>
      </c>
      <c r="I537" s="10" t="s">
        <v>3241</v>
      </c>
      <c r="J537" s="10" t="str">
        <f>IFERROR(INDEX([1]Programas!$B$2:$B$50,MATCH(LEFT(I537,3),[1]Programas!$A$2:$A$50,0)),"")</f>
        <v>Creación y Producción</v>
      </c>
      <c r="K537" s="10" t="s">
        <v>335</v>
      </c>
    </row>
    <row r="538" spans="1:11" x14ac:dyDescent="0.2">
      <c r="A538" s="10">
        <v>537</v>
      </c>
      <c r="B538" s="10" t="s">
        <v>3244</v>
      </c>
      <c r="C538" s="11" t="s">
        <v>3243</v>
      </c>
      <c r="D538" s="10" t="s">
        <v>4453</v>
      </c>
      <c r="E538" s="10" t="s">
        <v>5639</v>
      </c>
      <c r="F538" s="11" t="s">
        <v>5640</v>
      </c>
      <c r="G538" s="10" t="s">
        <v>13</v>
      </c>
      <c r="H538" s="12">
        <v>46262</v>
      </c>
      <c r="I538" s="10" t="s">
        <v>3241</v>
      </c>
      <c r="J538" s="10" t="str">
        <f>IFERROR(INDEX([1]Programas!$B$2:$B$50,MATCH(LEFT(I538,3),[1]Programas!$A$2:$A$50,0)),"")</f>
        <v>Creación y Producción</v>
      </c>
      <c r="K538" s="10" t="s">
        <v>335</v>
      </c>
    </row>
    <row r="539" spans="1:11" x14ac:dyDescent="0.2">
      <c r="A539" s="10">
        <v>538</v>
      </c>
      <c r="B539" s="10" t="s">
        <v>3247</v>
      </c>
      <c r="C539" s="11" t="s">
        <v>3246</v>
      </c>
      <c r="D539" s="10" t="s">
        <v>4419</v>
      </c>
      <c r="E539" s="10" t="s">
        <v>5641</v>
      </c>
      <c r="F539" s="11" t="s">
        <v>5642</v>
      </c>
      <c r="G539" s="10" t="s">
        <v>13</v>
      </c>
      <c r="H539" s="12">
        <v>46262</v>
      </c>
      <c r="I539" s="10" t="s">
        <v>3241</v>
      </c>
      <c r="J539" s="10" t="str">
        <f>IFERROR(INDEX([1]Programas!$B$2:$B$50,MATCH(LEFT(I539,3),[1]Programas!$A$2:$A$50,0)),"")</f>
        <v>Creación y Producción</v>
      </c>
      <c r="K539" s="10" t="s">
        <v>335</v>
      </c>
    </row>
    <row r="540" spans="1:11" x14ac:dyDescent="0.2">
      <c r="A540" s="10">
        <v>539</v>
      </c>
      <c r="B540" s="10" t="s">
        <v>5643</v>
      </c>
      <c r="C540" s="11" t="s">
        <v>3248</v>
      </c>
      <c r="D540" s="10" t="s">
        <v>4419</v>
      </c>
      <c r="E540" s="10" t="s">
        <v>5644</v>
      </c>
      <c r="F540" s="11" t="s">
        <v>5645</v>
      </c>
      <c r="G540" s="10" t="s">
        <v>13</v>
      </c>
      <c r="H540" s="12">
        <v>46262</v>
      </c>
      <c r="I540" s="10" t="s">
        <v>3241</v>
      </c>
      <c r="J540" s="10" t="str">
        <f>IFERROR(INDEX([1]Programas!$B$2:$B$50,MATCH(LEFT(I540,3),[1]Programas!$A$2:$A$50,0)),"")</f>
        <v>Creación y Producción</v>
      </c>
      <c r="K540" s="10" t="s">
        <v>335</v>
      </c>
    </row>
    <row r="541" spans="1:11" x14ac:dyDescent="0.2">
      <c r="A541" s="10">
        <v>540</v>
      </c>
      <c r="B541" s="10" t="s">
        <v>5646</v>
      </c>
      <c r="C541" s="11" t="s">
        <v>3250</v>
      </c>
      <c r="D541" s="10" t="s">
        <v>4419</v>
      </c>
      <c r="E541" s="10" t="s">
        <v>5647</v>
      </c>
      <c r="F541" s="11" t="s">
        <v>5648</v>
      </c>
      <c r="G541" s="10" t="s">
        <v>13</v>
      </c>
      <c r="H541" s="12">
        <v>46262</v>
      </c>
      <c r="I541" s="10" t="s">
        <v>3241</v>
      </c>
      <c r="J541" s="10" t="str">
        <f>IFERROR(INDEX([1]Programas!$B$2:$B$50,MATCH(LEFT(I541,3),[1]Programas!$A$2:$A$50,0)),"")</f>
        <v>Creación y Producción</v>
      </c>
      <c r="K541" s="10" t="s">
        <v>335</v>
      </c>
    </row>
    <row r="542" spans="1:11" x14ac:dyDescent="0.2">
      <c r="A542" s="10">
        <v>541</v>
      </c>
      <c r="B542" s="10" t="s">
        <v>3253</v>
      </c>
      <c r="C542" s="11" t="s">
        <v>3252</v>
      </c>
      <c r="D542" s="10" t="s">
        <v>4419</v>
      </c>
      <c r="E542" s="10" t="s">
        <v>5649</v>
      </c>
      <c r="F542" s="11" t="s">
        <v>5650</v>
      </c>
      <c r="G542" s="10" t="s">
        <v>13</v>
      </c>
      <c r="H542" s="12">
        <v>46262</v>
      </c>
      <c r="I542" s="10" t="s">
        <v>3241</v>
      </c>
      <c r="J542" s="10" t="str">
        <f>IFERROR(INDEX([1]Programas!$B$2:$B$50,MATCH(LEFT(I542,3),[1]Programas!$A$2:$A$50,0)),"")</f>
        <v>Creación y Producción</v>
      </c>
      <c r="K542" s="10" t="s">
        <v>335</v>
      </c>
    </row>
    <row r="543" spans="1:11" x14ac:dyDescent="0.2">
      <c r="A543" s="10">
        <v>542</v>
      </c>
      <c r="B543" s="10" t="s">
        <v>5651</v>
      </c>
      <c r="C543" s="11" t="s">
        <v>3254</v>
      </c>
      <c r="D543" s="10" t="s">
        <v>4419</v>
      </c>
      <c r="E543" s="10" t="s">
        <v>5652</v>
      </c>
      <c r="F543" s="11" t="s">
        <v>5653</v>
      </c>
      <c r="G543" s="10" t="s">
        <v>13</v>
      </c>
      <c r="H543" s="12">
        <v>46262</v>
      </c>
      <c r="I543" s="10" t="s">
        <v>3241</v>
      </c>
      <c r="J543" s="10" t="str">
        <f>IFERROR(INDEX([1]Programas!$B$2:$B$50,MATCH(LEFT(I543,3),[1]Programas!$A$2:$A$50,0)),"")</f>
        <v>Creación y Producción</v>
      </c>
      <c r="K543" s="10" t="s">
        <v>335</v>
      </c>
    </row>
    <row r="544" spans="1:11" x14ac:dyDescent="0.2">
      <c r="A544" s="10">
        <v>543</v>
      </c>
      <c r="B544" s="10" t="s">
        <v>3257</v>
      </c>
      <c r="C544" s="11" t="s">
        <v>3256</v>
      </c>
      <c r="D544" s="10" t="s">
        <v>4419</v>
      </c>
      <c r="E544" s="10" t="s">
        <v>5654</v>
      </c>
      <c r="F544" s="11" t="s">
        <v>5655</v>
      </c>
      <c r="G544" s="10" t="s">
        <v>13</v>
      </c>
      <c r="H544" s="12">
        <v>46262</v>
      </c>
      <c r="I544" s="10" t="s">
        <v>3241</v>
      </c>
      <c r="J544" s="10" t="str">
        <f>IFERROR(INDEX([1]Programas!$B$2:$B$50,MATCH(LEFT(I544,3),[1]Programas!$A$2:$A$50,0)),"")</f>
        <v>Creación y Producción</v>
      </c>
      <c r="K544" s="10" t="s">
        <v>335</v>
      </c>
    </row>
    <row r="545" spans="1:11" x14ac:dyDescent="0.2">
      <c r="A545" s="10">
        <v>544</v>
      </c>
      <c r="B545" s="10" t="s">
        <v>5656</v>
      </c>
      <c r="C545" s="11" t="s">
        <v>3258</v>
      </c>
      <c r="D545" s="10" t="s">
        <v>4419</v>
      </c>
      <c r="E545" s="10" t="s">
        <v>5657</v>
      </c>
      <c r="F545" s="11" t="s">
        <v>5658</v>
      </c>
      <c r="G545" s="10" t="s">
        <v>13</v>
      </c>
      <c r="H545" s="12">
        <v>46262</v>
      </c>
      <c r="I545" s="10" t="s">
        <v>3241</v>
      </c>
      <c r="J545" s="10" t="str">
        <f>IFERROR(INDEX([1]Programas!$B$2:$B$50,MATCH(LEFT(I545,3),[1]Programas!$A$2:$A$50,0)),"")</f>
        <v>Creación y Producción</v>
      </c>
      <c r="K545" s="10" t="s">
        <v>335</v>
      </c>
    </row>
    <row r="546" spans="1:11" x14ac:dyDescent="0.2">
      <c r="A546" s="10">
        <v>545</v>
      </c>
      <c r="B546" s="10" t="s">
        <v>5659</v>
      </c>
      <c r="C546" s="11" t="s">
        <v>3260</v>
      </c>
      <c r="D546" s="10" t="s">
        <v>4419</v>
      </c>
      <c r="E546" s="10" t="s">
        <v>5660</v>
      </c>
      <c r="F546" s="11" t="s">
        <v>5661</v>
      </c>
      <c r="G546" s="10" t="s">
        <v>13</v>
      </c>
      <c r="H546" s="12">
        <v>46262</v>
      </c>
      <c r="I546" s="10" t="s">
        <v>3241</v>
      </c>
      <c r="J546" s="10" t="str">
        <f>IFERROR(INDEX([1]Programas!$B$2:$B$50,MATCH(LEFT(I546,3),[1]Programas!$A$2:$A$50,0)),"")</f>
        <v>Creación y Producción</v>
      </c>
      <c r="K546" s="10" t="s">
        <v>335</v>
      </c>
    </row>
    <row r="547" spans="1:11" x14ac:dyDescent="0.2">
      <c r="A547" s="10">
        <v>546</v>
      </c>
      <c r="B547" s="10" t="s">
        <v>5662</v>
      </c>
      <c r="C547" s="11" t="s">
        <v>3262</v>
      </c>
      <c r="D547" s="10" t="s">
        <v>4419</v>
      </c>
      <c r="E547" s="10" t="s">
        <v>5663</v>
      </c>
      <c r="F547" s="11" t="s">
        <v>5664</v>
      </c>
      <c r="G547" s="10" t="s">
        <v>13</v>
      </c>
      <c r="H547" s="12">
        <v>46262</v>
      </c>
      <c r="I547" s="10" t="s">
        <v>3241</v>
      </c>
      <c r="J547" s="10" t="str">
        <f>IFERROR(INDEX([1]Programas!$B$2:$B$50,MATCH(LEFT(I547,3),[1]Programas!$A$2:$A$50,0)),"")</f>
        <v>Creación y Producción</v>
      </c>
      <c r="K547" s="10" t="s">
        <v>335</v>
      </c>
    </row>
    <row r="548" spans="1:11" x14ac:dyDescent="0.2">
      <c r="A548" s="10">
        <v>547</v>
      </c>
      <c r="B548" s="10" t="s">
        <v>5665</v>
      </c>
      <c r="C548" s="11" t="s">
        <v>3264</v>
      </c>
      <c r="D548" s="10" t="s">
        <v>4419</v>
      </c>
      <c r="E548" s="10" t="s">
        <v>5666</v>
      </c>
      <c r="F548" s="11" t="s">
        <v>5667</v>
      </c>
      <c r="G548" s="10" t="s">
        <v>13</v>
      </c>
      <c r="H548" s="12">
        <v>46262</v>
      </c>
      <c r="I548" s="10" t="s">
        <v>3241</v>
      </c>
      <c r="J548" s="10" t="str">
        <f>IFERROR(INDEX([1]Programas!$B$2:$B$50,MATCH(LEFT(I548,3),[1]Programas!$A$2:$A$50,0)),"")</f>
        <v>Creación y Producción</v>
      </c>
      <c r="K548" s="10" t="s">
        <v>335</v>
      </c>
    </row>
    <row r="549" spans="1:11" x14ac:dyDescent="0.2">
      <c r="A549" s="10">
        <v>548</v>
      </c>
      <c r="B549" s="10" t="s">
        <v>3267</v>
      </c>
      <c r="C549" s="11" t="s">
        <v>3266</v>
      </c>
      <c r="D549" s="10" t="s">
        <v>4419</v>
      </c>
      <c r="E549" s="10" t="s">
        <v>5668</v>
      </c>
      <c r="F549" s="11" t="s">
        <v>5669</v>
      </c>
      <c r="G549" s="10" t="s">
        <v>13</v>
      </c>
      <c r="H549" s="12">
        <v>46262</v>
      </c>
      <c r="I549" s="10" t="s">
        <v>3241</v>
      </c>
      <c r="J549" s="10" t="str">
        <f>IFERROR(INDEX([1]Programas!$B$2:$B$50,MATCH(LEFT(I549,3),[1]Programas!$A$2:$A$50,0)),"")</f>
        <v>Creación y Producción</v>
      </c>
      <c r="K549" s="10" t="s">
        <v>335</v>
      </c>
    </row>
    <row r="550" spans="1:11" x14ac:dyDescent="0.2">
      <c r="A550" s="10">
        <v>549</v>
      </c>
      <c r="B550" s="10" t="s">
        <v>3269</v>
      </c>
      <c r="C550" s="11" t="s">
        <v>3268</v>
      </c>
      <c r="D550" s="10" t="s">
        <v>4419</v>
      </c>
      <c r="E550" s="10" t="s">
        <v>5670</v>
      </c>
      <c r="F550" s="11" t="s">
        <v>5671</v>
      </c>
      <c r="G550" s="10" t="s">
        <v>13</v>
      </c>
      <c r="H550" s="12">
        <v>46262</v>
      </c>
      <c r="I550" s="10" t="s">
        <v>3241</v>
      </c>
      <c r="J550" s="10" t="str">
        <f>IFERROR(INDEX([1]Programas!$B$2:$B$50,MATCH(LEFT(I550,3),[1]Programas!$A$2:$A$50,0)),"")</f>
        <v>Creación y Producción</v>
      </c>
      <c r="K550" s="10" t="s">
        <v>335</v>
      </c>
    </row>
    <row r="551" spans="1:11" x14ac:dyDescent="0.2">
      <c r="A551" s="10">
        <v>550</v>
      </c>
      <c r="B551" s="10" t="s">
        <v>3271</v>
      </c>
      <c r="C551" s="11" t="s">
        <v>3270</v>
      </c>
      <c r="D551" s="10" t="s">
        <v>4419</v>
      </c>
      <c r="E551" s="10" t="s">
        <v>5672</v>
      </c>
      <c r="F551" s="11" t="s">
        <v>5673</v>
      </c>
      <c r="G551" s="10" t="s">
        <v>13</v>
      </c>
      <c r="H551" s="12">
        <v>46262</v>
      </c>
      <c r="I551" s="10" t="s">
        <v>3241</v>
      </c>
      <c r="J551" s="10" t="str">
        <f>IFERROR(INDEX([1]Programas!$B$2:$B$50,MATCH(LEFT(I551,3),[1]Programas!$A$2:$A$50,0)),"")</f>
        <v>Creación y Producción</v>
      </c>
      <c r="K551" s="10" t="s">
        <v>335</v>
      </c>
    </row>
    <row r="552" spans="1:11" x14ac:dyDescent="0.2">
      <c r="A552" s="10">
        <v>551</v>
      </c>
      <c r="B552" s="10" t="s">
        <v>5674</v>
      </c>
      <c r="C552" s="11" t="s">
        <v>3272</v>
      </c>
      <c r="D552" s="10" t="s">
        <v>4419</v>
      </c>
      <c r="E552" s="10" t="s">
        <v>5675</v>
      </c>
      <c r="F552" s="11" t="s">
        <v>5676</v>
      </c>
      <c r="G552" s="10" t="s">
        <v>13</v>
      </c>
      <c r="H552" s="12">
        <v>46262</v>
      </c>
      <c r="I552" s="10" t="s">
        <v>3241</v>
      </c>
      <c r="J552" s="10" t="str">
        <f>IFERROR(INDEX([1]Programas!$B$2:$B$50,MATCH(LEFT(I552,3),[1]Programas!$A$2:$A$50,0)),"")</f>
        <v>Creación y Producción</v>
      </c>
      <c r="K552" s="10" t="s">
        <v>335</v>
      </c>
    </row>
    <row r="553" spans="1:11" x14ac:dyDescent="0.2">
      <c r="A553" s="10">
        <v>552</v>
      </c>
      <c r="B553" s="10" t="s">
        <v>3275</v>
      </c>
      <c r="C553" s="11" t="s">
        <v>3274</v>
      </c>
      <c r="D553" s="10" t="s">
        <v>4419</v>
      </c>
      <c r="E553" s="10" t="s">
        <v>5677</v>
      </c>
      <c r="F553" s="11" t="s">
        <v>5678</v>
      </c>
      <c r="G553" s="10" t="s">
        <v>13</v>
      </c>
      <c r="H553" s="12">
        <v>46262</v>
      </c>
      <c r="I553" s="10" t="s">
        <v>3241</v>
      </c>
      <c r="J553" s="10" t="str">
        <f>IFERROR(INDEX([1]Programas!$B$2:$B$50,MATCH(LEFT(I553,3),[1]Programas!$A$2:$A$50,0)),"")</f>
        <v>Creación y Producción</v>
      </c>
      <c r="K553" s="10" t="s">
        <v>335</v>
      </c>
    </row>
    <row r="554" spans="1:11" x14ac:dyDescent="0.2">
      <c r="A554" s="10">
        <v>553</v>
      </c>
      <c r="B554" s="10" t="s">
        <v>3277</v>
      </c>
      <c r="C554" s="11" t="s">
        <v>3276</v>
      </c>
      <c r="D554" s="10" t="s">
        <v>4419</v>
      </c>
      <c r="E554" s="10" t="s">
        <v>5679</v>
      </c>
      <c r="F554" s="11" t="s">
        <v>5680</v>
      </c>
      <c r="G554" s="10" t="s">
        <v>13</v>
      </c>
      <c r="H554" s="12">
        <v>46262</v>
      </c>
      <c r="I554" s="10" t="s">
        <v>3241</v>
      </c>
      <c r="J554" s="10" t="str">
        <f>IFERROR(INDEX([1]Programas!$B$2:$B$50,MATCH(LEFT(I554,3),[1]Programas!$A$2:$A$50,0)),"")</f>
        <v>Creación y Producción</v>
      </c>
      <c r="K554" s="10" t="s">
        <v>335</v>
      </c>
    </row>
    <row r="555" spans="1:11" x14ac:dyDescent="0.2">
      <c r="A555" s="10">
        <v>554</v>
      </c>
      <c r="B555" s="10" t="s">
        <v>3279</v>
      </c>
      <c r="C555" s="11" t="s">
        <v>3278</v>
      </c>
      <c r="D555" s="10" t="s">
        <v>4419</v>
      </c>
      <c r="E555" s="10" t="s">
        <v>5681</v>
      </c>
      <c r="F555" s="11" t="s">
        <v>5682</v>
      </c>
      <c r="G555" s="10" t="s">
        <v>13</v>
      </c>
      <c r="H555" s="12">
        <v>46262</v>
      </c>
      <c r="I555" s="10" t="s">
        <v>3241</v>
      </c>
      <c r="J555" s="10" t="str">
        <f>IFERROR(INDEX([1]Programas!$B$2:$B$50,MATCH(LEFT(I555,3),[1]Programas!$A$2:$A$50,0)),"")</f>
        <v>Creación y Producción</v>
      </c>
      <c r="K555" s="10" t="s">
        <v>335</v>
      </c>
    </row>
    <row r="556" spans="1:11" x14ac:dyDescent="0.2">
      <c r="A556" s="10">
        <v>555</v>
      </c>
      <c r="B556" s="10" t="s">
        <v>3281</v>
      </c>
      <c r="C556" s="11" t="s">
        <v>3280</v>
      </c>
      <c r="D556" s="10" t="s">
        <v>4453</v>
      </c>
      <c r="E556" s="10" t="s">
        <v>5683</v>
      </c>
      <c r="F556" s="11" t="s">
        <v>5684</v>
      </c>
      <c r="G556" s="10" t="s">
        <v>13</v>
      </c>
      <c r="H556" s="12">
        <v>46262</v>
      </c>
      <c r="I556" s="10" t="s">
        <v>3241</v>
      </c>
      <c r="J556" s="10" t="str">
        <f>IFERROR(INDEX([1]Programas!$B$2:$B$50,MATCH(LEFT(I556,3),[1]Programas!$A$2:$A$50,0)),"")</f>
        <v>Creación y Producción</v>
      </c>
      <c r="K556" s="10" t="s">
        <v>335</v>
      </c>
    </row>
    <row r="557" spans="1:11" x14ac:dyDescent="0.2">
      <c r="A557" s="10">
        <v>556</v>
      </c>
      <c r="B557" s="10" t="s">
        <v>3283</v>
      </c>
      <c r="C557" s="11" t="s">
        <v>3282</v>
      </c>
      <c r="D557" s="10" t="s">
        <v>4419</v>
      </c>
      <c r="E557" s="10" t="s">
        <v>5685</v>
      </c>
      <c r="F557" s="11" t="s">
        <v>5686</v>
      </c>
      <c r="G557" s="10" t="s">
        <v>13</v>
      </c>
      <c r="H557" s="12">
        <v>46262</v>
      </c>
      <c r="I557" s="10" t="s">
        <v>3241</v>
      </c>
      <c r="J557" s="10" t="str">
        <f>IFERROR(INDEX([1]Programas!$B$2:$B$50,MATCH(LEFT(I557,3),[1]Programas!$A$2:$A$50,0)),"")</f>
        <v>Creación y Producción</v>
      </c>
      <c r="K557" s="10" t="s">
        <v>335</v>
      </c>
    </row>
    <row r="558" spans="1:11" x14ac:dyDescent="0.2">
      <c r="A558" s="10">
        <v>557</v>
      </c>
      <c r="B558" s="10" t="s">
        <v>5687</v>
      </c>
      <c r="C558" s="11" t="s">
        <v>3284</v>
      </c>
      <c r="D558" s="10" t="s">
        <v>4419</v>
      </c>
      <c r="E558" s="10" t="s">
        <v>5688</v>
      </c>
      <c r="F558" s="11" t="s">
        <v>5689</v>
      </c>
      <c r="G558" s="10" t="s">
        <v>13</v>
      </c>
      <c r="H558" s="12">
        <v>46262</v>
      </c>
      <c r="I558" s="10" t="s">
        <v>3241</v>
      </c>
      <c r="J558" s="10" t="str">
        <f>IFERROR(INDEX([1]Programas!$B$2:$B$50,MATCH(LEFT(I558,3),[1]Programas!$A$2:$A$50,0)),"")</f>
        <v>Creación y Producción</v>
      </c>
      <c r="K558" s="10" t="s">
        <v>335</v>
      </c>
    </row>
    <row r="559" spans="1:11" x14ac:dyDescent="0.2">
      <c r="A559" s="10">
        <v>558</v>
      </c>
      <c r="B559" s="10" t="s">
        <v>5690</v>
      </c>
      <c r="C559" s="11" t="s">
        <v>3286</v>
      </c>
      <c r="D559" s="10" t="s">
        <v>4419</v>
      </c>
      <c r="E559" s="10" t="s">
        <v>5691</v>
      </c>
      <c r="F559" s="11" t="s">
        <v>5692</v>
      </c>
      <c r="G559" s="10" t="s">
        <v>13</v>
      </c>
      <c r="H559" s="12">
        <v>46262</v>
      </c>
      <c r="I559" s="10" t="s">
        <v>3241</v>
      </c>
      <c r="J559" s="10" t="str">
        <f>IFERROR(INDEX([1]Programas!$B$2:$B$50,MATCH(LEFT(I559,3),[1]Programas!$A$2:$A$50,0)),"")</f>
        <v>Creación y Producción</v>
      </c>
      <c r="K559" s="10" t="s">
        <v>335</v>
      </c>
    </row>
    <row r="560" spans="1:11" x14ac:dyDescent="0.2">
      <c r="A560" s="10">
        <v>559</v>
      </c>
      <c r="B560" s="10" t="s">
        <v>3289</v>
      </c>
      <c r="C560" s="11" t="s">
        <v>3288</v>
      </c>
      <c r="D560" s="10" t="s">
        <v>4419</v>
      </c>
      <c r="E560" s="10" t="s">
        <v>5693</v>
      </c>
      <c r="F560" s="11" t="s">
        <v>5694</v>
      </c>
      <c r="G560" s="10" t="s">
        <v>13</v>
      </c>
      <c r="H560" s="12">
        <v>46262</v>
      </c>
      <c r="I560" s="10" t="s">
        <v>3241</v>
      </c>
      <c r="J560" s="10" t="str">
        <f>IFERROR(INDEX([1]Programas!$B$2:$B$50,MATCH(LEFT(I560,3),[1]Programas!$A$2:$A$50,0)),"")</f>
        <v>Creación y Producción</v>
      </c>
      <c r="K560" s="10" t="s">
        <v>335</v>
      </c>
    </row>
    <row r="561" spans="1:11" x14ac:dyDescent="0.2">
      <c r="A561" s="10">
        <v>560</v>
      </c>
      <c r="B561" s="10" t="s">
        <v>3291</v>
      </c>
      <c r="C561" s="11" t="s">
        <v>3290</v>
      </c>
      <c r="D561" s="10" t="s">
        <v>4419</v>
      </c>
      <c r="E561" s="10" t="s">
        <v>5695</v>
      </c>
      <c r="F561" s="11" t="s">
        <v>5696</v>
      </c>
      <c r="G561" s="10" t="s">
        <v>13</v>
      </c>
      <c r="H561" s="12">
        <v>46262</v>
      </c>
      <c r="I561" s="10" t="s">
        <v>3241</v>
      </c>
      <c r="J561" s="10" t="str">
        <f>IFERROR(INDEX([1]Programas!$B$2:$B$50,MATCH(LEFT(I561,3),[1]Programas!$A$2:$A$50,0)),"")</f>
        <v>Creación y Producción</v>
      </c>
      <c r="K561" s="10" t="s">
        <v>335</v>
      </c>
    </row>
    <row r="562" spans="1:11" x14ac:dyDescent="0.2">
      <c r="A562" s="10">
        <v>561</v>
      </c>
      <c r="B562" s="10" t="s">
        <v>3293</v>
      </c>
      <c r="C562" s="11" t="s">
        <v>3292</v>
      </c>
      <c r="D562" s="10" t="s">
        <v>4419</v>
      </c>
      <c r="E562" s="10" t="s">
        <v>5697</v>
      </c>
      <c r="F562" s="11" t="s">
        <v>5698</v>
      </c>
      <c r="G562" s="10" t="s">
        <v>13</v>
      </c>
      <c r="H562" s="12">
        <v>46262</v>
      </c>
      <c r="I562" s="10" t="s">
        <v>3241</v>
      </c>
      <c r="J562" s="10" t="str">
        <f>IFERROR(INDEX([1]Programas!$B$2:$B$50,MATCH(LEFT(I562,3),[1]Programas!$A$2:$A$50,0)),"")</f>
        <v>Creación y Producción</v>
      </c>
      <c r="K562" s="10" t="s">
        <v>335</v>
      </c>
    </row>
    <row r="563" spans="1:11" x14ac:dyDescent="0.2">
      <c r="A563" s="10">
        <v>562</v>
      </c>
      <c r="B563" s="10" t="s">
        <v>3295</v>
      </c>
      <c r="C563" s="11" t="s">
        <v>3294</v>
      </c>
      <c r="D563" s="10" t="s">
        <v>4419</v>
      </c>
      <c r="E563" s="10" t="s">
        <v>5699</v>
      </c>
      <c r="F563" s="11" t="s">
        <v>5700</v>
      </c>
      <c r="G563" s="10" t="s">
        <v>13</v>
      </c>
      <c r="H563" s="12">
        <v>46262</v>
      </c>
      <c r="I563" s="10" t="s">
        <v>3241</v>
      </c>
      <c r="J563" s="10" t="str">
        <f>IFERROR(INDEX([1]Programas!$B$2:$B$50,MATCH(LEFT(I563,3),[1]Programas!$A$2:$A$50,0)),"")</f>
        <v>Creación y Producción</v>
      </c>
      <c r="K563" s="10" t="s">
        <v>335</v>
      </c>
    </row>
    <row r="564" spans="1:11" x14ac:dyDescent="0.2">
      <c r="A564" s="10">
        <v>563</v>
      </c>
      <c r="B564" s="10" t="s">
        <v>3297</v>
      </c>
      <c r="C564" s="11" t="s">
        <v>3296</v>
      </c>
      <c r="D564" s="10" t="s">
        <v>4419</v>
      </c>
      <c r="E564" s="10" t="s">
        <v>5701</v>
      </c>
      <c r="F564" s="11" t="s">
        <v>5702</v>
      </c>
      <c r="G564" s="10" t="s">
        <v>13</v>
      </c>
      <c r="H564" s="12">
        <v>46262</v>
      </c>
      <c r="I564" s="10" t="s">
        <v>3241</v>
      </c>
      <c r="J564" s="10" t="str">
        <f>IFERROR(INDEX([1]Programas!$B$2:$B$50,MATCH(LEFT(I564,3),[1]Programas!$A$2:$A$50,0)),"")</f>
        <v>Creación y Producción</v>
      </c>
      <c r="K564" s="10" t="s">
        <v>335</v>
      </c>
    </row>
    <row r="565" spans="1:11" x14ac:dyDescent="0.2">
      <c r="A565" s="10">
        <v>564</v>
      </c>
      <c r="B565" s="10" t="s">
        <v>3299</v>
      </c>
      <c r="C565" s="11" t="s">
        <v>3298</v>
      </c>
      <c r="D565" s="10" t="s">
        <v>4419</v>
      </c>
      <c r="E565" s="10" t="s">
        <v>5703</v>
      </c>
      <c r="F565" s="11" t="s">
        <v>5704</v>
      </c>
      <c r="G565" s="10" t="s">
        <v>13</v>
      </c>
      <c r="H565" s="12">
        <v>46262</v>
      </c>
      <c r="I565" s="10" t="s">
        <v>3241</v>
      </c>
      <c r="J565" s="10" t="str">
        <f>IFERROR(INDEX([1]Programas!$B$2:$B$50,MATCH(LEFT(I565,3),[1]Programas!$A$2:$A$50,0)),"")</f>
        <v>Creación y Producción</v>
      </c>
      <c r="K565" s="10" t="s">
        <v>335</v>
      </c>
    </row>
    <row r="566" spans="1:11" x14ac:dyDescent="0.2">
      <c r="A566" s="10">
        <v>565</v>
      </c>
      <c r="B566" s="10" t="s">
        <v>5705</v>
      </c>
      <c r="C566" s="11" t="s">
        <v>3300</v>
      </c>
      <c r="D566" s="10" t="s">
        <v>4419</v>
      </c>
      <c r="E566" s="10" t="s">
        <v>5706</v>
      </c>
      <c r="F566" s="11" t="s">
        <v>5707</v>
      </c>
      <c r="G566" s="10" t="s">
        <v>13</v>
      </c>
      <c r="H566" s="12">
        <v>46262</v>
      </c>
      <c r="I566" s="10" t="s">
        <v>3241</v>
      </c>
      <c r="J566" s="10" t="str">
        <f>IFERROR(INDEX([1]Programas!$B$2:$B$50,MATCH(LEFT(I566,3),[1]Programas!$A$2:$A$50,0)),"")</f>
        <v>Creación y Producción</v>
      </c>
      <c r="K566" s="10" t="s">
        <v>335</v>
      </c>
    </row>
    <row r="567" spans="1:11" x14ac:dyDescent="0.2">
      <c r="A567" s="10">
        <v>566</v>
      </c>
      <c r="B567" s="10" t="s">
        <v>5708</v>
      </c>
      <c r="C567" s="11" t="s">
        <v>3302</v>
      </c>
      <c r="D567" s="10" t="s">
        <v>4419</v>
      </c>
      <c r="E567" s="10" t="s">
        <v>5709</v>
      </c>
      <c r="F567" s="11" t="s">
        <v>5710</v>
      </c>
      <c r="G567" s="10" t="s">
        <v>13</v>
      </c>
      <c r="H567" s="12">
        <v>46262</v>
      </c>
      <c r="I567" s="10" t="s">
        <v>3241</v>
      </c>
      <c r="J567" s="10" t="str">
        <f>IFERROR(INDEX([1]Programas!$B$2:$B$50,MATCH(LEFT(I567,3),[1]Programas!$A$2:$A$50,0)),"")</f>
        <v>Creación y Producción</v>
      </c>
      <c r="K567" s="10" t="s">
        <v>335</v>
      </c>
    </row>
    <row r="568" spans="1:11" x14ac:dyDescent="0.2">
      <c r="A568" s="10">
        <v>567</v>
      </c>
      <c r="B568" s="10" t="s">
        <v>5711</v>
      </c>
      <c r="C568" s="11" t="s">
        <v>3304</v>
      </c>
      <c r="D568" s="10" t="s">
        <v>4419</v>
      </c>
      <c r="E568" s="10" t="s">
        <v>5712</v>
      </c>
      <c r="F568" s="11" t="s">
        <v>5713</v>
      </c>
      <c r="G568" s="10" t="s">
        <v>13</v>
      </c>
      <c r="H568" s="12">
        <v>46262</v>
      </c>
      <c r="I568" s="10" t="s">
        <v>3241</v>
      </c>
      <c r="J568" s="10" t="str">
        <f>IFERROR(INDEX([1]Programas!$B$2:$B$50,MATCH(LEFT(I568,3),[1]Programas!$A$2:$A$50,0)),"")</f>
        <v>Creación y Producción</v>
      </c>
      <c r="K568" s="10" t="s">
        <v>335</v>
      </c>
    </row>
    <row r="569" spans="1:11" x14ac:dyDescent="0.2">
      <c r="A569" s="10">
        <v>568</v>
      </c>
      <c r="B569" s="10" t="s">
        <v>3307</v>
      </c>
      <c r="C569" s="11" t="s">
        <v>3306</v>
      </c>
      <c r="D569" s="10" t="s">
        <v>4419</v>
      </c>
      <c r="E569" s="10" t="s">
        <v>5714</v>
      </c>
      <c r="F569" s="11" t="s">
        <v>5715</v>
      </c>
      <c r="G569" s="10" t="s">
        <v>13</v>
      </c>
      <c r="H569" s="12">
        <v>46262</v>
      </c>
      <c r="I569" s="10" t="s">
        <v>3241</v>
      </c>
      <c r="J569" s="10" t="str">
        <f>IFERROR(INDEX([1]Programas!$B$2:$B$50,MATCH(LEFT(I569,3),[1]Programas!$A$2:$A$50,0)),"")</f>
        <v>Creación y Producción</v>
      </c>
      <c r="K569" s="10" t="s">
        <v>335</v>
      </c>
    </row>
    <row r="570" spans="1:11" x14ac:dyDescent="0.2">
      <c r="A570" s="10">
        <v>569</v>
      </c>
      <c r="B570" s="10" t="s">
        <v>3309</v>
      </c>
      <c r="C570" s="11" t="s">
        <v>3308</v>
      </c>
      <c r="D570" s="10" t="s">
        <v>4419</v>
      </c>
      <c r="E570" s="10" t="s">
        <v>5716</v>
      </c>
      <c r="F570" s="11" t="s">
        <v>5717</v>
      </c>
      <c r="G570" s="10" t="s">
        <v>13</v>
      </c>
      <c r="H570" s="12">
        <v>46262</v>
      </c>
      <c r="I570" s="10" t="s">
        <v>3241</v>
      </c>
      <c r="J570" s="10" t="str">
        <f>IFERROR(INDEX([1]Programas!$B$2:$B$50,MATCH(LEFT(I570,3),[1]Programas!$A$2:$A$50,0)),"")</f>
        <v>Creación y Producción</v>
      </c>
      <c r="K570" s="10" t="s">
        <v>335</v>
      </c>
    </row>
    <row r="571" spans="1:11" x14ac:dyDescent="0.2">
      <c r="A571" s="10">
        <v>570</v>
      </c>
      <c r="B571" s="10" t="s">
        <v>3311</v>
      </c>
      <c r="C571" s="11" t="s">
        <v>3310</v>
      </c>
      <c r="D571" s="10" t="s">
        <v>4419</v>
      </c>
      <c r="E571" s="10" t="s">
        <v>5718</v>
      </c>
      <c r="F571" s="11" t="s">
        <v>5719</v>
      </c>
      <c r="G571" s="10" t="s">
        <v>13</v>
      </c>
      <c r="H571" s="12">
        <v>46262</v>
      </c>
      <c r="I571" s="10" t="s">
        <v>3241</v>
      </c>
      <c r="J571" s="10" t="str">
        <f>IFERROR(INDEX([1]Programas!$B$2:$B$50,MATCH(LEFT(I571,3),[1]Programas!$A$2:$A$50,0)),"")</f>
        <v>Creación y Producción</v>
      </c>
      <c r="K571" s="10" t="s">
        <v>335</v>
      </c>
    </row>
    <row r="572" spans="1:11" x14ac:dyDescent="0.2">
      <c r="A572" s="10">
        <v>571</v>
      </c>
      <c r="B572" s="10" t="s">
        <v>3313</v>
      </c>
      <c r="C572" s="11" t="s">
        <v>3312</v>
      </c>
      <c r="D572" s="10" t="s">
        <v>4419</v>
      </c>
      <c r="E572" s="10" t="s">
        <v>5720</v>
      </c>
      <c r="F572" s="11" t="s">
        <v>5721</v>
      </c>
      <c r="G572" s="10" t="s">
        <v>13</v>
      </c>
      <c r="H572" s="12">
        <v>46262</v>
      </c>
      <c r="I572" s="10" t="s">
        <v>3241</v>
      </c>
      <c r="J572" s="10" t="str">
        <f>IFERROR(INDEX([1]Programas!$B$2:$B$50,MATCH(LEFT(I572,3),[1]Programas!$A$2:$A$50,0)),"")</f>
        <v>Creación y Producción</v>
      </c>
      <c r="K572" s="10" t="s">
        <v>335</v>
      </c>
    </row>
    <row r="573" spans="1:11" x14ac:dyDescent="0.2">
      <c r="A573" s="10">
        <v>572</v>
      </c>
      <c r="B573" s="10" t="s">
        <v>5722</v>
      </c>
      <c r="C573" s="11" t="s">
        <v>3314</v>
      </c>
      <c r="D573" s="10" t="s">
        <v>4419</v>
      </c>
      <c r="E573" s="10" t="s">
        <v>5723</v>
      </c>
      <c r="F573" s="11" t="s">
        <v>5724</v>
      </c>
      <c r="G573" s="10" t="s">
        <v>13</v>
      </c>
      <c r="H573" s="12">
        <v>46262</v>
      </c>
      <c r="I573" s="10" t="s">
        <v>3241</v>
      </c>
      <c r="J573" s="10" t="str">
        <f>IFERROR(INDEX([1]Programas!$B$2:$B$50,MATCH(LEFT(I573,3),[1]Programas!$A$2:$A$50,0)),"")</f>
        <v>Creación y Producción</v>
      </c>
      <c r="K573" s="10" t="s">
        <v>335</v>
      </c>
    </row>
    <row r="574" spans="1:11" x14ac:dyDescent="0.2">
      <c r="A574" s="10">
        <v>573</v>
      </c>
      <c r="B574" s="10" t="s">
        <v>5725</v>
      </c>
      <c r="C574" s="11" t="s">
        <v>3316</v>
      </c>
      <c r="D574" s="10" t="s">
        <v>4419</v>
      </c>
      <c r="E574" s="10" t="s">
        <v>5726</v>
      </c>
      <c r="F574" s="11" t="s">
        <v>5727</v>
      </c>
      <c r="G574" s="10" t="s">
        <v>13</v>
      </c>
      <c r="H574" s="12">
        <v>46262</v>
      </c>
      <c r="I574" s="10" t="s">
        <v>3241</v>
      </c>
      <c r="J574" s="10" t="str">
        <f>IFERROR(INDEX([1]Programas!$B$2:$B$50,MATCH(LEFT(I574,3),[1]Programas!$A$2:$A$50,0)),"")</f>
        <v>Creación y Producción</v>
      </c>
      <c r="K574" s="10" t="s">
        <v>335</v>
      </c>
    </row>
    <row r="575" spans="1:11" x14ac:dyDescent="0.2">
      <c r="A575" s="10">
        <v>574</v>
      </c>
      <c r="B575" s="10" t="s">
        <v>5728</v>
      </c>
      <c r="C575" s="11" t="s">
        <v>3318</v>
      </c>
      <c r="D575" s="10" t="s">
        <v>4419</v>
      </c>
      <c r="E575" s="10" t="s">
        <v>5729</v>
      </c>
      <c r="F575" s="11" t="s">
        <v>5730</v>
      </c>
      <c r="G575" s="10" t="s">
        <v>13</v>
      </c>
      <c r="H575" s="12">
        <v>46262</v>
      </c>
      <c r="I575" s="10" t="s">
        <v>3241</v>
      </c>
      <c r="J575" s="10" t="str">
        <f>IFERROR(INDEX([1]Programas!$B$2:$B$50,MATCH(LEFT(I575,3),[1]Programas!$A$2:$A$50,0)),"")</f>
        <v>Creación y Producción</v>
      </c>
      <c r="K575" s="10" t="s">
        <v>335</v>
      </c>
    </row>
    <row r="576" spans="1:11" x14ac:dyDescent="0.2">
      <c r="A576" s="10">
        <v>575</v>
      </c>
      <c r="B576" s="10" t="s">
        <v>3321</v>
      </c>
      <c r="C576" s="11" t="s">
        <v>3320</v>
      </c>
      <c r="D576" s="10" t="s">
        <v>4419</v>
      </c>
      <c r="E576" s="10" t="s">
        <v>5731</v>
      </c>
      <c r="F576" s="11" t="s">
        <v>5732</v>
      </c>
      <c r="G576" s="10" t="s">
        <v>13</v>
      </c>
      <c r="H576" s="12">
        <v>46262</v>
      </c>
      <c r="I576" s="10" t="s">
        <v>3241</v>
      </c>
      <c r="J576" s="10" t="str">
        <f>IFERROR(INDEX([1]Programas!$B$2:$B$50,MATCH(LEFT(I576,3),[1]Programas!$A$2:$A$50,0)),"")</f>
        <v>Creación y Producción</v>
      </c>
      <c r="K576" s="10" t="s">
        <v>335</v>
      </c>
    </row>
    <row r="577" spans="1:11" x14ac:dyDescent="0.2">
      <c r="A577" s="10">
        <v>576</v>
      </c>
      <c r="B577" s="10" t="s">
        <v>3323</v>
      </c>
      <c r="C577" s="11" t="s">
        <v>3322</v>
      </c>
      <c r="D577" s="10" t="s">
        <v>4419</v>
      </c>
      <c r="E577" s="10" t="s">
        <v>5733</v>
      </c>
      <c r="F577" s="11" t="s">
        <v>5734</v>
      </c>
      <c r="G577" s="10" t="s">
        <v>13</v>
      </c>
      <c r="H577" s="12">
        <v>46262</v>
      </c>
      <c r="I577" s="10" t="s">
        <v>3241</v>
      </c>
      <c r="J577" s="10" t="str">
        <f>IFERROR(INDEX([1]Programas!$B$2:$B$50,MATCH(LEFT(I577,3),[1]Programas!$A$2:$A$50,0)),"")</f>
        <v>Creación y Producción</v>
      </c>
      <c r="K577" s="10" t="s">
        <v>335</v>
      </c>
    </row>
    <row r="578" spans="1:11" x14ac:dyDescent="0.2">
      <c r="A578" s="10">
        <v>577</v>
      </c>
      <c r="B578" s="10" t="s">
        <v>3327</v>
      </c>
      <c r="C578" s="11" t="s">
        <v>3326</v>
      </c>
      <c r="D578" s="10" t="s">
        <v>4419</v>
      </c>
      <c r="E578" s="10" t="s">
        <v>5735</v>
      </c>
      <c r="F578" s="11" t="s">
        <v>5736</v>
      </c>
      <c r="G578" s="10" t="s">
        <v>13</v>
      </c>
      <c r="H578" s="12">
        <v>46262</v>
      </c>
      <c r="I578" s="10" t="s">
        <v>3241</v>
      </c>
      <c r="J578" s="10" t="str">
        <f>IFERROR(INDEX([1]Programas!$B$2:$B$50,MATCH(LEFT(I578,3),[1]Programas!$A$2:$A$50,0)),"")</f>
        <v>Creación y Producción</v>
      </c>
      <c r="K578" s="10" t="s">
        <v>335</v>
      </c>
    </row>
    <row r="579" spans="1:11" x14ac:dyDescent="0.2">
      <c r="A579" s="10">
        <v>578</v>
      </c>
      <c r="B579" s="10" t="s">
        <v>3329</v>
      </c>
      <c r="C579" s="11" t="s">
        <v>3328</v>
      </c>
      <c r="D579" s="10" t="s">
        <v>4419</v>
      </c>
      <c r="E579" s="10" t="s">
        <v>5737</v>
      </c>
      <c r="F579" s="11" t="s">
        <v>5738</v>
      </c>
      <c r="G579" s="10" t="s">
        <v>13</v>
      </c>
      <c r="H579" s="12">
        <v>46262</v>
      </c>
      <c r="I579" s="10" t="s">
        <v>3241</v>
      </c>
      <c r="J579" s="10" t="str">
        <f>IFERROR(INDEX([1]Programas!$B$2:$B$50,MATCH(LEFT(I579,3),[1]Programas!$A$2:$A$50,0)),"")</f>
        <v>Creación y Producción</v>
      </c>
      <c r="K579" s="10" t="s">
        <v>335</v>
      </c>
    </row>
    <row r="580" spans="1:11" x14ac:dyDescent="0.2">
      <c r="A580" s="10">
        <v>579</v>
      </c>
      <c r="B580" s="10" t="s">
        <v>5739</v>
      </c>
      <c r="C580" s="11" t="s">
        <v>3330</v>
      </c>
      <c r="D580" s="10" t="s">
        <v>4419</v>
      </c>
      <c r="E580" s="10" t="s">
        <v>5740</v>
      </c>
      <c r="F580" s="11" t="s">
        <v>5741</v>
      </c>
      <c r="G580" s="10" t="s">
        <v>13</v>
      </c>
      <c r="H580" s="12">
        <v>46262</v>
      </c>
      <c r="I580" s="10" t="s">
        <v>3241</v>
      </c>
      <c r="J580" s="10" t="str">
        <f>IFERROR(INDEX([1]Programas!$B$2:$B$50,MATCH(LEFT(I580,3),[1]Programas!$A$2:$A$50,0)),"")</f>
        <v>Creación y Producción</v>
      </c>
      <c r="K580" s="10" t="s">
        <v>335</v>
      </c>
    </row>
    <row r="581" spans="1:11" x14ac:dyDescent="0.2">
      <c r="A581" s="10">
        <v>580</v>
      </c>
      <c r="B581" s="10" t="s">
        <v>5742</v>
      </c>
      <c r="C581" s="11" t="s">
        <v>3332</v>
      </c>
      <c r="D581" s="10" t="s">
        <v>4419</v>
      </c>
      <c r="E581" s="10" t="s">
        <v>5743</v>
      </c>
      <c r="F581" s="11" t="s">
        <v>5744</v>
      </c>
      <c r="G581" s="10" t="s">
        <v>13</v>
      </c>
      <c r="H581" s="12">
        <v>46262</v>
      </c>
      <c r="I581" s="10" t="s">
        <v>3241</v>
      </c>
      <c r="J581" s="10" t="str">
        <f>IFERROR(INDEX([1]Programas!$B$2:$B$50,MATCH(LEFT(I581,3),[1]Programas!$A$2:$A$50,0)),"")</f>
        <v>Creación y Producción</v>
      </c>
      <c r="K581" s="10" t="s">
        <v>335</v>
      </c>
    </row>
    <row r="582" spans="1:11" x14ac:dyDescent="0.2">
      <c r="A582" s="10">
        <v>581</v>
      </c>
      <c r="B582" s="10" t="s">
        <v>3335</v>
      </c>
      <c r="C582" s="11" t="s">
        <v>3334</v>
      </c>
      <c r="D582" s="10" t="s">
        <v>4419</v>
      </c>
      <c r="E582" s="10" t="s">
        <v>5745</v>
      </c>
      <c r="F582" s="11" t="s">
        <v>5746</v>
      </c>
      <c r="G582" s="10" t="s">
        <v>13</v>
      </c>
      <c r="H582" s="12">
        <v>46262</v>
      </c>
      <c r="I582" s="10" t="s">
        <v>3241</v>
      </c>
      <c r="J582" s="10" t="str">
        <f>IFERROR(INDEX([1]Programas!$B$2:$B$50,MATCH(LEFT(I582,3),[1]Programas!$A$2:$A$50,0)),"")</f>
        <v>Creación y Producción</v>
      </c>
      <c r="K582" s="10" t="s">
        <v>335</v>
      </c>
    </row>
    <row r="583" spans="1:11" x14ac:dyDescent="0.2">
      <c r="A583" s="10">
        <v>582</v>
      </c>
      <c r="B583" s="10" t="s">
        <v>3337</v>
      </c>
      <c r="C583" s="11" t="s">
        <v>3336</v>
      </c>
      <c r="D583" s="10" t="s">
        <v>4419</v>
      </c>
      <c r="E583" s="10" t="s">
        <v>5747</v>
      </c>
      <c r="F583" s="11" t="s">
        <v>5748</v>
      </c>
      <c r="G583" s="10" t="s">
        <v>13</v>
      </c>
      <c r="H583" s="12">
        <v>46263</v>
      </c>
      <c r="I583" s="10" t="s">
        <v>3241</v>
      </c>
      <c r="J583" s="10" t="str">
        <f>IFERROR(INDEX([1]Programas!$B$2:$B$50,MATCH(LEFT(I583,3),[1]Programas!$A$2:$A$50,0)),"")</f>
        <v>Creación y Producción</v>
      </c>
      <c r="K583" s="10" t="s">
        <v>335</v>
      </c>
    </row>
    <row r="584" spans="1:11" x14ac:dyDescent="0.2">
      <c r="A584" s="10">
        <v>583</v>
      </c>
      <c r="B584" s="10" t="s">
        <v>3339</v>
      </c>
      <c r="C584" s="11" t="s">
        <v>3338</v>
      </c>
      <c r="D584" s="10" t="s">
        <v>4419</v>
      </c>
      <c r="E584" s="10" t="s">
        <v>5749</v>
      </c>
      <c r="F584" s="11" t="s">
        <v>5750</v>
      </c>
      <c r="G584" s="10" t="s">
        <v>13</v>
      </c>
      <c r="H584" s="12">
        <v>46265</v>
      </c>
      <c r="I584" s="10" t="s">
        <v>3241</v>
      </c>
      <c r="J584" s="10" t="str">
        <f>IFERROR(INDEX([1]Programas!$B$2:$B$50,MATCH(LEFT(I584,3),[1]Programas!$A$2:$A$50,0)),"")</f>
        <v>Creación y Producción</v>
      </c>
      <c r="K584" s="10" t="s">
        <v>335</v>
      </c>
    </row>
    <row r="585" spans="1:11" x14ac:dyDescent="0.2">
      <c r="A585" s="10">
        <v>584</v>
      </c>
      <c r="B585" s="10" t="s">
        <v>3341</v>
      </c>
      <c r="C585" s="11" t="s">
        <v>3340</v>
      </c>
      <c r="D585" s="10" t="s">
        <v>4419</v>
      </c>
      <c r="E585" s="10" t="s">
        <v>5751</v>
      </c>
      <c r="F585" s="11" t="s">
        <v>5752</v>
      </c>
      <c r="G585" s="10" t="s">
        <v>13</v>
      </c>
      <c r="H585" s="12">
        <v>46265</v>
      </c>
      <c r="I585" s="10" t="s">
        <v>3241</v>
      </c>
      <c r="J585" s="10" t="str">
        <f>IFERROR(INDEX([1]Programas!$B$2:$B$50,MATCH(LEFT(I585,3),[1]Programas!$A$2:$A$50,0)),"")</f>
        <v>Creación y Producción</v>
      </c>
      <c r="K585" s="10" t="s">
        <v>335</v>
      </c>
    </row>
    <row r="586" spans="1:11" x14ac:dyDescent="0.2">
      <c r="A586" s="10">
        <v>585</v>
      </c>
      <c r="B586" s="10" t="s">
        <v>3343</v>
      </c>
      <c r="C586" s="11" t="s">
        <v>3342</v>
      </c>
      <c r="D586" s="10" t="s">
        <v>4419</v>
      </c>
      <c r="E586" s="10" t="s">
        <v>5753</v>
      </c>
      <c r="F586" s="11" t="s">
        <v>5754</v>
      </c>
      <c r="G586" s="10" t="s">
        <v>13</v>
      </c>
      <c r="H586" s="12">
        <v>46265</v>
      </c>
      <c r="I586" s="10" t="s">
        <v>3241</v>
      </c>
      <c r="J586" s="10" t="str">
        <f>IFERROR(INDEX([1]Programas!$B$2:$B$50,MATCH(LEFT(I586,3),[1]Programas!$A$2:$A$50,0)),"")</f>
        <v>Creación y Producción</v>
      </c>
      <c r="K586" s="10" t="s">
        <v>335</v>
      </c>
    </row>
    <row r="587" spans="1:11" x14ac:dyDescent="0.2">
      <c r="A587" s="10">
        <v>586</v>
      </c>
      <c r="B587" s="10" t="s">
        <v>3345</v>
      </c>
      <c r="C587" s="11" t="s">
        <v>3344</v>
      </c>
      <c r="D587" s="10" t="s">
        <v>4419</v>
      </c>
      <c r="E587" s="10" t="s">
        <v>5755</v>
      </c>
      <c r="F587" s="11" t="s">
        <v>5756</v>
      </c>
      <c r="G587" s="10" t="s">
        <v>13</v>
      </c>
      <c r="H587" s="12">
        <v>46265</v>
      </c>
      <c r="I587" s="10" t="s">
        <v>3241</v>
      </c>
      <c r="J587" s="10" t="str">
        <f>IFERROR(INDEX([1]Programas!$B$2:$B$50,MATCH(LEFT(I587,3),[1]Programas!$A$2:$A$50,0)),"")</f>
        <v>Creación y Producción</v>
      </c>
      <c r="K587" s="10" t="s">
        <v>335</v>
      </c>
    </row>
    <row r="588" spans="1:11" x14ac:dyDescent="0.2">
      <c r="A588" s="10">
        <v>587</v>
      </c>
      <c r="B588" s="10" t="s">
        <v>5757</v>
      </c>
      <c r="C588" s="11" t="s">
        <v>3346</v>
      </c>
      <c r="D588" s="10" t="s">
        <v>4419</v>
      </c>
      <c r="E588" s="10" t="s">
        <v>5758</v>
      </c>
      <c r="F588" s="11" t="s">
        <v>5759</v>
      </c>
      <c r="G588" s="10" t="s">
        <v>13</v>
      </c>
      <c r="H588" s="12">
        <v>46265</v>
      </c>
      <c r="I588" s="10" t="s">
        <v>3241</v>
      </c>
      <c r="J588" s="10" t="str">
        <f>IFERROR(INDEX([1]Programas!$B$2:$B$50,MATCH(LEFT(I588,3),[1]Programas!$A$2:$A$50,0)),"")</f>
        <v>Creación y Producción</v>
      </c>
      <c r="K588" s="10" t="s">
        <v>335</v>
      </c>
    </row>
    <row r="589" spans="1:11" x14ac:dyDescent="0.2">
      <c r="A589" s="10">
        <v>588</v>
      </c>
      <c r="B589" s="10" t="s">
        <v>3349</v>
      </c>
      <c r="C589" s="11" t="s">
        <v>3348</v>
      </c>
      <c r="D589" s="10" t="s">
        <v>4419</v>
      </c>
      <c r="E589" s="10" t="s">
        <v>5760</v>
      </c>
      <c r="F589" s="11" t="s">
        <v>5761</v>
      </c>
      <c r="G589" s="10" t="s">
        <v>13</v>
      </c>
      <c r="H589" s="12">
        <v>46265</v>
      </c>
      <c r="I589" s="10" t="s">
        <v>3241</v>
      </c>
      <c r="J589" s="10" t="str">
        <f>IFERROR(INDEX([1]Programas!$B$2:$B$50,MATCH(LEFT(I589,3),[1]Programas!$A$2:$A$50,0)),"")</f>
        <v>Creación y Producción</v>
      </c>
      <c r="K589" s="10" t="s">
        <v>335</v>
      </c>
    </row>
    <row r="590" spans="1:11" x14ac:dyDescent="0.2">
      <c r="A590" s="10">
        <v>589</v>
      </c>
      <c r="B590" s="10" t="s">
        <v>3351</v>
      </c>
      <c r="C590" s="11" t="s">
        <v>3350</v>
      </c>
      <c r="D590" s="10" t="s">
        <v>4419</v>
      </c>
      <c r="E590" s="10" t="s">
        <v>5762</v>
      </c>
      <c r="F590" s="11" t="s">
        <v>5763</v>
      </c>
      <c r="G590" s="10" t="s">
        <v>13</v>
      </c>
      <c r="H590" s="12">
        <v>46265</v>
      </c>
      <c r="I590" s="10" t="s">
        <v>3241</v>
      </c>
      <c r="J590" s="10" t="str">
        <f>IFERROR(INDEX([1]Programas!$B$2:$B$50,MATCH(LEFT(I590,3),[1]Programas!$A$2:$A$50,0)),"")</f>
        <v>Creación y Producción</v>
      </c>
      <c r="K590" s="10" t="s">
        <v>335</v>
      </c>
    </row>
    <row r="591" spans="1:11" x14ac:dyDescent="0.2">
      <c r="A591" s="10">
        <v>590</v>
      </c>
      <c r="B591" s="10" t="s">
        <v>3353</v>
      </c>
      <c r="C591" s="11" t="s">
        <v>3352</v>
      </c>
      <c r="D591" s="10" t="s">
        <v>4419</v>
      </c>
      <c r="E591" s="10" t="s">
        <v>5764</v>
      </c>
      <c r="F591" s="11" t="s">
        <v>5765</v>
      </c>
      <c r="G591" s="10" t="s">
        <v>13</v>
      </c>
      <c r="H591" s="12">
        <v>46265</v>
      </c>
      <c r="I591" s="10" t="s">
        <v>3241</v>
      </c>
      <c r="J591" s="10" t="str">
        <f>IFERROR(INDEX([1]Programas!$B$2:$B$50,MATCH(LEFT(I591,3),[1]Programas!$A$2:$A$50,0)),"")</f>
        <v>Creación y Producción</v>
      </c>
      <c r="K591" s="10" t="s">
        <v>335</v>
      </c>
    </row>
    <row r="592" spans="1:11" x14ac:dyDescent="0.2">
      <c r="A592" s="10">
        <v>591</v>
      </c>
      <c r="B592" s="10" t="s">
        <v>3355</v>
      </c>
      <c r="C592" s="11" t="s">
        <v>3354</v>
      </c>
      <c r="D592" s="10" t="s">
        <v>4419</v>
      </c>
      <c r="E592" s="10" t="s">
        <v>5766</v>
      </c>
      <c r="F592" s="11" t="s">
        <v>5767</v>
      </c>
      <c r="G592" s="10" t="s">
        <v>13</v>
      </c>
      <c r="H592" s="12">
        <v>46265</v>
      </c>
      <c r="I592" s="10" t="s">
        <v>3241</v>
      </c>
      <c r="J592" s="10" t="str">
        <f>IFERROR(INDEX([1]Programas!$B$2:$B$50,MATCH(LEFT(I592,3),[1]Programas!$A$2:$A$50,0)),"")</f>
        <v>Creación y Producción</v>
      </c>
      <c r="K592" s="10" t="s">
        <v>335</v>
      </c>
    </row>
    <row r="593" spans="1:11" x14ac:dyDescent="0.2">
      <c r="A593" s="10">
        <v>592</v>
      </c>
      <c r="B593" s="10" t="s">
        <v>3357</v>
      </c>
      <c r="C593" s="11" t="s">
        <v>3356</v>
      </c>
      <c r="D593" s="10" t="s">
        <v>4419</v>
      </c>
      <c r="E593" s="10" t="s">
        <v>5768</v>
      </c>
      <c r="F593" s="11" t="s">
        <v>5769</v>
      </c>
      <c r="G593" s="10" t="s">
        <v>13</v>
      </c>
      <c r="H593" s="12">
        <v>46282</v>
      </c>
      <c r="I593" s="10" t="s">
        <v>3241</v>
      </c>
      <c r="J593" s="10" t="str">
        <f>IFERROR(INDEX([1]Programas!$B$2:$B$50,MATCH(LEFT(I593,3),[1]Programas!$A$2:$A$50,0)),"")</f>
        <v>Creación y Producción</v>
      </c>
      <c r="K593" s="10" t="s">
        <v>335</v>
      </c>
    </row>
    <row r="594" spans="1:11" x14ac:dyDescent="0.2">
      <c r="A594" s="10">
        <v>593</v>
      </c>
      <c r="B594" s="10" t="s">
        <v>5770</v>
      </c>
      <c r="C594" s="11" t="s">
        <v>3358</v>
      </c>
      <c r="D594" s="10" t="s">
        <v>4419</v>
      </c>
      <c r="E594" s="10" t="s">
        <v>5771</v>
      </c>
      <c r="F594" s="11" t="s">
        <v>5772</v>
      </c>
      <c r="G594" s="10" t="s">
        <v>13</v>
      </c>
      <c r="H594" s="12">
        <v>46262</v>
      </c>
      <c r="I594" s="10" t="s">
        <v>3361</v>
      </c>
      <c r="J594" s="10" t="str">
        <f>IFERROR(INDEX([1]Programas!$B$2:$B$50,MATCH(LEFT(I594,3),[1]Programas!$A$2:$A$50,0)),"")</f>
        <v>Creación y Producción</v>
      </c>
      <c r="K594" s="10" t="s">
        <v>516</v>
      </c>
    </row>
    <row r="595" spans="1:11" x14ac:dyDescent="0.2">
      <c r="A595" s="10">
        <v>594</v>
      </c>
      <c r="B595" s="10" t="s">
        <v>5773</v>
      </c>
      <c r="C595" s="11" t="s">
        <v>3363</v>
      </c>
      <c r="D595" s="10" t="s">
        <v>4419</v>
      </c>
      <c r="E595" s="10" t="s">
        <v>5774</v>
      </c>
      <c r="F595" s="11" t="s">
        <v>5775</v>
      </c>
      <c r="G595" s="10" t="s">
        <v>13</v>
      </c>
      <c r="H595" s="12">
        <v>46262</v>
      </c>
      <c r="I595" s="10" t="s">
        <v>3361</v>
      </c>
      <c r="J595" s="10" t="str">
        <f>IFERROR(INDEX([1]Programas!$B$2:$B$50,MATCH(LEFT(I595,3),[1]Programas!$A$2:$A$50,0)),"")</f>
        <v>Creación y Producción</v>
      </c>
      <c r="K595" s="10" t="s">
        <v>516</v>
      </c>
    </row>
    <row r="596" spans="1:11" x14ac:dyDescent="0.2">
      <c r="A596" s="10">
        <v>595</v>
      </c>
      <c r="B596" s="10" t="s">
        <v>5776</v>
      </c>
      <c r="C596" s="11" t="s">
        <v>3365</v>
      </c>
      <c r="D596" s="10" t="s">
        <v>4419</v>
      </c>
      <c r="E596" s="10" t="s">
        <v>5777</v>
      </c>
      <c r="F596" s="11" t="s">
        <v>5778</v>
      </c>
      <c r="G596" s="10" t="s">
        <v>13</v>
      </c>
      <c r="H596" s="12">
        <v>46262</v>
      </c>
      <c r="I596" s="10" t="s">
        <v>3361</v>
      </c>
      <c r="J596" s="10" t="str">
        <f>IFERROR(INDEX([1]Programas!$B$2:$B$50,MATCH(LEFT(I596,3),[1]Programas!$A$2:$A$50,0)),"")</f>
        <v>Creación y Producción</v>
      </c>
      <c r="K596" s="10" t="s">
        <v>516</v>
      </c>
    </row>
    <row r="597" spans="1:11" x14ac:dyDescent="0.2">
      <c r="A597" s="10">
        <v>596</v>
      </c>
      <c r="B597" s="10" t="s">
        <v>3368</v>
      </c>
      <c r="C597" s="11" t="s">
        <v>3367</v>
      </c>
      <c r="D597" s="10" t="s">
        <v>4419</v>
      </c>
      <c r="E597" s="10" t="s">
        <v>5779</v>
      </c>
      <c r="F597" s="11" t="s">
        <v>5780</v>
      </c>
      <c r="G597" s="10" t="s">
        <v>13</v>
      </c>
      <c r="H597" s="12">
        <v>46262</v>
      </c>
      <c r="I597" s="10" t="s">
        <v>3361</v>
      </c>
      <c r="J597" s="10" t="str">
        <f>IFERROR(INDEX([1]Programas!$B$2:$B$50,MATCH(LEFT(I597,3),[1]Programas!$A$2:$A$50,0)),"")</f>
        <v>Creación y Producción</v>
      </c>
      <c r="K597" s="10" t="s">
        <v>516</v>
      </c>
    </row>
    <row r="598" spans="1:11" x14ac:dyDescent="0.2">
      <c r="A598" s="10">
        <v>597</v>
      </c>
      <c r="B598" s="10" t="s">
        <v>3370</v>
      </c>
      <c r="C598" s="11" t="s">
        <v>3369</v>
      </c>
      <c r="D598" s="10" t="s">
        <v>4419</v>
      </c>
      <c r="E598" s="10" t="s">
        <v>5781</v>
      </c>
      <c r="F598" s="11" t="s">
        <v>5782</v>
      </c>
      <c r="G598" s="10" t="s">
        <v>13</v>
      </c>
      <c r="H598" s="12">
        <v>46262</v>
      </c>
      <c r="I598" s="10" t="s">
        <v>3361</v>
      </c>
      <c r="J598" s="10" t="str">
        <f>IFERROR(INDEX([1]Programas!$B$2:$B$50,MATCH(LEFT(I598,3),[1]Programas!$A$2:$A$50,0)),"")</f>
        <v>Creación y Producción</v>
      </c>
      <c r="K598" s="10" t="s">
        <v>516</v>
      </c>
    </row>
    <row r="599" spans="1:11" x14ac:dyDescent="0.2">
      <c r="A599" s="10">
        <v>598</v>
      </c>
      <c r="B599" s="10" t="s">
        <v>3372</v>
      </c>
      <c r="C599" s="11" t="s">
        <v>3371</v>
      </c>
      <c r="D599" s="10" t="s">
        <v>4419</v>
      </c>
      <c r="E599" s="10" t="s">
        <v>5783</v>
      </c>
      <c r="F599" s="11" t="s">
        <v>5784</v>
      </c>
      <c r="G599" s="10" t="s">
        <v>13</v>
      </c>
      <c r="H599" s="12">
        <v>46262</v>
      </c>
      <c r="I599" s="10" t="s">
        <v>3361</v>
      </c>
      <c r="J599" s="10" t="str">
        <f>IFERROR(INDEX([1]Programas!$B$2:$B$50,MATCH(LEFT(I599,3),[1]Programas!$A$2:$A$50,0)),"")</f>
        <v>Creación y Producción</v>
      </c>
      <c r="K599" s="10" t="s">
        <v>516</v>
      </c>
    </row>
    <row r="600" spans="1:11" x14ac:dyDescent="0.2">
      <c r="A600" s="10">
        <v>599</v>
      </c>
      <c r="B600" s="10" t="s">
        <v>3374</v>
      </c>
      <c r="C600" s="11" t="s">
        <v>3373</v>
      </c>
      <c r="D600" s="10" t="s">
        <v>4419</v>
      </c>
      <c r="E600" s="10" t="s">
        <v>5785</v>
      </c>
      <c r="F600" s="11" t="s">
        <v>5786</v>
      </c>
      <c r="G600" s="10" t="s">
        <v>13</v>
      </c>
      <c r="H600" s="12">
        <v>46262</v>
      </c>
      <c r="I600" s="10" t="s">
        <v>3361</v>
      </c>
      <c r="J600" s="10" t="str">
        <f>IFERROR(INDEX([1]Programas!$B$2:$B$50,MATCH(LEFT(I600,3),[1]Programas!$A$2:$A$50,0)),"")</f>
        <v>Creación y Producción</v>
      </c>
      <c r="K600" s="10" t="s">
        <v>516</v>
      </c>
    </row>
    <row r="601" spans="1:11" x14ac:dyDescent="0.2">
      <c r="A601" s="10">
        <v>600</v>
      </c>
      <c r="B601" s="10" t="s">
        <v>5787</v>
      </c>
      <c r="C601" s="11" t="s">
        <v>3375</v>
      </c>
      <c r="D601" s="10" t="s">
        <v>4419</v>
      </c>
      <c r="E601" s="10" t="s">
        <v>5788</v>
      </c>
      <c r="F601" s="11" t="s">
        <v>5789</v>
      </c>
      <c r="G601" s="10" t="s">
        <v>13</v>
      </c>
      <c r="H601" s="12">
        <v>46262</v>
      </c>
      <c r="I601" s="10" t="s">
        <v>3361</v>
      </c>
      <c r="J601" s="10" t="str">
        <f>IFERROR(INDEX([1]Programas!$B$2:$B$50,MATCH(LEFT(I601,3),[1]Programas!$A$2:$A$50,0)),"")</f>
        <v>Creación y Producción</v>
      </c>
      <c r="K601" s="10" t="s">
        <v>516</v>
      </c>
    </row>
    <row r="602" spans="1:11" x14ac:dyDescent="0.2">
      <c r="A602" s="10">
        <v>601</v>
      </c>
      <c r="B602" s="10" t="s">
        <v>5790</v>
      </c>
      <c r="C602" s="11" t="s">
        <v>3377</v>
      </c>
      <c r="D602" s="10" t="s">
        <v>4453</v>
      </c>
      <c r="E602" s="10" t="s">
        <v>5791</v>
      </c>
      <c r="F602" s="11" t="s">
        <v>5792</v>
      </c>
      <c r="G602" s="10" t="s">
        <v>13</v>
      </c>
      <c r="H602" s="12">
        <v>46262</v>
      </c>
      <c r="I602" s="10" t="s">
        <v>3361</v>
      </c>
      <c r="J602" s="10" t="str">
        <f>IFERROR(INDEX([1]Programas!$B$2:$B$50,MATCH(LEFT(I602,3),[1]Programas!$A$2:$A$50,0)),"")</f>
        <v>Creación y Producción</v>
      </c>
      <c r="K602" s="10" t="s">
        <v>516</v>
      </c>
    </row>
    <row r="603" spans="1:11" x14ac:dyDescent="0.2">
      <c r="A603" s="10">
        <v>602</v>
      </c>
      <c r="B603" s="10" t="s">
        <v>3380</v>
      </c>
      <c r="C603" s="11" t="s">
        <v>3379</v>
      </c>
      <c r="D603" s="10" t="s">
        <v>4419</v>
      </c>
      <c r="E603" s="10" t="s">
        <v>5793</v>
      </c>
      <c r="F603" s="11" t="s">
        <v>5794</v>
      </c>
      <c r="G603" s="10" t="s">
        <v>13</v>
      </c>
      <c r="H603" s="12">
        <v>46262</v>
      </c>
      <c r="I603" s="10" t="s">
        <v>3361</v>
      </c>
      <c r="J603" s="10" t="str">
        <f>IFERROR(INDEX([1]Programas!$B$2:$B$50,MATCH(LEFT(I603,3),[1]Programas!$A$2:$A$50,0)),"")</f>
        <v>Creación y Producción</v>
      </c>
      <c r="K603" s="10" t="s">
        <v>516</v>
      </c>
    </row>
    <row r="604" spans="1:11" x14ac:dyDescent="0.2">
      <c r="A604" s="10">
        <v>603</v>
      </c>
      <c r="B604" s="10" t="s">
        <v>3382</v>
      </c>
      <c r="C604" s="11" t="s">
        <v>3381</v>
      </c>
      <c r="D604" s="10" t="s">
        <v>4453</v>
      </c>
      <c r="E604" s="10" t="s">
        <v>5795</v>
      </c>
      <c r="F604" s="11" t="s">
        <v>5796</v>
      </c>
      <c r="G604" s="10" t="s">
        <v>13</v>
      </c>
      <c r="H604" s="12">
        <v>46262</v>
      </c>
      <c r="I604" s="10" t="s">
        <v>3361</v>
      </c>
      <c r="J604" s="10" t="str">
        <f>IFERROR(INDEX([1]Programas!$B$2:$B$50,MATCH(LEFT(I604,3),[1]Programas!$A$2:$A$50,0)),"")</f>
        <v>Creación y Producción</v>
      </c>
      <c r="K604" s="10" t="s">
        <v>516</v>
      </c>
    </row>
    <row r="605" spans="1:11" x14ac:dyDescent="0.2">
      <c r="A605" s="10">
        <v>604</v>
      </c>
      <c r="B605" s="10" t="s">
        <v>5797</v>
      </c>
      <c r="C605" s="11" t="s">
        <v>3383</v>
      </c>
      <c r="D605" s="10" t="s">
        <v>4419</v>
      </c>
      <c r="E605" s="10" t="s">
        <v>5798</v>
      </c>
      <c r="F605" s="11" t="s">
        <v>5799</v>
      </c>
      <c r="G605" s="10" t="s">
        <v>13</v>
      </c>
      <c r="H605" s="12">
        <v>46262</v>
      </c>
      <c r="I605" s="10" t="s">
        <v>3361</v>
      </c>
      <c r="J605" s="10" t="str">
        <f>IFERROR(INDEX([1]Programas!$B$2:$B$50,MATCH(LEFT(I605,3),[1]Programas!$A$2:$A$50,0)),"")</f>
        <v>Creación y Producción</v>
      </c>
      <c r="K605" s="10" t="s">
        <v>516</v>
      </c>
    </row>
    <row r="606" spans="1:11" x14ac:dyDescent="0.2">
      <c r="A606" s="10">
        <v>605</v>
      </c>
      <c r="B606" s="10" t="s">
        <v>3386</v>
      </c>
      <c r="C606" s="11" t="s">
        <v>3385</v>
      </c>
      <c r="D606" s="10" t="s">
        <v>4419</v>
      </c>
      <c r="E606" s="10" t="s">
        <v>5800</v>
      </c>
      <c r="F606" s="11" t="s">
        <v>5801</v>
      </c>
      <c r="G606" s="10" t="s">
        <v>13</v>
      </c>
      <c r="H606" s="12">
        <v>46262</v>
      </c>
      <c r="I606" s="10" t="s">
        <v>3361</v>
      </c>
      <c r="J606" s="10" t="str">
        <f>IFERROR(INDEX([1]Programas!$B$2:$B$50,MATCH(LEFT(I606,3),[1]Programas!$A$2:$A$50,0)),"")</f>
        <v>Creación y Producción</v>
      </c>
      <c r="K606" s="10" t="s">
        <v>516</v>
      </c>
    </row>
    <row r="607" spans="1:11" x14ac:dyDescent="0.2">
      <c r="A607" s="10">
        <v>606</v>
      </c>
      <c r="B607" s="10" t="s">
        <v>3388</v>
      </c>
      <c r="C607" s="11" t="s">
        <v>3387</v>
      </c>
      <c r="D607" s="10" t="s">
        <v>4419</v>
      </c>
      <c r="E607" s="10" t="s">
        <v>5802</v>
      </c>
      <c r="F607" s="11" t="s">
        <v>5803</v>
      </c>
      <c r="G607" s="10" t="s">
        <v>13</v>
      </c>
      <c r="H607" s="12">
        <v>46262</v>
      </c>
      <c r="I607" s="10" t="s">
        <v>3361</v>
      </c>
      <c r="J607" s="10" t="str">
        <f>IFERROR(INDEX([1]Programas!$B$2:$B$50,MATCH(LEFT(I607,3),[1]Programas!$A$2:$A$50,0)),"")</f>
        <v>Creación y Producción</v>
      </c>
      <c r="K607" s="10" t="s">
        <v>516</v>
      </c>
    </row>
    <row r="608" spans="1:11" x14ac:dyDescent="0.2">
      <c r="A608" s="10">
        <v>607</v>
      </c>
      <c r="B608" s="10" t="s">
        <v>3390</v>
      </c>
      <c r="C608" s="11" t="s">
        <v>3389</v>
      </c>
      <c r="D608" s="10" t="s">
        <v>4453</v>
      </c>
      <c r="E608" s="10" t="s">
        <v>5804</v>
      </c>
      <c r="F608" s="11" t="s">
        <v>5805</v>
      </c>
      <c r="G608" s="10" t="s">
        <v>13</v>
      </c>
      <c r="H608" s="12">
        <v>46262</v>
      </c>
      <c r="I608" s="10" t="s">
        <v>3361</v>
      </c>
      <c r="J608" s="10" t="str">
        <f>IFERROR(INDEX([1]Programas!$B$2:$B$50,MATCH(LEFT(I608,3),[1]Programas!$A$2:$A$50,0)),"")</f>
        <v>Creación y Producción</v>
      </c>
      <c r="K608" s="10" t="s">
        <v>516</v>
      </c>
    </row>
    <row r="609" spans="1:11" x14ac:dyDescent="0.2">
      <c r="A609" s="10">
        <v>608</v>
      </c>
      <c r="B609" s="10" t="s">
        <v>3392</v>
      </c>
      <c r="C609" s="11" t="s">
        <v>3391</v>
      </c>
      <c r="D609" s="10" t="s">
        <v>4419</v>
      </c>
      <c r="E609" s="10" t="s">
        <v>5806</v>
      </c>
      <c r="F609" s="11" t="s">
        <v>5807</v>
      </c>
      <c r="G609" s="10" t="s">
        <v>13</v>
      </c>
      <c r="H609" s="12">
        <v>46262</v>
      </c>
      <c r="I609" s="10" t="s">
        <v>3361</v>
      </c>
      <c r="J609" s="10" t="str">
        <f>IFERROR(INDEX([1]Programas!$B$2:$B$50,MATCH(LEFT(I609,3),[1]Programas!$A$2:$A$50,0)),"")</f>
        <v>Creación y Producción</v>
      </c>
      <c r="K609" s="10" t="s">
        <v>516</v>
      </c>
    </row>
    <row r="610" spans="1:11" x14ac:dyDescent="0.2">
      <c r="A610" s="10">
        <v>609</v>
      </c>
      <c r="B610" s="10" t="s">
        <v>3394</v>
      </c>
      <c r="C610" s="11" t="s">
        <v>3393</v>
      </c>
      <c r="D610" s="10" t="s">
        <v>4419</v>
      </c>
      <c r="E610" s="10" t="s">
        <v>5808</v>
      </c>
      <c r="F610" s="11" t="s">
        <v>5809</v>
      </c>
      <c r="G610" s="10" t="s">
        <v>13</v>
      </c>
      <c r="H610" s="12">
        <v>46262</v>
      </c>
      <c r="I610" s="10" t="s">
        <v>3361</v>
      </c>
      <c r="J610" s="10" t="str">
        <f>IFERROR(INDEX([1]Programas!$B$2:$B$50,MATCH(LEFT(I610,3),[1]Programas!$A$2:$A$50,0)),"")</f>
        <v>Creación y Producción</v>
      </c>
      <c r="K610" s="10" t="s">
        <v>516</v>
      </c>
    </row>
    <row r="611" spans="1:11" x14ac:dyDescent="0.2">
      <c r="A611" s="10">
        <v>610</v>
      </c>
      <c r="B611" s="10" t="s">
        <v>3396</v>
      </c>
      <c r="C611" s="11" t="s">
        <v>3395</v>
      </c>
      <c r="D611" s="10" t="s">
        <v>4419</v>
      </c>
      <c r="E611" s="10" t="s">
        <v>5810</v>
      </c>
      <c r="F611" s="11" t="s">
        <v>5811</v>
      </c>
      <c r="G611" s="10" t="s">
        <v>13</v>
      </c>
      <c r="H611" s="12">
        <v>46262</v>
      </c>
      <c r="I611" s="10" t="s">
        <v>3361</v>
      </c>
      <c r="J611" s="10" t="str">
        <f>IFERROR(INDEX([1]Programas!$B$2:$B$50,MATCH(LEFT(I611,3),[1]Programas!$A$2:$A$50,0)),"")</f>
        <v>Creación y Producción</v>
      </c>
      <c r="K611" s="10" t="s">
        <v>516</v>
      </c>
    </row>
    <row r="612" spans="1:11" x14ac:dyDescent="0.2">
      <c r="A612" s="10">
        <v>611</v>
      </c>
      <c r="B612" s="10" t="s">
        <v>5812</v>
      </c>
      <c r="C612" s="11" t="s">
        <v>3397</v>
      </c>
      <c r="D612" s="10" t="s">
        <v>4419</v>
      </c>
      <c r="E612" s="10" t="s">
        <v>5813</v>
      </c>
      <c r="F612" s="11" t="s">
        <v>5814</v>
      </c>
      <c r="G612" s="10" t="s">
        <v>13</v>
      </c>
      <c r="H612" s="12">
        <v>46262</v>
      </c>
      <c r="I612" s="10" t="s">
        <v>3361</v>
      </c>
      <c r="J612" s="10" t="str">
        <f>IFERROR(INDEX([1]Programas!$B$2:$B$50,MATCH(LEFT(I612,3),[1]Programas!$A$2:$A$50,0)),"")</f>
        <v>Creación y Producción</v>
      </c>
      <c r="K612" s="10" t="s">
        <v>516</v>
      </c>
    </row>
    <row r="613" spans="1:11" x14ac:dyDescent="0.2">
      <c r="A613" s="10">
        <v>612</v>
      </c>
      <c r="B613" s="10" t="s">
        <v>3400</v>
      </c>
      <c r="C613" s="11" t="s">
        <v>3399</v>
      </c>
      <c r="D613" s="10" t="s">
        <v>4419</v>
      </c>
      <c r="E613" s="10" t="s">
        <v>5815</v>
      </c>
      <c r="F613" s="11" t="s">
        <v>5816</v>
      </c>
      <c r="G613" s="10" t="s">
        <v>13</v>
      </c>
      <c r="H613" s="12">
        <v>46262</v>
      </c>
      <c r="I613" s="10" t="s">
        <v>3361</v>
      </c>
      <c r="J613" s="10" t="str">
        <f>IFERROR(INDEX([1]Programas!$B$2:$B$50,MATCH(LEFT(I613,3),[1]Programas!$A$2:$A$50,0)),"")</f>
        <v>Creación y Producción</v>
      </c>
      <c r="K613" s="10" t="s">
        <v>516</v>
      </c>
    </row>
    <row r="614" spans="1:11" x14ac:dyDescent="0.2">
      <c r="A614" s="10">
        <v>613</v>
      </c>
      <c r="B614" s="10" t="s">
        <v>3402</v>
      </c>
      <c r="C614" s="11" t="s">
        <v>3401</v>
      </c>
      <c r="D614" s="10" t="s">
        <v>4419</v>
      </c>
      <c r="E614" s="10" t="s">
        <v>5817</v>
      </c>
      <c r="F614" s="11" t="s">
        <v>5818</v>
      </c>
      <c r="G614" s="10" t="s">
        <v>13</v>
      </c>
      <c r="H614" s="12">
        <v>46262</v>
      </c>
      <c r="I614" s="10" t="s">
        <v>3361</v>
      </c>
      <c r="J614" s="10" t="str">
        <f>IFERROR(INDEX([1]Programas!$B$2:$B$50,MATCH(LEFT(I614,3),[1]Programas!$A$2:$A$50,0)),"")</f>
        <v>Creación y Producción</v>
      </c>
      <c r="K614" s="10" t="s">
        <v>516</v>
      </c>
    </row>
    <row r="615" spans="1:11" x14ac:dyDescent="0.2">
      <c r="A615" s="10">
        <v>614</v>
      </c>
      <c r="B615" s="10" t="s">
        <v>3404</v>
      </c>
      <c r="C615" s="11" t="s">
        <v>3403</v>
      </c>
      <c r="D615" s="10" t="s">
        <v>4419</v>
      </c>
      <c r="E615" s="10" t="s">
        <v>5819</v>
      </c>
      <c r="F615" s="11" t="s">
        <v>5820</v>
      </c>
      <c r="G615" s="10" t="s">
        <v>13</v>
      </c>
      <c r="H615" s="12">
        <v>46262</v>
      </c>
      <c r="I615" s="10" t="s">
        <v>3361</v>
      </c>
      <c r="J615" s="10" t="str">
        <f>IFERROR(INDEX([1]Programas!$B$2:$B$50,MATCH(LEFT(I615,3),[1]Programas!$A$2:$A$50,0)),"")</f>
        <v>Creación y Producción</v>
      </c>
      <c r="K615" s="10" t="s">
        <v>516</v>
      </c>
    </row>
    <row r="616" spans="1:11" x14ac:dyDescent="0.2">
      <c r="A616" s="10">
        <v>615</v>
      </c>
      <c r="B616" s="10" t="s">
        <v>3406</v>
      </c>
      <c r="C616" s="11" t="s">
        <v>3405</v>
      </c>
      <c r="D616" s="10" t="s">
        <v>4419</v>
      </c>
      <c r="E616" s="10" t="s">
        <v>5821</v>
      </c>
      <c r="F616" s="11" t="s">
        <v>5822</v>
      </c>
      <c r="G616" s="10" t="s">
        <v>13</v>
      </c>
      <c r="H616" s="12">
        <v>46262</v>
      </c>
      <c r="I616" s="10" t="s">
        <v>3361</v>
      </c>
      <c r="J616" s="10" t="str">
        <f>IFERROR(INDEX([1]Programas!$B$2:$B$50,MATCH(LEFT(I616,3),[1]Programas!$A$2:$A$50,0)),"")</f>
        <v>Creación y Producción</v>
      </c>
      <c r="K616" s="10" t="s">
        <v>516</v>
      </c>
    </row>
    <row r="617" spans="1:11" x14ac:dyDescent="0.2">
      <c r="A617" s="10">
        <v>616</v>
      </c>
      <c r="B617" s="10" t="s">
        <v>5823</v>
      </c>
      <c r="C617" s="11" t="s">
        <v>3407</v>
      </c>
      <c r="D617" s="10" t="s">
        <v>4419</v>
      </c>
      <c r="E617" s="10" t="s">
        <v>5824</v>
      </c>
      <c r="F617" s="11" t="s">
        <v>5825</v>
      </c>
      <c r="G617" s="10" t="s">
        <v>13</v>
      </c>
      <c r="H617" s="12">
        <v>46262</v>
      </c>
      <c r="I617" s="10" t="s">
        <v>3361</v>
      </c>
      <c r="J617" s="10" t="str">
        <f>IFERROR(INDEX([1]Programas!$B$2:$B$50,MATCH(LEFT(I617,3),[1]Programas!$A$2:$A$50,0)),"")</f>
        <v>Creación y Producción</v>
      </c>
      <c r="K617" s="10" t="s">
        <v>516</v>
      </c>
    </row>
    <row r="618" spans="1:11" x14ac:dyDescent="0.2">
      <c r="A618" s="10">
        <v>617</v>
      </c>
      <c r="B618" s="10" t="s">
        <v>3410</v>
      </c>
      <c r="C618" s="11" t="s">
        <v>3409</v>
      </c>
      <c r="D618" s="10" t="s">
        <v>4419</v>
      </c>
      <c r="E618" s="10" t="s">
        <v>5826</v>
      </c>
      <c r="F618" s="11" t="s">
        <v>5827</v>
      </c>
      <c r="G618" s="10" t="s">
        <v>13</v>
      </c>
      <c r="H618" s="12">
        <v>46262</v>
      </c>
      <c r="I618" s="10" t="s">
        <v>3361</v>
      </c>
      <c r="J618" s="10" t="str">
        <f>IFERROR(INDEX([1]Programas!$B$2:$B$50,MATCH(LEFT(I618,3),[1]Programas!$A$2:$A$50,0)),"")</f>
        <v>Creación y Producción</v>
      </c>
      <c r="K618" s="10" t="s">
        <v>516</v>
      </c>
    </row>
    <row r="619" spans="1:11" x14ac:dyDescent="0.2">
      <c r="A619" s="10">
        <v>618</v>
      </c>
      <c r="B619" s="10" t="s">
        <v>3412</v>
      </c>
      <c r="C619" s="11" t="s">
        <v>3411</v>
      </c>
      <c r="D619" s="10" t="s">
        <v>4419</v>
      </c>
      <c r="E619" s="10" t="s">
        <v>5828</v>
      </c>
      <c r="F619" s="11" t="s">
        <v>5829</v>
      </c>
      <c r="G619" s="10" t="s">
        <v>13</v>
      </c>
      <c r="H619" s="12">
        <v>46262</v>
      </c>
      <c r="I619" s="10" t="s">
        <v>3361</v>
      </c>
      <c r="J619" s="10" t="str">
        <f>IFERROR(INDEX([1]Programas!$B$2:$B$50,MATCH(LEFT(I619,3),[1]Programas!$A$2:$A$50,0)),"")</f>
        <v>Creación y Producción</v>
      </c>
      <c r="K619" s="10" t="s">
        <v>516</v>
      </c>
    </row>
    <row r="620" spans="1:11" x14ac:dyDescent="0.2">
      <c r="A620" s="10">
        <v>619</v>
      </c>
      <c r="B620" s="10" t="s">
        <v>3414</v>
      </c>
      <c r="C620" s="11" t="s">
        <v>3413</v>
      </c>
      <c r="D620" s="10" t="s">
        <v>4419</v>
      </c>
      <c r="E620" s="10" t="s">
        <v>5830</v>
      </c>
      <c r="F620" s="11" t="s">
        <v>5831</v>
      </c>
      <c r="G620" s="10" t="s">
        <v>13</v>
      </c>
      <c r="H620" s="12">
        <v>46262</v>
      </c>
      <c r="I620" s="10" t="s">
        <v>3361</v>
      </c>
      <c r="J620" s="10" t="str">
        <f>IFERROR(INDEX([1]Programas!$B$2:$B$50,MATCH(LEFT(I620,3),[1]Programas!$A$2:$A$50,0)),"")</f>
        <v>Creación y Producción</v>
      </c>
      <c r="K620" s="10" t="s">
        <v>516</v>
      </c>
    </row>
    <row r="621" spans="1:11" x14ac:dyDescent="0.2">
      <c r="A621" s="10">
        <v>620</v>
      </c>
      <c r="B621" s="10" t="s">
        <v>3416</v>
      </c>
      <c r="C621" s="11" t="s">
        <v>3415</v>
      </c>
      <c r="D621" s="10" t="s">
        <v>4419</v>
      </c>
      <c r="E621" s="10" t="s">
        <v>5832</v>
      </c>
      <c r="F621" s="11" t="s">
        <v>5833</v>
      </c>
      <c r="G621" s="10" t="s">
        <v>13</v>
      </c>
      <c r="H621" s="12">
        <v>46262</v>
      </c>
      <c r="I621" s="10" t="s">
        <v>3361</v>
      </c>
      <c r="J621" s="10" t="str">
        <f>IFERROR(INDEX([1]Programas!$B$2:$B$50,MATCH(LEFT(I621,3),[1]Programas!$A$2:$A$50,0)),"")</f>
        <v>Creación y Producción</v>
      </c>
      <c r="K621" s="10" t="s">
        <v>516</v>
      </c>
    </row>
    <row r="622" spans="1:11" x14ac:dyDescent="0.2">
      <c r="A622" s="10">
        <v>621</v>
      </c>
      <c r="B622" s="10" t="s">
        <v>3418</v>
      </c>
      <c r="C622" s="11" t="s">
        <v>3417</v>
      </c>
      <c r="D622" s="10" t="s">
        <v>4419</v>
      </c>
      <c r="E622" s="10" t="s">
        <v>5834</v>
      </c>
      <c r="F622" s="11" t="s">
        <v>5835</v>
      </c>
      <c r="G622" s="10" t="s">
        <v>13</v>
      </c>
      <c r="H622" s="12">
        <v>46262</v>
      </c>
      <c r="I622" s="10" t="s">
        <v>3361</v>
      </c>
      <c r="J622" s="10" t="str">
        <f>IFERROR(INDEX([1]Programas!$B$2:$B$50,MATCH(LEFT(I622,3),[1]Programas!$A$2:$A$50,0)),"")</f>
        <v>Creación y Producción</v>
      </c>
      <c r="K622" s="10" t="s">
        <v>516</v>
      </c>
    </row>
    <row r="623" spans="1:11" x14ac:dyDescent="0.2">
      <c r="A623" s="10">
        <v>622</v>
      </c>
      <c r="B623" s="10" t="s">
        <v>3420</v>
      </c>
      <c r="C623" s="11" t="s">
        <v>3419</v>
      </c>
      <c r="D623" s="10" t="s">
        <v>4419</v>
      </c>
      <c r="E623" s="10" t="s">
        <v>5836</v>
      </c>
      <c r="F623" s="11" t="s">
        <v>5837</v>
      </c>
      <c r="G623" s="10" t="s">
        <v>13</v>
      </c>
      <c r="H623" s="12">
        <v>46262</v>
      </c>
      <c r="I623" s="10" t="s">
        <v>3361</v>
      </c>
      <c r="J623" s="10" t="str">
        <f>IFERROR(INDEX([1]Programas!$B$2:$B$50,MATCH(LEFT(I623,3),[1]Programas!$A$2:$A$50,0)),"")</f>
        <v>Creación y Producción</v>
      </c>
      <c r="K623" s="10" t="s">
        <v>516</v>
      </c>
    </row>
    <row r="624" spans="1:11" x14ac:dyDescent="0.2">
      <c r="A624" s="10">
        <v>623</v>
      </c>
      <c r="B624" s="10" t="s">
        <v>3422</v>
      </c>
      <c r="C624" s="11" t="s">
        <v>3421</v>
      </c>
      <c r="D624" s="10" t="s">
        <v>4419</v>
      </c>
      <c r="E624" s="10" t="s">
        <v>5838</v>
      </c>
      <c r="F624" s="11" t="s">
        <v>5839</v>
      </c>
      <c r="G624" s="10" t="s">
        <v>13</v>
      </c>
      <c r="H624" s="12">
        <v>46262</v>
      </c>
      <c r="I624" s="10" t="s">
        <v>3361</v>
      </c>
      <c r="J624" s="10" t="str">
        <f>IFERROR(INDEX([1]Programas!$B$2:$B$50,MATCH(LEFT(I624,3),[1]Programas!$A$2:$A$50,0)),"")</f>
        <v>Creación y Producción</v>
      </c>
      <c r="K624" s="10" t="s">
        <v>516</v>
      </c>
    </row>
    <row r="625" spans="1:11" x14ac:dyDescent="0.2">
      <c r="A625" s="10">
        <v>624</v>
      </c>
      <c r="B625" s="10" t="s">
        <v>5840</v>
      </c>
      <c r="C625" s="11" t="s">
        <v>3423</v>
      </c>
      <c r="D625" s="10" t="s">
        <v>4419</v>
      </c>
      <c r="E625" s="10" t="s">
        <v>5841</v>
      </c>
      <c r="F625" s="11" t="s">
        <v>5842</v>
      </c>
      <c r="G625" s="10" t="s">
        <v>13</v>
      </c>
      <c r="H625" s="12">
        <v>46262</v>
      </c>
      <c r="I625" s="10" t="s">
        <v>3361</v>
      </c>
      <c r="J625" s="10" t="str">
        <f>IFERROR(INDEX([1]Programas!$B$2:$B$50,MATCH(LEFT(I625,3),[1]Programas!$A$2:$A$50,0)),"")</f>
        <v>Creación y Producción</v>
      </c>
      <c r="K625" s="10" t="s">
        <v>516</v>
      </c>
    </row>
    <row r="626" spans="1:11" x14ac:dyDescent="0.2">
      <c r="A626" s="10">
        <v>625</v>
      </c>
      <c r="B626" s="10" t="s">
        <v>5843</v>
      </c>
      <c r="C626" s="11" t="s">
        <v>3425</v>
      </c>
      <c r="D626" s="10" t="s">
        <v>4419</v>
      </c>
      <c r="E626" s="10" t="s">
        <v>5844</v>
      </c>
      <c r="F626" s="11" t="s">
        <v>5845</v>
      </c>
      <c r="G626" s="10" t="s">
        <v>13</v>
      </c>
      <c r="H626" s="12">
        <v>46262</v>
      </c>
      <c r="I626" s="10" t="s">
        <v>3361</v>
      </c>
      <c r="J626" s="10" t="str">
        <f>IFERROR(INDEX([1]Programas!$B$2:$B$50,MATCH(LEFT(I626,3),[1]Programas!$A$2:$A$50,0)),"")</f>
        <v>Creación y Producción</v>
      </c>
      <c r="K626" s="10" t="s">
        <v>516</v>
      </c>
    </row>
    <row r="627" spans="1:11" x14ac:dyDescent="0.2">
      <c r="A627" s="10">
        <v>626</v>
      </c>
      <c r="B627" s="10" t="s">
        <v>3429</v>
      </c>
      <c r="C627" s="11" t="s">
        <v>3428</v>
      </c>
      <c r="D627" s="10" t="s">
        <v>4419</v>
      </c>
      <c r="E627" s="10" t="s">
        <v>5846</v>
      </c>
      <c r="F627" s="11" t="s">
        <v>5847</v>
      </c>
      <c r="G627" s="10" t="s">
        <v>13</v>
      </c>
      <c r="H627" s="12">
        <v>46262</v>
      </c>
      <c r="I627" s="10" t="s">
        <v>3361</v>
      </c>
      <c r="J627" s="10" t="str">
        <f>IFERROR(INDEX([1]Programas!$B$2:$B$50,MATCH(LEFT(I627,3),[1]Programas!$A$2:$A$50,0)),"")</f>
        <v>Creación y Producción</v>
      </c>
      <c r="K627" s="10" t="s">
        <v>516</v>
      </c>
    </row>
    <row r="628" spans="1:11" x14ac:dyDescent="0.2">
      <c r="A628" s="10">
        <v>627</v>
      </c>
      <c r="B628" s="10" t="s">
        <v>3431</v>
      </c>
      <c r="C628" s="11" t="s">
        <v>3430</v>
      </c>
      <c r="D628" s="10" t="s">
        <v>4419</v>
      </c>
      <c r="E628" s="10" t="s">
        <v>5848</v>
      </c>
      <c r="F628" s="11" t="s">
        <v>5849</v>
      </c>
      <c r="G628" s="10" t="s">
        <v>13</v>
      </c>
      <c r="H628" s="12">
        <v>46263</v>
      </c>
      <c r="I628" s="10" t="s">
        <v>3361</v>
      </c>
      <c r="J628" s="10" t="str">
        <f>IFERROR(INDEX([1]Programas!$B$2:$B$50,MATCH(LEFT(I628,3),[1]Programas!$A$2:$A$50,0)),"")</f>
        <v>Creación y Producción</v>
      </c>
      <c r="K628" s="10" t="s">
        <v>516</v>
      </c>
    </row>
    <row r="629" spans="1:11" x14ac:dyDescent="0.2">
      <c r="A629" s="10">
        <v>628</v>
      </c>
      <c r="B629" s="10" t="s">
        <v>5850</v>
      </c>
      <c r="C629" s="11" t="s">
        <v>3432</v>
      </c>
      <c r="D629" s="10" t="s">
        <v>4419</v>
      </c>
      <c r="E629" s="10" t="s">
        <v>5851</v>
      </c>
      <c r="F629" s="11" t="s">
        <v>5852</v>
      </c>
      <c r="G629" s="10" t="s">
        <v>13</v>
      </c>
      <c r="H629" s="12">
        <v>46263</v>
      </c>
      <c r="I629" s="10" t="s">
        <v>3361</v>
      </c>
      <c r="J629" s="10" t="str">
        <f>IFERROR(INDEX([1]Programas!$B$2:$B$50,MATCH(LEFT(I629,3),[1]Programas!$A$2:$A$50,0)),"")</f>
        <v>Creación y Producción</v>
      </c>
      <c r="K629" s="10" t="s">
        <v>516</v>
      </c>
    </row>
    <row r="630" spans="1:11" x14ac:dyDescent="0.2">
      <c r="A630" s="10">
        <v>629</v>
      </c>
      <c r="B630" s="10" t="s">
        <v>3436</v>
      </c>
      <c r="C630" s="11" t="s">
        <v>3435</v>
      </c>
      <c r="D630" s="10" t="s">
        <v>4419</v>
      </c>
      <c r="E630" s="10" t="s">
        <v>5853</v>
      </c>
      <c r="F630" s="11" t="s">
        <v>5854</v>
      </c>
      <c r="G630" s="10" t="s">
        <v>13</v>
      </c>
      <c r="H630" s="12">
        <v>46273</v>
      </c>
      <c r="I630" s="10" t="s">
        <v>3361</v>
      </c>
      <c r="J630" s="10" t="str">
        <f>IFERROR(INDEX([1]Programas!$B$2:$B$50,MATCH(LEFT(I630,3),[1]Programas!$A$2:$A$50,0)),"")</f>
        <v>Creación y Producción</v>
      </c>
      <c r="K630" s="10" t="s">
        <v>516</v>
      </c>
    </row>
    <row r="631" spans="1:11" x14ac:dyDescent="0.2">
      <c r="A631" s="10">
        <v>630</v>
      </c>
      <c r="B631" s="10" t="s">
        <v>3438</v>
      </c>
      <c r="C631" s="11" t="s">
        <v>3437</v>
      </c>
      <c r="D631" s="10" t="s">
        <v>4419</v>
      </c>
      <c r="E631" s="10" t="s">
        <v>5855</v>
      </c>
      <c r="F631" s="11" t="s">
        <v>5856</v>
      </c>
      <c r="G631" s="10" t="s">
        <v>13</v>
      </c>
      <c r="H631" s="12">
        <v>46262</v>
      </c>
      <c r="I631" s="10" t="s">
        <v>3440</v>
      </c>
      <c r="J631" s="10" t="str">
        <f>IFERROR(INDEX([1]Programas!$B$2:$B$50,MATCH(LEFT(I631,3),[1]Programas!$A$2:$A$50,0)),"")</f>
        <v>Creación y Producción</v>
      </c>
      <c r="K631" s="10" t="s">
        <v>16</v>
      </c>
    </row>
    <row r="632" spans="1:11" x14ac:dyDescent="0.2">
      <c r="A632" s="10">
        <v>631</v>
      </c>
      <c r="B632" s="10" t="s">
        <v>3442</v>
      </c>
      <c r="C632" s="11" t="s">
        <v>3441</v>
      </c>
      <c r="D632" s="10" t="s">
        <v>4419</v>
      </c>
      <c r="E632" s="10" t="s">
        <v>5857</v>
      </c>
      <c r="F632" s="11" t="s">
        <v>5858</v>
      </c>
      <c r="G632" s="10" t="s">
        <v>13</v>
      </c>
      <c r="H632" s="12">
        <v>46262</v>
      </c>
      <c r="I632" s="10" t="s">
        <v>3440</v>
      </c>
      <c r="J632" s="10" t="str">
        <f>IFERROR(INDEX([1]Programas!$B$2:$B$50,MATCH(LEFT(I632,3),[1]Programas!$A$2:$A$50,0)),"")</f>
        <v>Creación y Producción</v>
      </c>
      <c r="K632" s="10" t="s">
        <v>16</v>
      </c>
    </row>
    <row r="633" spans="1:11" x14ac:dyDescent="0.2">
      <c r="A633" s="10">
        <v>632</v>
      </c>
      <c r="B633" s="10" t="s">
        <v>5859</v>
      </c>
      <c r="C633" s="11" t="s">
        <v>3443</v>
      </c>
      <c r="D633" s="10" t="s">
        <v>4419</v>
      </c>
      <c r="E633" s="10" t="s">
        <v>5860</v>
      </c>
      <c r="F633" s="11" t="s">
        <v>5861</v>
      </c>
      <c r="G633" s="10" t="s">
        <v>13</v>
      </c>
      <c r="H633" s="12">
        <v>46262</v>
      </c>
      <c r="I633" s="10" t="s">
        <v>3440</v>
      </c>
      <c r="J633" s="10" t="str">
        <f>IFERROR(INDEX([1]Programas!$B$2:$B$50,MATCH(LEFT(I633,3),[1]Programas!$A$2:$A$50,0)),"")</f>
        <v>Creación y Producción</v>
      </c>
      <c r="K633" s="10" t="s">
        <v>16</v>
      </c>
    </row>
    <row r="634" spans="1:11" x14ac:dyDescent="0.2">
      <c r="A634" s="10">
        <v>633</v>
      </c>
      <c r="B634" s="10" t="s">
        <v>5862</v>
      </c>
      <c r="C634" s="11" t="s">
        <v>3445</v>
      </c>
      <c r="D634" s="10" t="s">
        <v>4419</v>
      </c>
      <c r="E634" s="10" t="s">
        <v>5863</v>
      </c>
      <c r="F634" s="11" t="s">
        <v>5864</v>
      </c>
      <c r="G634" s="10" t="s">
        <v>13</v>
      </c>
      <c r="H634" s="12">
        <v>46262</v>
      </c>
      <c r="I634" s="10" t="s">
        <v>3440</v>
      </c>
      <c r="J634" s="10" t="str">
        <f>IFERROR(INDEX([1]Programas!$B$2:$B$50,MATCH(LEFT(I634,3),[1]Programas!$A$2:$A$50,0)),"")</f>
        <v>Creación y Producción</v>
      </c>
      <c r="K634" s="10" t="s">
        <v>16</v>
      </c>
    </row>
    <row r="635" spans="1:11" x14ac:dyDescent="0.2">
      <c r="A635" s="10">
        <v>634</v>
      </c>
      <c r="B635" s="10" t="s">
        <v>5865</v>
      </c>
      <c r="C635" s="11" t="s">
        <v>3447</v>
      </c>
      <c r="D635" s="10" t="s">
        <v>4419</v>
      </c>
      <c r="E635" s="10" t="s">
        <v>5866</v>
      </c>
      <c r="F635" s="11" t="s">
        <v>5867</v>
      </c>
      <c r="G635" s="10" t="s">
        <v>13</v>
      </c>
      <c r="H635" s="12">
        <v>46262</v>
      </c>
      <c r="I635" s="10" t="s">
        <v>3440</v>
      </c>
      <c r="J635" s="10" t="str">
        <f>IFERROR(INDEX([1]Programas!$B$2:$B$50,MATCH(LEFT(I635,3),[1]Programas!$A$2:$A$50,0)),"")</f>
        <v>Creación y Producción</v>
      </c>
      <c r="K635" s="10" t="s">
        <v>16</v>
      </c>
    </row>
    <row r="636" spans="1:11" x14ac:dyDescent="0.2">
      <c r="A636" s="10">
        <v>635</v>
      </c>
      <c r="B636" s="10" t="s">
        <v>5868</v>
      </c>
      <c r="C636" s="11" t="s">
        <v>3451</v>
      </c>
      <c r="D636" s="10" t="s">
        <v>4419</v>
      </c>
      <c r="E636" s="10" t="s">
        <v>5869</v>
      </c>
      <c r="F636" s="11" t="s">
        <v>5870</v>
      </c>
      <c r="G636" s="10" t="s">
        <v>13</v>
      </c>
      <c r="H636" s="12">
        <v>46262</v>
      </c>
      <c r="I636" s="10" t="s">
        <v>3440</v>
      </c>
      <c r="J636" s="10" t="str">
        <f>IFERROR(INDEX([1]Programas!$B$2:$B$50,MATCH(LEFT(I636,3),[1]Programas!$A$2:$A$50,0)),"")</f>
        <v>Creación y Producción</v>
      </c>
      <c r="K636" s="10" t="s">
        <v>16</v>
      </c>
    </row>
    <row r="637" spans="1:11" x14ac:dyDescent="0.2">
      <c r="A637" s="10">
        <v>636</v>
      </c>
      <c r="B637" s="10" t="s">
        <v>3454</v>
      </c>
      <c r="C637" s="11" t="s">
        <v>3453</v>
      </c>
      <c r="D637" s="10" t="s">
        <v>4419</v>
      </c>
      <c r="E637" s="10" t="s">
        <v>5871</v>
      </c>
      <c r="F637" s="11" t="s">
        <v>5872</v>
      </c>
      <c r="G637" s="10" t="s">
        <v>13</v>
      </c>
      <c r="H637" s="12">
        <v>46262</v>
      </c>
      <c r="I637" s="10" t="s">
        <v>3440</v>
      </c>
      <c r="J637" s="10" t="str">
        <f>IFERROR(INDEX([1]Programas!$B$2:$B$50,MATCH(LEFT(I637,3),[1]Programas!$A$2:$A$50,0)),"")</f>
        <v>Creación y Producción</v>
      </c>
      <c r="K637" s="10" t="s">
        <v>16</v>
      </c>
    </row>
    <row r="638" spans="1:11" x14ac:dyDescent="0.2">
      <c r="A638" s="10">
        <v>637</v>
      </c>
      <c r="B638" s="10" t="s">
        <v>3456</v>
      </c>
      <c r="C638" s="11" t="s">
        <v>3455</v>
      </c>
      <c r="D638" s="10" t="s">
        <v>4419</v>
      </c>
      <c r="E638" s="10" t="s">
        <v>5873</v>
      </c>
      <c r="F638" s="11" t="s">
        <v>5874</v>
      </c>
      <c r="G638" s="10" t="s">
        <v>13</v>
      </c>
      <c r="H638" s="12">
        <v>46262</v>
      </c>
      <c r="I638" s="10" t="s">
        <v>3440</v>
      </c>
      <c r="J638" s="10" t="str">
        <f>IFERROR(INDEX([1]Programas!$B$2:$B$50,MATCH(LEFT(I638,3),[1]Programas!$A$2:$A$50,0)),"")</f>
        <v>Creación y Producción</v>
      </c>
      <c r="K638" s="10" t="s">
        <v>16</v>
      </c>
    </row>
    <row r="639" spans="1:11" x14ac:dyDescent="0.2">
      <c r="A639" s="10">
        <v>638</v>
      </c>
      <c r="B639" s="10" t="s">
        <v>5875</v>
      </c>
      <c r="C639" s="11" t="s">
        <v>3457</v>
      </c>
      <c r="D639" s="10" t="s">
        <v>4419</v>
      </c>
      <c r="E639" s="10" t="s">
        <v>5876</v>
      </c>
      <c r="F639" s="11" t="s">
        <v>5877</v>
      </c>
      <c r="G639" s="10" t="s">
        <v>13</v>
      </c>
      <c r="H639" s="12">
        <v>46262</v>
      </c>
      <c r="I639" s="10" t="s">
        <v>3440</v>
      </c>
      <c r="J639" s="10" t="str">
        <f>IFERROR(INDEX([1]Programas!$B$2:$B$50,MATCH(LEFT(I639,3),[1]Programas!$A$2:$A$50,0)),"")</f>
        <v>Creación y Producción</v>
      </c>
      <c r="K639" s="10" t="s">
        <v>16</v>
      </c>
    </row>
    <row r="640" spans="1:11" x14ac:dyDescent="0.2">
      <c r="A640" s="10">
        <v>639</v>
      </c>
      <c r="B640" s="10" t="s">
        <v>3460</v>
      </c>
      <c r="C640" s="11" t="s">
        <v>3459</v>
      </c>
      <c r="D640" s="10" t="s">
        <v>4419</v>
      </c>
      <c r="E640" s="10" t="s">
        <v>5878</v>
      </c>
      <c r="F640" s="11" t="s">
        <v>5879</v>
      </c>
      <c r="G640" s="10" t="s">
        <v>13</v>
      </c>
      <c r="H640" s="12">
        <v>46262</v>
      </c>
      <c r="I640" s="10" t="s">
        <v>3440</v>
      </c>
      <c r="J640" s="10" t="str">
        <f>IFERROR(INDEX([1]Programas!$B$2:$B$50,MATCH(LEFT(I640,3),[1]Programas!$A$2:$A$50,0)),"")</f>
        <v>Creación y Producción</v>
      </c>
      <c r="K640" s="10" t="s">
        <v>16</v>
      </c>
    </row>
    <row r="641" spans="1:11" x14ac:dyDescent="0.2">
      <c r="A641" s="10">
        <v>640</v>
      </c>
      <c r="B641" s="10" t="s">
        <v>3462</v>
      </c>
      <c r="C641" s="11" t="s">
        <v>3461</v>
      </c>
      <c r="D641" s="10" t="s">
        <v>4419</v>
      </c>
      <c r="E641" s="10" t="s">
        <v>5880</v>
      </c>
      <c r="F641" s="11" t="s">
        <v>5881</v>
      </c>
      <c r="G641" s="10" t="s">
        <v>13</v>
      </c>
      <c r="H641" s="12">
        <v>46262</v>
      </c>
      <c r="I641" s="10" t="s">
        <v>3440</v>
      </c>
      <c r="J641" s="10" t="str">
        <f>IFERROR(INDEX([1]Programas!$B$2:$B$50,MATCH(LEFT(I641,3),[1]Programas!$A$2:$A$50,0)),"")</f>
        <v>Creación y Producción</v>
      </c>
      <c r="K641" s="10" t="s">
        <v>16</v>
      </c>
    </row>
    <row r="642" spans="1:11" x14ac:dyDescent="0.2">
      <c r="A642" s="10">
        <v>641</v>
      </c>
      <c r="B642" s="10" t="s">
        <v>3464</v>
      </c>
      <c r="C642" s="11" t="s">
        <v>3463</v>
      </c>
      <c r="D642" s="10" t="s">
        <v>4419</v>
      </c>
      <c r="E642" s="10" t="s">
        <v>5882</v>
      </c>
      <c r="F642" s="11" t="s">
        <v>5883</v>
      </c>
      <c r="G642" s="10" t="s">
        <v>13</v>
      </c>
      <c r="H642" s="12">
        <v>46262</v>
      </c>
      <c r="I642" s="10" t="s">
        <v>3440</v>
      </c>
      <c r="J642" s="10" t="str">
        <f>IFERROR(INDEX([1]Programas!$B$2:$B$50,MATCH(LEFT(I642,3),[1]Programas!$A$2:$A$50,0)),"")</f>
        <v>Creación y Producción</v>
      </c>
      <c r="K642" s="10" t="s">
        <v>16</v>
      </c>
    </row>
    <row r="643" spans="1:11" x14ac:dyDescent="0.2">
      <c r="A643" s="10">
        <v>642</v>
      </c>
      <c r="B643" s="10" t="s">
        <v>3466</v>
      </c>
      <c r="C643" s="11" t="s">
        <v>3465</v>
      </c>
      <c r="D643" s="10" t="s">
        <v>4419</v>
      </c>
      <c r="E643" s="10" t="s">
        <v>5884</v>
      </c>
      <c r="F643" s="11" t="s">
        <v>5885</v>
      </c>
      <c r="G643" s="10" t="s">
        <v>13</v>
      </c>
      <c r="H643" s="12">
        <v>46262</v>
      </c>
      <c r="I643" s="10" t="s">
        <v>3440</v>
      </c>
      <c r="J643" s="10" t="str">
        <f>IFERROR(INDEX([1]Programas!$B$2:$B$50,MATCH(LEFT(I643,3),[1]Programas!$A$2:$A$50,0)),"")</f>
        <v>Creación y Producción</v>
      </c>
      <c r="K643" s="10" t="s">
        <v>16</v>
      </c>
    </row>
    <row r="644" spans="1:11" x14ac:dyDescent="0.2">
      <c r="A644" s="10">
        <v>643</v>
      </c>
      <c r="B644" s="10" t="s">
        <v>3468</v>
      </c>
      <c r="C644" s="11" t="s">
        <v>3467</v>
      </c>
      <c r="D644" s="10" t="s">
        <v>4419</v>
      </c>
      <c r="E644" s="10" t="s">
        <v>5886</v>
      </c>
      <c r="F644" s="11" t="s">
        <v>5887</v>
      </c>
      <c r="G644" s="10" t="s">
        <v>13</v>
      </c>
      <c r="H644" s="12">
        <v>46262</v>
      </c>
      <c r="I644" s="10" t="s">
        <v>3440</v>
      </c>
      <c r="J644" s="10" t="str">
        <f>IFERROR(INDEX([1]Programas!$B$2:$B$50,MATCH(LEFT(I644,3),[1]Programas!$A$2:$A$50,0)),"")</f>
        <v>Creación y Producción</v>
      </c>
      <c r="K644" s="10" t="s">
        <v>16</v>
      </c>
    </row>
    <row r="645" spans="1:11" x14ac:dyDescent="0.2">
      <c r="A645" s="10">
        <v>644</v>
      </c>
      <c r="B645" s="10" t="s">
        <v>3470</v>
      </c>
      <c r="C645" s="11" t="s">
        <v>3469</v>
      </c>
      <c r="D645" s="10" t="s">
        <v>4419</v>
      </c>
      <c r="E645" s="10" t="s">
        <v>5888</v>
      </c>
      <c r="F645" s="11" t="s">
        <v>5889</v>
      </c>
      <c r="G645" s="10" t="s">
        <v>13</v>
      </c>
      <c r="H645" s="12">
        <v>46262</v>
      </c>
      <c r="I645" s="10" t="s">
        <v>3440</v>
      </c>
      <c r="J645" s="10" t="str">
        <f>IFERROR(INDEX([1]Programas!$B$2:$B$50,MATCH(LEFT(I645,3),[1]Programas!$A$2:$A$50,0)),"")</f>
        <v>Creación y Producción</v>
      </c>
      <c r="K645" s="10" t="s">
        <v>16</v>
      </c>
    </row>
    <row r="646" spans="1:11" x14ac:dyDescent="0.2">
      <c r="A646" s="10">
        <v>645</v>
      </c>
      <c r="B646" s="10" t="s">
        <v>3472</v>
      </c>
      <c r="C646" s="11" t="s">
        <v>3471</v>
      </c>
      <c r="D646" s="10" t="s">
        <v>4419</v>
      </c>
      <c r="E646" s="10" t="s">
        <v>5890</v>
      </c>
      <c r="F646" s="11" t="s">
        <v>5891</v>
      </c>
      <c r="G646" s="10" t="s">
        <v>13</v>
      </c>
      <c r="H646" s="12">
        <v>46262</v>
      </c>
      <c r="I646" s="10" t="s">
        <v>3440</v>
      </c>
      <c r="J646" s="10" t="str">
        <f>IFERROR(INDEX([1]Programas!$B$2:$B$50,MATCH(LEFT(I646,3),[1]Programas!$A$2:$A$50,0)),"")</f>
        <v>Creación y Producción</v>
      </c>
      <c r="K646" s="10" t="s">
        <v>16</v>
      </c>
    </row>
    <row r="647" spans="1:11" x14ac:dyDescent="0.2">
      <c r="A647" s="10">
        <v>646</v>
      </c>
      <c r="B647" s="10" t="s">
        <v>3474</v>
      </c>
      <c r="C647" s="11" t="s">
        <v>3473</v>
      </c>
      <c r="D647" s="10" t="s">
        <v>4419</v>
      </c>
      <c r="E647" s="10" t="s">
        <v>5892</v>
      </c>
      <c r="F647" s="11" t="s">
        <v>5893</v>
      </c>
      <c r="G647" s="10" t="s">
        <v>13</v>
      </c>
      <c r="H647" s="12">
        <v>46262</v>
      </c>
      <c r="I647" s="10" t="s">
        <v>3440</v>
      </c>
      <c r="J647" s="10" t="str">
        <f>IFERROR(INDEX([1]Programas!$B$2:$B$50,MATCH(LEFT(I647,3),[1]Programas!$A$2:$A$50,0)),"")</f>
        <v>Creación y Producción</v>
      </c>
      <c r="K647" s="10" t="s">
        <v>16</v>
      </c>
    </row>
    <row r="648" spans="1:11" x14ac:dyDescent="0.2">
      <c r="A648" s="10">
        <v>647</v>
      </c>
      <c r="B648" s="10" t="s">
        <v>3476</v>
      </c>
      <c r="C648" s="11" t="s">
        <v>3475</v>
      </c>
      <c r="D648" s="10" t="s">
        <v>4419</v>
      </c>
      <c r="E648" s="10" t="s">
        <v>5894</v>
      </c>
      <c r="F648" s="11" t="s">
        <v>5895</v>
      </c>
      <c r="G648" s="10" t="s">
        <v>13</v>
      </c>
      <c r="H648" s="12">
        <v>46262</v>
      </c>
      <c r="I648" s="10" t="s">
        <v>3440</v>
      </c>
      <c r="J648" s="10" t="str">
        <f>IFERROR(INDEX([1]Programas!$B$2:$B$50,MATCH(LEFT(I648,3),[1]Programas!$A$2:$A$50,0)),"")</f>
        <v>Creación y Producción</v>
      </c>
      <c r="K648" s="10" t="s">
        <v>16</v>
      </c>
    </row>
    <row r="649" spans="1:11" x14ac:dyDescent="0.2">
      <c r="A649" s="10">
        <v>648</v>
      </c>
      <c r="B649" s="10" t="s">
        <v>3478</v>
      </c>
      <c r="C649" s="11" t="s">
        <v>3477</v>
      </c>
      <c r="D649" s="10" t="s">
        <v>4419</v>
      </c>
      <c r="E649" s="10" t="s">
        <v>5896</v>
      </c>
      <c r="F649" s="11" t="s">
        <v>5897</v>
      </c>
      <c r="G649" s="10" t="s">
        <v>13</v>
      </c>
      <c r="H649" s="12">
        <v>46262</v>
      </c>
      <c r="I649" s="10" t="s">
        <v>3440</v>
      </c>
      <c r="J649" s="10" t="str">
        <f>IFERROR(INDEX([1]Programas!$B$2:$B$50,MATCH(LEFT(I649,3),[1]Programas!$A$2:$A$50,0)),"")</f>
        <v>Creación y Producción</v>
      </c>
      <c r="K649" s="10" t="s">
        <v>16</v>
      </c>
    </row>
    <row r="650" spans="1:11" x14ac:dyDescent="0.2">
      <c r="A650" s="10">
        <v>649</v>
      </c>
      <c r="B650" s="10" t="s">
        <v>3480</v>
      </c>
      <c r="C650" s="11" t="s">
        <v>3479</v>
      </c>
      <c r="D650" s="10" t="s">
        <v>4419</v>
      </c>
      <c r="E650" s="10" t="s">
        <v>5898</v>
      </c>
      <c r="F650" s="11" t="s">
        <v>5899</v>
      </c>
      <c r="G650" s="10" t="s">
        <v>13</v>
      </c>
      <c r="H650" s="12">
        <v>46262</v>
      </c>
      <c r="I650" s="10" t="s">
        <v>3440</v>
      </c>
      <c r="J650" s="10" t="str">
        <f>IFERROR(INDEX([1]Programas!$B$2:$B$50,MATCH(LEFT(I650,3),[1]Programas!$A$2:$A$50,0)),"")</f>
        <v>Creación y Producción</v>
      </c>
      <c r="K650" s="10" t="s">
        <v>16</v>
      </c>
    </row>
    <row r="651" spans="1:11" x14ac:dyDescent="0.2">
      <c r="A651" s="10">
        <v>650</v>
      </c>
      <c r="B651" s="10" t="s">
        <v>3484</v>
      </c>
      <c r="C651" s="11" t="s">
        <v>3483</v>
      </c>
      <c r="D651" s="10" t="s">
        <v>4419</v>
      </c>
      <c r="E651" s="10" t="s">
        <v>5900</v>
      </c>
      <c r="F651" s="11" t="s">
        <v>5901</v>
      </c>
      <c r="G651" s="10" t="s">
        <v>13</v>
      </c>
      <c r="H651" s="12">
        <v>46262</v>
      </c>
      <c r="I651" s="10" t="s">
        <v>3440</v>
      </c>
      <c r="J651" s="10" t="str">
        <f>IFERROR(INDEX([1]Programas!$B$2:$B$50,MATCH(LEFT(I651,3),[1]Programas!$A$2:$A$50,0)),"")</f>
        <v>Creación y Producción</v>
      </c>
      <c r="K651" s="10" t="s">
        <v>16</v>
      </c>
    </row>
    <row r="652" spans="1:11" x14ac:dyDescent="0.2">
      <c r="A652" s="10">
        <v>651</v>
      </c>
      <c r="B652" s="10" t="s">
        <v>3486</v>
      </c>
      <c r="C652" s="11" t="s">
        <v>3485</v>
      </c>
      <c r="D652" s="10" t="s">
        <v>4419</v>
      </c>
      <c r="E652" s="10" t="s">
        <v>5902</v>
      </c>
      <c r="F652" s="11" t="s">
        <v>5903</v>
      </c>
      <c r="G652" s="10" t="s">
        <v>13</v>
      </c>
      <c r="H652" s="12">
        <v>46262</v>
      </c>
      <c r="I652" s="10" t="s">
        <v>3440</v>
      </c>
      <c r="J652" s="10" t="str">
        <f>IFERROR(INDEX([1]Programas!$B$2:$B$50,MATCH(LEFT(I652,3),[1]Programas!$A$2:$A$50,0)),"")</f>
        <v>Creación y Producción</v>
      </c>
      <c r="K652" s="10" t="s">
        <v>16</v>
      </c>
    </row>
    <row r="653" spans="1:11" x14ac:dyDescent="0.2">
      <c r="A653" s="10">
        <v>652</v>
      </c>
      <c r="B653" s="10" t="s">
        <v>5904</v>
      </c>
      <c r="C653" s="11" t="s">
        <v>3487</v>
      </c>
      <c r="D653" s="10" t="s">
        <v>4419</v>
      </c>
      <c r="E653" s="10" t="s">
        <v>5905</v>
      </c>
      <c r="F653" s="11" t="s">
        <v>5906</v>
      </c>
      <c r="G653" s="10" t="s">
        <v>13</v>
      </c>
      <c r="H653" s="12">
        <v>46262</v>
      </c>
      <c r="I653" s="10" t="s">
        <v>3440</v>
      </c>
      <c r="J653" s="10" t="str">
        <f>IFERROR(INDEX([1]Programas!$B$2:$B$50,MATCH(LEFT(I653,3),[1]Programas!$A$2:$A$50,0)),"")</f>
        <v>Creación y Producción</v>
      </c>
      <c r="K653" s="10" t="s">
        <v>16</v>
      </c>
    </row>
    <row r="654" spans="1:11" x14ac:dyDescent="0.2">
      <c r="A654" s="10">
        <v>653</v>
      </c>
      <c r="B654" s="10" t="s">
        <v>3490</v>
      </c>
      <c r="C654" s="11" t="s">
        <v>3489</v>
      </c>
      <c r="D654" s="10" t="s">
        <v>4419</v>
      </c>
      <c r="E654" s="10" t="s">
        <v>5907</v>
      </c>
      <c r="F654" s="11" t="s">
        <v>5908</v>
      </c>
      <c r="G654" s="10" t="s">
        <v>13</v>
      </c>
      <c r="H654" s="12">
        <v>46262</v>
      </c>
      <c r="I654" s="10" t="s">
        <v>3440</v>
      </c>
      <c r="J654" s="10" t="str">
        <f>IFERROR(INDEX([1]Programas!$B$2:$B$50,MATCH(LEFT(I654,3),[1]Programas!$A$2:$A$50,0)),"")</f>
        <v>Creación y Producción</v>
      </c>
      <c r="K654" s="10" t="s">
        <v>16</v>
      </c>
    </row>
    <row r="655" spans="1:11" x14ac:dyDescent="0.2">
      <c r="A655" s="10">
        <v>654</v>
      </c>
      <c r="B655" s="10" t="s">
        <v>3492</v>
      </c>
      <c r="C655" s="11" t="s">
        <v>3491</v>
      </c>
      <c r="D655" s="10" t="s">
        <v>4419</v>
      </c>
      <c r="E655" s="10" t="s">
        <v>5909</v>
      </c>
      <c r="F655" s="11" t="s">
        <v>5910</v>
      </c>
      <c r="G655" s="10" t="s">
        <v>13</v>
      </c>
      <c r="H655" s="12">
        <v>46262</v>
      </c>
      <c r="I655" s="10" t="s">
        <v>3440</v>
      </c>
      <c r="J655" s="10" t="str">
        <f>IFERROR(INDEX([1]Programas!$B$2:$B$50,MATCH(LEFT(I655,3),[1]Programas!$A$2:$A$50,0)),"")</f>
        <v>Creación y Producción</v>
      </c>
      <c r="K655" s="10" t="s">
        <v>16</v>
      </c>
    </row>
    <row r="656" spans="1:11" x14ac:dyDescent="0.2">
      <c r="A656" s="10">
        <v>655</v>
      </c>
      <c r="B656" s="10" t="s">
        <v>5911</v>
      </c>
      <c r="C656" s="11" t="s">
        <v>3493</v>
      </c>
      <c r="D656" s="10" t="s">
        <v>4419</v>
      </c>
      <c r="E656" s="10" t="s">
        <v>5912</v>
      </c>
      <c r="F656" s="11" t="s">
        <v>5913</v>
      </c>
      <c r="G656" s="10" t="s">
        <v>13</v>
      </c>
      <c r="H656" s="12">
        <v>46262</v>
      </c>
      <c r="I656" s="10" t="s">
        <v>3440</v>
      </c>
      <c r="J656" s="10" t="str">
        <f>IFERROR(INDEX([1]Programas!$B$2:$B$50,MATCH(LEFT(I656,3),[1]Programas!$A$2:$A$50,0)),"")</f>
        <v>Creación y Producción</v>
      </c>
      <c r="K656" s="10" t="s">
        <v>16</v>
      </c>
    </row>
    <row r="657" spans="1:11" x14ac:dyDescent="0.2">
      <c r="A657" s="10">
        <v>656</v>
      </c>
      <c r="B657" s="10" t="s">
        <v>3496</v>
      </c>
      <c r="C657" s="11" t="s">
        <v>3495</v>
      </c>
      <c r="D657" s="10" t="s">
        <v>4419</v>
      </c>
      <c r="E657" s="10" t="s">
        <v>5914</v>
      </c>
      <c r="F657" s="11" t="s">
        <v>5915</v>
      </c>
      <c r="G657" s="10" t="s">
        <v>13</v>
      </c>
      <c r="H657" s="12">
        <v>46262</v>
      </c>
      <c r="I657" s="10" t="s">
        <v>3440</v>
      </c>
      <c r="J657" s="10" t="str">
        <f>IFERROR(INDEX([1]Programas!$B$2:$B$50,MATCH(LEFT(I657,3),[1]Programas!$A$2:$A$50,0)),"")</f>
        <v>Creación y Producción</v>
      </c>
      <c r="K657" s="10" t="s">
        <v>16</v>
      </c>
    </row>
    <row r="658" spans="1:11" x14ac:dyDescent="0.2">
      <c r="A658" s="10">
        <v>657</v>
      </c>
      <c r="B658" s="10" t="s">
        <v>3498</v>
      </c>
      <c r="C658" s="11" t="s">
        <v>3497</v>
      </c>
      <c r="D658" s="10" t="s">
        <v>4419</v>
      </c>
      <c r="E658" s="10" t="s">
        <v>5916</v>
      </c>
      <c r="F658" s="11" t="s">
        <v>5917</v>
      </c>
      <c r="G658" s="10" t="s">
        <v>13</v>
      </c>
      <c r="H658" s="12">
        <v>46262</v>
      </c>
      <c r="I658" s="10" t="s">
        <v>3440</v>
      </c>
      <c r="J658" s="10" t="str">
        <f>IFERROR(INDEX([1]Programas!$B$2:$B$50,MATCH(LEFT(I658,3),[1]Programas!$A$2:$A$50,0)),"")</f>
        <v>Creación y Producción</v>
      </c>
      <c r="K658" s="10" t="s">
        <v>16</v>
      </c>
    </row>
    <row r="659" spans="1:11" x14ac:dyDescent="0.2">
      <c r="A659" s="10">
        <v>658</v>
      </c>
      <c r="B659" s="10" t="s">
        <v>5918</v>
      </c>
      <c r="C659" s="11" t="s">
        <v>3499</v>
      </c>
      <c r="D659" s="10" t="s">
        <v>4419</v>
      </c>
      <c r="E659" s="10" t="s">
        <v>5919</v>
      </c>
      <c r="F659" s="11" t="s">
        <v>5920</v>
      </c>
      <c r="G659" s="10" t="s">
        <v>13</v>
      </c>
      <c r="H659" s="12">
        <v>46263</v>
      </c>
      <c r="I659" s="10" t="s">
        <v>3440</v>
      </c>
      <c r="J659" s="10" t="str">
        <f>IFERROR(INDEX([1]Programas!$B$2:$B$50,MATCH(LEFT(I659,3),[1]Programas!$A$2:$A$50,0)),"")</f>
        <v>Creación y Producción</v>
      </c>
      <c r="K659" s="10" t="s">
        <v>16</v>
      </c>
    </row>
    <row r="660" spans="1:11" x14ac:dyDescent="0.2">
      <c r="A660" s="10">
        <v>659</v>
      </c>
      <c r="B660" s="10" t="s">
        <v>3502</v>
      </c>
      <c r="C660" s="11" t="s">
        <v>3501</v>
      </c>
      <c r="D660" s="10" t="s">
        <v>4419</v>
      </c>
      <c r="E660" s="10" t="s">
        <v>5921</v>
      </c>
      <c r="F660" s="11" t="s">
        <v>5922</v>
      </c>
      <c r="G660" s="10" t="s">
        <v>13</v>
      </c>
      <c r="H660" s="12">
        <v>46265</v>
      </c>
      <c r="I660" s="10" t="s">
        <v>3440</v>
      </c>
      <c r="J660" s="10" t="str">
        <f>IFERROR(INDEX([1]Programas!$B$2:$B$50,MATCH(LEFT(I660,3),[1]Programas!$A$2:$A$50,0)),"")</f>
        <v>Creación y Producción</v>
      </c>
      <c r="K660" s="10" t="s">
        <v>16</v>
      </c>
    </row>
    <row r="661" spans="1:11" x14ac:dyDescent="0.2">
      <c r="A661" s="10">
        <v>660</v>
      </c>
      <c r="B661" s="10" t="s">
        <v>5923</v>
      </c>
      <c r="C661" s="11" t="s">
        <v>1141</v>
      </c>
      <c r="D661" s="10" t="s">
        <v>4419</v>
      </c>
      <c r="E661" s="10" t="s">
        <v>5924</v>
      </c>
      <c r="F661" s="11" t="s">
        <v>5925</v>
      </c>
      <c r="G661" s="10" t="s">
        <v>13</v>
      </c>
      <c r="H661" s="12">
        <v>46262</v>
      </c>
      <c r="I661" s="10" t="s">
        <v>1144</v>
      </c>
      <c r="J661" s="10" t="str">
        <f>IFERROR(INDEX([1]Programas!$B$2:$B$50,MATCH(LEFT(I661,3),[1]Programas!$A$2:$A$50,0)),"")</f>
        <v>Desarrollo Web y Aplic</v>
      </c>
      <c r="K661" s="10" t="s">
        <v>16</v>
      </c>
    </row>
    <row r="662" spans="1:11" x14ac:dyDescent="0.2">
      <c r="A662" s="10">
        <v>661</v>
      </c>
      <c r="B662" s="10" t="s">
        <v>1148</v>
      </c>
      <c r="C662" s="11" t="s">
        <v>1147</v>
      </c>
      <c r="D662" s="10" t="s">
        <v>4419</v>
      </c>
      <c r="E662" s="10" t="s">
        <v>5926</v>
      </c>
      <c r="F662" s="11" t="s">
        <v>5927</v>
      </c>
      <c r="G662" s="10" t="s">
        <v>13</v>
      </c>
      <c r="H662" s="12">
        <v>46262</v>
      </c>
      <c r="I662" s="10" t="s">
        <v>1144</v>
      </c>
      <c r="J662" s="10" t="str">
        <f>IFERROR(INDEX([1]Programas!$B$2:$B$50,MATCH(LEFT(I662,3),[1]Programas!$A$2:$A$50,0)),"")</f>
        <v>Desarrollo Web y Aplic</v>
      </c>
      <c r="K662" s="10" t="s">
        <v>16</v>
      </c>
    </row>
    <row r="663" spans="1:11" x14ac:dyDescent="0.2">
      <c r="A663" s="10">
        <v>662</v>
      </c>
      <c r="B663" s="10" t="s">
        <v>1151</v>
      </c>
      <c r="C663" s="11" t="s">
        <v>1150</v>
      </c>
      <c r="D663" s="10" t="s">
        <v>4419</v>
      </c>
      <c r="E663" s="10" t="s">
        <v>5928</v>
      </c>
      <c r="F663" s="11" t="s">
        <v>5929</v>
      </c>
      <c r="G663" s="10" t="s">
        <v>13</v>
      </c>
      <c r="H663" s="12">
        <v>46262</v>
      </c>
      <c r="I663" s="10" t="s">
        <v>1144</v>
      </c>
      <c r="J663" s="10" t="str">
        <f>IFERROR(INDEX([1]Programas!$B$2:$B$50,MATCH(LEFT(I663,3),[1]Programas!$A$2:$A$50,0)),"")</f>
        <v>Desarrollo Web y Aplic</v>
      </c>
      <c r="K663" s="10" t="s">
        <v>16</v>
      </c>
    </row>
    <row r="664" spans="1:11" x14ac:dyDescent="0.2">
      <c r="A664" s="10">
        <v>663</v>
      </c>
      <c r="B664" s="10" t="s">
        <v>1153</v>
      </c>
      <c r="C664" s="11" t="s">
        <v>1152</v>
      </c>
      <c r="D664" s="10" t="s">
        <v>4419</v>
      </c>
      <c r="E664" s="10" t="s">
        <v>5930</v>
      </c>
      <c r="F664" s="11" t="s">
        <v>5931</v>
      </c>
      <c r="G664" s="10" t="s">
        <v>13</v>
      </c>
      <c r="H664" s="12">
        <v>46262</v>
      </c>
      <c r="I664" s="10" t="s">
        <v>1144</v>
      </c>
      <c r="J664" s="10" t="str">
        <f>IFERROR(INDEX([1]Programas!$B$2:$B$50,MATCH(LEFT(I664,3),[1]Programas!$A$2:$A$50,0)),"")</f>
        <v>Desarrollo Web y Aplic</v>
      </c>
      <c r="K664" s="10" t="s">
        <v>16</v>
      </c>
    </row>
    <row r="665" spans="1:11" x14ac:dyDescent="0.2">
      <c r="A665" s="10">
        <v>664</v>
      </c>
      <c r="B665" s="10" t="s">
        <v>1155</v>
      </c>
      <c r="C665" s="11" t="s">
        <v>1154</v>
      </c>
      <c r="D665" s="10" t="s">
        <v>4419</v>
      </c>
      <c r="E665" s="10" t="s">
        <v>5932</v>
      </c>
      <c r="F665" s="11" t="s">
        <v>5933</v>
      </c>
      <c r="G665" s="10" t="s">
        <v>13</v>
      </c>
      <c r="H665" s="12">
        <v>46262</v>
      </c>
      <c r="I665" s="10" t="s">
        <v>1144</v>
      </c>
      <c r="J665" s="10" t="str">
        <f>IFERROR(INDEX([1]Programas!$B$2:$B$50,MATCH(LEFT(I665,3),[1]Programas!$A$2:$A$50,0)),"")</f>
        <v>Desarrollo Web y Aplic</v>
      </c>
      <c r="K665" s="10" t="s">
        <v>16</v>
      </c>
    </row>
    <row r="666" spans="1:11" x14ac:dyDescent="0.2">
      <c r="A666" s="10">
        <v>665</v>
      </c>
      <c r="B666" s="10" t="s">
        <v>5934</v>
      </c>
      <c r="C666" s="11" t="s">
        <v>1156</v>
      </c>
      <c r="D666" s="10" t="s">
        <v>4419</v>
      </c>
      <c r="E666" s="10" t="s">
        <v>5935</v>
      </c>
      <c r="F666" s="11" t="s">
        <v>5936</v>
      </c>
      <c r="G666" s="10" t="s">
        <v>13</v>
      </c>
      <c r="H666" s="12">
        <v>46262</v>
      </c>
      <c r="I666" s="10" t="s">
        <v>1144</v>
      </c>
      <c r="J666" s="10" t="str">
        <f>IFERROR(INDEX([1]Programas!$B$2:$B$50,MATCH(LEFT(I666,3),[1]Programas!$A$2:$A$50,0)),"")</f>
        <v>Desarrollo Web y Aplic</v>
      </c>
      <c r="K666" s="10" t="s">
        <v>16</v>
      </c>
    </row>
    <row r="667" spans="1:11" x14ac:dyDescent="0.2">
      <c r="A667" s="10">
        <v>666</v>
      </c>
      <c r="B667" s="10" t="s">
        <v>1161</v>
      </c>
      <c r="C667" s="11" t="s">
        <v>1160</v>
      </c>
      <c r="D667" s="10" t="s">
        <v>4419</v>
      </c>
      <c r="E667" s="10" t="s">
        <v>5937</v>
      </c>
      <c r="F667" s="11" t="s">
        <v>5938</v>
      </c>
      <c r="G667" s="10" t="s">
        <v>13</v>
      </c>
      <c r="H667" s="12">
        <v>46262</v>
      </c>
      <c r="I667" s="10" t="s">
        <v>1144</v>
      </c>
      <c r="J667" s="10" t="str">
        <f>IFERROR(INDEX([1]Programas!$B$2:$B$50,MATCH(LEFT(I667,3),[1]Programas!$A$2:$A$50,0)),"")</f>
        <v>Desarrollo Web y Aplic</v>
      </c>
      <c r="K667" s="10" t="s">
        <v>16</v>
      </c>
    </row>
    <row r="668" spans="1:11" x14ac:dyDescent="0.2">
      <c r="A668" s="10">
        <v>667</v>
      </c>
      <c r="B668" s="10" t="s">
        <v>1163</v>
      </c>
      <c r="C668" s="11" t="s">
        <v>1162</v>
      </c>
      <c r="D668" s="10" t="s">
        <v>4419</v>
      </c>
      <c r="E668" s="10" t="s">
        <v>5939</v>
      </c>
      <c r="F668" s="11" t="s">
        <v>5940</v>
      </c>
      <c r="G668" s="10" t="s">
        <v>13</v>
      </c>
      <c r="H668" s="12">
        <v>46262</v>
      </c>
      <c r="I668" s="10" t="s">
        <v>1144</v>
      </c>
      <c r="J668" s="10" t="str">
        <f>IFERROR(INDEX([1]Programas!$B$2:$B$50,MATCH(LEFT(I668,3),[1]Programas!$A$2:$A$50,0)),"")</f>
        <v>Desarrollo Web y Aplic</v>
      </c>
      <c r="K668" s="10" t="s">
        <v>16</v>
      </c>
    </row>
    <row r="669" spans="1:11" x14ac:dyDescent="0.2">
      <c r="A669" s="10">
        <v>668</v>
      </c>
      <c r="B669" s="10" t="s">
        <v>1165</v>
      </c>
      <c r="C669" s="11" t="s">
        <v>1164</v>
      </c>
      <c r="D669" s="10" t="s">
        <v>4419</v>
      </c>
      <c r="E669" s="10" t="s">
        <v>5941</v>
      </c>
      <c r="F669" s="11" t="s">
        <v>5942</v>
      </c>
      <c r="G669" s="10" t="s">
        <v>13</v>
      </c>
      <c r="H669" s="12">
        <v>46262</v>
      </c>
      <c r="I669" s="10" t="s">
        <v>1144</v>
      </c>
      <c r="J669" s="10" t="str">
        <f>IFERROR(INDEX([1]Programas!$B$2:$B$50,MATCH(LEFT(I669,3),[1]Programas!$A$2:$A$50,0)),"")</f>
        <v>Desarrollo Web y Aplic</v>
      </c>
      <c r="K669" s="10" t="s">
        <v>16</v>
      </c>
    </row>
    <row r="670" spans="1:11" x14ac:dyDescent="0.2">
      <c r="A670" s="10">
        <v>669</v>
      </c>
      <c r="B670" s="10" t="s">
        <v>1167</v>
      </c>
      <c r="C670" s="11" t="s">
        <v>1166</v>
      </c>
      <c r="D670" s="10" t="s">
        <v>4419</v>
      </c>
      <c r="E670" s="10" t="s">
        <v>5943</v>
      </c>
      <c r="F670" s="11" t="s">
        <v>5944</v>
      </c>
      <c r="G670" s="10" t="s">
        <v>13</v>
      </c>
      <c r="H670" s="12">
        <v>46262</v>
      </c>
      <c r="I670" s="10" t="s">
        <v>1144</v>
      </c>
      <c r="J670" s="10" t="str">
        <f>IFERROR(INDEX([1]Programas!$B$2:$B$50,MATCH(LEFT(I670,3),[1]Programas!$A$2:$A$50,0)),"")</f>
        <v>Desarrollo Web y Aplic</v>
      </c>
      <c r="K670" s="10" t="s">
        <v>16</v>
      </c>
    </row>
    <row r="671" spans="1:11" x14ac:dyDescent="0.2">
      <c r="A671" s="10">
        <v>670</v>
      </c>
      <c r="B671" s="10" t="s">
        <v>1169</v>
      </c>
      <c r="C671" s="11" t="s">
        <v>1168</v>
      </c>
      <c r="D671" s="10" t="s">
        <v>4453</v>
      </c>
      <c r="E671" s="10" t="s">
        <v>5945</v>
      </c>
      <c r="F671" s="11" t="s">
        <v>5946</v>
      </c>
      <c r="G671" s="10" t="s">
        <v>13</v>
      </c>
      <c r="H671" s="12">
        <v>46262</v>
      </c>
      <c r="I671" s="10" t="s">
        <v>1144</v>
      </c>
      <c r="J671" s="10" t="str">
        <f>IFERROR(INDEX([1]Programas!$B$2:$B$50,MATCH(LEFT(I671,3),[1]Programas!$A$2:$A$50,0)),"")</f>
        <v>Desarrollo Web y Aplic</v>
      </c>
      <c r="K671" s="10" t="s">
        <v>16</v>
      </c>
    </row>
    <row r="672" spans="1:11" x14ac:dyDescent="0.2">
      <c r="A672" s="10">
        <v>671</v>
      </c>
      <c r="B672" s="10" t="s">
        <v>1171</v>
      </c>
      <c r="C672" s="11" t="s">
        <v>1170</v>
      </c>
      <c r="D672" s="10" t="s">
        <v>4419</v>
      </c>
      <c r="E672" s="10" t="s">
        <v>5947</v>
      </c>
      <c r="F672" s="11" t="s">
        <v>5948</v>
      </c>
      <c r="G672" s="10" t="s">
        <v>13</v>
      </c>
      <c r="H672" s="12">
        <v>46262</v>
      </c>
      <c r="I672" s="10" t="s">
        <v>1144</v>
      </c>
      <c r="J672" s="10" t="str">
        <f>IFERROR(INDEX([1]Programas!$B$2:$B$50,MATCH(LEFT(I672,3),[1]Programas!$A$2:$A$50,0)),"")</f>
        <v>Desarrollo Web y Aplic</v>
      </c>
      <c r="K672" s="10" t="s">
        <v>16</v>
      </c>
    </row>
    <row r="673" spans="1:11" x14ac:dyDescent="0.2">
      <c r="A673" s="10">
        <v>672</v>
      </c>
      <c r="B673" s="10" t="s">
        <v>1173</v>
      </c>
      <c r="C673" s="11" t="s">
        <v>1172</v>
      </c>
      <c r="D673" s="10" t="s">
        <v>4419</v>
      </c>
      <c r="E673" s="10" t="s">
        <v>5949</v>
      </c>
      <c r="F673" s="11" t="s">
        <v>5950</v>
      </c>
      <c r="G673" s="10" t="s">
        <v>13</v>
      </c>
      <c r="H673" s="12">
        <v>46262</v>
      </c>
      <c r="I673" s="10" t="s">
        <v>1144</v>
      </c>
      <c r="J673" s="10" t="str">
        <f>IFERROR(INDEX([1]Programas!$B$2:$B$50,MATCH(LEFT(I673,3),[1]Programas!$A$2:$A$50,0)),"")</f>
        <v>Desarrollo Web y Aplic</v>
      </c>
      <c r="K673" s="10" t="s">
        <v>16</v>
      </c>
    </row>
    <row r="674" spans="1:11" x14ac:dyDescent="0.2">
      <c r="A674" s="10">
        <v>673</v>
      </c>
      <c r="B674" s="10" t="s">
        <v>5951</v>
      </c>
      <c r="C674" s="11" t="s">
        <v>1174</v>
      </c>
      <c r="D674" s="10" t="s">
        <v>4419</v>
      </c>
      <c r="E674" s="10" t="s">
        <v>5952</v>
      </c>
      <c r="F674" s="11" t="s">
        <v>5953</v>
      </c>
      <c r="G674" s="10" t="s">
        <v>13</v>
      </c>
      <c r="H674" s="12">
        <v>46262</v>
      </c>
      <c r="I674" s="10" t="s">
        <v>1144</v>
      </c>
      <c r="J674" s="10" t="str">
        <f>IFERROR(INDEX([1]Programas!$B$2:$B$50,MATCH(LEFT(I674,3),[1]Programas!$A$2:$A$50,0)),"")</f>
        <v>Desarrollo Web y Aplic</v>
      </c>
      <c r="K674" s="10" t="s">
        <v>16</v>
      </c>
    </row>
    <row r="675" spans="1:11" x14ac:dyDescent="0.2">
      <c r="A675" s="10">
        <v>674</v>
      </c>
      <c r="B675" s="10" t="s">
        <v>5954</v>
      </c>
      <c r="C675" s="11" t="s">
        <v>1176</v>
      </c>
      <c r="D675" s="10" t="s">
        <v>4453</v>
      </c>
      <c r="E675" s="10" t="s">
        <v>5955</v>
      </c>
      <c r="F675" s="11" t="s">
        <v>5956</v>
      </c>
      <c r="G675" s="10" t="s">
        <v>13</v>
      </c>
      <c r="H675" s="12">
        <v>46262</v>
      </c>
      <c r="I675" s="10" t="s">
        <v>1144</v>
      </c>
      <c r="J675" s="10" t="str">
        <f>IFERROR(INDEX([1]Programas!$B$2:$B$50,MATCH(LEFT(I675,3),[1]Programas!$A$2:$A$50,0)),"")</f>
        <v>Desarrollo Web y Aplic</v>
      </c>
      <c r="K675" s="10" t="s">
        <v>16</v>
      </c>
    </row>
    <row r="676" spans="1:11" x14ac:dyDescent="0.2">
      <c r="A676" s="10">
        <v>675</v>
      </c>
      <c r="B676" s="10" t="s">
        <v>1181</v>
      </c>
      <c r="C676" s="11" t="s">
        <v>1180</v>
      </c>
      <c r="D676" s="10" t="s">
        <v>4419</v>
      </c>
      <c r="E676" s="10" t="s">
        <v>5957</v>
      </c>
      <c r="F676" s="11" t="s">
        <v>5958</v>
      </c>
      <c r="G676" s="10" t="s">
        <v>13</v>
      </c>
      <c r="H676" s="12">
        <v>46262</v>
      </c>
      <c r="I676" s="10" t="s">
        <v>1144</v>
      </c>
      <c r="J676" s="10" t="str">
        <f>IFERROR(INDEX([1]Programas!$B$2:$B$50,MATCH(LEFT(I676,3),[1]Programas!$A$2:$A$50,0)),"")</f>
        <v>Desarrollo Web y Aplic</v>
      </c>
      <c r="K676" s="10" t="s">
        <v>16</v>
      </c>
    </row>
    <row r="677" spans="1:11" x14ac:dyDescent="0.2">
      <c r="A677" s="10">
        <v>676</v>
      </c>
      <c r="B677" s="10" t="s">
        <v>5959</v>
      </c>
      <c r="C677" s="11" t="s">
        <v>1182</v>
      </c>
      <c r="D677" s="10" t="s">
        <v>4419</v>
      </c>
      <c r="E677" s="10" t="s">
        <v>5960</v>
      </c>
      <c r="F677" s="11" t="s">
        <v>5961</v>
      </c>
      <c r="G677" s="10" t="s">
        <v>13</v>
      </c>
      <c r="H677" s="12">
        <v>46262</v>
      </c>
      <c r="I677" s="10" t="s">
        <v>1144</v>
      </c>
      <c r="J677" s="10" t="str">
        <f>IFERROR(INDEX([1]Programas!$B$2:$B$50,MATCH(LEFT(I677,3),[1]Programas!$A$2:$A$50,0)),"")</f>
        <v>Desarrollo Web y Aplic</v>
      </c>
      <c r="K677" s="10" t="s">
        <v>16</v>
      </c>
    </row>
    <row r="678" spans="1:11" x14ac:dyDescent="0.2">
      <c r="A678" s="10">
        <v>677</v>
      </c>
      <c r="B678" s="10" t="s">
        <v>1185</v>
      </c>
      <c r="C678" s="11" t="s">
        <v>1184</v>
      </c>
      <c r="D678" s="10" t="s">
        <v>4419</v>
      </c>
      <c r="E678" s="10" t="s">
        <v>5962</v>
      </c>
      <c r="F678" s="11" t="s">
        <v>5963</v>
      </c>
      <c r="G678" s="10" t="s">
        <v>13</v>
      </c>
      <c r="H678" s="12">
        <v>46262</v>
      </c>
      <c r="I678" s="10" t="s">
        <v>1144</v>
      </c>
      <c r="J678" s="10" t="str">
        <f>IFERROR(INDEX([1]Programas!$B$2:$B$50,MATCH(LEFT(I678,3),[1]Programas!$A$2:$A$50,0)),"")</f>
        <v>Desarrollo Web y Aplic</v>
      </c>
      <c r="K678" s="10" t="s">
        <v>16</v>
      </c>
    </row>
    <row r="679" spans="1:11" x14ac:dyDescent="0.2">
      <c r="A679" s="10">
        <v>678</v>
      </c>
      <c r="B679" s="10" t="s">
        <v>1187</v>
      </c>
      <c r="C679" s="11" t="s">
        <v>1186</v>
      </c>
      <c r="D679" s="10" t="s">
        <v>4419</v>
      </c>
      <c r="E679" s="10" t="s">
        <v>5964</v>
      </c>
      <c r="F679" s="11" t="s">
        <v>5965</v>
      </c>
      <c r="G679" s="10" t="s">
        <v>13</v>
      </c>
      <c r="H679" s="12">
        <v>46262</v>
      </c>
      <c r="I679" s="10" t="s">
        <v>1144</v>
      </c>
      <c r="J679" s="10" t="str">
        <f>IFERROR(INDEX([1]Programas!$B$2:$B$50,MATCH(LEFT(I679,3),[1]Programas!$A$2:$A$50,0)),"")</f>
        <v>Desarrollo Web y Aplic</v>
      </c>
      <c r="K679" s="10" t="s">
        <v>16</v>
      </c>
    </row>
    <row r="680" spans="1:11" x14ac:dyDescent="0.2">
      <c r="A680" s="10">
        <v>679</v>
      </c>
      <c r="B680" s="10" t="s">
        <v>5966</v>
      </c>
      <c r="C680" s="11" t="s">
        <v>1188</v>
      </c>
      <c r="D680" s="10" t="s">
        <v>4453</v>
      </c>
      <c r="E680" s="10" t="s">
        <v>5967</v>
      </c>
      <c r="F680" s="11" t="s">
        <v>5968</v>
      </c>
      <c r="G680" s="10" t="s">
        <v>13</v>
      </c>
      <c r="H680" s="12">
        <v>46262</v>
      </c>
      <c r="I680" s="10" t="s">
        <v>1144</v>
      </c>
      <c r="J680" s="10" t="str">
        <f>IFERROR(INDEX([1]Programas!$B$2:$B$50,MATCH(LEFT(I680,3),[1]Programas!$A$2:$A$50,0)),"")</f>
        <v>Desarrollo Web y Aplic</v>
      </c>
      <c r="K680" s="10" t="s">
        <v>16</v>
      </c>
    </row>
    <row r="681" spans="1:11" x14ac:dyDescent="0.2">
      <c r="A681" s="10">
        <v>680</v>
      </c>
      <c r="B681" s="10" t="s">
        <v>1191</v>
      </c>
      <c r="C681" s="11" t="s">
        <v>1190</v>
      </c>
      <c r="D681" s="10" t="s">
        <v>4419</v>
      </c>
      <c r="E681" s="10" t="s">
        <v>5969</v>
      </c>
      <c r="F681" s="11" t="s">
        <v>5970</v>
      </c>
      <c r="G681" s="10" t="s">
        <v>13</v>
      </c>
      <c r="H681" s="12">
        <v>46262</v>
      </c>
      <c r="I681" s="10" t="s">
        <v>1144</v>
      </c>
      <c r="J681" s="10" t="str">
        <f>IFERROR(INDEX([1]Programas!$B$2:$B$50,MATCH(LEFT(I681,3),[1]Programas!$A$2:$A$50,0)),"")</f>
        <v>Desarrollo Web y Aplic</v>
      </c>
      <c r="K681" s="10" t="s">
        <v>16</v>
      </c>
    </row>
    <row r="682" spans="1:11" x14ac:dyDescent="0.2">
      <c r="A682" s="10">
        <v>681</v>
      </c>
      <c r="B682" s="10" t="s">
        <v>5971</v>
      </c>
      <c r="C682" s="11" t="s">
        <v>1192</v>
      </c>
      <c r="D682" s="10" t="s">
        <v>4419</v>
      </c>
      <c r="E682" s="10" t="s">
        <v>5972</v>
      </c>
      <c r="F682" s="11" t="s">
        <v>5973</v>
      </c>
      <c r="G682" s="10" t="s">
        <v>13</v>
      </c>
      <c r="H682" s="12">
        <v>46262</v>
      </c>
      <c r="I682" s="10" t="s">
        <v>1144</v>
      </c>
      <c r="J682" s="10" t="str">
        <f>IFERROR(INDEX([1]Programas!$B$2:$B$50,MATCH(LEFT(I682,3),[1]Programas!$A$2:$A$50,0)),"")</f>
        <v>Desarrollo Web y Aplic</v>
      </c>
      <c r="K682" s="10" t="s">
        <v>16</v>
      </c>
    </row>
    <row r="683" spans="1:11" x14ac:dyDescent="0.2">
      <c r="A683" s="10">
        <v>682</v>
      </c>
      <c r="B683" s="10" t="s">
        <v>1195</v>
      </c>
      <c r="C683" s="11" t="s">
        <v>1194</v>
      </c>
      <c r="D683" s="10" t="s">
        <v>4419</v>
      </c>
      <c r="E683" s="10" t="s">
        <v>5974</v>
      </c>
      <c r="F683" s="11" t="s">
        <v>5975</v>
      </c>
      <c r="G683" s="10" t="s">
        <v>13</v>
      </c>
      <c r="H683" s="12">
        <v>46262</v>
      </c>
      <c r="I683" s="10" t="s">
        <v>1144</v>
      </c>
      <c r="J683" s="10" t="str">
        <f>IFERROR(INDEX([1]Programas!$B$2:$B$50,MATCH(LEFT(I683,3),[1]Programas!$A$2:$A$50,0)),"")</f>
        <v>Desarrollo Web y Aplic</v>
      </c>
      <c r="K683" s="10" t="s">
        <v>16</v>
      </c>
    </row>
    <row r="684" spans="1:11" x14ac:dyDescent="0.2">
      <c r="A684" s="10">
        <v>683</v>
      </c>
      <c r="B684" s="10" t="s">
        <v>1197</v>
      </c>
      <c r="C684" s="11" t="s">
        <v>1196</v>
      </c>
      <c r="D684" s="10" t="s">
        <v>4419</v>
      </c>
      <c r="E684" s="10" t="s">
        <v>5976</v>
      </c>
      <c r="F684" s="11" t="s">
        <v>5977</v>
      </c>
      <c r="G684" s="10" t="s">
        <v>13</v>
      </c>
      <c r="H684" s="12">
        <v>46262</v>
      </c>
      <c r="I684" s="10" t="s">
        <v>1144</v>
      </c>
      <c r="J684" s="10" t="str">
        <f>IFERROR(INDEX([1]Programas!$B$2:$B$50,MATCH(LEFT(I684,3),[1]Programas!$A$2:$A$50,0)),"")</f>
        <v>Desarrollo Web y Aplic</v>
      </c>
      <c r="K684" s="10" t="s">
        <v>16</v>
      </c>
    </row>
    <row r="685" spans="1:11" x14ac:dyDescent="0.2">
      <c r="A685" s="10">
        <v>684</v>
      </c>
      <c r="B685" s="10" t="s">
        <v>1199</v>
      </c>
      <c r="C685" s="11" t="s">
        <v>1198</v>
      </c>
      <c r="D685" s="10" t="s">
        <v>4453</v>
      </c>
      <c r="E685" s="10" t="s">
        <v>5978</v>
      </c>
      <c r="F685" s="11" t="s">
        <v>5979</v>
      </c>
      <c r="G685" s="10" t="s">
        <v>13</v>
      </c>
      <c r="H685" s="12">
        <v>46262</v>
      </c>
      <c r="I685" s="10" t="s">
        <v>1144</v>
      </c>
      <c r="J685" s="10" t="str">
        <f>IFERROR(INDEX([1]Programas!$B$2:$B$50,MATCH(LEFT(I685,3),[1]Programas!$A$2:$A$50,0)),"")</f>
        <v>Desarrollo Web y Aplic</v>
      </c>
      <c r="K685" s="10" t="s">
        <v>16</v>
      </c>
    </row>
    <row r="686" spans="1:11" x14ac:dyDescent="0.2">
      <c r="A686" s="10">
        <v>685</v>
      </c>
      <c r="B686" s="10" t="s">
        <v>1201</v>
      </c>
      <c r="C686" s="11" t="s">
        <v>1200</v>
      </c>
      <c r="D686" s="10" t="s">
        <v>4419</v>
      </c>
      <c r="E686" s="10" t="s">
        <v>5980</v>
      </c>
      <c r="F686" s="11" t="s">
        <v>5981</v>
      </c>
      <c r="G686" s="10" t="s">
        <v>13</v>
      </c>
      <c r="H686" s="12">
        <v>46262</v>
      </c>
      <c r="I686" s="10" t="s">
        <v>1144</v>
      </c>
      <c r="J686" s="10" t="str">
        <f>IFERROR(INDEX([1]Programas!$B$2:$B$50,MATCH(LEFT(I686,3),[1]Programas!$A$2:$A$50,0)),"")</f>
        <v>Desarrollo Web y Aplic</v>
      </c>
      <c r="K686" s="10" t="s">
        <v>16</v>
      </c>
    </row>
    <row r="687" spans="1:11" x14ac:dyDescent="0.2">
      <c r="A687" s="10">
        <v>686</v>
      </c>
      <c r="B687" s="10" t="s">
        <v>5982</v>
      </c>
      <c r="C687" s="11" t="s">
        <v>1202</v>
      </c>
      <c r="D687" s="10" t="s">
        <v>4419</v>
      </c>
      <c r="E687" s="10" t="s">
        <v>5983</v>
      </c>
      <c r="F687" s="11" t="s">
        <v>5984</v>
      </c>
      <c r="G687" s="10" t="s">
        <v>13</v>
      </c>
      <c r="H687" s="12">
        <v>46262</v>
      </c>
      <c r="I687" s="10" t="s">
        <v>1144</v>
      </c>
      <c r="J687" s="10" t="str">
        <f>IFERROR(INDEX([1]Programas!$B$2:$B$50,MATCH(LEFT(I687,3),[1]Programas!$A$2:$A$50,0)),"")</f>
        <v>Desarrollo Web y Aplic</v>
      </c>
      <c r="K687" s="10" t="s">
        <v>16</v>
      </c>
    </row>
    <row r="688" spans="1:11" x14ac:dyDescent="0.2">
      <c r="A688" s="10">
        <v>687</v>
      </c>
      <c r="B688" s="10" t="s">
        <v>1205</v>
      </c>
      <c r="C688" s="11" t="s">
        <v>1204</v>
      </c>
      <c r="D688" s="10" t="s">
        <v>4419</v>
      </c>
      <c r="E688" s="10" t="s">
        <v>5985</v>
      </c>
      <c r="F688" s="11" t="s">
        <v>5986</v>
      </c>
      <c r="G688" s="10" t="s">
        <v>13</v>
      </c>
      <c r="H688" s="12">
        <v>46262</v>
      </c>
      <c r="I688" s="10" t="s">
        <v>1144</v>
      </c>
      <c r="J688" s="10" t="str">
        <f>IFERROR(INDEX([1]Programas!$B$2:$B$50,MATCH(LEFT(I688,3),[1]Programas!$A$2:$A$50,0)),"")</f>
        <v>Desarrollo Web y Aplic</v>
      </c>
      <c r="K688" s="10" t="s">
        <v>16</v>
      </c>
    </row>
    <row r="689" spans="1:11" x14ac:dyDescent="0.2">
      <c r="A689" s="10">
        <v>688</v>
      </c>
      <c r="B689" s="10" t="s">
        <v>1207</v>
      </c>
      <c r="C689" s="11" t="s">
        <v>1206</v>
      </c>
      <c r="D689" s="10" t="s">
        <v>4419</v>
      </c>
      <c r="E689" s="10" t="s">
        <v>5987</v>
      </c>
      <c r="F689" s="11" t="s">
        <v>5988</v>
      </c>
      <c r="G689" s="10" t="s">
        <v>13</v>
      </c>
      <c r="H689" s="12">
        <v>46262</v>
      </c>
      <c r="I689" s="10" t="s">
        <v>1144</v>
      </c>
      <c r="J689" s="10" t="str">
        <f>IFERROR(INDEX([1]Programas!$B$2:$B$50,MATCH(LEFT(I689,3),[1]Programas!$A$2:$A$50,0)),"")</f>
        <v>Desarrollo Web y Aplic</v>
      </c>
      <c r="K689" s="10" t="s">
        <v>16</v>
      </c>
    </row>
    <row r="690" spans="1:11" x14ac:dyDescent="0.2">
      <c r="A690" s="10">
        <v>689</v>
      </c>
      <c r="B690" s="10" t="s">
        <v>5989</v>
      </c>
      <c r="C690" s="11" t="s">
        <v>1208</v>
      </c>
      <c r="D690" s="10" t="s">
        <v>4419</v>
      </c>
      <c r="E690" s="10" t="s">
        <v>5990</v>
      </c>
      <c r="F690" s="11" t="s">
        <v>5991</v>
      </c>
      <c r="G690" s="10" t="s">
        <v>13</v>
      </c>
      <c r="H690" s="12">
        <v>46262</v>
      </c>
      <c r="I690" s="10" t="s">
        <v>1144</v>
      </c>
      <c r="J690" s="10" t="str">
        <f>IFERROR(INDEX([1]Programas!$B$2:$B$50,MATCH(LEFT(I690,3),[1]Programas!$A$2:$A$50,0)),"")</f>
        <v>Desarrollo Web y Aplic</v>
      </c>
      <c r="K690" s="10" t="s">
        <v>16</v>
      </c>
    </row>
    <row r="691" spans="1:11" x14ac:dyDescent="0.2">
      <c r="A691" s="10">
        <v>690</v>
      </c>
      <c r="B691" s="10" t="s">
        <v>1211</v>
      </c>
      <c r="C691" s="11" t="s">
        <v>1210</v>
      </c>
      <c r="D691" s="10" t="s">
        <v>4419</v>
      </c>
      <c r="E691" s="10" t="s">
        <v>5992</v>
      </c>
      <c r="F691" s="11" t="s">
        <v>5993</v>
      </c>
      <c r="G691" s="10" t="s">
        <v>13</v>
      </c>
      <c r="H691" s="12">
        <v>46262</v>
      </c>
      <c r="I691" s="10" t="s">
        <v>1144</v>
      </c>
      <c r="J691" s="10" t="str">
        <f>IFERROR(INDEX([1]Programas!$B$2:$B$50,MATCH(LEFT(I691,3),[1]Programas!$A$2:$A$50,0)),"")</f>
        <v>Desarrollo Web y Aplic</v>
      </c>
      <c r="K691" s="10" t="s">
        <v>16</v>
      </c>
    </row>
    <row r="692" spans="1:11" x14ac:dyDescent="0.2">
      <c r="A692" s="10">
        <v>691</v>
      </c>
      <c r="B692" s="10" t="s">
        <v>1213</v>
      </c>
      <c r="C692" s="11" t="s">
        <v>1212</v>
      </c>
      <c r="D692" s="10" t="s">
        <v>4419</v>
      </c>
      <c r="E692" s="10" t="s">
        <v>5994</v>
      </c>
      <c r="F692" s="11" t="s">
        <v>5995</v>
      </c>
      <c r="G692" s="10" t="s">
        <v>13</v>
      </c>
      <c r="H692" s="12">
        <v>46265</v>
      </c>
      <c r="I692" s="10" t="s">
        <v>1144</v>
      </c>
      <c r="J692" s="10" t="str">
        <f>IFERROR(INDEX([1]Programas!$B$2:$B$50,MATCH(LEFT(I692,3),[1]Programas!$A$2:$A$50,0)),"")</f>
        <v>Desarrollo Web y Aplic</v>
      </c>
      <c r="K692" s="10" t="s">
        <v>16</v>
      </c>
    </row>
    <row r="693" spans="1:11" x14ac:dyDescent="0.2">
      <c r="A693" s="10">
        <v>692</v>
      </c>
      <c r="B693" s="10" t="s">
        <v>1216</v>
      </c>
      <c r="C693" s="11" t="s">
        <v>1215</v>
      </c>
      <c r="D693" s="10" t="s">
        <v>4419</v>
      </c>
      <c r="E693" s="10" t="s">
        <v>5996</v>
      </c>
      <c r="F693" s="11" t="s">
        <v>5997</v>
      </c>
      <c r="G693" s="10" t="s">
        <v>13</v>
      </c>
      <c r="H693" s="12">
        <v>46262</v>
      </c>
      <c r="I693" s="10" t="s">
        <v>1218</v>
      </c>
      <c r="J693" s="10" t="str">
        <f>IFERROR(INDEX([1]Programas!$B$2:$B$50,MATCH(LEFT(I693,3),[1]Programas!$A$2:$A$50,0)),"")</f>
        <v>Desarrollo Web y Aplic</v>
      </c>
      <c r="K693" s="10" t="s">
        <v>335</v>
      </c>
    </row>
    <row r="694" spans="1:11" x14ac:dyDescent="0.2">
      <c r="A694" s="10">
        <v>693</v>
      </c>
      <c r="B694" s="10" t="s">
        <v>5998</v>
      </c>
      <c r="C694" s="11" t="s">
        <v>1221</v>
      </c>
      <c r="D694" s="10" t="s">
        <v>4453</v>
      </c>
      <c r="E694" s="10" t="s">
        <v>5999</v>
      </c>
      <c r="F694" s="11" t="s">
        <v>6000</v>
      </c>
      <c r="G694" s="10" t="s">
        <v>13</v>
      </c>
      <c r="H694" s="12">
        <v>46262</v>
      </c>
      <c r="I694" s="10" t="s">
        <v>1218</v>
      </c>
      <c r="J694" s="10" t="str">
        <f>IFERROR(INDEX([1]Programas!$B$2:$B$50,MATCH(LEFT(I694,3),[1]Programas!$A$2:$A$50,0)),"")</f>
        <v>Desarrollo Web y Aplic</v>
      </c>
      <c r="K694" s="10" t="s">
        <v>335</v>
      </c>
    </row>
    <row r="695" spans="1:11" x14ac:dyDescent="0.2">
      <c r="A695" s="10">
        <v>694</v>
      </c>
      <c r="B695" s="10" t="s">
        <v>6001</v>
      </c>
      <c r="C695" s="11" t="s">
        <v>1223</v>
      </c>
      <c r="D695" s="10" t="s">
        <v>4419</v>
      </c>
      <c r="E695" s="10" t="s">
        <v>6002</v>
      </c>
      <c r="F695" s="11" t="s">
        <v>6003</v>
      </c>
      <c r="G695" s="10" t="s">
        <v>13</v>
      </c>
      <c r="H695" s="12">
        <v>46262</v>
      </c>
      <c r="I695" s="10" t="s">
        <v>1218</v>
      </c>
      <c r="J695" s="10" t="str">
        <f>IFERROR(INDEX([1]Programas!$B$2:$B$50,MATCH(LEFT(I695,3),[1]Programas!$A$2:$A$50,0)),"")</f>
        <v>Desarrollo Web y Aplic</v>
      </c>
      <c r="K695" s="10" t="s">
        <v>335</v>
      </c>
    </row>
    <row r="696" spans="1:11" x14ac:dyDescent="0.2">
      <c r="A696" s="10">
        <v>695</v>
      </c>
      <c r="B696" s="10" t="s">
        <v>1226</v>
      </c>
      <c r="C696" s="11" t="s">
        <v>1225</v>
      </c>
      <c r="D696" s="10" t="s">
        <v>4419</v>
      </c>
      <c r="E696" s="10" t="s">
        <v>6004</v>
      </c>
      <c r="F696" s="11" t="s">
        <v>6005</v>
      </c>
      <c r="G696" s="10" t="s">
        <v>13</v>
      </c>
      <c r="H696" s="12">
        <v>46262</v>
      </c>
      <c r="I696" s="10" t="s">
        <v>1218</v>
      </c>
      <c r="J696" s="10" t="str">
        <f>IFERROR(INDEX([1]Programas!$B$2:$B$50,MATCH(LEFT(I696,3),[1]Programas!$A$2:$A$50,0)),"")</f>
        <v>Desarrollo Web y Aplic</v>
      </c>
      <c r="K696" s="10" t="s">
        <v>335</v>
      </c>
    </row>
    <row r="697" spans="1:11" x14ac:dyDescent="0.2">
      <c r="A697" s="10">
        <v>696</v>
      </c>
      <c r="B697" s="10" t="s">
        <v>6006</v>
      </c>
      <c r="C697" s="11" t="s">
        <v>1227</v>
      </c>
      <c r="D697" s="10" t="s">
        <v>4419</v>
      </c>
      <c r="E697" s="10" t="s">
        <v>6007</v>
      </c>
      <c r="F697" s="11" t="s">
        <v>6008</v>
      </c>
      <c r="G697" s="10" t="s">
        <v>13</v>
      </c>
      <c r="H697" s="12">
        <v>46262</v>
      </c>
      <c r="I697" s="10" t="s">
        <v>1218</v>
      </c>
      <c r="J697" s="10" t="str">
        <f>IFERROR(INDEX([1]Programas!$B$2:$B$50,MATCH(LEFT(I697,3),[1]Programas!$A$2:$A$50,0)),"")</f>
        <v>Desarrollo Web y Aplic</v>
      </c>
      <c r="K697" s="10" t="s">
        <v>335</v>
      </c>
    </row>
    <row r="698" spans="1:11" x14ac:dyDescent="0.2">
      <c r="A698" s="10">
        <v>697</v>
      </c>
      <c r="B698" s="10" t="s">
        <v>1230</v>
      </c>
      <c r="C698" s="11" t="s">
        <v>1229</v>
      </c>
      <c r="D698" s="10" t="s">
        <v>4419</v>
      </c>
      <c r="E698" s="10" t="s">
        <v>6009</v>
      </c>
      <c r="F698" s="11" t="s">
        <v>6010</v>
      </c>
      <c r="G698" s="10" t="s">
        <v>13</v>
      </c>
      <c r="H698" s="12">
        <v>46262</v>
      </c>
      <c r="I698" s="10" t="s">
        <v>1218</v>
      </c>
      <c r="J698" s="10" t="str">
        <f>IFERROR(INDEX([1]Programas!$B$2:$B$50,MATCH(LEFT(I698,3),[1]Programas!$A$2:$A$50,0)),"")</f>
        <v>Desarrollo Web y Aplic</v>
      </c>
      <c r="K698" s="10" t="s">
        <v>335</v>
      </c>
    </row>
    <row r="699" spans="1:11" x14ac:dyDescent="0.2">
      <c r="A699" s="10">
        <v>698</v>
      </c>
      <c r="B699" s="10" t="s">
        <v>6011</v>
      </c>
      <c r="C699" s="11" t="s">
        <v>1231</v>
      </c>
      <c r="D699" s="10" t="s">
        <v>4419</v>
      </c>
      <c r="E699" s="10" t="s">
        <v>6012</v>
      </c>
      <c r="F699" s="11" t="s">
        <v>6013</v>
      </c>
      <c r="G699" s="10" t="s">
        <v>13</v>
      </c>
      <c r="H699" s="12">
        <v>46262</v>
      </c>
      <c r="I699" s="10" t="s">
        <v>1218</v>
      </c>
      <c r="J699" s="10" t="str">
        <f>IFERROR(INDEX([1]Programas!$B$2:$B$50,MATCH(LEFT(I699,3),[1]Programas!$A$2:$A$50,0)),"")</f>
        <v>Desarrollo Web y Aplic</v>
      </c>
      <c r="K699" s="10" t="s">
        <v>335</v>
      </c>
    </row>
    <row r="700" spans="1:11" x14ac:dyDescent="0.2">
      <c r="A700" s="10">
        <v>699</v>
      </c>
      <c r="B700" s="10" t="s">
        <v>1234</v>
      </c>
      <c r="C700" s="11" t="s">
        <v>1233</v>
      </c>
      <c r="D700" s="10" t="s">
        <v>4419</v>
      </c>
      <c r="E700" s="10" t="s">
        <v>6014</v>
      </c>
      <c r="F700" s="11" t="s">
        <v>6015</v>
      </c>
      <c r="G700" s="10" t="s">
        <v>13</v>
      </c>
      <c r="H700" s="12">
        <v>46262</v>
      </c>
      <c r="I700" s="10" t="s">
        <v>1218</v>
      </c>
      <c r="J700" s="10" t="str">
        <f>IFERROR(INDEX([1]Programas!$B$2:$B$50,MATCH(LEFT(I700,3),[1]Programas!$A$2:$A$50,0)),"")</f>
        <v>Desarrollo Web y Aplic</v>
      </c>
      <c r="K700" s="10" t="s">
        <v>335</v>
      </c>
    </row>
    <row r="701" spans="1:11" x14ac:dyDescent="0.2">
      <c r="A701" s="10">
        <v>700</v>
      </c>
      <c r="B701" s="10" t="s">
        <v>1236</v>
      </c>
      <c r="C701" s="11" t="s">
        <v>1235</v>
      </c>
      <c r="D701" s="10" t="s">
        <v>4419</v>
      </c>
      <c r="E701" s="10" t="s">
        <v>6016</v>
      </c>
      <c r="F701" s="11" t="s">
        <v>6017</v>
      </c>
      <c r="G701" s="10" t="s">
        <v>13</v>
      </c>
      <c r="H701" s="12">
        <v>46262</v>
      </c>
      <c r="I701" s="10" t="s">
        <v>1218</v>
      </c>
      <c r="J701" s="10" t="str">
        <f>IFERROR(INDEX([1]Programas!$B$2:$B$50,MATCH(LEFT(I701,3),[1]Programas!$A$2:$A$50,0)),"")</f>
        <v>Desarrollo Web y Aplic</v>
      </c>
      <c r="K701" s="10" t="s">
        <v>335</v>
      </c>
    </row>
    <row r="702" spans="1:11" x14ac:dyDescent="0.2">
      <c r="A702" s="10">
        <v>701</v>
      </c>
      <c r="B702" s="10" t="s">
        <v>1238</v>
      </c>
      <c r="C702" s="11" t="s">
        <v>1237</v>
      </c>
      <c r="D702" s="10" t="s">
        <v>4419</v>
      </c>
      <c r="E702" s="10" t="s">
        <v>6018</v>
      </c>
      <c r="F702" s="11" t="s">
        <v>6019</v>
      </c>
      <c r="G702" s="10" t="s">
        <v>13</v>
      </c>
      <c r="H702" s="12">
        <v>46262</v>
      </c>
      <c r="I702" s="10" t="s">
        <v>1218</v>
      </c>
      <c r="J702" s="10" t="str">
        <f>IFERROR(INDEX([1]Programas!$B$2:$B$50,MATCH(LEFT(I702,3),[1]Programas!$A$2:$A$50,0)),"")</f>
        <v>Desarrollo Web y Aplic</v>
      </c>
      <c r="K702" s="10" t="s">
        <v>335</v>
      </c>
    </row>
    <row r="703" spans="1:11" x14ac:dyDescent="0.2">
      <c r="A703" s="10">
        <v>702</v>
      </c>
      <c r="B703" s="10" t="s">
        <v>1240</v>
      </c>
      <c r="C703" s="11" t="s">
        <v>1239</v>
      </c>
      <c r="D703" s="10" t="s">
        <v>4419</v>
      </c>
      <c r="E703" s="10" t="s">
        <v>6020</v>
      </c>
      <c r="F703" s="11" t="s">
        <v>6021</v>
      </c>
      <c r="G703" s="10" t="s">
        <v>13</v>
      </c>
      <c r="H703" s="12">
        <v>46262</v>
      </c>
      <c r="I703" s="10" t="s">
        <v>1218</v>
      </c>
      <c r="J703" s="10" t="str">
        <f>IFERROR(INDEX([1]Programas!$B$2:$B$50,MATCH(LEFT(I703,3),[1]Programas!$A$2:$A$50,0)),"")</f>
        <v>Desarrollo Web y Aplic</v>
      </c>
      <c r="K703" s="10" t="s">
        <v>335</v>
      </c>
    </row>
    <row r="704" spans="1:11" x14ac:dyDescent="0.2">
      <c r="A704" s="10">
        <v>703</v>
      </c>
      <c r="B704" s="10" t="s">
        <v>1242</v>
      </c>
      <c r="C704" s="11" t="s">
        <v>1241</v>
      </c>
      <c r="D704" s="10" t="s">
        <v>4419</v>
      </c>
      <c r="E704" s="10" t="s">
        <v>6022</v>
      </c>
      <c r="F704" s="11" t="s">
        <v>6023</v>
      </c>
      <c r="G704" s="10" t="s">
        <v>13</v>
      </c>
      <c r="H704" s="12">
        <v>46262</v>
      </c>
      <c r="I704" s="10" t="s">
        <v>1218</v>
      </c>
      <c r="J704" s="10" t="str">
        <f>IFERROR(INDEX([1]Programas!$B$2:$B$50,MATCH(LEFT(I704,3),[1]Programas!$A$2:$A$50,0)),"")</f>
        <v>Desarrollo Web y Aplic</v>
      </c>
      <c r="K704" s="10" t="s">
        <v>335</v>
      </c>
    </row>
    <row r="705" spans="1:11" x14ac:dyDescent="0.2">
      <c r="A705" s="10">
        <v>704</v>
      </c>
      <c r="B705" s="10" t="s">
        <v>1244</v>
      </c>
      <c r="C705" s="11" t="s">
        <v>1243</v>
      </c>
      <c r="D705" s="10" t="s">
        <v>4419</v>
      </c>
      <c r="E705" s="10" t="s">
        <v>6024</v>
      </c>
      <c r="F705" s="11" t="s">
        <v>6025</v>
      </c>
      <c r="G705" s="10" t="s">
        <v>13</v>
      </c>
      <c r="H705" s="12">
        <v>46262</v>
      </c>
      <c r="I705" s="10" t="s">
        <v>1218</v>
      </c>
      <c r="J705" s="10" t="str">
        <f>IFERROR(INDEX([1]Programas!$B$2:$B$50,MATCH(LEFT(I705,3),[1]Programas!$A$2:$A$50,0)),"")</f>
        <v>Desarrollo Web y Aplic</v>
      </c>
      <c r="K705" s="10" t="s">
        <v>335</v>
      </c>
    </row>
    <row r="706" spans="1:11" x14ac:dyDescent="0.2">
      <c r="A706" s="10">
        <v>705</v>
      </c>
      <c r="B706" s="10" t="s">
        <v>1246</v>
      </c>
      <c r="C706" s="11" t="s">
        <v>1245</v>
      </c>
      <c r="D706" s="10" t="s">
        <v>4419</v>
      </c>
      <c r="E706" s="10" t="s">
        <v>6026</v>
      </c>
      <c r="F706" s="11" t="s">
        <v>6027</v>
      </c>
      <c r="G706" s="10" t="s">
        <v>13</v>
      </c>
      <c r="H706" s="12">
        <v>46262</v>
      </c>
      <c r="I706" s="10" t="s">
        <v>1218</v>
      </c>
      <c r="J706" s="10" t="str">
        <f>IFERROR(INDEX([1]Programas!$B$2:$B$50,MATCH(LEFT(I706,3),[1]Programas!$A$2:$A$50,0)),"")</f>
        <v>Desarrollo Web y Aplic</v>
      </c>
      <c r="K706" s="10" t="s">
        <v>335</v>
      </c>
    </row>
    <row r="707" spans="1:11" x14ac:dyDescent="0.2">
      <c r="A707" s="10">
        <v>706</v>
      </c>
      <c r="B707" s="10" t="s">
        <v>1248</v>
      </c>
      <c r="C707" s="11" t="s">
        <v>1247</v>
      </c>
      <c r="D707" s="10" t="s">
        <v>4419</v>
      </c>
      <c r="E707" s="10" t="s">
        <v>6028</v>
      </c>
      <c r="F707" s="11" t="s">
        <v>6029</v>
      </c>
      <c r="G707" s="10" t="s">
        <v>13</v>
      </c>
      <c r="H707" s="12">
        <v>46262</v>
      </c>
      <c r="I707" s="10" t="s">
        <v>1218</v>
      </c>
      <c r="J707" s="10" t="str">
        <f>IFERROR(INDEX([1]Programas!$B$2:$B$50,MATCH(LEFT(I707,3),[1]Programas!$A$2:$A$50,0)),"")</f>
        <v>Desarrollo Web y Aplic</v>
      </c>
      <c r="K707" s="10" t="s">
        <v>335</v>
      </c>
    </row>
    <row r="708" spans="1:11" x14ac:dyDescent="0.2">
      <c r="A708" s="10">
        <v>707</v>
      </c>
      <c r="B708" s="10" t="s">
        <v>1250</v>
      </c>
      <c r="C708" s="11" t="s">
        <v>1249</v>
      </c>
      <c r="D708" s="10" t="s">
        <v>4419</v>
      </c>
      <c r="E708" s="10" t="s">
        <v>6030</v>
      </c>
      <c r="F708" s="11" t="s">
        <v>6031</v>
      </c>
      <c r="G708" s="10" t="s">
        <v>13</v>
      </c>
      <c r="H708" s="12">
        <v>46262</v>
      </c>
      <c r="I708" s="10" t="s">
        <v>1218</v>
      </c>
      <c r="J708" s="10" t="str">
        <f>IFERROR(INDEX([1]Programas!$B$2:$B$50,MATCH(LEFT(I708,3),[1]Programas!$A$2:$A$50,0)),"")</f>
        <v>Desarrollo Web y Aplic</v>
      </c>
      <c r="K708" s="10" t="s">
        <v>335</v>
      </c>
    </row>
    <row r="709" spans="1:11" x14ac:dyDescent="0.2">
      <c r="A709" s="10">
        <v>708</v>
      </c>
      <c r="B709" s="10" t="s">
        <v>1252</v>
      </c>
      <c r="C709" s="11" t="s">
        <v>1251</v>
      </c>
      <c r="D709" s="10" t="s">
        <v>4419</v>
      </c>
      <c r="E709" s="10" t="s">
        <v>6032</v>
      </c>
      <c r="F709" s="11" t="s">
        <v>6033</v>
      </c>
      <c r="G709" s="10" t="s">
        <v>13</v>
      </c>
      <c r="H709" s="12">
        <v>46262</v>
      </c>
      <c r="I709" s="10" t="s">
        <v>1218</v>
      </c>
      <c r="J709" s="10" t="str">
        <f>IFERROR(INDEX([1]Programas!$B$2:$B$50,MATCH(LEFT(I709,3),[1]Programas!$A$2:$A$50,0)),"")</f>
        <v>Desarrollo Web y Aplic</v>
      </c>
      <c r="K709" s="10" t="s">
        <v>335</v>
      </c>
    </row>
    <row r="710" spans="1:11" x14ac:dyDescent="0.2">
      <c r="A710" s="10">
        <v>709</v>
      </c>
      <c r="B710" s="10" t="s">
        <v>1254</v>
      </c>
      <c r="C710" s="11" t="s">
        <v>1253</v>
      </c>
      <c r="D710" s="10" t="s">
        <v>4419</v>
      </c>
      <c r="E710" s="10" t="s">
        <v>6034</v>
      </c>
      <c r="F710" s="11" t="s">
        <v>6035</v>
      </c>
      <c r="G710" s="10" t="s">
        <v>13</v>
      </c>
      <c r="H710" s="12">
        <v>46262</v>
      </c>
      <c r="I710" s="10" t="s">
        <v>1218</v>
      </c>
      <c r="J710" s="10" t="str">
        <f>IFERROR(INDEX([1]Programas!$B$2:$B$50,MATCH(LEFT(I710,3),[1]Programas!$A$2:$A$50,0)),"")</f>
        <v>Desarrollo Web y Aplic</v>
      </c>
      <c r="K710" s="10" t="s">
        <v>335</v>
      </c>
    </row>
    <row r="711" spans="1:11" x14ac:dyDescent="0.2">
      <c r="A711" s="10">
        <v>710</v>
      </c>
      <c r="B711" s="10" t="s">
        <v>1256</v>
      </c>
      <c r="C711" s="11" t="s">
        <v>1255</v>
      </c>
      <c r="D711" s="10" t="s">
        <v>4419</v>
      </c>
      <c r="E711" s="10" t="s">
        <v>6036</v>
      </c>
      <c r="F711" s="11" t="s">
        <v>6037</v>
      </c>
      <c r="G711" s="10" t="s">
        <v>13</v>
      </c>
      <c r="H711" s="12">
        <v>46262</v>
      </c>
      <c r="I711" s="10" t="s">
        <v>1218</v>
      </c>
      <c r="J711" s="10" t="str">
        <f>IFERROR(INDEX([1]Programas!$B$2:$B$50,MATCH(LEFT(I711,3),[1]Programas!$A$2:$A$50,0)),"")</f>
        <v>Desarrollo Web y Aplic</v>
      </c>
      <c r="K711" s="10" t="s">
        <v>335</v>
      </c>
    </row>
    <row r="712" spans="1:11" x14ac:dyDescent="0.2">
      <c r="A712" s="10">
        <v>711</v>
      </c>
      <c r="B712" s="10" t="s">
        <v>1258</v>
      </c>
      <c r="C712" s="11" t="s">
        <v>1257</v>
      </c>
      <c r="D712" s="10" t="s">
        <v>4419</v>
      </c>
      <c r="E712" s="10" t="s">
        <v>6038</v>
      </c>
      <c r="F712" s="11" t="s">
        <v>6039</v>
      </c>
      <c r="G712" s="10" t="s">
        <v>13</v>
      </c>
      <c r="H712" s="12">
        <v>46262</v>
      </c>
      <c r="I712" s="10" t="s">
        <v>1218</v>
      </c>
      <c r="J712" s="10" t="str">
        <f>IFERROR(INDEX([1]Programas!$B$2:$B$50,MATCH(LEFT(I712,3),[1]Programas!$A$2:$A$50,0)),"")</f>
        <v>Desarrollo Web y Aplic</v>
      </c>
      <c r="K712" s="10" t="s">
        <v>335</v>
      </c>
    </row>
    <row r="713" spans="1:11" x14ac:dyDescent="0.2">
      <c r="A713" s="10">
        <v>712</v>
      </c>
      <c r="B713" s="10" t="s">
        <v>1260</v>
      </c>
      <c r="C713" s="11" t="s">
        <v>1259</v>
      </c>
      <c r="D713" s="10" t="s">
        <v>4419</v>
      </c>
      <c r="E713" s="10" t="s">
        <v>6040</v>
      </c>
      <c r="F713" s="11" t="s">
        <v>6041</v>
      </c>
      <c r="G713" s="10" t="s">
        <v>13</v>
      </c>
      <c r="H713" s="12">
        <v>46262</v>
      </c>
      <c r="I713" s="10" t="s">
        <v>1218</v>
      </c>
      <c r="J713" s="10" t="str">
        <f>IFERROR(INDEX([1]Programas!$B$2:$B$50,MATCH(LEFT(I713,3),[1]Programas!$A$2:$A$50,0)),"")</f>
        <v>Desarrollo Web y Aplic</v>
      </c>
      <c r="K713" s="10" t="s">
        <v>335</v>
      </c>
    </row>
    <row r="714" spans="1:11" x14ac:dyDescent="0.2">
      <c r="A714" s="10">
        <v>713</v>
      </c>
      <c r="B714" s="10" t="s">
        <v>1262</v>
      </c>
      <c r="C714" s="11" t="s">
        <v>1261</v>
      </c>
      <c r="D714" s="10" t="s">
        <v>4419</v>
      </c>
      <c r="E714" s="10" t="s">
        <v>6042</v>
      </c>
      <c r="F714" s="11" t="s">
        <v>6043</v>
      </c>
      <c r="G714" s="10" t="s">
        <v>13</v>
      </c>
      <c r="H714" s="12">
        <v>46262</v>
      </c>
      <c r="I714" s="10" t="s">
        <v>1218</v>
      </c>
      <c r="J714" s="10" t="str">
        <f>IFERROR(INDEX([1]Programas!$B$2:$B$50,MATCH(LEFT(I714,3),[1]Programas!$A$2:$A$50,0)),"")</f>
        <v>Desarrollo Web y Aplic</v>
      </c>
      <c r="K714" s="10" t="s">
        <v>335</v>
      </c>
    </row>
    <row r="715" spans="1:11" x14ac:dyDescent="0.2">
      <c r="A715" s="10">
        <v>714</v>
      </c>
      <c r="B715" s="10" t="s">
        <v>1264</v>
      </c>
      <c r="C715" s="11" t="s">
        <v>1263</v>
      </c>
      <c r="D715" s="10" t="s">
        <v>4419</v>
      </c>
      <c r="E715" s="10" t="s">
        <v>6044</v>
      </c>
      <c r="F715" s="11" t="s">
        <v>6045</v>
      </c>
      <c r="G715" s="10" t="s">
        <v>13</v>
      </c>
      <c r="H715" s="12">
        <v>46262</v>
      </c>
      <c r="I715" s="10" t="s">
        <v>1218</v>
      </c>
      <c r="J715" s="10" t="str">
        <f>IFERROR(INDEX([1]Programas!$B$2:$B$50,MATCH(LEFT(I715,3),[1]Programas!$A$2:$A$50,0)),"")</f>
        <v>Desarrollo Web y Aplic</v>
      </c>
      <c r="K715" s="10" t="s">
        <v>335</v>
      </c>
    </row>
    <row r="716" spans="1:11" x14ac:dyDescent="0.2">
      <c r="A716" s="10">
        <v>715</v>
      </c>
      <c r="B716" s="10" t="s">
        <v>1266</v>
      </c>
      <c r="C716" s="11" t="s">
        <v>1265</v>
      </c>
      <c r="D716" s="10" t="s">
        <v>4419</v>
      </c>
      <c r="E716" s="10" t="s">
        <v>6046</v>
      </c>
      <c r="F716" s="11" t="s">
        <v>6047</v>
      </c>
      <c r="G716" s="10" t="s">
        <v>13</v>
      </c>
      <c r="H716" s="12">
        <v>46262</v>
      </c>
      <c r="I716" s="10" t="s">
        <v>1218</v>
      </c>
      <c r="J716" s="10" t="str">
        <f>IFERROR(INDEX([1]Programas!$B$2:$B$50,MATCH(LEFT(I716,3),[1]Programas!$A$2:$A$50,0)),"")</f>
        <v>Desarrollo Web y Aplic</v>
      </c>
      <c r="K716" s="10" t="s">
        <v>335</v>
      </c>
    </row>
    <row r="717" spans="1:11" x14ac:dyDescent="0.2">
      <c r="A717" s="10">
        <v>716</v>
      </c>
      <c r="B717" s="10" t="s">
        <v>6048</v>
      </c>
      <c r="C717" s="11" t="s">
        <v>1267</v>
      </c>
      <c r="D717" s="10" t="s">
        <v>4419</v>
      </c>
      <c r="E717" s="10" t="s">
        <v>6049</v>
      </c>
      <c r="F717" s="11" t="s">
        <v>6050</v>
      </c>
      <c r="G717" s="10" t="s">
        <v>13</v>
      </c>
      <c r="H717" s="12">
        <v>46262</v>
      </c>
      <c r="I717" s="10" t="s">
        <v>1218</v>
      </c>
      <c r="J717" s="10" t="str">
        <f>IFERROR(INDEX([1]Programas!$B$2:$B$50,MATCH(LEFT(I717,3),[1]Programas!$A$2:$A$50,0)),"")</f>
        <v>Desarrollo Web y Aplic</v>
      </c>
      <c r="K717" s="10" t="s">
        <v>335</v>
      </c>
    </row>
    <row r="718" spans="1:11" x14ac:dyDescent="0.2">
      <c r="A718" s="10">
        <v>717</v>
      </c>
      <c r="B718" s="10" t="s">
        <v>1270</v>
      </c>
      <c r="C718" s="11" t="s">
        <v>1269</v>
      </c>
      <c r="D718" s="10" t="s">
        <v>4419</v>
      </c>
      <c r="E718" s="10" t="s">
        <v>6051</v>
      </c>
      <c r="F718" s="11" t="s">
        <v>6052</v>
      </c>
      <c r="G718" s="10" t="s">
        <v>13</v>
      </c>
      <c r="H718" s="12">
        <v>46262</v>
      </c>
      <c r="I718" s="10" t="s">
        <v>1218</v>
      </c>
      <c r="J718" s="10" t="str">
        <f>IFERROR(INDEX([1]Programas!$B$2:$B$50,MATCH(LEFT(I718,3),[1]Programas!$A$2:$A$50,0)),"")</f>
        <v>Desarrollo Web y Aplic</v>
      </c>
      <c r="K718" s="10" t="s">
        <v>335</v>
      </c>
    </row>
    <row r="719" spans="1:11" x14ac:dyDescent="0.2">
      <c r="A719" s="10">
        <v>718</v>
      </c>
      <c r="B719" s="10" t="s">
        <v>1272</v>
      </c>
      <c r="C719" s="11" t="s">
        <v>1271</v>
      </c>
      <c r="D719" s="10" t="s">
        <v>4419</v>
      </c>
      <c r="E719" s="10" t="s">
        <v>6053</v>
      </c>
      <c r="F719" s="11" t="s">
        <v>6054</v>
      </c>
      <c r="G719" s="10" t="s">
        <v>13</v>
      </c>
      <c r="H719" s="12">
        <v>46262</v>
      </c>
      <c r="I719" s="10" t="s">
        <v>1218</v>
      </c>
      <c r="J719" s="10" t="str">
        <f>IFERROR(INDEX([1]Programas!$B$2:$B$50,MATCH(LEFT(I719,3),[1]Programas!$A$2:$A$50,0)),"")</f>
        <v>Desarrollo Web y Aplic</v>
      </c>
      <c r="K719" s="10" t="s">
        <v>335</v>
      </c>
    </row>
    <row r="720" spans="1:11" x14ac:dyDescent="0.2">
      <c r="A720" s="10">
        <v>719</v>
      </c>
      <c r="B720" s="10" t="s">
        <v>1274</v>
      </c>
      <c r="C720" s="11" t="s">
        <v>1273</v>
      </c>
      <c r="D720" s="10" t="s">
        <v>4419</v>
      </c>
      <c r="E720" s="10" t="s">
        <v>6055</v>
      </c>
      <c r="F720" s="11" t="s">
        <v>6056</v>
      </c>
      <c r="G720" s="10" t="s">
        <v>13</v>
      </c>
      <c r="H720" s="12">
        <v>46262</v>
      </c>
      <c r="I720" s="10" t="s">
        <v>1218</v>
      </c>
      <c r="J720" s="10" t="str">
        <f>IFERROR(INDEX([1]Programas!$B$2:$B$50,MATCH(LEFT(I720,3),[1]Programas!$A$2:$A$50,0)),"")</f>
        <v>Desarrollo Web y Aplic</v>
      </c>
      <c r="K720" s="10" t="s">
        <v>335</v>
      </c>
    </row>
    <row r="721" spans="1:11" x14ac:dyDescent="0.2">
      <c r="A721" s="10">
        <v>720</v>
      </c>
      <c r="B721" s="10" t="s">
        <v>1276</v>
      </c>
      <c r="C721" s="11" t="s">
        <v>1275</v>
      </c>
      <c r="D721" s="10" t="s">
        <v>4419</v>
      </c>
      <c r="E721" s="10" t="s">
        <v>6057</v>
      </c>
      <c r="F721" s="11" t="s">
        <v>6058</v>
      </c>
      <c r="G721" s="10" t="s">
        <v>13</v>
      </c>
      <c r="H721" s="12">
        <v>46262</v>
      </c>
      <c r="I721" s="10" t="s">
        <v>1218</v>
      </c>
      <c r="J721" s="10" t="str">
        <f>IFERROR(INDEX([1]Programas!$B$2:$B$50,MATCH(LEFT(I721,3),[1]Programas!$A$2:$A$50,0)),"")</f>
        <v>Desarrollo Web y Aplic</v>
      </c>
      <c r="K721" s="10" t="s">
        <v>335</v>
      </c>
    </row>
    <row r="722" spans="1:11" x14ac:dyDescent="0.2">
      <c r="A722" s="10">
        <v>721</v>
      </c>
      <c r="B722" s="10" t="s">
        <v>1278</v>
      </c>
      <c r="C722" s="11" t="s">
        <v>1277</v>
      </c>
      <c r="D722" s="10" t="s">
        <v>4419</v>
      </c>
      <c r="E722" s="10" t="s">
        <v>6059</v>
      </c>
      <c r="F722" s="11" t="s">
        <v>6060</v>
      </c>
      <c r="G722" s="10" t="s">
        <v>13</v>
      </c>
      <c r="H722" s="12">
        <v>46262</v>
      </c>
      <c r="I722" s="10" t="s">
        <v>1218</v>
      </c>
      <c r="J722" s="10" t="str">
        <f>IFERROR(INDEX([1]Programas!$B$2:$B$50,MATCH(LEFT(I722,3),[1]Programas!$A$2:$A$50,0)),"")</f>
        <v>Desarrollo Web y Aplic</v>
      </c>
      <c r="K722" s="10" t="s">
        <v>335</v>
      </c>
    </row>
    <row r="723" spans="1:11" x14ac:dyDescent="0.2">
      <c r="A723" s="10">
        <v>722</v>
      </c>
      <c r="B723" s="10" t="s">
        <v>1280</v>
      </c>
      <c r="C723" s="11" t="s">
        <v>1279</v>
      </c>
      <c r="D723" s="10" t="s">
        <v>4419</v>
      </c>
      <c r="E723" s="10" t="s">
        <v>6061</v>
      </c>
      <c r="F723" s="11" t="s">
        <v>6062</v>
      </c>
      <c r="G723" s="10" t="s">
        <v>13</v>
      </c>
      <c r="H723" s="12">
        <v>46262</v>
      </c>
      <c r="I723" s="10" t="s">
        <v>1218</v>
      </c>
      <c r="J723" s="10" t="str">
        <f>IFERROR(INDEX([1]Programas!$B$2:$B$50,MATCH(LEFT(I723,3),[1]Programas!$A$2:$A$50,0)),"")</f>
        <v>Desarrollo Web y Aplic</v>
      </c>
      <c r="K723" s="10" t="s">
        <v>335</v>
      </c>
    </row>
    <row r="724" spans="1:11" x14ac:dyDescent="0.2">
      <c r="A724" s="10">
        <v>723</v>
      </c>
      <c r="B724" s="10" t="s">
        <v>1282</v>
      </c>
      <c r="C724" s="11" t="s">
        <v>1281</v>
      </c>
      <c r="D724" s="10" t="s">
        <v>4419</v>
      </c>
      <c r="E724" s="10" t="s">
        <v>6063</v>
      </c>
      <c r="F724" s="11" t="s">
        <v>6064</v>
      </c>
      <c r="G724" s="10" t="s">
        <v>13</v>
      </c>
      <c r="H724" s="12">
        <v>46262</v>
      </c>
      <c r="I724" s="10" t="s">
        <v>1218</v>
      </c>
      <c r="J724" s="10" t="str">
        <f>IFERROR(INDEX([1]Programas!$B$2:$B$50,MATCH(LEFT(I724,3),[1]Programas!$A$2:$A$50,0)),"")</f>
        <v>Desarrollo Web y Aplic</v>
      </c>
      <c r="K724" s="10" t="s">
        <v>335</v>
      </c>
    </row>
    <row r="725" spans="1:11" x14ac:dyDescent="0.2">
      <c r="A725" s="10">
        <v>724</v>
      </c>
      <c r="B725" s="10" t="s">
        <v>1284</v>
      </c>
      <c r="C725" s="11" t="s">
        <v>1283</v>
      </c>
      <c r="D725" s="10" t="s">
        <v>4419</v>
      </c>
      <c r="E725" s="10" t="s">
        <v>6065</v>
      </c>
      <c r="F725" s="11" t="s">
        <v>6066</v>
      </c>
      <c r="G725" s="10" t="s">
        <v>13</v>
      </c>
      <c r="H725" s="12">
        <v>46262</v>
      </c>
      <c r="I725" s="10" t="s">
        <v>1218</v>
      </c>
      <c r="J725" s="10" t="str">
        <f>IFERROR(INDEX([1]Programas!$B$2:$B$50,MATCH(LEFT(I725,3),[1]Programas!$A$2:$A$50,0)),"")</f>
        <v>Desarrollo Web y Aplic</v>
      </c>
      <c r="K725" s="10" t="s">
        <v>335</v>
      </c>
    </row>
    <row r="726" spans="1:11" x14ac:dyDescent="0.2">
      <c r="A726" s="10">
        <v>725</v>
      </c>
      <c r="B726" s="10" t="s">
        <v>1286</v>
      </c>
      <c r="C726" s="11" t="s">
        <v>1285</v>
      </c>
      <c r="D726" s="10" t="s">
        <v>5003</v>
      </c>
      <c r="E726" s="10" t="s">
        <v>6067</v>
      </c>
      <c r="F726" s="11" t="s">
        <v>6068</v>
      </c>
      <c r="G726" s="10" t="s">
        <v>13</v>
      </c>
      <c r="H726" s="12">
        <v>46262</v>
      </c>
      <c r="I726" s="10" t="s">
        <v>1218</v>
      </c>
      <c r="J726" s="10" t="str">
        <f>IFERROR(INDEX([1]Programas!$B$2:$B$50,MATCH(LEFT(I726,3),[1]Programas!$A$2:$A$50,0)),"")</f>
        <v>Desarrollo Web y Aplic</v>
      </c>
      <c r="K726" s="10" t="s">
        <v>335</v>
      </c>
    </row>
    <row r="727" spans="1:11" x14ac:dyDescent="0.2">
      <c r="A727" s="10">
        <v>726</v>
      </c>
      <c r="B727" s="10" t="s">
        <v>1288</v>
      </c>
      <c r="C727" s="11" t="s">
        <v>1287</v>
      </c>
      <c r="D727" s="10" t="s">
        <v>4419</v>
      </c>
      <c r="E727" s="10" t="s">
        <v>6069</v>
      </c>
      <c r="F727" s="11" t="s">
        <v>6070</v>
      </c>
      <c r="G727" s="10" t="s">
        <v>13</v>
      </c>
      <c r="H727" s="12">
        <v>46262</v>
      </c>
      <c r="I727" s="10" t="s">
        <v>1218</v>
      </c>
      <c r="J727" s="10" t="str">
        <f>IFERROR(INDEX([1]Programas!$B$2:$B$50,MATCH(LEFT(I727,3),[1]Programas!$A$2:$A$50,0)),"")</f>
        <v>Desarrollo Web y Aplic</v>
      </c>
      <c r="K727" s="10" t="s">
        <v>335</v>
      </c>
    </row>
    <row r="728" spans="1:11" x14ac:dyDescent="0.2">
      <c r="A728" s="10">
        <v>727</v>
      </c>
      <c r="B728" s="10" t="s">
        <v>1290</v>
      </c>
      <c r="C728" s="11" t="s">
        <v>1289</v>
      </c>
      <c r="D728" s="10" t="s">
        <v>4419</v>
      </c>
      <c r="E728" s="10" t="s">
        <v>6071</v>
      </c>
      <c r="F728" s="11" t="s">
        <v>6072</v>
      </c>
      <c r="G728" s="10" t="s">
        <v>13</v>
      </c>
      <c r="H728" s="12">
        <v>46262</v>
      </c>
      <c r="I728" s="10" t="s">
        <v>1218</v>
      </c>
      <c r="J728" s="10" t="str">
        <f>IFERROR(INDEX([1]Programas!$B$2:$B$50,MATCH(LEFT(I728,3),[1]Programas!$A$2:$A$50,0)),"")</f>
        <v>Desarrollo Web y Aplic</v>
      </c>
      <c r="K728" s="10" t="s">
        <v>335</v>
      </c>
    </row>
    <row r="729" spans="1:11" x14ac:dyDescent="0.2">
      <c r="A729" s="10">
        <v>728</v>
      </c>
      <c r="B729" s="10" t="s">
        <v>1294</v>
      </c>
      <c r="C729" s="11" t="s">
        <v>1293</v>
      </c>
      <c r="D729" s="10" t="s">
        <v>4453</v>
      </c>
      <c r="E729" s="10" t="s">
        <v>6073</v>
      </c>
      <c r="F729" s="11" t="s">
        <v>6074</v>
      </c>
      <c r="G729" s="10" t="s">
        <v>13</v>
      </c>
      <c r="H729" s="12">
        <v>46262</v>
      </c>
      <c r="I729" s="10" t="s">
        <v>1296</v>
      </c>
      <c r="J729" s="10" t="str">
        <f>IFERROR(INDEX([1]Programas!$B$2:$B$50,MATCH(LEFT(I729,3),[1]Programas!$A$2:$A$50,0)),"")</f>
        <v>Desarrollo Web y Aplic</v>
      </c>
      <c r="K729" s="10" t="s">
        <v>111</v>
      </c>
    </row>
    <row r="730" spans="1:11" x14ac:dyDescent="0.2">
      <c r="A730" s="10">
        <v>729</v>
      </c>
      <c r="B730" s="10" t="s">
        <v>1298</v>
      </c>
      <c r="C730" s="11" t="s">
        <v>1297</v>
      </c>
      <c r="D730" s="10" t="s">
        <v>4419</v>
      </c>
      <c r="E730" s="10" t="s">
        <v>6075</v>
      </c>
      <c r="F730" s="11" t="s">
        <v>6076</v>
      </c>
      <c r="G730" s="10" t="s">
        <v>13</v>
      </c>
      <c r="H730" s="12">
        <v>46262</v>
      </c>
      <c r="I730" s="10" t="s">
        <v>1296</v>
      </c>
      <c r="J730" s="10" t="str">
        <f>IFERROR(INDEX([1]Programas!$B$2:$B$50,MATCH(LEFT(I730,3),[1]Programas!$A$2:$A$50,0)),"")</f>
        <v>Desarrollo Web y Aplic</v>
      </c>
      <c r="K730" s="10" t="s">
        <v>111</v>
      </c>
    </row>
    <row r="731" spans="1:11" x14ac:dyDescent="0.2">
      <c r="A731" s="10">
        <v>730</v>
      </c>
      <c r="B731" s="10" t="s">
        <v>1301</v>
      </c>
      <c r="C731" s="11" t="s">
        <v>1300</v>
      </c>
      <c r="D731" s="10" t="s">
        <v>4419</v>
      </c>
      <c r="E731" s="10" t="s">
        <v>6077</v>
      </c>
      <c r="F731" s="11" t="s">
        <v>6078</v>
      </c>
      <c r="G731" s="10" t="s">
        <v>13</v>
      </c>
      <c r="H731" s="12">
        <v>46262</v>
      </c>
      <c r="I731" s="10" t="s">
        <v>1296</v>
      </c>
      <c r="J731" s="10" t="str">
        <f>IFERROR(INDEX([1]Programas!$B$2:$B$50,MATCH(LEFT(I731,3),[1]Programas!$A$2:$A$50,0)),"")</f>
        <v>Desarrollo Web y Aplic</v>
      </c>
      <c r="K731" s="10" t="s">
        <v>111</v>
      </c>
    </row>
    <row r="732" spans="1:11" x14ac:dyDescent="0.2">
      <c r="A732" s="10">
        <v>731</v>
      </c>
      <c r="B732" s="10" t="s">
        <v>6079</v>
      </c>
      <c r="C732" s="11" t="s">
        <v>1302</v>
      </c>
      <c r="D732" s="10" t="s">
        <v>4419</v>
      </c>
      <c r="E732" s="10" t="s">
        <v>6080</v>
      </c>
      <c r="F732" s="11" t="s">
        <v>6081</v>
      </c>
      <c r="G732" s="10" t="s">
        <v>13</v>
      </c>
      <c r="H732" s="12">
        <v>46262</v>
      </c>
      <c r="I732" s="10" t="s">
        <v>1296</v>
      </c>
      <c r="J732" s="10" t="str">
        <f>IFERROR(INDEX([1]Programas!$B$2:$B$50,MATCH(LEFT(I732,3),[1]Programas!$A$2:$A$50,0)),"")</f>
        <v>Desarrollo Web y Aplic</v>
      </c>
      <c r="K732" s="10" t="s">
        <v>111</v>
      </c>
    </row>
    <row r="733" spans="1:11" x14ac:dyDescent="0.2">
      <c r="A733" s="10">
        <v>732</v>
      </c>
      <c r="B733" s="10" t="s">
        <v>1305</v>
      </c>
      <c r="C733" s="11" t="s">
        <v>1304</v>
      </c>
      <c r="D733" s="10" t="s">
        <v>4419</v>
      </c>
      <c r="E733" s="10" t="s">
        <v>6082</v>
      </c>
      <c r="F733" s="11" t="s">
        <v>6083</v>
      </c>
      <c r="G733" s="10" t="s">
        <v>13</v>
      </c>
      <c r="H733" s="12">
        <v>46262</v>
      </c>
      <c r="I733" s="10" t="s">
        <v>1296</v>
      </c>
      <c r="J733" s="10" t="str">
        <f>IFERROR(INDEX([1]Programas!$B$2:$B$50,MATCH(LEFT(I733,3),[1]Programas!$A$2:$A$50,0)),"")</f>
        <v>Desarrollo Web y Aplic</v>
      </c>
      <c r="K733" s="10" t="s">
        <v>111</v>
      </c>
    </row>
    <row r="734" spans="1:11" x14ac:dyDescent="0.2">
      <c r="A734" s="10">
        <v>733</v>
      </c>
      <c r="B734" s="10" t="s">
        <v>6084</v>
      </c>
      <c r="C734" s="11" t="s">
        <v>1306</v>
      </c>
      <c r="D734" s="10" t="s">
        <v>4419</v>
      </c>
      <c r="E734" s="10" t="s">
        <v>6085</v>
      </c>
      <c r="F734" s="11" t="s">
        <v>6086</v>
      </c>
      <c r="G734" s="10" t="s">
        <v>13</v>
      </c>
      <c r="H734" s="12">
        <v>46262</v>
      </c>
      <c r="I734" s="10" t="s">
        <v>1296</v>
      </c>
      <c r="J734" s="10" t="str">
        <f>IFERROR(INDEX([1]Programas!$B$2:$B$50,MATCH(LEFT(I734,3),[1]Programas!$A$2:$A$50,0)),"")</f>
        <v>Desarrollo Web y Aplic</v>
      </c>
      <c r="K734" s="10" t="s">
        <v>111</v>
      </c>
    </row>
    <row r="735" spans="1:11" x14ac:dyDescent="0.2">
      <c r="A735" s="10">
        <v>734</v>
      </c>
      <c r="B735" s="10" t="s">
        <v>1309</v>
      </c>
      <c r="C735" s="11" t="s">
        <v>1308</v>
      </c>
      <c r="D735" s="10" t="s">
        <v>4419</v>
      </c>
      <c r="E735" s="10" t="s">
        <v>6087</v>
      </c>
      <c r="F735" s="11" t="s">
        <v>6088</v>
      </c>
      <c r="G735" s="10" t="s">
        <v>13</v>
      </c>
      <c r="H735" s="12">
        <v>46262</v>
      </c>
      <c r="I735" s="10" t="s">
        <v>1296</v>
      </c>
      <c r="J735" s="10" t="str">
        <f>IFERROR(INDEX([1]Programas!$B$2:$B$50,MATCH(LEFT(I735,3),[1]Programas!$A$2:$A$50,0)),"")</f>
        <v>Desarrollo Web y Aplic</v>
      </c>
      <c r="K735" s="10" t="s">
        <v>111</v>
      </c>
    </row>
    <row r="736" spans="1:11" x14ac:dyDescent="0.2">
      <c r="A736" s="10">
        <v>735</v>
      </c>
      <c r="B736" s="10" t="s">
        <v>1311</v>
      </c>
      <c r="C736" s="11" t="s">
        <v>1310</v>
      </c>
      <c r="D736" s="10" t="s">
        <v>4419</v>
      </c>
      <c r="E736" s="10" t="s">
        <v>6089</v>
      </c>
      <c r="F736" s="11" t="s">
        <v>6090</v>
      </c>
      <c r="G736" s="10" t="s">
        <v>13</v>
      </c>
      <c r="H736" s="12">
        <v>46262</v>
      </c>
      <c r="I736" s="10" t="s">
        <v>1296</v>
      </c>
      <c r="J736" s="10" t="str">
        <f>IFERROR(INDEX([1]Programas!$B$2:$B$50,MATCH(LEFT(I736,3),[1]Programas!$A$2:$A$50,0)),"")</f>
        <v>Desarrollo Web y Aplic</v>
      </c>
      <c r="K736" s="10" t="s">
        <v>111</v>
      </c>
    </row>
    <row r="737" spans="1:11" x14ac:dyDescent="0.2">
      <c r="A737" s="10">
        <v>736</v>
      </c>
      <c r="B737" s="10" t="s">
        <v>1313</v>
      </c>
      <c r="C737" s="11" t="s">
        <v>1312</v>
      </c>
      <c r="D737" s="10" t="s">
        <v>4419</v>
      </c>
      <c r="E737" s="10" t="s">
        <v>6091</v>
      </c>
      <c r="F737" s="11" t="s">
        <v>6092</v>
      </c>
      <c r="G737" s="10" t="s">
        <v>13</v>
      </c>
      <c r="H737" s="12">
        <v>46262</v>
      </c>
      <c r="I737" s="10" t="s">
        <v>1296</v>
      </c>
      <c r="J737" s="10" t="str">
        <f>IFERROR(INDEX([1]Programas!$B$2:$B$50,MATCH(LEFT(I737,3),[1]Programas!$A$2:$A$50,0)),"")</f>
        <v>Desarrollo Web y Aplic</v>
      </c>
      <c r="K737" s="10" t="s">
        <v>111</v>
      </c>
    </row>
    <row r="738" spans="1:11" x14ac:dyDescent="0.2">
      <c r="A738" s="10">
        <v>737</v>
      </c>
      <c r="B738" s="10" t="s">
        <v>1315</v>
      </c>
      <c r="C738" s="11" t="s">
        <v>1314</v>
      </c>
      <c r="D738" s="10" t="s">
        <v>4419</v>
      </c>
      <c r="E738" s="10" t="s">
        <v>6093</v>
      </c>
      <c r="F738" s="11" t="s">
        <v>6094</v>
      </c>
      <c r="G738" s="10" t="s">
        <v>13</v>
      </c>
      <c r="H738" s="12">
        <v>46262</v>
      </c>
      <c r="I738" s="10" t="s">
        <v>1296</v>
      </c>
      <c r="J738" s="10" t="str">
        <f>IFERROR(INDEX([1]Programas!$B$2:$B$50,MATCH(LEFT(I738,3),[1]Programas!$A$2:$A$50,0)),"")</f>
        <v>Desarrollo Web y Aplic</v>
      </c>
      <c r="K738" s="10" t="s">
        <v>111</v>
      </c>
    </row>
    <row r="739" spans="1:11" x14ac:dyDescent="0.2">
      <c r="A739" s="10">
        <v>738</v>
      </c>
      <c r="B739" s="10" t="s">
        <v>1317</v>
      </c>
      <c r="C739" s="11" t="s">
        <v>1316</v>
      </c>
      <c r="D739" s="10" t="s">
        <v>4419</v>
      </c>
      <c r="E739" s="10" t="s">
        <v>6095</v>
      </c>
      <c r="F739" s="11" t="s">
        <v>6096</v>
      </c>
      <c r="G739" s="10" t="s">
        <v>13</v>
      </c>
      <c r="H739" s="12">
        <v>46262</v>
      </c>
      <c r="I739" s="10" t="s">
        <v>1296</v>
      </c>
      <c r="J739" s="10" t="str">
        <f>IFERROR(INDEX([1]Programas!$B$2:$B$50,MATCH(LEFT(I739,3),[1]Programas!$A$2:$A$50,0)),"")</f>
        <v>Desarrollo Web y Aplic</v>
      </c>
      <c r="K739" s="10" t="s">
        <v>111</v>
      </c>
    </row>
    <row r="740" spans="1:11" x14ac:dyDescent="0.2">
      <c r="A740" s="10">
        <v>739</v>
      </c>
      <c r="B740" s="10" t="s">
        <v>6097</v>
      </c>
      <c r="C740" s="11" t="s">
        <v>1318</v>
      </c>
      <c r="D740" s="10" t="s">
        <v>4419</v>
      </c>
      <c r="E740" s="10" t="s">
        <v>6098</v>
      </c>
      <c r="F740" s="11" t="s">
        <v>6099</v>
      </c>
      <c r="G740" s="10" t="s">
        <v>13</v>
      </c>
      <c r="H740" s="12">
        <v>46262</v>
      </c>
      <c r="I740" s="10" t="s">
        <v>1296</v>
      </c>
      <c r="J740" s="10" t="str">
        <f>IFERROR(INDEX([1]Programas!$B$2:$B$50,MATCH(LEFT(I740,3),[1]Programas!$A$2:$A$50,0)),"")</f>
        <v>Desarrollo Web y Aplic</v>
      </c>
      <c r="K740" s="10" t="s">
        <v>111</v>
      </c>
    </row>
    <row r="741" spans="1:11" x14ac:dyDescent="0.2">
      <c r="A741" s="10">
        <v>740</v>
      </c>
      <c r="B741" s="10" t="s">
        <v>1321</v>
      </c>
      <c r="C741" s="11" t="s">
        <v>1320</v>
      </c>
      <c r="D741" s="10" t="s">
        <v>4419</v>
      </c>
      <c r="E741" s="10" t="s">
        <v>6100</v>
      </c>
      <c r="F741" s="11" t="s">
        <v>6101</v>
      </c>
      <c r="G741" s="10" t="s">
        <v>13</v>
      </c>
      <c r="H741" s="12">
        <v>46262</v>
      </c>
      <c r="I741" s="10" t="s">
        <v>1296</v>
      </c>
      <c r="J741" s="10" t="str">
        <f>IFERROR(INDEX([1]Programas!$B$2:$B$50,MATCH(LEFT(I741,3),[1]Programas!$A$2:$A$50,0)),"")</f>
        <v>Desarrollo Web y Aplic</v>
      </c>
      <c r="K741" s="10" t="s">
        <v>111</v>
      </c>
    </row>
    <row r="742" spans="1:11" x14ac:dyDescent="0.2">
      <c r="A742" s="10">
        <v>741</v>
      </c>
      <c r="B742" s="10" t="s">
        <v>1323</v>
      </c>
      <c r="C742" s="11" t="s">
        <v>1322</v>
      </c>
      <c r="D742" s="10" t="s">
        <v>4419</v>
      </c>
      <c r="E742" s="10" t="s">
        <v>6102</v>
      </c>
      <c r="F742" s="11" t="s">
        <v>6103</v>
      </c>
      <c r="G742" s="10" t="s">
        <v>13</v>
      </c>
      <c r="H742" s="12">
        <v>46262</v>
      </c>
      <c r="I742" s="10" t="s">
        <v>1296</v>
      </c>
      <c r="J742" s="10" t="str">
        <f>IFERROR(INDEX([1]Programas!$B$2:$B$50,MATCH(LEFT(I742,3),[1]Programas!$A$2:$A$50,0)),"")</f>
        <v>Desarrollo Web y Aplic</v>
      </c>
      <c r="K742" s="10" t="s">
        <v>111</v>
      </c>
    </row>
    <row r="743" spans="1:11" x14ac:dyDescent="0.2">
      <c r="A743" s="10">
        <v>742</v>
      </c>
      <c r="B743" s="10" t="s">
        <v>6104</v>
      </c>
      <c r="C743" s="11" t="s">
        <v>1324</v>
      </c>
      <c r="D743" s="10" t="s">
        <v>4419</v>
      </c>
      <c r="E743" s="10" t="s">
        <v>6105</v>
      </c>
      <c r="F743" s="11" t="s">
        <v>6106</v>
      </c>
      <c r="G743" s="10" t="s">
        <v>13</v>
      </c>
      <c r="H743" s="12">
        <v>46262</v>
      </c>
      <c r="I743" s="10" t="s">
        <v>1296</v>
      </c>
      <c r="J743" s="10" t="str">
        <f>IFERROR(INDEX([1]Programas!$B$2:$B$50,MATCH(LEFT(I743,3),[1]Programas!$A$2:$A$50,0)),"")</f>
        <v>Desarrollo Web y Aplic</v>
      </c>
      <c r="K743" s="10" t="s">
        <v>111</v>
      </c>
    </row>
    <row r="744" spans="1:11" x14ac:dyDescent="0.2">
      <c r="A744" s="10">
        <v>743</v>
      </c>
      <c r="B744" s="10" t="s">
        <v>6107</v>
      </c>
      <c r="C744" s="11" t="s">
        <v>1326</v>
      </c>
      <c r="D744" s="10" t="s">
        <v>4419</v>
      </c>
      <c r="E744" s="10" t="s">
        <v>6108</v>
      </c>
      <c r="F744" s="11" t="s">
        <v>6109</v>
      </c>
      <c r="G744" s="10" t="s">
        <v>13</v>
      </c>
      <c r="H744" s="12">
        <v>46262</v>
      </c>
      <c r="I744" s="10" t="s">
        <v>1296</v>
      </c>
      <c r="J744" s="10" t="str">
        <f>IFERROR(INDEX([1]Programas!$B$2:$B$50,MATCH(LEFT(I744,3),[1]Programas!$A$2:$A$50,0)),"")</f>
        <v>Desarrollo Web y Aplic</v>
      </c>
      <c r="K744" s="10" t="s">
        <v>111</v>
      </c>
    </row>
    <row r="745" spans="1:11" x14ac:dyDescent="0.2">
      <c r="A745" s="10">
        <v>744</v>
      </c>
      <c r="B745" s="10" t="s">
        <v>6110</v>
      </c>
      <c r="C745" s="11" t="s">
        <v>1328</v>
      </c>
      <c r="D745" s="10" t="s">
        <v>4419</v>
      </c>
      <c r="E745" s="10" t="s">
        <v>6111</v>
      </c>
      <c r="F745" s="11" t="s">
        <v>6112</v>
      </c>
      <c r="G745" s="10" t="s">
        <v>13</v>
      </c>
      <c r="H745" s="12">
        <v>46262</v>
      </c>
      <c r="I745" s="10" t="s">
        <v>1296</v>
      </c>
      <c r="J745" s="10" t="str">
        <f>IFERROR(INDEX([1]Programas!$B$2:$B$50,MATCH(LEFT(I745,3),[1]Programas!$A$2:$A$50,0)),"")</f>
        <v>Desarrollo Web y Aplic</v>
      </c>
      <c r="K745" s="10" t="s">
        <v>111</v>
      </c>
    </row>
    <row r="746" spans="1:11" x14ac:dyDescent="0.2">
      <c r="A746" s="10">
        <v>745</v>
      </c>
      <c r="B746" s="10" t="s">
        <v>6113</v>
      </c>
      <c r="C746" s="11" t="s">
        <v>1330</v>
      </c>
      <c r="D746" s="10" t="s">
        <v>4419</v>
      </c>
      <c r="E746" s="10" t="s">
        <v>6114</v>
      </c>
      <c r="F746" s="11" t="s">
        <v>6115</v>
      </c>
      <c r="G746" s="10" t="s">
        <v>13</v>
      </c>
      <c r="H746" s="12">
        <v>46262</v>
      </c>
      <c r="I746" s="10" t="s">
        <v>1296</v>
      </c>
      <c r="J746" s="10" t="str">
        <f>IFERROR(INDEX([1]Programas!$B$2:$B$50,MATCH(LEFT(I746,3),[1]Programas!$A$2:$A$50,0)),"")</f>
        <v>Desarrollo Web y Aplic</v>
      </c>
      <c r="K746" s="10" t="s">
        <v>111</v>
      </c>
    </row>
    <row r="747" spans="1:11" x14ac:dyDescent="0.2">
      <c r="A747" s="10">
        <v>746</v>
      </c>
      <c r="B747" s="10" t="s">
        <v>6116</v>
      </c>
      <c r="C747" s="11" t="s">
        <v>1332</v>
      </c>
      <c r="D747" s="10" t="s">
        <v>4419</v>
      </c>
      <c r="E747" s="10" t="s">
        <v>6117</v>
      </c>
      <c r="F747" s="11" t="s">
        <v>6118</v>
      </c>
      <c r="G747" s="10" t="s">
        <v>13</v>
      </c>
      <c r="H747" s="12">
        <v>46262</v>
      </c>
      <c r="I747" s="10" t="s">
        <v>1296</v>
      </c>
      <c r="J747" s="10" t="str">
        <f>IFERROR(INDEX([1]Programas!$B$2:$B$50,MATCH(LEFT(I747,3),[1]Programas!$A$2:$A$50,0)),"")</f>
        <v>Desarrollo Web y Aplic</v>
      </c>
      <c r="K747" s="10" t="s">
        <v>111</v>
      </c>
    </row>
    <row r="748" spans="1:11" x14ac:dyDescent="0.2">
      <c r="A748" s="10">
        <v>747</v>
      </c>
      <c r="B748" s="10" t="s">
        <v>1335</v>
      </c>
      <c r="C748" s="11" t="s">
        <v>1334</v>
      </c>
      <c r="D748" s="10" t="s">
        <v>4419</v>
      </c>
      <c r="E748" s="10" t="s">
        <v>6119</v>
      </c>
      <c r="F748" s="11" t="s">
        <v>6120</v>
      </c>
      <c r="G748" s="10" t="s">
        <v>13</v>
      </c>
      <c r="H748" s="12">
        <v>46262</v>
      </c>
      <c r="I748" s="10" t="s">
        <v>1296</v>
      </c>
      <c r="J748" s="10" t="str">
        <f>IFERROR(INDEX([1]Programas!$B$2:$B$50,MATCH(LEFT(I748,3),[1]Programas!$A$2:$A$50,0)),"")</f>
        <v>Desarrollo Web y Aplic</v>
      </c>
      <c r="K748" s="10" t="s">
        <v>111</v>
      </c>
    </row>
    <row r="749" spans="1:11" x14ac:dyDescent="0.2">
      <c r="A749" s="10">
        <v>748</v>
      </c>
      <c r="B749" s="10" t="s">
        <v>6121</v>
      </c>
      <c r="C749" s="11" t="s">
        <v>1336</v>
      </c>
      <c r="D749" s="10" t="s">
        <v>4419</v>
      </c>
      <c r="E749" s="10" t="s">
        <v>6122</v>
      </c>
      <c r="F749" s="11" t="s">
        <v>6123</v>
      </c>
      <c r="G749" s="10" t="s">
        <v>13</v>
      </c>
      <c r="H749" s="12">
        <v>46262</v>
      </c>
      <c r="I749" s="10" t="s">
        <v>1296</v>
      </c>
      <c r="J749" s="10" t="str">
        <f>IFERROR(INDEX([1]Programas!$B$2:$B$50,MATCH(LEFT(I749,3),[1]Programas!$A$2:$A$50,0)),"")</f>
        <v>Desarrollo Web y Aplic</v>
      </c>
      <c r="K749" s="10" t="s">
        <v>111</v>
      </c>
    </row>
    <row r="750" spans="1:11" x14ac:dyDescent="0.2">
      <c r="A750" s="10">
        <v>749</v>
      </c>
      <c r="B750" s="10" t="s">
        <v>1339</v>
      </c>
      <c r="C750" s="11" t="s">
        <v>1338</v>
      </c>
      <c r="D750" s="10" t="s">
        <v>4419</v>
      </c>
      <c r="E750" s="10" t="s">
        <v>6124</v>
      </c>
      <c r="F750" s="11" t="s">
        <v>6125</v>
      </c>
      <c r="G750" s="10" t="s">
        <v>13</v>
      </c>
      <c r="H750" s="12">
        <v>46262</v>
      </c>
      <c r="I750" s="10" t="s">
        <v>1296</v>
      </c>
      <c r="J750" s="10" t="str">
        <f>IFERROR(INDEX([1]Programas!$B$2:$B$50,MATCH(LEFT(I750,3),[1]Programas!$A$2:$A$50,0)),"")</f>
        <v>Desarrollo Web y Aplic</v>
      </c>
      <c r="K750" s="10" t="s">
        <v>111</v>
      </c>
    </row>
    <row r="751" spans="1:11" x14ac:dyDescent="0.2">
      <c r="A751" s="10">
        <v>750</v>
      </c>
      <c r="B751" s="10" t="s">
        <v>1341</v>
      </c>
      <c r="C751" s="11" t="s">
        <v>1340</v>
      </c>
      <c r="D751" s="10" t="s">
        <v>4419</v>
      </c>
      <c r="E751" s="10" t="s">
        <v>6126</v>
      </c>
      <c r="F751" s="11" t="s">
        <v>6127</v>
      </c>
      <c r="G751" s="10" t="s">
        <v>13</v>
      </c>
      <c r="H751" s="12">
        <v>46262</v>
      </c>
      <c r="I751" s="10" t="s">
        <v>1296</v>
      </c>
      <c r="J751" s="10" t="str">
        <f>IFERROR(INDEX([1]Programas!$B$2:$B$50,MATCH(LEFT(I751,3),[1]Programas!$A$2:$A$50,0)),"")</f>
        <v>Desarrollo Web y Aplic</v>
      </c>
      <c r="K751" s="10" t="s">
        <v>111</v>
      </c>
    </row>
    <row r="752" spans="1:11" x14ac:dyDescent="0.2">
      <c r="A752" s="10">
        <v>751</v>
      </c>
      <c r="B752" s="10" t="s">
        <v>1343</v>
      </c>
      <c r="C752" s="11" t="s">
        <v>1342</v>
      </c>
      <c r="D752" s="10" t="s">
        <v>4419</v>
      </c>
      <c r="E752" s="10" t="s">
        <v>6128</v>
      </c>
      <c r="F752" s="11" t="s">
        <v>6129</v>
      </c>
      <c r="G752" s="10" t="s">
        <v>13</v>
      </c>
      <c r="H752" s="12">
        <v>46262</v>
      </c>
      <c r="I752" s="10" t="s">
        <v>1296</v>
      </c>
      <c r="J752" s="10" t="str">
        <f>IFERROR(INDEX([1]Programas!$B$2:$B$50,MATCH(LEFT(I752,3),[1]Programas!$A$2:$A$50,0)),"")</f>
        <v>Desarrollo Web y Aplic</v>
      </c>
      <c r="K752" s="10" t="s">
        <v>111</v>
      </c>
    </row>
    <row r="753" spans="1:11" x14ac:dyDescent="0.2">
      <c r="A753" s="10">
        <v>752</v>
      </c>
      <c r="B753" s="10" t="s">
        <v>1345</v>
      </c>
      <c r="C753" s="11" t="s">
        <v>1344</v>
      </c>
      <c r="D753" s="10" t="s">
        <v>4453</v>
      </c>
      <c r="E753" s="10" t="s">
        <v>6130</v>
      </c>
      <c r="F753" s="11" t="s">
        <v>6131</v>
      </c>
      <c r="G753" s="10" t="s">
        <v>13</v>
      </c>
      <c r="H753" s="12">
        <v>46262</v>
      </c>
      <c r="I753" s="10" t="s">
        <v>1296</v>
      </c>
      <c r="J753" s="10" t="str">
        <f>IFERROR(INDEX([1]Programas!$B$2:$B$50,MATCH(LEFT(I753,3),[1]Programas!$A$2:$A$50,0)),"")</f>
        <v>Desarrollo Web y Aplic</v>
      </c>
      <c r="K753" s="10" t="s">
        <v>111</v>
      </c>
    </row>
    <row r="754" spans="1:11" x14ac:dyDescent="0.2">
      <c r="A754" s="10">
        <v>753</v>
      </c>
      <c r="B754" s="10" t="s">
        <v>6132</v>
      </c>
      <c r="C754" s="11" t="s">
        <v>1346</v>
      </c>
      <c r="D754" s="10" t="s">
        <v>4453</v>
      </c>
      <c r="E754" s="10" t="s">
        <v>6133</v>
      </c>
      <c r="F754" s="11" t="s">
        <v>6134</v>
      </c>
      <c r="G754" s="10" t="s">
        <v>13</v>
      </c>
      <c r="H754" s="12">
        <v>46262</v>
      </c>
      <c r="I754" s="10" t="s">
        <v>1296</v>
      </c>
      <c r="J754" s="10" t="str">
        <f>IFERROR(INDEX([1]Programas!$B$2:$B$50,MATCH(LEFT(I754,3),[1]Programas!$A$2:$A$50,0)),"")</f>
        <v>Desarrollo Web y Aplic</v>
      </c>
      <c r="K754" s="10" t="s">
        <v>111</v>
      </c>
    </row>
    <row r="755" spans="1:11" x14ac:dyDescent="0.2">
      <c r="A755" s="10">
        <v>754</v>
      </c>
      <c r="B755" s="10" t="s">
        <v>1349</v>
      </c>
      <c r="C755" s="11" t="s">
        <v>1348</v>
      </c>
      <c r="D755" s="10" t="s">
        <v>4419</v>
      </c>
      <c r="E755" s="10" t="s">
        <v>6135</v>
      </c>
      <c r="F755" s="11" t="s">
        <v>6136</v>
      </c>
      <c r="G755" s="10" t="s">
        <v>13</v>
      </c>
      <c r="H755" s="12">
        <v>46262</v>
      </c>
      <c r="I755" s="10" t="s">
        <v>1296</v>
      </c>
      <c r="J755" s="10" t="str">
        <f>IFERROR(INDEX([1]Programas!$B$2:$B$50,MATCH(LEFT(I755,3),[1]Programas!$A$2:$A$50,0)),"")</f>
        <v>Desarrollo Web y Aplic</v>
      </c>
      <c r="K755" s="10" t="s">
        <v>111</v>
      </c>
    </row>
    <row r="756" spans="1:11" x14ac:dyDescent="0.2">
      <c r="A756" s="10">
        <v>755</v>
      </c>
      <c r="B756" s="10" t="s">
        <v>6137</v>
      </c>
      <c r="C756" s="11" t="s">
        <v>1350</v>
      </c>
      <c r="D756" s="10" t="s">
        <v>4419</v>
      </c>
      <c r="E756" s="10" t="s">
        <v>6138</v>
      </c>
      <c r="F756" s="11" t="s">
        <v>6139</v>
      </c>
      <c r="G756" s="10" t="s">
        <v>13</v>
      </c>
      <c r="H756" s="12">
        <v>46262</v>
      </c>
      <c r="I756" s="10" t="s">
        <v>1296</v>
      </c>
      <c r="J756" s="10" t="str">
        <f>IFERROR(INDEX([1]Programas!$B$2:$B$50,MATCH(LEFT(I756,3),[1]Programas!$A$2:$A$50,0)),"")</f>
        <v>Desarrollo Web y Aplic</v>
      </c>
      <c r="K756" s="10" t="s">
        <v>111</v>
      </c>
    </row>
    <row r="757" spans="1:11" x14ac:dyDescent="0.2">
      <c r="A757" s="10">
        <v>756</v>
      </c>
      <c r="B757" s="10" t="s">
        <v>1353</v>
      </c>
      <c r="C757" s="11" t="s">
        <v>1352</v>
      </c>
      <c r="D757" s="10" t="s">
        <v>4419</v>
      </c>
      <c r="E757" s="10" t="s">
        <v>6140</v>
      </c>
      <c r="F757" s="11" t="s">
        <v>6141</v>
      </c>
      <c r="G757" s="10" t="s">
        <v>13</v>
      </c>
      <c r="H757" s="12">
        <v>46262</v>
      </c>
      <c r="I757" s="10" t="s">
        <v>1296</v>
      </c>
      <c r="J757" s="10" t="str">
        <f>IFERROR(INDEX([1]Programas!$B$2:$B$50,MATCH(LEFT(I757,3),[1]Programas!$A$2:$A$50,0)),"")</f>
        <v>Desarrollo Web y Aplic</v>
      </c>
      <c r="K757" s="10" t="s">
        <v>111</v>
      </c>
    </row>
    <row r="758" spans="1:11" x14ac:dyDescent="0.2">
      <c r="A758" s="10">
        <v>757</v>
      </c>
      <c r="B758" s="10" t="s">
        <v>1355</v>
      </c>
      <c r="C758" s="11" t="s">
        <v>1354</v>
      </c>
      <c r="D758" s="10" t="s">
        <v>4419</v>
      </c>
      <c r="E758" s="10" t="s">
        <v>6142</v>
      </c>
      <c r="F758" s="11" t="s">
        <v>6143</v>
      </c>
      <c r="G758" s="10" t="s">
        <v>13</v>
      </c>
      <c r="H758" s="12">
        <v>46262</v>
      </c>
      <c r="I758" s="10" t="s">
        <v>1296</v>
      </c>
      <c r="J758" s="10" t="str">
        <f>IFERROR(INDEX([1]Programas!$B$2:$B$50,MATCH(LEFT(I758,3),[1]Programas!$A$2:$A$50,0)),"")</f>
        <v>Desarrollo Web y Aplic</v>
      </c>
      <c r="K758" s="10" t="s">
        <v>111</v>
      </c>
    </row>
    <row r="759" spans="1:11" x14ac:dyDescent="0.2">
      <c r="A759" s="10">
        <v>758</v>
      </c>
      <c r="B759" s="10" t="s">
        <v>1357</v>
      </c>
      <c r="C759" s="11" t="s">
        <v>1356</v>
      </c>
      <c r="D759" s="10" t="s">
        <v>4419</v>
      </c>
      <c r="E759" s="10" t="s">
        <v>6144</v>
      </c>
      <c r="F759" s="11" t="s">
        <v>6145</v>
      </c>
      <c r="G759" s="10" t="s">
        <v>13</v>
      </c>
      <c r="H759" s="12">
        <v>46262</v>
      </c>
      <c r="I759" s="10" t="s">
        <v>1296</v>
      </c>
      <c r="J759" s="10" t="str">
        <f>IFERROR(INDEX([1]Programas!$B$2:$B$50,MATCH(LEFT(I759,3),[1]Programas!$A$2:$A$50,0)),"")</f>
        <v>Desarrollo Web y Aplic</v>
      </c>
      <c r="K759" s="10" t="s">
        <v>111</v>
      </c>
    </row>
    <row r="760" spans="1:11" x14ac:dyDescent="0.2">
      <c r="A760" s="10">
        <v>759</v>
      </c>
      <c r="B760" s="10" t="s">
        <v>1359</v>
      </c>
      <c r="C760" s="11" t="s">
        <v>1358</v>
      </c>
      <c r="D760" s="10" t="s">
        <v>4419</v>
      </c>
      <c r="E760" s="10" t="s">
        <v>6146</v>
      </c>
      <c r="F760" s="11" t="s">
        <v>6147</v>
      </c>
      <c r="G760" s="10" t="s">
        <v>13</v>
      </c>
      <c r="H760" s="12">
        <v>46262</v>
      </c>
      <c r="I760" s="10" t="s">
        <v>1296</v>
      </c>
      <c r="J760" s="10" t="str">
        <f>IFERROR(INDEX([1]Programas!$B$2:$B$50,MATCH(LEFT(I760,3),[1]Programas!$A$2:$A$50,0)),"")</f>
        <v>Desarrollo Web y Aplic</v>
      </c>
      <c r="K760" s="10" t="s">
        <v>111</v>
      </c>
    </row>
    <row r="761" spans="1:11" x14ac:dyDescent="0.2">
      <c r="A761" s="10">
        <v>760</v>
      </c>
      <c r="B761" s="10" t="s">
        <v>1361</v>
      </c>
      <c r="C761" s="11" t="s">
        <v>1360</v>
      </c>
      <c r="D761" s="10" t="s">
        <v>4419</v>
      </c>
      <c r="E761" s="10" t="s">
        <v>6148</v>
      </c>
      <c r="F761" s="11" t="s">
        <v>6149</v>
      </c>
      <c r="G761" s="10" t="s">
        <v>13</v>
      </c>
      <c r="H761" s="12">
        <v>46262</v>
      </c>
      <c r="I761" s="10" t="s">
        <v>1296</v>
      </c>
      <c r="J761" s="10" t="str">
        <f>IFERROR(INDEX([1]Programas!$B$2:$B$50,MATCH(LEFT(I761,3),[1]Programas!$A$2:$A$50,0)),"")</f>
        <v>Desarrollo Web y Aplic</v>
      </c>
      <c r="K761" s="10" t="s">
        <v>111</v>
      </c>
    </row>
    <row r="762" spans="1:11" x14ac:dyDescent="0.2">
      <c r="A762" s="10">
        <v>761</v>
      </c>
      <c r="B762" s="10" t="s">
        <v>1363</v>
      </c>
      <c r="C762" s="11" t="s">
        <v>1362</v>
      </c>
      <c r="D762" s="10" t="s">
        <v>4419</v>
      </c>
      <c r="E762" s="10" t="s">
        <v>6150</v>
      </c>
      <c r="F762" s="11" t="s">
        <v>6151</v>
      </c>
      <c r="G762" s="10" t="s">
        <v>13</v>
      </c>
      <c r="H762" s="12">
        <v>46262</v>
      </c>
      <c r="I762" s="10" t="s">
        <v>1296</v>
      </c>
      <c r="J762" s="10" t="str">
        <f>IFERROR(INDEX([1]Programas!$B$2:$B$50,MATCH(LEFT(I762,3),[1]Programas!$A$2:$A$50,0)),"")</f>
        <v>Desarrollo Web y Aplic</v>
      </c>
      <c r="K762" s="10" t="s">
        <v>111</v>
      </c>
    </row>
    <row r="763" spans="1:11" x14ac:dyDescent="0.2">
      <c r="A763" s="10">
        <v>762</v>
      </c>
      <c r="B763" s="10" t="s">
        <v>6152</v>
      </c>
      <c r="C763" s="11" t="s">
        <v>1364</v>
      </c>
      <c r="D763" s="10" t="s">
        <v>4419</v>
      </c>
      <c r="E763" s="10" t="s">
        <v>6153</v>
      </c>
      <c r="F763" s="11" t="s">
        <v>6154</v>
      </c>
      <c r="G763" s="10" t="s">
        <v>13</v>
      </c>
      <c r="H763" s="12">
        <v>46262</v>
      </c>
      <c r="I763" s="10" t="s">
        <v>1296</v>
      </c>
      <c r="J763" s="10" t="str">
        <f>IFERROR(INDEX([1]Programas!$B$2:$B$50,MATCH(LEFT(I763,3),[1]Programas!$A$2:$A$50,0)),"")</f>
        <v>Desarrollo Web y Aplic</v>
      </c>
      <c r="K763" s="10" t="s">
        <v>111</v>
      </c>
    </row>
    <row r="764" spans="1:11" x14ac:dyDescent="0.2">
      <c r="A764" s="10">
        <v>763</v>
      </c>
      <c r="B764" s="10" t="s">
        <v>1368</v>
      </c>
      <c r="C764" s="11" t="s">
        <v>1367</v>
      </c>
      <c r="D764" s="10" t="s">
        <v>4419</v>
      </c>
      <c r="E764" s="10" t="s">
        <v>6155</v>
      </c>
      <c r="F764" s="11" t="s">
        <v>6156</v>
      </c>
      <c r="G764" s="10" t="s">
        <v>13</v>
      </c>
      <c r="H764" s="12">
        <v>46262</v>
      </c>
      <c r="I764" s="10" t="s">
        <v>1296</v>
      </c>
      <c r="J764" s="10" t="str">
        <f>IFERROR(INDEX([1]Programas!$B$2:$B$50,MATCH(LEFT(I764,3),[1]Programas!$A$2:$A$50,0)),"")</f>
        <v>Desarrollo Web y Aplic</v>
      </c>
      <c r="K764" s="10" t="s">
        <v>111</v>
      </c>
    </row>
    <row r="765" spans="1:11" x14ac:dyDescent="0.2">
      <c r="A765" s="10">
        <v>764</v>
      </c>
      <c r="B765" s="10" t="s">
        <v>1370</v>
      </c>
      <c r="C765" s="11" t="s">
        <v>1369</v>
      </c>
      <c r="D765" s="10" t="s">
        <v>4419</v>
      </c>
      <c r="E765" s="10" t="s">
        <v>6157</v>
      </c>
      <c r="F765" s="11" t="s">
        <v>6158</v>
      </c>
      <c r="G765" s="10" t="s">
        <v>13</v>
      </c>
      <c r="H765" s="12">
        <v>46262</v>
      </c>
      <c r="I765" s="10" t="s">
        <v>1296</v>
      </c>
      <c r="J765" s="10" t="str">
        <f>IFERROR(INDEX([1]Programas!$B$2:$B$50,MATCH(LEFT(I765,3),[1]Programas!$A$2:$A$50,0)),"")</f>
        <v>Desarrollo Web y Aplic</v>
      </c>
      <c r="K765" s="10" t="s">
        <v>111</v>
      </c>
    </row>
    <row r="766" spans="1:11" x14ac:dyDescent="0.2">
      <c r="A766" s="10">
        <v>765</v>
      </c>
      <c r="B766" s="10" t="s">
        <v>1373</v>
      </c>
      <c r="C766" s="11" t="s">
        <v>1372</v>
      </c>
      <c r="D766" s="10" t="s">
        <v>4419</v>
      </c>
      <c r="E766" s="10" t="s">
        <v>6159</v>
      </c>
      <c r="F766" s="11" t="s">
        <v>6160</v>
      </c>
      <c r="G766" s="10" t="s">
        <v>13</v>
      </c>
      <c r="H766" s="12">
        <v>46262</v>
      </c>
      <c r="I766" s="10" t="s">
        <v>1296</v>
      </c>
      <c r="J766" s="10" t="str">
        <f>IFERROR(INDEX([1]Programas!$B$2:$B$50,MATCH(LEFT(I766,3),[1]Programas!$A$2:$A$50,0)),"")</f>
        <v>Desarrollo Web y Aplic</v>
      </c>
      <c r="K766" s="10" t="s">
        <v>111</v>
      </c>
    </row>
    <row r="767" spans="1:11" x14ac:dyDescent="0.2">
      <c r="A767" s="10">
        <v>766</v>
      </c>
      <c r="B767" s="10" t="s">
        <v>1376</v>
      </c>
      <c r="C767" s="11" t="s">
        <v>1375</v>
      </c>
      <c r="D767" s="10" t="s">
        <v>4419</v>
      </c>
      <c r="E767" s="10" t="s">
        <v>6161</v>
      </c>
      <c r="F767" s="11" t="s">
        <v>6162</v>
      </c>
      <c r="G767" s="10" t="s">
        <v>13</v>
      </c>
      <c r="H767" s="12">
        <v>46263</v>
      </c>
      <c r="I767" s="10" t="s">
        <v>1296</v>
      </c>
      <c r="J767" s="10" t="str">
        <f>IFERROR(INDEX([1]Programas!$B$2:$B$50,MATCH(LEFT(I767,3),[1]Programas!$A$2:$A$50,0)),"")</f>
        <v>Desarrollo Web y Aplic</v>
      </c>
      <c r="K767" s="10" t="s">
        <v>111</v>
      </c>
    </row>
    <row r="768" spans="1:11" x14ac:dyDescent="0.2">
      <c r="A768" s="10">
        <v>767</v>
      </c>
      <c r="B768" s="10" t="s">
        <v>442</v>
      </c>
      <c r="C768" s="11" t="s">
        <v>441</v>
      </c>
      <c r="D768" s="10" t="s">
        <v>4419</v>
      </c>
      <c r="E768" s="10" t="s">
        <v>6163</v>
      </c>
      <c r="F768" s="11" t="s">
        <v>6164</v>
      </c>
      <c r="G768" s="10" t="s">
        <v>13</v>
      </c>
      <c r="H768" s="12">
        <v>46266</v>
      </c>
      <c r="I768" s="10" t="s">
        <v>1296</v>
      </c>
      <c r="J768" s="10" t="str">
        <f>IFERROR(INDEX([1]Programas!$B$2:$B$50,MATCH(LEFT(I768,3),[1]Programas!$A$2:$A$50,0)),"")</f>
        <v>Desarrollo Web y Aplic</v>
      </c>
      <c r="K768" s="10" t="s">
        <v>111</v>
      </c>
    </row>
    <row r="769" spans="1:11" x14ac:dyDescent="0.2">
      <c r="A769" s="10">
        <v>768</v>
      </c>
      <c r="B769" s="10" t="s">
        <v>6165</v>
      </c>
      <c r="C769" s="11" t="s">
        <v>1379</v>
      </c>
      <c r="D769" s="10" t="s">
        <v>4419</v>
      </c>
      <c r="E769" s="10" t="s">
        <v>6166</v>
      </c>
      <c r="F769" s="11" t="s">
        <v>6167</v>
      </c>
      <c r="G769" s="10" t="s">
        <v>13</v>
      </c>
      <c r="H769" s="12">
        <v>46262</v>
      </c>
      <c r="I769" s="10" t="s">
        <v>1382</v>
      </c>
      <c r="J769" s="10" t="str">
        <f>IFERROR(INDEX([1]Programas!$B$2:$B$50,MATCH(LEFT(I769,3),[1]Programas!$A$2:$A$50,0)),"")</f>
        <v>Desarrollo Web y Aplic</v>
      </c>
      <c r="K769" s="10" t="s">
        <v>750</v>
      </c>
    </row>
    <row r="770" spans="1:11" x14ac:dyDescent="0.2">
      <c r="A770" s="10">
        <v>769</v>
      </c>
      <c r="B770" s="10" t="s">
        <v>1386</v>
      </c>
      <c r="C770" s="11" t="s">
        <v>1385</v>
      </c>
      <c r="D770" s="10" t="s">
        <v>4419</v>
      </c>
      <c r="E770" s="10" t="s">
        <v>6168</v>
      </c>
      <c r="F770" s="11" t="s">
        <v>6169</v>
      </c>
      <c r="G770" s="10" t="s">
        <v>13</v>
      </c>
      <c r="H770" s="12">
        <v>46262</v>
      </c>
      <c r="I770" s="10" t="s">
        <v>1382</v>
      </c>
      <c r="J770" s="10" t="str">
        <f>IFERROR(INDEX([1]Programas!$B$2:$B$50,MATCH(LEFT(I770,3),[1]Programas!$A$2:$A$50,0)),"")</f>
        <v>Desarrollo Web y Aplic</v>
      </c>
      <c r="K770" s="10" t="s">
        <v>750</v>
      </c>
    </row>
    <row r="771" spans="1:11" x14ac:dyDescent="0.2">
      <c r="A771" s="10">
        <v>770</v>
      </c>
      <c r="B771" s="10" t="s">
        <v>6170</v>
      </c>
      <c r="C771" s="11" t="s">
        <v>1387</v>
      </c>
      <c r="D771" s="10" t="s">
        <v>4419</v>
      </c>
      <c r="E771" s="10" t="s">
        <v>6171</v>
      </c>
      <c r="F771" s="11" t="s">
        <v>6172</v>
      </c>
      <c r="G771" s="10" t="s">
        <v>13</v>
      </c>
      <c r="H771" s="12">
        <v>46262</v>
      </c>
      <c r="I771" s="10" t="s">
        <v>1382</v>
      </c>
      <c r="J771" s="10" t="str">
        <f>IFERROR(INDEX([1]Programas!$B$2:$B$50,MATCH(LEFT(I771,3),[1]Programas!$A$2:$A$50,0)),"")</f>
        <v>Desarrollo Web y Aplic</v>
      </c>
      <c r="K771" s="10" t="s">
        <v>750</v>
      </c>
    </row>
    <row r="772" spans="1:11" x14ac:dyDescent="0.2">
      <c r="A772" s="10">
        <v>771</v>
      </c>
      <c r="B772" s="10" t="s">
        <v>6173</v>
      </c>
      <c r="C772" s="11" t="s">
        <v>1389</v>
      </c>
      <c r="D772" s="10" t="s">
        <v>4419</v>
      </c>
      <c r="E772" s="10" t="s">
        <v>6174</v>
      </c>
      <c r="F772" s="11" t="s">
        <v>6175</v>
      </c>
      <c r="G772" s="10" t="s">
        <v>13</v>
      </c>
      <c r="H772" s="12">
        <v>46262</v>
      </c>
      <c r="I772" s="10" t="s">
        <v>1382</v>
      </c>
      <c r="J772" s="10" t="str">
        <f>IFERROR(INDEX([1]Programas!$B$2:$B$50,MATCH(LEFT(I772,3),[1]Programas!$A$2:$A$50,0)),"")</f>
        <v>Desarrollo Web y Aplic</v>
      </c>
      <c r="K772" s="10" t="s">
        <v>750</v>
      </c>
    </row>
    <row r="773" spans="1:11" x14ac:dyDescent="0.2">
      <c r="A773" s="10">
        <v>772</v>
      </c>
      <c r="B773" s="10" t="s">
        <v>1392</v>
      </c>
      <c r="C773" s="11" t="s">
        <v>1391</v>
      </c>
      <c r="D773" s="10" t="s">
        <v>4419</v>
      </c>
      <c r="E773" s="10" t="s">
        <v>6176</v>
      </c>
      <c r="F773" s="11" t="s">
        <v>6177</v>
      </c>
      <c r="G773" s="10" t="s">
        <v>13</v>
      </c>
      <c r="H773" s="12">
        <v>46262</v>
      </c>
      <c r="I773" s="10" t="s">
        <v>1382</v>
      </c>
      <c r="J773" s="10" t="str">
        <f>IFERROR(INDEX([1]Programas!$B$2:$B$50,MATCH(LEFT(I773,3),[1]Programas!$A$2:$A$50,0)),"")</f>
        <v>Desarrollo Web y Aplic</v>
      </c>
      <c r="K773" s="10" t="s">
        <v>750</v>
      </c>
    </row>
    <row r="774" spans="1:11" x14ac:dyDescent="0.2">
      <c r="A774" s="10">
        <v>773</v>
      </c>
      <c r="B774" s="10" t="s">
        <v>1396</v>
      </c>
      <c r="C774" s="11" t="s">
        <v>1395</v>
      </c>
      <c r="D774" s="10" t="s">
        <v>4419</v>
      </c>
      <c r="E774" s="10" t="s">
        <v>6178</v>
      </c>
      <c r="F774" s="11" t="s">
        <v>6179</v>
      </c>
      <c r="G774" s="10" t="s">
        <v>13</v>
      </c>
      <c r="H774" s="12">
        <v>46262</v>
      </c>
      <c r="I774" s="10" t="s">
        <v>1382</v>
      </c>
      <c r="J774" s="10" t="str">
        <f>IFERROR(INDEX([1]Programas!$B$2:$B$50,MATCH(LEFT(I774,3),[1]Programas!$A$2:$A$50,0)),"")</f>
        <v>Desarrollo Web y Aplic</v>
      </c>
      <c r="K774" s="10" t="s">
        <v>750</v>
      </c>
    </row>
    <row r="775" spans="1:11" x14ac:dyDescent="0.2">
      <c r="A775" s="10">
        <v>774</v>
      </c>
      <c r="B775" s="10" t="s">
        <v>1398</v>
      </c>
      <c r="C775" s="11" t="s">
        <v>1397</v>
      </c>
      <c r="D775" s="10" t="s">
        <v>4419</v>
      </c>
      <c r="E775" s="10" t="s">
        <v>6180</v>
      </c>
      <c r="F775" s="11" t="s">
        <v>6181</v>
      </c>
      <c r="G775" s="10" t="s">
        <v>13</v>
      </c>
      <c r="H775" s="12">
        <v>46262</v>
      </c>
      <c r="I775" s="10" t="s">
        <v>1382</v>
      </c>
      <c r="J775" s="10" t="str">
        <f>IFERROR(INDEX([1]Programas!$B$2:$B$50,MATCH(LEFT(I775,3),[1]Programas!$A$2:$A$50,0)),"")</f>
        <v>Desarrollo Web y Aplic</v>
      </c>
      <c r="K775" s="10" t="s">
        <v>750</v>
      </c>
    </row>
    <row r="776" spans="1:11" x14ac:dyDescent="0.2">
      <c r="A776" s="10">
        <v>775</v>
      </c>
      <c r="B776" s="10" t="s">
        <v>6182</v>
      </c>
      <c r="C776" s="11" t="s">
        <v>1399</v>
      </c>
      <c r="D776" s="10" t="s">
        <v>4453</v>
      </c>
      <c r="E776" s="10" t="s">
        <v>6183</v>
      </c>
      <c r="F776" s="11" t="s">
        <v>6184</v>
      </c>
      <c r="G776" s="10" t="s">
        <v>13</v>
      </c>
      <c r="H776" s="12">
        <v>46262</v>
      </c>
      <c r="I776" s="10" t="s">
        <v>1382</v>
      </c>
      <c r="J776" s="10" t="str">
        <f>IFERROR(INDEX([1]Programas!$B$2:$B$50,MATCH(LEFT(I776,3),[1]Programas!$A$2:$A$50,0)),"")</f>
        <v>Desarrollo Web y Aplic</v>
      </c>
      <c r="K776" s="10" t="s">
        <v>750</v>
      </c>
    </row>
    <row r="777" spans="1:11" x14ac:dyDescent="0.2">
      <c r="A777" s="10">
        <v>776</v>
      </c>
      <c r="B777" s="10" t="s">
        <v>1402</v>
      </c>
      <c r="C777" s="11" t="s">
        <v>1401</v>
      </c>
      <c r="D777" s="10" t="s">
        <v>4419</v>
      </c>
      <c r="E777" s="10" t="s">
        <v>6185</v>
      </c>
      <c r="F777" s="11" t="s">
        <v>6186</v>
      </c>
      <c r="G777" s="10" t="s">
        <v>13</v>
      </c>
      <c r="H777" s="12">
        <v>46262</v>
      </c>
      <c r="I777" s="10" t="s">
        <v>1382</v>
      </c>
      <c r="J777" s="10" t="str">
        <f>IFERROR(INDEX([1]Programas!$B$2:$B$50,MATCH(LEFT(I777,3),[1]Programas!$A$2:$A$50,0)),"")</f>
        <v>Desarrollo Web y Aplic</v>
      </c>
      <c r="K777" s="10" t="s">
        <v>750</v>
      </c>
    </row>
    <row r="778" spans="1:11" x14ac:dyDescent="0.2">
      <c r="A778" s="10">
        <v>777</v>
      </c>
      <c r="B778" s="10" t="s">
        <v>6187</v>
      </c>
      <c r="C778" s="11" t="s">
        <v>1403</v>
      </c>
      <c r="D778" s="10" t="s">
        <v>4419</v>
      </c>
      <c r="E778" s="10" t="s">
        <v>6188</v>
      </c>
      <c r="F778" s="11" t="s">
        <v>6189</v>
      </c>
      <c r="G778" s="10" t="s">
        <v>13</v>
      </c>
      <c r="H778" s="12">
        <v>46262</v>
      </c>
      <c r="I778" s="10" t="s">
        <v>1382</v>
      </c>
      <c r="J778" s="10" t="str">
        <f>IFERROR(INDEX([1]Programas!$B$2:$B$50,MATCH(LEFT(I778,3),[1]Programas!$A$2:$A$50,0)),"")</f>
        <v>Desarrollo Web y Aplic</v>
      </c>
      <c r="K778" s="10" t="s">
        <v>750</v>
      </c>
    </row>
    <row r="779" spans="1:11" x14ac:dyDescent="0.2">
      <c r="A779" s="10">
        <v>778</v>
      </c>
      <c r="B779" s="10" t="s">
        <v>1406</v>
      </c>
      <c r="C779" s="11" t="s">
        <v>1405</v>
      </c>
      <c r="D779" s="10" t="s">
        <v>4419</v>
      </c>
      <c r="E779" s="10" t="s">
        <v>6190</v>
      </c>
      <c r="F779" s="11" t="s">
        <v>6191</v>
      </c>
      <c r="G779" s="10" t="s">
        <v>13</v>
      </c>
      <c r="H779" s="12">
        <v>46262</v>
      </c>
      <c r="I779" s="10" t="s">
        <v>1382</v>
      </c>
      <c r="J779" s="10" t="str">
        <f>IFERROR(INDEX([1]Programas!$B$2:$B$50,MATCH(LEFT(I779,3),[1]Programas!$A$2:$A$50,0)),"")</f>
        <v>Desarrollo Web y Aplic</v>
      </c>
      <c r="K779" s="10" t="s">
        <v>750</v>
      </c>
    </row>
    <row r="780" spans="1:11" x14ac:dyDescent="0.2">
      <c r="A780" s="10">
        <v>779</v>
      </c>
      <c r="B780" s="10" t="s">
        <v>1408</v>
      </c>
      <c r="C780" s="11" t="s">
        <v>1407</v>
      </c>
      <c r="D780" s="10" t="s">
        <v>4419</v>
      </c>
      <c r="E780" s="10" t="s">
        <v>6192</v>
      </c>
      <c r="F780" s="11" t="s">
        <v>6193</v>
      </c>
      <c r="G780" s="10" t="s">
        <v>13</v>
      </c>
      <c r="H780" s="12">
        <v>46262</v>
      </c>
      <c r="I780" s="10" t="s">
        <v>1382</v>
      </c>
      <c r="J780" s="10" t="str">
        <f>IFERROR(INDEX([1]Programas!$B$2:$B$50,MATCH(LEFT(I780,3),[1]Programas!$A$2:$A$50,0)),"")</f>
        <v>Desarrollo Web y Aplic</v>
      </c>
      <c r="K780" s="10" t="s">
        <v>750</v>
      </c>
    </row>
    <row r="781" spans="1:11" x14ac:dyDescent="0.2">
      <c r="A781" s="10">
        <v>780</v>
      </c>
      <c r="B781" s="10" t="s">
        <v>1410</v>
      </c>
      <c r="C781" s="11" t="s">
        <v>1409</v>
      </c>
      <c r="D781" s="10" t="s">
        <v>4419</v>
      </c>
      <c r="E781" s="10" t="s">
        <v>6194</v>
      </c>
      <c r="F781" s="11" t="s">
        <v>6195</v>
      </c>
      <c r="G781" s="10" t="s">
        <v>13</v>
      </c>
      <c r="H781" s="12">
        <v>46262</v>
      </c>
      <c r="I781" s="10" t="s">
        <v>1382</v>
      </c>
      <c r="J781" s="10" t="str">
        <f>IFERROR(INDEX([1]Programas!$B$2:$B$50,MATCH(LEFT(I781,3),[1]Programas!$A$2:$A$50,0)),"")</f>
        <v>Desarrollo Web y Aplic</v>
      </c>
      <c r="K781" s="10" t="s">
        <v>750</v>
      </c>
    </row>
    <row r="782" spans="1:11" x14ac:dyDescent="0.2">
      <c r="A782" s="10">
        <v>781</v>
      </c>
      <c r="B782" s="10" t="s">
        <v>1412</v>
      </c>
      <c r="C782" s="11" t="s">
        <v>1411</v>
      </c>
      <c r="D782" s="10" t="s">
        <v>4419</v>
      </c>
      <c r="E782" s="10" t="s">
        <v>6196</v>
      </c>
      <c r="F782" s="11" t="s">
        <v>6197</v>
      </c>
      <c r="G782" s="10" t="s">
        <v>13</v>
      </c>
      <c r="H782" s="12">
        <v>46262</v>
      </c>
      <c r="I782" s="10" t="s">
        <v>1382</v>
      </c>
      <c r="J782" s="10" t="str">
        <f>IFERROR(INDEX([1]Programas!$B$2:$B$50,MATCH(LEFT(I782,3),[1]Programas!$A$2:$A$50,0)),"")</f>
        <v>Desarrollo Web y Aplic</v>
      </c>
      <c r="K782" s="10" t="s">
        <v>750</v>
      </c>
    </row>
    <row r="783" spans="1:11" x14ac:dyDescent="0.2">
      <c r="A783" s="10">
        <v>782</v>
      </c>
      <c r="B783" s="10" t="s">
        <v>1414</v>
      </c>
      <c r="C783" s="11" t="s">
        <v>1413</v>
      </c>
      <c r="D783" s="10" t="s">
        <v>4419</v>
      </c>
      <c r="E783" s="10" t="s">
        <v>6198</v>
      </c>
      <c r="F783" s="11" t="s">
        <v>6199</v>
      </c>
      <c r="G783" s="10" t="s">
        <v>13</v>
      </c>
      <c r="H783" s="12">
        <v>46262</v>
      </c>
      <c r="I783" s="10" t="s">
        <v>1382</v>
      </c>
      <c r="J783" s="10" t="str">
        <f>IFERROR(INDEX([1]Programas!$B$2:$B$50,MATCH(LEFT(I783,3),[1]Programas!$A$2:$A$50,0)),"")</f>
        <v>Desarrollo Web y Aplic</v>
      </c>
      <c r="K783" s="10" t="s">
        <v>750</v>
      </c>
    </row>
    <row r="784" spans="1:11" x14ac:dyDescent="0.2">
      <c r="A784" s="10">
        <v>783</v>
      </c>
      <c r="B784" s="10" t="s">
        <v>6200</v>
      </c>
      <c r="C784" s="11" t="s">
        <v>1415</v>
      </c>
      <c r="D784" s="10" t="s">
        <v>4419</v>
      </c>
      <c r="E784" s="10" t="s">
        <v>6201</v>
      </c>
      <c r="F784" s="11" t="s">
        <v>6202</v>
      </c>
      <c r="G784" s="10" t="s">
        <v>13</v>
      </c>
      <c r="H784" s="12">
        <v>46262</v>
      </c>
      <c r="I784" s="10" t="s">
        <v>1382</v>
      </c>
      <c r="J784" s="10" t="str">
        <f>IFERROR(INDEX([1]Programas!$B$2:$B$50,MATCH(LEFT(I784,3),[1]Programas!$A$2:$A$50,0)),"")</f>
        <v>Desarrollo Web y Aplic</v>
      </c>
      <c r="K784" s="10" t="s">
        <v>750</v>
      </c>
    </row>
    <row r="785" spans="1:11" x14ac:dyDescent="0.2">
      <c r="A785" s="10">
        <v>784</v>
      </c>
      <c r="B785" s="10" t="s">
        <v>1418</v>
      </c>
      <c r="C785" s="11" t="s">
        <v>1417</v>
      </c>
      <c r="D785" s="10" t="s">
        <v>4419</v>
      </c>
      <c r="E785" s="10" t="s">
        <v>6203</v>
      </c>
      <c r="F785" s="11" t="s">
        <v>6204</v>
      </c>
      <c r="G785" s="10" t="s">
        <v>13</v>
      </c>
      <c r="H785" s="12">
        <v>46262</v>
      </c>
      <c r="I785" s="10" t="s">
        <v>1382</v>
      </c>
      <c r="J785" s="10" t="str">
        <f>IFERROR(INDEX([1]Programas!$B$2:$B$50,MATCH(LEFT(I785,3),[1]Programas!$A$2:$A$50,0)),"")</f>
        <v>Desarrollo Web y Aplic</v>
      </c>
      <c r="K785" s="10" t="s">
        <v>750</v>
      </c>
    </row>
    <row r="786" spans="1:11" x14ac:dyDescent="0.2">
      <c r="A786" s="10">
        <v>785</v>
      </c>
      <c r="B786" s="10" t="s">
        <v>1420</v>
      </c>
      <c r="C786" s="11" t="s">
        <v>1419</v>
      </c>
      <c r="D786" s="10" t="s">
        <v>4419</v>
      </c>
      <c r="E786" s="10" t="s">
        <v>6205</v>
      </c>
      <c r="F786" s="11" t="s">
        <v>6206</v>
      </c>
      <c r="G786" s="10" t="s">
        <v>13</v>
      </c>
      <c r="H786" s="12">
        <v>46262</v>
      </c>
      <c r="I786" s="10" t="s">
        <v>1382</v>
      </c>
      <c r="J786" s="10" t="str">
        <f>IFERROR(INDEX([1]Programas!$B$2:$B$50,MATCH(LEFT(I786,3),[1]Programas!$A$2:$A$50,0)),"")</f>
        <v>Desarrollo Web y Aplic</v>
      </c>
      <c r="K786" s="10" t="s">
        <v>750</v>
      </c>
    </row>
    <row r="787" spans="1:11" x14ac:dyDescent="0.2">
      <c r="A787" s="10">
        <v>786</v>
      </c>
      <c r="B787" s="10" t="s">
        <v>6207</v>
      </c>
      <c r="C787" s="11" t="s">
        <v>1421</v>
      </c>
      <c r="D787" s="10" t="s">
        <v>4419</v>
      </c>
      <c r="E787" s="10" t="s">
        <v>6208</v>
      </c>
      <c r="F787" s="11" t="s">
        <v>6209</v>
      </c>
      <c r="G787" s="10" t="s">
        <v>13</v>
      </c>
      <c r="H787" s="12">
        <v>46262</v>
      </c>
      <c r="I787" s="10" t="s">
        <v>1382</v>
      </c>
      <c r="J787" s="10" t="str">
        <f>IFERROR(INDEX([1]Programas!$B$2:$B$50,MATCH(LEFT(I787,3),[1]Programas!$A$2:$A$50,0)),"")</f>
        <v>Desarrollo Web y Aplic</v>
      </c>
      <c r="K787" s="10" t="s">
        <v>750</v>
      </c>
    </row>
    <row r="788" spans="1:11" x14ac:dyDescent="0.2">
      <c r="A788" s="10">
        <v>787</v>
      </c>
      <c r="B788" s="10" t="s">
        <v>1424</v>
      </c>
      <c r="C788" s="11" t="s">
        <v>1423</v>
      </c>
      <c r="D788" s="10" t="s">
        <v>4419</v>
      </c>
      <c r="E788" s="10" t="s">
        <v>6210</v>
      </c>
      <c r="F788" s="11" t="s">
        <v>6211</v>
      </c>
      <c r="G788" s="10" t="s">
        <v>13</v>
      </c>
      <c r="H788" s="12">
        <v>46262</v>
      </c>
      <c r="I788" s="10" t="s">
        <v>1382</v>
      </c>
      <c r="J788" s="10" t="str">
        <f>IFERROR(INDEX([1]Programas!$B$2:$B$50,MATCH(LEFT(I788,3),[1]Programas!$A$2:$A$50,0)),"")</f>
        <v>Desarrollo Web y Aplic</v>
      </c>
      <c r="K788" s="10" t="s">
        <v>750</v>
      </c>
    </row>
    <row r="789" spans="1:11" x14ac:dyDescent="0.2">
      <c r="A789" s="10">
        <v>788</v>
      </c>
      <c r="B789" s="10" t="s">
        <v>1426</v>
      </c>
      <c r="C789" s="11" t="s">
        <v>1425</v>
      </c>
      <c r="D789" s="10" t="s">
        <v>4419</v>
      </c>
      <c r="E789" s="10" t="s">
        <v>6212</v>
      </c>
      <c r="F789" s="11" t="s">
        <v>6213</v>
      </c>
      <c r="G789" s="10" t="s">
        <v>13</v>
      </c>
      <c r="H789" s="12">
        <v>46262</v>
      </c>
      <c r="I789" s="10" t="s">
        <v>1382</v>
      </c>
      <c r="J789" s="10" t="str">
        <f>IFERROR(INDEX([1]Programas!$B$2:$B$50,MATCH(LEFT(I789,3),[1]Programas!$A$2:$A$50,0)),"")</f>
        <v>Desarrollo Web y Aplic</v>
      </c>
      <c r="K789" s="10" t="s">
        <v>750</v>
      </c>
    </row>
    <row r="790" spans="1:11" x14ac:dyDescent="0.2">
      <c r="A790" s="10">
        <v>789</v>
      </c>
      <c r="B790" s="10" t="s">
        <v>1428</v>
      </c>
      <c r="C790" s="11" t="s">
        <v>1427</v>
      </c>
      <c r="D790" s="10" t="s">
        <v>4419</v>
      </c>
      <c r="E790" s="10" t="s">
        <v>6214</v>
      </c>
      <c r="F790" s="11" t="s">
        <v>6215</v>
      </c>
      <c r="G790" s="10" t="s">
        <v>13</v>
      </c>
      <c r="H790" s="12">
        <v>46262</v>
      </c>
      <c r="I790" s="10" t="s">
        <v>1382</v>
      </c>
      <c r="J790" s="10" t="str">
        <f>IFERROR(INDEX([1]Programas!$B$2:$B$50,MATCH(LEFT(I790,3),[1]Programas!$A$2:$A$50,0)),"")</f>
        <v>Desarrollo Web y Aplic</v>
      </c>
      <c r="K790" s="10" t="s">
        <v>750</v>
      </c>
    </row>
    <row r="791" spans="1:11" x14ac:dyDescent="0.2">
      <c r="A791" s="10">
        <v>790</v>
      </c>
      <c r="B791" s="10" t="s">
        <v>1430</v>
      </c>
      <c r="C791" s="11" t="s">
        <v>1429</v>
      </c>
      <c r="D791" s="10" t="s">
        <v>4419</v>
      </c>
      <c r="E791" s="10" t="s">
        <v>6216</v>
      </c>
      <c r="F791" s="11" t="s">
        <v>6217</v>
      </c>
      <c r="G791" s="10" t="s">
        <v>13</v>
      </c>
      <c r="H791" s="12">
        <v>46262</v>
      </c>
      <c r="I791" s="10" t="s">
        <v>1382</v>
      </c>
      <c r="J791" s="10" t="str">
        <f>IFERROR(INDEX([1]Programas!$B$2:$B$50,MATCH(LEFT(I791,3),[1]Programas!$A$2:$A$50,0)),"")</f>
        <v>Desarrollo Web y Aplic</v>
      </c>
      <c r="K791" s="10" t="s">
        <v>750</v>
      </c>
    </row>
    <row r="792" spans="1:11" x14ac:dyDescent="0.2">
      <c r="A792" s="10">
        <v>791</v>
      </c>
      <c r="B792" s="10" t="s">
        <v>6218</v>
      </c>
      <c r="C792" s="11" t="s">
        <v>1431</v>
      </c>
      <c r="D792" s="10" t="s">
        <v>4419</v>
      </c>
      <c r="E792" s="10" t="s">
        <v>6219</v>
      </c>
      <c r="F792" s="11" t="s">
        <v>6220</v>
      </c>
      <c r="G792" s="10" t="s">
        <v>13</v>
      </c>
      <c r="H792" s="12">
        <v>46262</v>
      </c>
      <c r="I792" s="10" t="s">
        <v>1382</v>
      </c>
      <c r="J792" s="10" t="str">
        <f>IFERROR(INDEX([1]Programas!$B$2:$B$50,MATCH(LEFT(I792,3),[1]Programas!$A$2:$A$50,0)),"")</f>
        <v>Desarrollo Web y Aplic</v>
      </c>
      <c r="K792" s="10" t="s">
        <v>750</v>
      </c>
    </row>
    <row r="793" spans="1:11" x14ac:dyDescent="0.2">
      <c r="A793" s="10">
        <v>792</v>
      </c>
      <c r="B793" s="10" t="s">
        <v>1434</v>
      </c>
      <c r="C793" s="11" t="s">
        <v>1433</v>
      </c>
      <c r="D793" s="10" t="s">
        <v>4453</v>
      </c>
      <c r="E793" s="10" t="s">
        <v>6221</v>
      </c>
      <c r="F793" s="11" t="s">
        <v>6222</v>
      </c>
      <c r="G793" s="10" t="s">
        <v>13</v>
      </c>
      <c r="H793" s="12">
        <v>46262</v>
      </c>
      <c r="I793" s="10" t="s">
        <v>1382</v>
      </c>
      <c r="J793" s="10" t="str">
        <f>IFERROR(INDEX([1]Programas!$B$2:$B$50,MATCH(LEFT(I793,3),[1]Programas!$A$2:$A$50,0)),"")</f>
        <v>Desarrollo Web y Aplic</v>
      </c>
      <c r="K793" s="10" t="s">
        <v>750</v>
      </c>
    </row>
    <row r="794" spans="1:11" x14ac:dyDescent="0.2">
      <c r="A794" s="10">
        <v>793</v>
      </c>
      <c r="B794" s="10" t="s">
        <v>1436</v>
      </c>
      <c r="C794" s="11" t="s">
        <v>1435</v>
      </c>
      <c r="D794" s="10" t="s">
        <v>4453</v>
      </c>
      <c r="E794" s="10" t="s">
        <v>6223</v>
      </c>
      <c r="F794" s="11" t="s">
        <v>6224</v>
      </c>
      <c r="G794" s="10" t="s">
        <v>13</v>
      </c>
      <c r="H794" s="12">
        <v>46262</v>
      </c>
      <c r="I794" s="10" t="s">
        <v>1382</v>
      </c>
      <c r="J794" s="10" t="str">
        <f>IFERROR(INDEX([1]Programas!$B$2:$B$50,MATCH(LEFT(I794,3),[1]Programas!$A$2:$A$50,0)),"")</f>
        <v>Desarrollo Web y Aplic</v>
      </c>
      <c r="K794" s="10" t="s">
        <v>750</v>
      </c>
    </row>
    <row r="795" spans="1:11" x14ac:dyDescent="0.2">
      <c r="A795" s="10">
        <v>794</v>
      </c>
      <c r="B795" s="10" t="s">
        <v>1438</v>
      </c>
      <c r="C795" s="11" t="s">
        <v>1437</v>
      </c>
      <c r="D795" s="10" t="s">
        <v>4419</v>
      </c>
      <c r="E795" s="10" t="s">
        <v>6225</v>
      </c>
      <c r="F795" s="11" t="s">
        <v>6226</v>
      </c>
      <c r="G795" s="10" t="s">
        <v>13</v>
      </c>
      <c r="H795" s="12">
        <v>46262</v>
      </c>
      <c r="I795" s="10" t="s">
        <v>1382</v>
      </c>
      <c r="J795" s="10" t="str">
        <f>IFERROR(INDEX([1]Programas!$B$2:$B$50,MATCH(LEFT(I795,3),[1]Programas!$A$2:$A$50,0)),"")</f>
        <v>Desarrollo Web y Aplic</v>
      </c>
      <c r="K795" s="10" t="s">
        <v>750</v>
      </c>
    </row>
    <row r="796" spans="1:11" x14ac:dyDescent="0.2">
      <c r="A796" s="10">
        <v>795</v>
      </c>
      <c r="B796" s="10" t="s">
        <v>1442</v>
      </c>
      <c r="C796" s="11" t="s">
        <v>1441</v>
      </c>
      <c r="D796" s="10" t="s">
        <v>4419</v>
      </c>
      <c r="E796" s="10" t="s">
        <v>6227</v>
      </c>
      <c r="F796" s="11" t="s">
        <v>6228</v>
      </c>
      <c r="G796" s="10" t="s">
        <v>13</v>
      </c>
      <c r="H796" s="12">
        <v>46262</v>
      </c>
      <c r="I796" s="10" t="s">
        <v>1382</v>
      </c>
      <c r="J796" s="10" t="str">
        <f>IFERROR(INDEX([1]Programas!$B$2:$B$50,MATCH(LEFT(I796,3),[1]Programas!$A$2:$A$50,0)),"")</f>
        <v>Desarrollo Web y Aplic</v>
      </c>
      <c r="K796" s="10" t="s">
        <v>750</v>
      </c>
    </row>
    <row r="797" spans="1:11" x14ac:dyDescent="0.2">
      <c r="A797" s="10">
        <v>796</v>
      </c>
      <c r="B797" s="10" t="s">
        <v>1444</v>
      </c>
      <c r="C797" s="11" t="s">
        <v>1443</v>
      </c>
      <c r="D797" s="10" t="s">
        <v>4419</v>
      </c>
      <c r="E797" s="10" t="s">
        <v>6229</v>
      </c>
      <c r="F797" s="11" t="s">
        <v>6230</v>
      </c>
      <c r="G797" s="10" t="s">
        <v>13</v>
      </c>
      <c r="H797" s="12">
        <v>46262</v>
      </c>
      <c r="I797" s="10" t="s">
        <v>1382</v>
      </c>
      <c r="J797" s="10" t="str">
        <f>IFERROR(INDEX([1]Programas!$B$2:$B$50,MATCH(LEFT(I797,3),[1]Programas!$A$2:$A$50,0)),"")</f>
        <v>Desarrollo Web y Aplic</v>
      </c>
      <c r="K797" s="10" t="s">
        <v>750</v>
      </c>
    </row>
    <row r="798" spans="1:11" x14ac:dyDescent="0.2">
      <c r="A798" s="10">
        <v>797</v>
      </c>
      <c r="B798" s="10" t="s">
        <v>1446</v>
      </c>
      <c r="C798" s="11" t="s">
        <v>1445</v>
      </c>
      <c r="D798" s="10" t="s">
        <v>4419</v>
      </c>
      <c r="E798" s="10" t="s">
        <v>6231</v>
      </c>
      <c r="F798" s="11" t="s">
        <v>6232</v>
      </c>
      <c r="G798" s="10" t="s">
        <v>13</v>
      </c>
      <c r="H798" s="12">
        <v>46262</v>
      </c>
      <c r="I798" s="10" t="s">
        <v>1382</v>
      </c>
      <c r="J798" s="10" t="str">
        <f>IFERROR(INDEX([1]Programas!$B$2:$B$50,MATCH(LEFT(I798,3),[1]Programas!$A$2:$A$50,0)),"")</f>
        <v>Desarrollo Web y Aplic</v>
      </c>
      <c r="K798" s="10" t="s">
        <v>750</v>
      </c>
    </row>
    <row r="799" spans="1:11" x14ac:dyDescent="0.2">
      <c r="A799" s="10">
        <v>798</v>
      </c>
      <c r="B799" s="10" t="s">
        <v>1448</v>
      </c>
      <c r="C799" s="11" t="s">
        <v>1447</v>
      </c>
      <c r="D799" s="10" t="s">
        <v>4419</v>
      </c>
      <c r="E799" s="10" t="s">
        <v>6233</v>
      </c>
      <c r="F799" s="11" t="s">
        <v>6234</v>
      </c>
      <c r="G799" s="10" t="s">
        <v>13</v>
      </c>
      <c r="H799" s="12">
        <v>46262</v>
      </c>
      <c r="I799" s="10" t="s">
        <v>1382</v>
      </c>
      <c r="J799" s="10" t="str">
        <f>IFERROR(INDEX([1]Programas!$B$2:$B$50,MATCH(LEFT(I799,3),[1]Programas!$A$2:$A$50,0)),"")</f>
        <v>Desarrollo Web y Aplic</v>
      </c>
      <c r="K799" s="10" t="s">
        <v>750</v>
      </c>
    </row>
    <row r="800" spans="1:11" x14ac:dyDescent="0.2">
      <c r="A800" s="10">
        <v>799</v>
      </c>
      <c r="B800" s="10" t="s">
        <v>1450</v>
      </c>
      <c r="C800" s="11" t="s">
        <v>1449</v>
      </c>
      <c r="D800" s="10" t="s">
        <v>4419</v>
      </c>
      <c r="E800" s="10" t="s">
        <v>6235</v>
      </c>
      <c r="F800" s="11" t="s">
        <v>6236</v>
      </c>
      <c r="G800" s="10" t="s">
        <v>13</v>
      </c>
      <c r="H800" s="12">
        <v>46262</v>
      </c>
      <c r="I800" s="10" t="s">
        <v>1452</v>
      </c>
      <c r="J800" s="10" t="str">
        <f>IFERROR(INDEX([1]Programas!$B$2:$B$50,MATCH(LEFT(I800,3),[1]Programas!$A$2:$A$50,0)),"")</f>
        <v>Desarrollo Web y Aplic</v>
      </c>
      <c r="K800" s="10" t="s">
        <v>1453</v>
      </c>
    </row>
    <row r="801" spans="1:11" x14ac:dyDescent="0.2">
      <c r="A801" s="10">
        <v>800</v>
      </c>
      <c r="B801" s="10" t="s">
        <v>6237</v>
      </c>
      <c r="C801" s="11" t="s">
        <v>1454</v>
      </c>
      <c r="D801" s="10" t="s">
        <v>4419</v>
      </c>
      <c r="E801" s="10" t="s">
        <v>6238</v>
      </c>
      <c r="F801" s="11" t="s">
        <v>6239</v>
      </c>
      <c r="G801" s="10" t="s">
        <v>13</v>
      </c>
      <c r="H801" s="12">
        <v>46262</v>
      </c>
      <c r="I801" s="10" t="s">
        <v>1452</v>
      </c>
      <c r="J801" s="10" t="str">
        <f>IFERROR(INDEX([1]Programas!$B$2:$B$50,MATCH(LEFT(I801,3),[1]Programas!$A$2:$A$50,0)),"")</f>
        <v>Desarrollo Web y Aplic</v>
      </c>
      <c r="K801" s="10" t="s">
        <v>1453</v>
      </c>
    </row>
    <row r="802" spans="1:11" x14ac:dyDescent="0.2">
      <c r="A802" s="10">
        <v>801</v>
      </c>
      <c r="B802" s="10" t="s">
        <v>6240</v>
      </c>
      <c r="C802" s="11" t="s">
        <v>1456</v>
      </c>
      <c r="D802" s="10" t="s">
        <v>4419</v>
      </c>
      <c r="E802" s="10" t="s">
        <v>6241</v>
      </c>
      <c r="F802" s="11" t="s">
        <v>6242</v>
      </c>
      <c r="G802" s="10" t="s">
        <v>13</v>
      </c>
      <c r="H802" s="12">
        <v>46262</v>
      </c>
      <c r="I802" s="10" t="s">
        <v>1452</v>
      </c>
      <c r="J802" s="10" t="str">
        <f>IFERROR(INDEX([1]Programas!$B$2:$B$50,MATCH(LEFT(I802,3),[1]Programas!$A$2:$A$50,0)),"")</f>
        <v>Desarrollo Web y Aplic</v>
      </c>
      <c r="K802" s="10" t="s">
        <v>1453</v>
      </c>
    </row>
    <row r="803" spans="1:11" x14ac:dyDescent="0.2">
      <c r="A803" s="10">
        <v>802</v>
      </c>
      <c r="B803" s="10" t="s">
        <v>1459</v>
      </c>
      <c r="C803" s="11" t="s">
        <v>1458</v>
      </c>
      <c r="D803" s="10" t="s">
        <v>4419</v>
      </c>
      <c r="E803" s="10" t="s">
        <v>6243</v>
      </c>
      <c r="F803" s="11" t="s">
        <v>6244</v>
      </c>
      <c r="G803" s="10" t="s">
        <v>13</v>
      </c>
      <c r="H803" s="12">
        <v>46262</v>
      </c>
      <c r="I803" s="10" t="s">
        <v>1452</v>
      </c>
      <c r="J803" s="10" t="str">
        <f>IFERROR(INDEX([1]Programas!$B$2:$B$50,MATCH(LEFT(I803,3),[1]Programas!$A$2:$A$50,0)),"")</f>
        <v>Desarrollo Web y Aplic</v>
      </c>
      <c r="K803" s="10" t="s">
        <v>1453</v>
      </c>
    </row>
    <row r="804" spans="1:11" x14ac:dyDescent="0.2">
      <c r="A804" s="10">
        <v>803</v>
      </c>
      <c r="B804" s="10" t="s">
        <v>6245</v>
      </c>
      <c r="C804" s="11" t="s">
        <v>1460</v>
      </c>
      <c r="D804" s="10" t="s">
        <v>4419</v>
      </c>
      <c r="E804" s="10" t="s">
        <v>6246</v>
      </c>
      <c r="F804" s="11" t="s">
        <v>6247</v>
      </c>
      <c r="G804" s="10" t="s">
        <v>13</v>
      </c>
      <c r="H804" s="12">
        <v>46262</v>
      </c>
      <c r="I804" s="10" t="s">
        <v>1452</v>
      </c>
      <c r="J804" s="10" t="str">
        <f>IFERROR(INDEX([1]Programas!$B$2:$B$50,MATCH(LEFT(I804,3),[1]Programas!$A$2:$A$50,0)),"")</f>
        <v>Desarrollo Web y Aplic</v>
      </c>
      <c r="K804" s="10" t="s">
        <v>1453</v>
      </c>
    </row>
    <row r="805" spans="1:11" x14ac:dyDescent="0.2">
      <c r="A805" s="10">
        <v>804</v>
      </c>
      <c r="B805" s="10" t="s">
        <v>1463</v>
      </c>
      <c r="C805" s="11" t="s">
        <v>1462</v>
      </c>
      <c r="D805" s="10" t="s">
        <v>4419</v>
      </c>
      <c r="E805" s="10" t="s">
        <v>6248</v>
      </c>
      <c r="F805" s="11" t="s">
        <v>6249</v>
      </c>
      <c r="G805" s="10" t="s">
        <v>13</v>
      </c>
      <c r="H805" s="12">
        <v>46262</v>
      </c>
      <c r="I805" s="10" t="s">
        <v>1452</v>
      </c>
      <c r="J805" s="10" t="str">
        <f>IFERROR(INDEX([1]Programas!$B$2:$B$50,MATCH(LEFT(I805,3),[1]Programas!$A$2:$A$50,0)),"")</f>
        <v>Desarrollo Web y Aplic</v>
      </c>
      <c r="K805" s="10" t="s">
        <v>1453</v>
      </c>
    </row>
    <row r="806" spans="1:11" x14ac:dyDescent="0.2">
      <c r="A806" s="10">
        <v>805</v>
      </c>
      <c r="B806" s="10" t="s">
        <v>1465</v>
      </c>
      <c r="C806" s="11" t="s">
        <v>1464</v>
      </c>
      <c r="D806" s="10" t="s">
        <v>4419</v>
      </c>
      <c r="E806" s="10" t="s">
        <v>6250</v>
      </c>
      <c r="F806" s="11" t="s">
        <v>6251</v>
      </c>
      <c r="G806" s="10" t="s">
        <v>13</v>
      </c>
      <c r="H806" s="12">
        <v>46262</v>
      </c>
      <c r="I806" s="10" t="s">
        <v>1452</v>
      </c>
      <c r="J806" s="10" t="str">
        <f>IFERROR(INDEX([1]Programas!$B$2:$B$50,MATCH(LEFT(I806,3),[1]Programas!$A$2:$A$50,0)),"")</f>
        <v>Desarrollo Web y Aplic</v>
      </c>
      <c r="K806" s="10" t="s">
        <v>1453</v>
      </c>
    </row>
    <row r="807" spans="1:11" x14ac:dyDescent="0.2">
      <c r="A807" s="10">
        <v>806</v>
      </c>
      <c r="B807" s="10" t="s">
        <v>1467</v>
      </c>
      <c r="C807" s="11" t="s">
        <v>1466</v>
      </c>
      <c r="D807" s="10" t="s">
        <v>4453</v>
      </c>
      <c r="E807" s="10" t="s">
        <v>6252</v>
      </c>
      <c r="F807" s="11" t="s">
        <v>6253</v>
      </c>
      <c r="G807" s="10" t="s">
        <v>13</v>
      </c>
      <c r="H807" s="12">
        <v>46262</v>
      </c>
      <c r="I807" s="10" t="s">
        <v>1452</v>
      </c>
      <c r="J807" s="10" t="str">
        <f>IFERROR(INDEX([1]Programas!$B$2:$B$50,MATCH(LEFT(I807,3),[1]Programas!$A$2:$A$50,0)),"")</f>
        <v>Desarrollo Web y Aplic</v>
      </c>
      <c r="K807" s="10" t="s">
        <v>1453</v>
      </c>
    </row>
    <row r="808" spans="1:11" x14ac:dyDescent="0.2">
      <c r="A808" s="10">
        <v>807</v>
      </c>
      <c r="B808" s="10" t="s">
        <v>1469</v>
      </c>
      <c r="C808" s="11" t="s">
        <v>1468</v>
      </c>
      <c r="D808" s="10" t="s">
        <v>4419</v>
      </c>
      <c r="E808" s="10" t="s">
        <v>6254</v>
      </c>
      <c r="F808" s="11" t="s">
        <v>6255</v>
      </c>
      <c r="G808" s="10" t="s">
        <v>13</v>
      </c>
      <c r="H808" s="12">
        <v>46262</v>
      </c>
      <c r="I808" s="10" t="s">
        <v>1452</v>
      </c>
      <c r="J808" s="10" t="str">
        <f>IFERROR(INDEX([1]Programas!$B$2:$B$50,MATCH(LEFT(I808,3),[1]Programas!$A$2:$A$50,0)),"")</f>
        <v>Desarrollo Web y Aplic</v>
      </c>
      <c r="K808" s="10" t="s">
        <v>1453</v>
      </c>
    </row>
    <row r="809" spans="1:11" x14ac:dyDescent="0.2">
      <c r="A809" s="10">
        <v>808</v>
      </c>
      <c r="B809" s="10" t="s">
        <v>6256</v>
      </c>
      <c r="C809" s="11" t="s">
        <v>1470</v>
      </c>
      <c r="D809" s="10" t="s">
        <v>4419</v>
      </c>
      <c r="E809" s="10" t="s">
        <v>6257</v>
      </c>
      <c r="F809" s="11" t="s">
        <v>6258</v>
      </c>
      <c r="G809" s="10" t="s">
        <v>13</v>
      </c>
      <c r="H809" s="12">
        <v>46262</v>
      </c>
      <c r="I809" s="10" t="s">
        <v>1452</v>
      </c>
      <c r="J809" s="10" t="str">
        <f>IFERROR(INDEX([1]Programas!$B$2:$B$50,MATCH(LEFT(I809,3),[1]Programas!$A$2:$A$50,0)),"")</f>
        <v>Desarrollo Web y Aplic</v>
      </c>
      <c r="K809" s="10" t="s">
        <v>1453</v>
      </c>
    </row>
    <row r="810" spans="1:11" x14ac:dyDescent="0.2">
      <c r="A810" s="10">
        <v>809</v>
      </c>
      <c r="B810" s="10" t="s">
        <v>1473</v>
      </c>
      <c r="C810" s="11" t="s">
        <v>1472</v>
      </c>
      <c r="D810" s="10" t="s">
        <v>4419</v>
      </c>
      <c r="E810" s="10" t="s">
        <v>6259</v>
      </c>
      <c r="F810" s="11" t="s">
        <v>6260</v>
      </c>
      <c r="G810" s="10" t="s">
        <v>13</v>
      </c>
      <c r="H810" s="12">
        <v>46262</v>
      </c>
      <c r="I810" s="10" t="s">
        <v>1452</v>
      </c>
      <c r="J810" s="10" t="str">
        <f>IFERROR(INDEX([1]Programas!$B$2:$B$50,MATCH(LEFT(I810,3),[1]Programas!$A$2:$A$50,0)),"")</f>
        <v>Desarrollo Web y Aplic</v>
      </c>
      <c r="K810" s="10" t="s">
        <v>1453</v>
      </c>
    </row>
    <row r="811" spans="1:11" x14ac:dyDescent="0.2">
      <c r="A811" s="10">
        <v>810</v>
      </c>
      <c r="B811" s="10" t="s">
        <v>6261</v>
      </c>
      <c r="C811" s="11" t="s">
        <v>1474</v>
      </c>
      <c r="D811" s="10" t="s">
        <v>4419</v>
      </c>
      <c r="E811" s="10" t="s">
        <v>6262</v>
      </c>
      <c r="F811" s="11" t="s">
        <v>6263</v>
      </c>
      <c r="G811" s="10" t="s">
        <v>13</v>
      </c>
      <c r="H811" s="12">
        <v>46262</v>
      </c>
      <c r="I811" s="10" t="s">
        <v>1452</v>
      </c>
      <c r="J811" s="10" t="str">
        <f>IFERROR(INDEX([1]Programas!$B$2:$B$50,MATCH(LEFT(I811,3),[1]Programas!$A$2:$A$50,0)),"")</f>
        <v>Desarrollo Web y Aplic</v>
      </c>
      <c r="K811" s="10" t="s">
        <v>1453</v>
      </c>
    </row>
    <row r="812" spans="1:11" x14ac:dyDescent="0.2">
      <c r="A812" s="10">
        <v>811</v>
      </c>
      <c r="B812" s="10" t="s">
        <v>1478</v>
      </c>
      <c r="C812" s="11" t="s">
        <v>1477</v>
      </c>
      <c r="D812" s="10" t="s">
        <v>4419</v>
      </c>
      <c r="E812" s="10" t="s">
        <v>6264</v>
      </c>
      <c r="F812" s="11" t="s">
        <v>6265</v>
      </c>
      <c r="G812" s="10" t="s">
        <v>13</v>
      </c>
      <c r="H812" s="12">
        <v>46262</v>
      </c>
      <c r="I812" s="10" t="s">
        <v>1452</v>
      </c>
      <c r="J812" s="10" t="str">
        <f>IFERROR(INDEX([1]Programas!$B$2:$B$50,MATCH(LEFT(I812,3),[1]Programas!$A$2:$A$50,0)),"")</f>
        <v>Desarrollo Web y Aplic</v>
      </c>
      <c r="K812" s="10" t="s">
        <v>1453</v>
      </c>
    </row>
    <row r="813" spans="1:11" x14ac:dyDescent="0.2">
      <c r="A813" s="10">
        <v>812</v>
      </c>
      <c r="B813" s="10" t="s">
        <v>1480</v>
      </c>
      <c r="C813" s="11" t="s">
        <v>1479</v>
      </c>
      <c r="D813" s="10" t="s">
        <v>4419</v>
      </c>
      <c r="E813" s="10" t="s">
        <v>6266</v>
      </c>
      <c r="F813" s="11" t="s">
        <v>6267</v>
      </c>
      <c r="G813" s="10" t="s">
        <v>13</v>
      </c>
      <c r="H813" s="12">
        <v>46262</v>
      </c>
      <c r="I813" s="10" t="s">
        <v>1452</v>
      </c>
      <c r="J813" s="10" t="str">
        <f>IFERROR(INDEX([1]Programas!$B$2:$B$50,MATCH(LEFT(I813,3),[1]Programas!$A$2:$A$50,0)),"")</f>
        <v>Desarrollo Web y Aplic</v>
      </c>
      <c r="K813" s="10" t="s">
        <v>1453</v>
      </c>
    </row>
    <row r="814" spans="1:11" x14ac:dyDescent="0.2">
      <c r="A814" s="10">
        <v>813</v>
      </c>
      <c r="B814" s="10" t="s">
        <v>6268</v>
      </c>
      <c r="C814" s="11" t="s">
        <v>1481</v>
      </c>
      <c r="D814" s="10" t="s">
        <v>4419</v>
      </c>
      <c r="E814" s="10" t="s">
        <v>6269</v>
      </c>
      <c r="F814" s="11" t="s">
        <v>6270</v>
      </c>
      <c r="G814" s="10" t="s">
        <v>13</v>
      </c>
      <c r="H814" s="12">
        <v>46262</v>
      </c>
      <c r="I814" s="10" t="s">
        <v>1452</v>
      </c>
      <c r="J814" s="10" t="str">
        <f>IFERROR(INDEX([1]Programas!$B$2:$B$50,MATCH(LEFT(I814,3),[1]Programas!$A$2:$A$50,0)),"")</f>
        <v>Desarrollo Web y Aplic</v>
      </c>
      <c r="K814" s="10" t="s">
        <v>1453</v>
      </c>
    </row>
    <row r="815" spans="1:11" x14ac:dyDescent="0.2">
      <c r="A815" s="10">
        <v>814</v>
      </c>
      <c r="B815" s="10" t="s">
        <v>1484</v>
      </c>
      <c r="C815" s="11" t="s">
        <v>1483</v>
      </c>
      <c r="D815" s="10" t="s">
        <v>4419</v>
      </c>
      <c r="E815" s="10" t="s">
        <v>6271</v>
      </c>
      <c r="F815" s="11" t="s">
        <v>6272</v>
      </c>
      <c r="G815" s="10" t="s">
        <v>13</v>
      </c>
      <c r="H815" s="12">
        <v>46262</v>
      </c>
      <c r="I815" s="10" t="s">
        <v>1452</v>
      </c>
      <c r="J815" s="10" t="str">
        <f>IFERROR(INDEX([1]Programas!$B$2:$B$50,MATCH(LEFT(I815,3),[1]Programas!$A$2:$A$50,0)),"")</f>
        <v>Desarrollo Web y Aplic</v>
      </c>
      <c r="K815" s="10" t="s">
        <v>1453</v>
      </c>
    </row>
    <row r="816" spans="1:11" x14ac:dyDescent="0.2">
      <c r="A816" s="10">
        <v>815</v>
      </c>
      <c r="B816" s="10" t="s">
        <v>6273</v>
      </c>
      <c r="C816" s="11" t="s">
        <v>1485</v>
      </c>
      <c r="D816" s="10" t="s">
        <v>4419</v>
      </c>
      <c r="E816" s="10" t="s">
        <v>6274</v>
      </c>
      <c r="F816" s="11" t="s">
        <v>6275</v>
      </c>
      <c r="G816" s="10" t="s">
        <v>13</v>
      </c>
      <c r="H816" s="12">
        <v>46262</v>
      </c>
      <c r="I816" s="10" t="s">
        <v>1452</v>
      </c>
      <c r="J816" s="10" t="str">
        <f>IFERROR(INDEX([1]Programas!$B$2:$B$50,MATCH(LEFT(I816,3),[1]Programas!$A$2:$A$50,0)),"")</f>
        <v>Desarrollo Web y Aplic</v>
      </c>
      <c r="K816" s="10" t="s">
        <v>1453</v>
      </c>
    </row>
    <row r="817" spans="1:11" x14ac:dyDescent="0.2">
      <c r="A817" s="10">
        <v>816</v>
      </c>
      <c r="B817" s="10" t="s">
        <v>6276</v>
      </c>
      <c r="C817" s="11" t="s">
        <v>1487</v>
      </c>
      <c r="D817" s="10" t="s">
        <v>4453</v>
      </c>
      <c r="E817" s="10" t="s">
        <v>6277</v>
      </c>
      <c r="F817" s="11" t="s">
        <v>6278</v>
      </c>
      <c r="G817" s="10" t="s">
        <v>13</v>
      </c>
      <c r="H817" s="12">
        <v>46262</v>
      </c>
      <c r="I817" s="10" t="s">
        <v>1452</v>
      </c>
      <c r="J817" s="10" t="str">
        <f>IFERROR(INDEX([1]Programas!$B$2:$B$50,MATCH(LEFT(I817,3),[1]Programas!$A$2:$A$50,0)),"")</f>
        <v>Desarrollo Web y Aplic</v>
      </c>
      <c r="K817" s="10" t="s">
        <v>1453</v>
      </c>
    </row>
    <row r="818" spans="1:11" x14ac:dyDescent="0.2">
      <c r="A818" s="10">
        <v>817</v>
      </c>
      <c r="B818" s="10" t="s">
        <v>1490</v>
      </c>
      <c r="C818" s="11" t="s">
        <v>1489</v>
      </c>
      <c r="D818" s="10" t="s">
        <v>4453</v>
      </c>
      <c r="E818" s="10" t="s">
        <v>6279</v>
      </c>
      <c r="F818" s="11" t="s">
        <v>6280</v>
      </c>
      <c r="G818" s="10" t="s">
        <v>13</v>
      </c>
      <c r="H818" s="12">
        <v>46262</v>
      </c>
      <c r="I818" s="10" t="s">
        <v>1452</v>
      </c>
      <c r="J818" s="10" t="str">
        <f>IFERROR(INDEX([1]Programas!$B$2:$B$50,MATCH(LEFT(I818,3),[1]Programas!$A$2:$A$50,0)),"")</f>
        <v>Desarrollo Web y Aplic</v>
      </c>
      <c r="K818" s="10" t="s">
        <v>1453</v>
      </c>
    </row>
    <row r="819" spans="1:11" x14ac:dyDescent="0.2">
      <c r="A819" s="10">
        <v>818</v>
      </c>
      <c r="B819" s="10" t="s">
        <v>1492</v>
      </c>
      <c r="C819" s="11" t="s">
        <v>1491</v>
      </c>
      <c r="D819" s="10" t="s">
        <v>4419</v>
      </c>
      <c r="E819" s="10" t="s">
        <v>6281</v>
      </c>
      <c r="F819" s="11" t="s">
        <v>6282</v>
      </c>
      <c r="G819" s="10" t="s">
        <v>13</v>
      </c>
      <c r="H819" s="12">
        <v>46262</v>
      </c>
      <c r="I819" s="10" t="s">
        <v>1452</v>
      </c>
      <c r="J819" s="10" t="str">
        <f>IFERROR(INDEX([1]Programas!$B$2:$B$50,MATCH(LEFT(I819,3),[1]Programas!$A$2:$A$50,0)),"")</f>
        <v>Desarrollo Web y Aplic</v>
      </c>
      <c r="K819" s="10" t="s">
        <v>1453</v>
      </c>
    </row>
    <row r="820" spans="1:11" x14ac:dyDescent="0.2">
      <c r="A820" s="10">
        <v>819</v>
      </c>
      <c r="B820" s="10" t="s">
        <v>1494</v>
      </c>
      <c r="C820" s="11" t="s">
        <v>1493</v>
      </c>
      <c r="D820" s="10" t="s">
        <v>4419</v>
      </c>
      <c r="E820" s="10" t="s">
        <v>6283</v>
      </c>
      <c r="F820" s="11" t="s">
        <v>6284</v>
      </c>
      <c r="G820" s="10" t="s">
        <v>13</v>
      </c>
      <c r="H820" s="12">
        <v>46262</v>
      </c>
      <c r="I820" s="10" t="s">
        <v>1452</v>
      </c>
      <c r="J820" s="10" t="str">
        <f>IFERROR(INDEX([1]Programas!$B$2:$B$50,MATCH(LEFT(I820,3),[1]Programas!$A$2:$A$50,0)),"")</f>
        <v>Desarrollo Web y Aplic</v>
      </c>
      <c r="K820" s="10" t="s">
        <v>1453</v>
      </c>
    </row>
    <row r="821" spans="1:11" x14ac:dyDescent="0.2">
      <c r="A821" s="10">
        <v>820</v>
      </c>
      <c r="B821" s="10" t="s">
        <v>1496</v>
      </c>
      <c r="C821" s="11" t="s">
        <v>1495</v>
      </c>
      <c r="D821" s="10" t="s">
        <v>4419</v>
      </c>
      <c r="E821" s="10" t="s">
        <v>6285</v>
      </c>
      <c r="F821" s="11" t="s">
        <v>6286</v>
      </c>
      <c r="G821" s="10" t="s">
        <v>13</v>
      </c>
      <c r="H821" s="12">
        <v>46262</v>
      </c>
      <c r="I821" s="10" t="s">
        <v>1452</v>
      </c>
      <c r="J821" s="10" t="str">
        <f>IFERROR(INDEX([1]Programas!$B$2:$B$50,MATCH(LEFT(I821,3),[1]Programas!$A$2:$A$50,0)),"")</f>
        <v>Desarrollo Web y Aplic</v>
      </c>
      <c r="K821" s="10" t="s">
        <v>1453</v>
      </c>
    </row>
    <row r="822" spans="1:11" x14ac:dyDescent="0.2">
      <c r="A822" s="10">
        <v>821</v>
      </c>
      <c r="B822" s="10" t="s">
        <v>1498</v>
      </c>
      <c r="C822" s="11" t="s">
        <v>1497</v>
      </c>
      <c r="D822" s="10" t="s">
        <v>4419</v>
      </c>
      <c r="E822" s="10" t="s">
        <v>6287</v>
      </c>
      <c r="F822" s="11" t="s">
        <v>6288</v>
      </c>
      <c r="G822" s="10" t="s">
        <v>13</v>
      </c>
      <c r="H822" s="12">
        <v>46262</v>
      </c>
      <c r="I822" s="10" t="s">
        <v>1452</v>
      </c>
      <c r="J822" s="10" t="str">
        <f>IFERROR(INDEX([1]Programas!$B$2:$B$50,MATCH(LEFT(I822,3),[1]Programas!$A$2:$A$50,0)),"")</f>
        <v>Desarrollo Web y Aplic</v>
      </c>
      <c r="K822" s="10" t="s">
        <v>1453</v>
      </c>
    </row>
    <row r="823" spans="1:11" x14ac:dyDescent="0.2">
      <c r="A823" s="10">
        <v>822</v>
      </c>
      <c r="B823" s="10" t="s">
        <v>1500</v>
      </c>
      <c r="C823" s="11" t="s">
        <v>1499</v>
      </c>
      <c r="D823" s="10" t="s">
        <v>4419</v>
      </c>
      <c r="E823" s="10" t="s">
        <v>6289</v>
      </c>
      <c r="F823" s="11" t="s">
        <v>6290</v>
      </c>
      <c r="G823" s="10" t="s">
        <v>13</v>
      </c>
      <c r="H823" s="12">
        <v>46262</v>
      </c>
      <c r="I823" s="10" t="s">
        <v>1452</v>
      </c>
      <c r="J823" s="10" t="str">
        <f>IFERROR(INDEX([1]Programas!$B$2:$B$50,MATCH(LEFT(I823,3),[1]Programas!$A$2:$A$50,0)),"")</f>
        <v>Desarrollo Web y Aplic</v>
      </c>
      <c r="K823" s="10" t="s">
        <v>1453</v>
      </c>
    </row>
    <row r="824" spans="1:11" x14ac:dyDescent="0.2">
      <c r="A824" s="10">
        <v>823</v>
      </c>
      <c r="B824" s="10" t="s">
        <v>1502</v>
      </c>
      <c r="C824" s="11" t="s">
        <v>1501</v>
      </c>
      <c r="D824" s="10" t="s">
        <v>4419</v>
      </c>
      <c r="E824" s="10" t="s">
        <v>6291</v>
      </c>
      <c r="F824" s="11" t="s">
        <v>6292</v>
      </c>
      <c r="G824" s="10" t="s">
        <v>13</v>
      </c>
      <c r="H824" s="12">
        <v>46262</v>
      </c>
      <c r="I824" s="10" t="s">
        <v>1452</v>
      </c>
      <c r="J824" s="10" t="str">
        <f>IFERROR(INDEX([1]Programas!$B$2:$B$50,MATCH(LEFT(I824,3),[1]Programas!$A$2:$A$50,0)),"")</f>
        <v>Desarrollo Web y Aplic</v>
      </c>
      <c r="K824" s="10" t="s">
        <v>1453</v>
      </c>
    </row>
    <row r="825" spans="1:11" x14ac:dyDescent="0.2">
      <c r="A825" s="10">
        <v>824</v>
      </c>
      <c r="B825" s="10" t="s">
        <v>6293</v>
      </c>
      <c r="C825" s="11" t="s">
        <v>1503</v>
      </c>
      <c r="D825" s="10" t="s">
        <v>4419</v>
      </c>
      <c r="E825" s="10" t="s">
        <v>6294</v>
      </c>
      <c r="F825" s="11" t="s">
        <v>6295</v>
      </c>
      <c r="G825" s="10" t="s">
        <v>13</v>
      </c>
      <c r="H825" s="12">
        <v>46262</v>
      </c>
      <c r="I825" s="10" t="s">
        <v>1452</v>
      </c>
      <c r="J825" s="10" t="str">
        <f>IFERROR(INDEX([1]Programas!$B$2:$B$50,MATCH(LEFT(I825,3),[1]Programas!$A$2:$A$50,0)),"")</f>
        <v>Desarrollo Web y Aplic</v>
      </c>
      <c r="K825" s="10" t="s">
        <v>1453</v>
      </c>
    </row>
    <row r="826" spans="1:11" x14ac:dyDescent="0.2">
      <c r="A826" s="10">
        <v>825</v>
      </c>
      <c r="B826" s="10" t="s">
        <v>1506</v>
      </c>
      <c r="C826" s="11" t="s">
        <v>1505</v>
      </c>
      <c r="D826" s="10" t="s">
        <v>4419</v>
      </c>
      <c r="E826" s="10" t="s">
        <v>6296</v>
      </c>
      <c r="F826" s="11" t="s">
        <v>6297</v>
      </c>
      <c r="G826" s="10" t="s">
        <v>13</v>
      </c>
      <c r="H826" s="12">
        <v>46265</v>
      </c>
      <c r="I826" s="10" t="s">
        <v>1452</v>
      </c>
      <c r="J826" s="10" t="str">
        <f>IFERROR(INDEX([1]Programas!$B$2:$B$50,MATCH(LEFT(I826,3),[1]Programas!$A$2:$A$50,0)),"")</f>
        <v>Desarrollo Web y Aplic</v>
      </c>
      <c r="K826" s="10" t="s">
        <v>1453</v>
      </c>
    </row>
    <row r="827" spans="1:11" x14ac:dyDescent="0.2">
      <c r="A827" s="10">
        <v>826</v>
      </c>
      <c r="B827" s="10" t="s">
        <v>1508</v>
      </c>
      <c r="C827" s="11" t="s">
        <v>1507</v>
      </c>
      <c r="D827" s="10" t="s">
        <v>4419</v>
      </c>
      <c r="E827" s="10" t="s">
        <v>6298</v>
      </c>
      <c r="F827" s="11" t="s">
        <v>6299</v>
      </c>
      <c r="G827" s="10" t="s">
        <v>13</v>
      </c>
      <c r="H827" s="12">
        <v>46262</v>
      </c>
      <c r="I827" s="10" t="s">
        <v>1510</v>
      </c>
      <c r="J827" s="10" t="str">
        <f>IFERROR(INDEX([1]Programas!$B$2:$B$50,MATCH(LEFT(I827,3),[1]Programas!$A$2:$A$50,0)),"")</f>
        <v>Desarrollo Web y Aplic</v>
      </c>
      <c r="K827" s="10" t="s">
        <v>516</v>
      </c>
    </row>
    <row r="828" spans="1:11" x14ac:dyDescent="0.2">
      <c r="A828" s="10">
        <v>827</v>
      </c>
      <c r="B828" s="10" t="s">
        <v>1513</v>
      </c>
      <c r="C828" s="11" t="s">
        <v>1512</v>
      </c>
      <c r="D828" s="10" t="s">
        <v>4419</v>
      </c>
      <c r="E828" s="10" t="s">
        <v>6300</v>
      </c>
      <c r="F828" s="11" t="s">
        <v>6301</v>
      </c>
      <c r="G828" s="10" t="s">
        <v>13</v>
      </c>
      <c r="H828" s="12">
        <v>46262</v>
      </c>
      <c r="I828" s="10" t="s">
        <v>1510</v>
      </c>
      <c r="J828" s="10" t="str">
        <f>IFERROR(INDEX([1]Programas!$B$2:$B$50,MATCH(LEFT(I828,3),[1]Programas!$A$2:$A$50,0)),"")</f>
        <v>Desarrollo Web y Aplic</v>
      </c>
      <c r="K828" s="10" t="s">
        <v>516</v>
      </c>
    </row>
    <row r="829" spans="1:11" x14ac:dyDescent="0.2">
      <c r="A829" s="10">
        <v>828</v>
      </c>
      <c r="B829" s="10" t="s">
        <v>1515</v>
      </c>
      <c r="C829" s="11" t="s">
        <v>1514</v>
      </c>
      <c r="D829" s="10" t="s">
        <v>4419</v>
      </c>
      <c r="E829" s="10" t="s">
        <v>6302</v>
      </c>
      <c r="F829" s="11" t="s">
        <v>6303</v>
      </c>
      <c r="G829" s="10" t="s">
        <v>13</v>
      </c>
      <c r="H829" s="12">
        <v>46262</v>
      </c>
      <c r="I829" s="10" t="s">
        <v>1510</v>
      </c>
      <c r="J829" s="10" t="str">
        <f>IFERROR(INDEX([1]Programas!$B$2:$B$50,MATCH(LEFT(I829,3),[1]Programas!$A$2:$A$50,0)),"")</f>
        <v>Desarrollo Web y Aplic</v>
      </c>
      <c r="K829" s="10" t="s">
        <v>516</v>
      </c>
    </row>
    <row r="830" spans="1:11" x14ac:dyDescent="0.2">
      <c r="A830" s="10">
        <v>829</v>
      </c>
      <c r="B830" s="10" t="s">
        <v>1517</v>
      </c>
      <c r="C830" s="11" t="s">
        <v>1516</v>
      </c>
      <c r="D830" s="10" t="s">
        <v>4419</v>
      </c>
      <c r="E830" s="10" t="s">
        <v>6304</v>
      </c>
      <c r="F830" s="11" t="s">
        <v>6305</v>
      </c>
      <c r="G830" s="10" t="s">
        <v>13</v>
      </c>
      <c r="H830" s="12">
        <v>46262</v>
      </c>
      <c r="I830" s="10" t="s">
        <v>1510</v>
      </c>
      <c r="J830" s="10" t="str">
        <f>IFERROR(INDEX([1]Programas!$B$2:$B$50,MATCH(LEFT(I830,3),[1]Programas!$A$2:$A$50,0)),"")</f>
        <v>Desarrollo Web y Aplic</v>
      </c>
      <c r="K830" s="10" t="s">
        <v>516</v>
      </c>
    </row>
    <row r="831" spans="1:11" x14ac:dyDescent="0.2">
      <c r="A831" s="10">
        <v>830</v>
      </c>
      <c r="B831" s="10" t="s">
        <v>1519</v>
      </c>
      <c r="C831" s="11" t="s">
        <v>1518</v>
      </c>
      <c r="D831" s="10" t="s">
        <v>4419</v>
      </c>
      <c r="E831" s="10" t="s">
        <v>6306</v>
      </c>
      <c r="F831" s="11" t="s">
        <v>6307</v>
      </c>
      <c r="G831" s="10" t="s">
        <v>13</v>
      </c>
      <c r="H831" s="12">
        <v>46262</v>
      </c>
      <c r="I831" s="10" t="s">
        <v>1510</v>
      </c>
      <c r="J831" s="10" t="str">
        <f>IFERROR(INDEX([1]Programas!$B$2:$B$50,MATCH(LEFT(I831,3),[1]Programas!$A$2:$A$50,0)),"")</f>
        <v>Desarrollo Web y Aplic</v>
      </c>
      <c r="K831" s="10" t="s">
        <v>516</v>
      </c>
    </row>
    <row r="832" spans="1:11" x14ac:dyDescent="0.2">
      <c r="A832" s="10">
        <v>831</v>
      </c>
      <c r="B832" s="10" t="s">
        <v>1521</v>
      </c>
      <c r="C832" s="11" t="s">
        <v>1520</v>
      </c>
      <c r="D832" s="10" t="s">
        <v>4419</v>
      </c>
      <c r="E832" s="10" t="s">
        <v>6308</v>
      </c>
      <c r="F832" s="11" t="s">
        <v>6309</v>
      </c>
      <c r="G832" s="10" t="s">
        <v>13</v>
      </c>
      <c r="H832" s="12">
        <v>46262</v>
      </c>
      <c r="I832" s="10" t="s">
        <v>1510</v>
      </c>
      <c r="J832" s="10" t="str">
        <f>IFERROR(INDEX([1]Programas!$B$2:$B$50,MATCH(LEFT(I832,3),[1]Programas!$A$2:$A$50,0)),"")</f>
        <v>Desarrollo Web y Aplic</v>
      </c>
      <c r="K832" s="10" t="s">
        <v>516</v>
      </c>
    </row>
    <row r="833" spans="1:11" x14ac:dyDescent="0.2">
      <c r="A833" s="10">
        <v>832</v>
      </c>
      <c r="B833" s="10" t="s">
        <v>1523</v>
      </c>
      <c r="C833" s="11" t="s">
        <v>1522</v>
      </c>
      <c r="D833" s="10" t="s">
        <v>4419</v>
      </c>
      <c r="E833" s="10" t="s">
        <v>6310</v>
      </c>
      <c r="F833" s="11" t="s">
        <v>6311</v>
      </c>
      <c r="G833" s="10" t="s">
        <v>13</v>
      </c>
      <c r="H833" s="12">
        <v>46262</v>
      </c>
      <c r="I833" s="10" t="s">
        <v>1510</v>
      </c>
      <c r="J833" s="10" t="str">
        <f>IFERROR(INDEX([1]Programas!$B$2:$B$50,MATCH(LEFT(I833,3),[1]Programas!$A$2:$A$50,0)),"")</f>
        <v>Desarrollo Web y Aplic</v>
      </c>
      <c r="K833" s="10" t="s">
        <v>516</v>
      </c>
    </row>
    <row r="834" spans="1:11" x14ac:dyDescent="0.2">
      <c r="A834" s="10">
        <v>833</v>
      </c>
      <c r="B834" s="10" t="s">
        <v>1525</v>
      </c>
      <c r="C834" s="11" t="s">
        <v>1524</v>
      </c>
      <c r="D834" s="10" t="s">
        <v>4419</v>
      </c>
      <c r="E834" s="10" t="s">
        <v>6312</v>
      </c>
      <c r="F834" s="11" t="s">
        <v>6313</v>
      </c>
      <c r="G834" s="10" t="s">
        <v>13</v>
      </c>
      <c r="H834" s="12">
        <v>46262</v>
      </c>
      <c r="I834" s="10" t="s">
        <v>1510</v>
      </c>
      <c r="J834" s="10" t="str">
        <f>IFERROR(INDEX([1]Programas!$B$2:$B$50,MATCH(LEFT(I834,3),[1]Programas!$A$2:$A$50,0)),"")</f>
        <v>Desarrollo Web y Aplic</v>
      </c>
      <c r="K834" s="10" t="s">
        <v>516</v>
      </c>
    </row>
    <row r="835" spans="1:11" x14ac:dyDescent="0.2">
      <c r="A835" s="10">
        <v>834</v>
      </c>
      <c r="B835" s="10" t="s">
        <v>1527</v>
      </c>
      <c r="C835" s="11" t="s">
        <v>1526</v>
      </c>
      <c r="D835" s="10" t="s">
        <v>4419</v>
      </c>
      <c r="E835" s="10" t="s">
        <v>6314</v>
      </c>
      <c r="F835" s="11" t="s">
        <v>6315</v>
      </c>
      <c r="G835" s="10" t="s">
        <v>13</v>
      </c>
      <c r="H835" s="12">
        <v>46262</v>
      </c>
      <c r="I835" s="10" t="s">
        <v>1510</v>
      </c>
      <c r="J835" s="10" t="str">
        <f>IFERROR(INDEX([1]Programas!$B$2:$B$50,MATCH(LEFT(I835,3),[1]Programas!$A$2:$A$50,0)),"")</f>
        <v>Desarrollo Web y Aplic</v>
      </c>
      <c r="K835" s="10" t="s">
        <v>516</v>
      </c>
    </row>
    <row r="836" spans="1:11" x14ac:dyDescent="0.2">
      <c r="A836" s="10">
        <v>835</v>
      </c>
      <c r="B836" s="10" t="s">
        <v>1529</v>
      </c>
      <c r="C836" s="11" t="s">
        <v>1528</v>
      </c>
      <c r="D836" s="10" t="s">
        <v>4419</v>
      </c>
      <c r="E836" s="10" t="s">
        <v>6316</v>
      </c>
      <c r="F836" s="11" t="s">
        <v>6317</v>
      </c>
      <c r="G836" s="10" t="s">
        <v>13</v>
      </c>
      <c r="H836" s="12">
        <v>46262</v>
      </c>
      <c r="I836" s="10" t="s">
        <v>1510</v>
      </c>
      <c r="J836" s="10" t="str">
        <f>IFERROR(INDEX([1]Programas!$B$2:$B$50,MATCH(LEFT(I836,3),[1]Programas!$A$2:$A$50,0)),"")</f>
        <v>Desarrollo Web y Aplic</v>
      </c>
      <c r="K836" s="10" t="s">
        <v>516</v>
      </c>
    </row>
    <row r="837" spans="1:11" x14ac:dyDescent="0.2">
      <c r="A837" s="10">
        <v>836</v>
      </c>
      <c r="B837" s="10" t="s">
        <v>1531</v>
      </c>
      <c r="C837" s="11" t="s">
        <v>1530</v>
      </c>
      <c r="D837" s="10" t="s">
        <v>4419</v>
      </c>
      <c r="E837" s="10" t="s">
        <v>6318</v>
      </c>
      <c r="F837" s="11" t="s">
        <v>6319</v>
      </c>
      <c r="G837" s="10" t="s">
        <v>13</v>
      </c>
      <c r="H837" s="12">
        <v>46262</v>
      </c>
      <c r="I837" s="10" t="s">
        <v>1510</v>
      </c>
      <c r="J837" s="10" t="str">
        <f>IFERROR(INDEX([1]Programas!$B$2:$B$50,MATCH(LEFT(I837,3),[1]Programas!$A$2:$A$50,0)),"")</f>
        <v>Desarrollo Web y Aplic</v>
      </c>
      <c r="K837" s="10" t="s">
        <v>516</v>
      </c>
    </row>
    <row r="838" spans="1:11" x14ac:dyDescent="0.2">
      <c r="A838" s="10">
        <v>837</v>
      </c>
      <c r="B838" s="10" t="s">
        <v>6320</v>
      </c>
      <c r="C838" s="11" t="s">
        <v>1532</v>
      </c>
      <c r="D838" s="10" t="s">
        <v>4453</v>
      </c>
      <c r="E838" s="10" t="s">
        <v>6321</v>
      </c>
      <c r="F838" s="11" t="s">
        <v>6322</v>
      </c>
      <c r="G838" s="10" t="s">
        <v>13</v>
      </c>
      <c r="H838" s="12">
        <v>46262</v>
      </c>
      <c r="I838" s="10" t="s">
        <v>1510</v>
      </c>
      <c r="J838" s="10" t="str">
        <f>IFERROR(INDEX([1]Programas!$B$2:$B$50,MATCH(LEFT(I838,3),[1]Programas!$A$2:$A$50,0)),"")</f>
        <v>Desarrollo Web y Aplic</v>
      </c>
      <c r="K838" s="10" t="s">
        <v>516</v>
      </c>
    </row>
    <row r="839" spans="1:11" x14ac:dyDescent="0.2">
      <c r="A839" s="10">
        <v>838</v>
      </c>
      <c r="B839" s="10" t="s">
        <v>1535</v>
      </c>
      <c r="C839" s="11" t="s">
        <v>1534</v>
      </c>
      <c r="D839" s="10" t="s">
        <v>4419</v>
      </c>
      <c r="E839" s="10" t="s">
        <v>6323</v>
      </c>
      <c r="F839" s="11" t="s">
        <v>6324</v>
      </c>
      <c r="G839" s="10" t="s">
        <v>13</v>
      </c>
      <c r="H839" s="12">
        <v>46262</v>
      </c>
      <c r="I839" s="10" t="s">
        <v>1510</v>
      </c>
      <c r="J839" s="10" t="str">
        <f>IFERROR(INDEX([1]Programas!$B$2:$B$50,MATCH(LEFT(I839,3),[1]Programas!$A$2:$A$50,0)),"")</f>
        <v>Desarrollo Web y Aplic</v>
      </c>
      <c r="K839" s="10" t="s">
        <v>516</v>
      </c>
    </row>
    <row r="840" spans="1:11" x14ac:dyDescent="0.2">
      <c r="A840" s="10">
        <v>839</v>
      </c>
      <c r="B840" s="10" t="s">
        <v>1537</v>
      </c>
      <c r="C840" s="11" t="s">
        <v>1536</v>
      </c>
      <c r="D840" s="10" t="s">
        <v>4419</v>
      </c>
      <c r="E840" s="10" t="s">
        <v>6325</v>
      </c>
      <c r="F840" s="11" t="s">
        <v>6326</v>
      </c>
      <c r="G840" s="10" t="s">
        <v>13</v>
      </c>
      <c r="H840" s="12">
        <v>46262</v>
      </c>
      <c r="I840" s="10" t="s">
        <v>1510</v>
      </c>
      <c r="J840" s="10" t="str">
        <f>IFERROR(INDEX([1]Programas!$B$2:$B$50,MATCH(LEFT(I840,3),[1]Programas!$A$2:$A$50,0)),"")</f>
        <v>Desarrollo Web y Aplic</v>
      </c>
      <c r="K840" s="10" t="s">
        <v>516</v>
      </c>
    </row>
    <row r="841" spans="1:11" x14ac:dyDescent="0.2">
      <c r="A841" s="10">
        <v>840</v>
      </c>
      <c r="B841" s="10" t="s">
        <v>1539</v>
      </c>
      <c r="C841" s="11" t="s">
        <v>1538</v>
      </c>
      <c r="D841" s="10" t="s">
        <v>4453</v>
      </c>
      <c r="E841" s="10" t="s">
        <v>6327</v>
      </c>
      <c r="F841" s="11" t="s">
        <v>6328</v>
      </c>
      <c r="G841" s="10" t="s">
        <v>13</v>
      </c>
      <c r="H841" s="12">
        <v>46262</v>
      </c>
      <c r="I841" s="10" t="s">
        <v>1510</v>
      </c>
      <c r="J841" s="10" t="str">
        <f>IFERROR(INDEX([1]Programas!$B$2:$B$50,MATCH(LEFT(I841,3),[1]Programas!$A$2:$A$50,0)),"")</f>
        <v>Desarrollo Web y Aplic</v>
      </c>
      <c r="K841" s="10" t="s">
        <v>516</v>
      </c>
    </row>
    <row r="842" spans="1:11" x14ac:dyDescent="0.2">
      <c r="A842" s="10">
        <v>841</v>
      </c>
      <c r="B842" s="10" t="s">
        <v>1541</v>
      </c>
      <c r="C842" s="11" t="s">
        <v>1540</v>
      </c>
      <c r="D842" s="10" t="s">
        <v>4419</v>
      </c>
      <c r="E842" s="10" t="s">
        <v>6329</v>
      </c>
      <c r="F842" s="11" t="s">
        <v>6330</v>
      </c>
      <c r="G842" s="10" t="s">
        <v>13</v>
      </c>
      <c r="H842" s="12">
        <v>46262</v>
      </c>
      <c r="I842" s="10" t="s">
        <v>1510</v>
      </c>
      <c r="J842" s="10" t="str">
        <f>IFERROR(INDEX([1]Programas!$B$2:$B$50,MATCH(LEFT(I842,3),[1]Programas!$A$2:$A$50,0)),"")</f>
        <v>Desarrollo Web y Aplic</v>
      </c>
      <c r="K842" s="10" t="s">
        <v>516</v>
      </c>
    </row>
    <row r="843" spans="1:11" x14ac:dyDescent="0.2">
      <c r="A843" s="10">
        <v>842</v>
      </c>
      <c r="B843" s="10" t="s">
        <v>1543</v>
      </c>
      <c r="C843" s="11" t="s">
        <v>1542</v>
      </c>
      <c r="D843" s="10" t="s">
        <v>4453</v>
      </c>
      <c r="E843" s="10" t="s">
        <v>6331</v>
      </c>
      <c r="F843" s="11" t="s">
        <v>6332</v>
      </c>
      <c r="G843" s="10" t="s">
        <v>13</v>
      </c>
      <c r="H843" s="12">
        <v>46262</v>
      </c>
      <c r="I843" s="10" t="s">
        <v>1510</v>
      </c>
      <c r="J843" s="10" t="str">
        <f>IFERROR(INDEX([1]Programas!$B$2:$B$50,MATCH(LEFT(I843,3),[1]Programas!$A$2:$A$50,0)),"")</f>
        <v>Desarrollo Web y Aplic</v>
      </c>
      <c r="K843" s="10" t="s">
        <v>516</v>
      </c>
    </row>
    <row r="844" spans="1:11" x14ac:dyDescent="0.2">
      <c r="A844" s="10">
        <v>843</v>
      </c>
      <c r="B844" s="10" t="s">
        <v>1545</v>
      </c>
      <c r="C844" s="11" t="s">
        <v>1544</v>
      </c>
      <c r="D844" s="10" t="s">
        <v>4419</v>
      </c>
      <c r="E844" s="10" t="s">
        <v>6333</v>
      </c>
      <c r="F844" s="11" t="s">
        <v>6334</v>
      </c>
      <c r="G844" s="10" t="s">
        <v>13</v>
      </c>
      <c r="H844" s="12">
        <v>46262</v>
      </c>
      <c r="I844" s="10" t="s">
        <v>1510</v>
      </c>
      <c r="J844" s="10" t="str">
        <f>IFERROR(INDEX([1]Programas!$B$2:$B$50,MATCH(LEFT(I844,3),[1]Programas!$A$2:$A$50,0)),"")</f>
        <v>Desarrollo Web y Aplic</v>
      </c>
      <c r="K844" s="10" t="s">
        <v>516</v>
      </c>
    </row>
    <row r="845" spans="1:11" x14ac:dyDescent="0.2">
      <c r="A845" s="10">
        <v>844</v>
      </c>
      <c r="B845" s="10" t="s">
        <v>1547</v>
      </c>
      <c r="C845" s="11" t="s">
        <v>1546</v>
      </c>
      <c r="D845" s="10" t="s">
        <v>4453</v>
      </c>
      <c r="E845" s="10" t="s">
        <v>6335</v>
      </c>
      <c r="F845" s="11" t="s">
        <v>6336</v>
      </c>
      <c r="G845" s="10" t="s">
        <v>13</v>
      </c>
      <c r="H845" s="12">
        <v>46262</v>
      </c>
      <c r="I845" s="10" t="s">
        <v>1510</v>
      </c>
      <c r="J845" s="10" t="str">
        <f>IFERROR(INDEX([1]Programas!$B$2:$B$50,MATCH(LEFT(I845,3),[1]Programas!$A$2:$A$50,0)),"")</f>
        <v>Desarrollo Web y Aplic</v>
      </c>
      <c r="K845" s="10" t="s">
        <v>516</v>
      </c>
    </row>
    <row r="846" spans="1:11" x14ac:dyDescent="0.2">
      <c r="A846" s="10">
        <v>845</v>
      </c>
      <c r="B846" s="10" t="s">
        <v>1549</v>
      </c>
      <c r="C846" s="11" t="s">
        <v>1548</v>
      </c>
      <c r="D846" s="10" t="s">
        <v>4419</v>
      </c>
      <c r="E846" s="10" t="s">
        <v>6337</v>
      </c>
      <c r="F846" s="11" t="s">
        <v>6338</v>
      </c>
      <c r="G846" s="10" t="s">
        <v>13</v>
      </c>
      <c r="H846" s="12">
        <v>46262</v>
      </c>
      <c r="I846" s="10" t="s">
        <v>1510</v>
      </c>
      <c r="J846" s="10" t="str">
        <f>IFERROR(INDEX([1]Programas!$B$2:$B$50,MATCH(LEFT(I846,3),[1]Programas!$A$2:$A$50,0)),"")</f>
        <v>Desarrollo Web y Aplic</v>
      </c>
      <c r="K846" s="10" t="s">
        <v>516</v>
      </c>
    </row>
    <row r="847" spans="1:11" x14ac:dyDescent="0.2">
      <c r="A847" s="10">
        <v>846</v>
      </c>
      <c r="B847" s="10" t="s">
        <v>1551</v>
      </c>
      <c r="C847" s="11" t="s">
        <v>1550</v>
      </c>
      <c r="D847" s="10" t="s">
        <v>4419</v>
      </c>
      <c r="E847" s="10" t="s">
        <v>6339</v>
      </c>
      <c r="F847" s="11" t="s">
        <v>6340</v>
      </c>
      <c r="G847" s="10" t="s">
        <v>13</v>
      </c>
      <c r="H847" s="12">
        <v>46262</v>
      </c>
      <c r="I847" s="10" t="s">
        <v>1510</v>
      </c>
      <c r="J847" s="10" t="str">
        <f>IFERROR(INDEX([1]Programas!$B$2:$B$50,MATCH(LEFT(I847,3),[1]Programas!$A$2:$A$50,0)),"")</f>
        <v>Desarrollo Web y Aplic</v>
      </c>
      <c r="K847" s="10" t="s">
        <v>516</v>
      </c>
    </row>
    <row r="848" spans="1:11" x14ac:dyDescent="0.2">
      <c r="A848" s="10">
        <v>847</v>
      </c>
      <c r="B848" s="10" t="s">
        <v>1553</v>
      </c>
      <c r="C848" s="11" t="s">
        <v>1552</v>
      </c>
      <c r="D848" s="10" t="s">
        <v>4419</v>
      </c>
      <c r="E848" s="10" t="s">
        <v>6341</v>
      </c>
      <c r="F848" s="11" t="s">
        <v>6342</v>
      </c>
      <c r="G848" s="10" t="s">
        <v>13</v>
      </c>
      <c r="H848" s="12">
        <v>46262</v>
      </c>
      <c r="I848" s="10" t="s">
        <v>1510</v>
      </c>
      <c r="J848" s="10" t="str">
        <f>IFERROR(INDEX([1]Programas!$B$2:$B$50,MATCH(LEFT(I848,3),[1]Programas!$A$2:$A$50,0)),"")</f>
        <v>Desarrollo Web y Aplic</v>
      </c>
      <c r="K848" s="10" t="s">
        <v>516</v>
      </c>
    </row>
    <row r="849" spans="1:11" x14ac:dyDescent="0.2">
      <c r="A849" s="10">
        <v>848</v>
      </c>
      <c r="B849" s="10" t="s">
        <v>6343</v>
      </c>
      <c r="C849" s="11" t="s">
        <v>1554</v>
      </c>
      <c r="D849" s="10" t="s">
        <v>4419</v>
      </c>
      <c r="E849" s="10" t="s">
        <v>6344</v>
      </c>
      <c r="F849" s="11" t="s">
        <v>6345</v>
      </c>
      <c r="G849" s="10" t="s">
        <v>13</v>
      </c>
      <c r="H849" s="12">
        <v>46262</v>
      </c>
      <c r="I849" s="10" t="s">
        <v>1510</v>
      </c>
      <c r="J849" s="10" t="str">
        <f>IFERROR(INDEX([1]Programas!$B$2:$B$50,MATCH(LEFT(I849,3),[1]Programas!$A$2:$A$50,0)),"")</f>
        <v>Desarrollo Web y Aplic</v>
      </c>
      <c r="K849" s="10" t="s">
        <v>516</v>
      </c>
    </row>
    <row r="850" spans="1:11" x14ac:dyDescent="0.2">
      <c r="A850" s="10">
        <v>849</v>
      </c>
      <c r="B850" s="10" t="s">
        <v>6346</v>
      </c>
      <c r="C850" s="11" t="s">
        <v>1556</v>
      </c>
      <c r="D850" s="10" t="s">
        <v>4419</v>
      </c>
      <c r="E850" s="10" t="s">
        <v>6347</v>
      </c>
      <c r="F850" s="11" t="s">
        <v>6348</v>
      </c>
      <c r="G850" s="10" t="s">
        <v>13</v>
      </c>
      <c r="H850" s="12">
        <v>46262</v>
      </c>
      <c r="I850" s="10" t="s">
        <v>1510</v>
      </c>
      <c r="J850" s="10" t="str">
        <f>IFERROR(INDEX([1]Programas!$B$2:$B$50,MATCH(LEFT(I850,3),[1]Programas!$A$2:$A$50,0)),"")</f>
        <v>Desarrollo Web y Aplic</v>
      </c>
      <c r="K850" s="10" t="s">
        <v>516</v>
      </c>
    </row>
    <row r="851" spans="1:11" x14ac:dyDescent="0.2">
      <c r="A851" s="10">
        <v>850</v>
      </c>
      <c r="B851" s="10" t="s">
        <v>1559</v>
      </c>
      <c r="C851" s="11" t="s">
        <v>1558</v>
      </c>
      <c r="D851" s="10" t="s">
        <v>4419</v>
      </c>
      <c r="E851" s="10" t="s">
        <v>6349</v>
      </c>
      <c r="F851" s="11" t="s">
        <v>6350</v>
      </c>
      <c r="G851" s="10" t="s">
        <v>13</v>
      </c>
      <c r="H851" s="12">
        <v>46262</v>
      </c>
      <c r="I851" s="10" t="s">
        <v>1510</v>
      </c>
      <c r="J851" s="10" t="str">
        <f>IFERROR(INDEX([1]Programas!$B$2:$B$50,MATCH(LEFT(I851,3),[1]Programas!$A$2:$A$50,0)),"")</f>
        <v>Desarrollo Web y Aplic</v>
      </c>
      <c r="K851" s="10" t="s">
        <v>516</v>
      </c>
    </row>
    <row r="852" spans="1:11" x14ac:dyDescent="0.2">
      <c r="A852" s="10">
        <v>851</v>
      </c>
      <c r="B852" s="10" t="s">
        <v>1561</v>
      </c>
      <c r="C852" s="11" t="s">
        <v>1560</v>
      </c>
      <c r="D852" s="10" t="s">
        <v>4419</v>
      </c>
      <c r="E852" s="10" t="s">
        <v>6351</v>
      </c>
      <c r="F852" s="11" t="s">
        <v>6352</v>
      </c>
      <c r="G852" s="10" t="s">
        <v>13</v>
      </c>
      <c r="H852" s="12">
        <v>46262</v>
      </c>
      <c r="I852" s="10" t="s">
        <v>1510</v>
      </c>
      <c r="J852" s="10" t="str">
        <f>IFERROR(INDEX([1]Programas!$B$2:$B$50,MATCH(LEFT(I852,3),[1]Programas!$A$2:$A$50,0)),"")</f>
        <v>Desarrollo Web y Aplic</v>
      </c>
      <c r="K852" s="10" t="s">
        <v>516</v>
      </c>
    </row>
    <row r="853" spans="1:11" x14ac:dyDescent="0.2">
      <c r="A853" s="10">
        <v>852</v>
      </c>
      <c r="B853" s="10" t="s">
        <v>6353</v>
      </c>
      <c r="C853" s="11" t="s">
        <v>1562</v>
      </c>
      <c r="D853" s="10" t="s">
        <v>4419</v>
      </c>
      <c r="E853" s="10" t="s">
        <v>6354</v>
      </c>
      <c r="F853" s="11" t="s">
        <v>6355</v>
      </c>
      <c r="G853" s="10" t="s">
        <v>13</v>
      </c>
      <c r="H853" s="12">
        <v>46262</v>
      </c>
      <c r="I853" s="10" t="s">
        <v>1510</v>
      </c>
      <c r="J853" s="10" t="str">
        <f>IFERROR(INDEX([1]Programas!$B$2:$B$50,MATCH(LEFT(I853,3),[1]Programas!$A$2:$A$50,0)),"")</f>
        <v>Desarrollo Web y Aplic</v>
      </c>
      <c r="K853" s="10" t="s">
        <v>516</v>
      </c>
    </row>
    <row r="854" spans="1:11" x14ac:dyDescent="0.2">
      <c r="A854" s="10">
        <v>853</v>
      </c>
      <c r="B854" s="10" t="s">
        <v>1565</v>
      </c>
      <c r="C854" s="11" t="s">
        <v>1564</v>
      </c>
      <c r="D854" s="10" t="s">
        <v>4419</v>
      </c>
      <c r="E854" s="10" t="s">
        <v>6356</v>
      </c>
      <c r="F854" s="11" t="s">
        <v>6357</v>
      </c>
      <c r="G854" s="10" t="s">
        <v>13</v>
      </c>
      <c r="H854" s="12">
        <v>46262</v>
      </c>
      <c r="I854" s="10" t="s">
        <v>1510</v>
      </c>
      <c r="J854" s="10" t="str">
        <f>IFERROR(INDEX([1]Programas!$B$2:$B$50,MATCH(LEFT(I854,3),[1]Programas!$A$2:$A$50,0)),"")</f>
        <v>Desarrollo Web y Aplic</v>
      </c>
      <c r="K854" s="10" t="s">
        <v>516</v>
      </c>
    </row>
    <row r="855" spans="1:11" x14ac:dyDescent="0.2">
      <c r="A855" s="10">
        <v>854</v>
      </c>
      <c r="B855" s="10" t="s">
        <v>1567</v>
      </c>
      <c r="C855" s="11" t="s">
        <v>1566</v>
      </c>
      <c r="D855" s="10" t="s">
        <v>4419</v>
      </c>
      <c r="E855" s="10" t="s">
        <v>6358</v>
      </c>
      <c r="F855" s="11" t="s">
        <v>6359</v>
      </c>
      <c r="G855" s="10" t="s">
        <v>13</v>
      </c>
      <c r="H855" s="12">
        <v>46262</v>
      </c>
      <c r="I855" s="10" t="s">
        <v>1510</v>
      </c>
      <c r="J855" s="10" t="str">
        <f>IFERROR(INDEX([1]Programas!$B$2:$B$50,MATCH(LEFT(I855,3),[1]Programas!$A$2:$A$50,0)),"")</f>
        <v>Desarrollo Web y Aplic</v>
      </c>
      <c r="K855" s="10" t="s">
        <v>516</v>
      </c>
    </row>
    <row r="856" spans="1:11" x14ac:dyDescent="0.2">
      <c r="A856" s="10">
        <v>855</v>
      </c>
      <c r="B856" s="10" t="s">
        <v>1571</v>
      </c>
      <c r="C856" s="11" t="s">
        <v>1570</v>
      </c>
      <c r="D856" s="10" t="s">
        <v>4419</v>
      </c>
      <c r="E856" s="10" t="s">
        <v>6360</v>
      </c>
      <c r="F856" s="11" t="s">
        <v>6361</v>
      </c>
      <c r="G856" s="10" t="s">
        <v>13</v>
      </c>
      <c r="H856" s="12">
        <v>46262</v>
      </c>
      <c r="I856" s="10" t="s">
        <v>1510</v>
      </c>
      <c r="J856" s="10" t="str">
        <f>IFERROR(INDEX([1]Programas!$B$2:$B$50,MATCH(LEFT(I856,3),[1]Programas!$A$2:$A$50,0)),"")</f>
        <v>Desarrollo Web y Aplic</v>
      </c>
      <c r="K856" s="10" t="s">
        <v>516</v>
      </c>
    </row>
    <row r="857" spans="1:11" x14ac:dyDescent="0.2">
      <c r="A857" s="10">
        <v>856</v>
      </c>
      <c r="B857" s="10" t="s">
        <v>1573</v>
      </c>
      <c r="C857" s="11" t="s">
        <v>1572</v>
      </c>
      <c r="D857" s="10" t="s">
        <v>4419</v>
      </c>
      <c r="E857" s="10" t="s">
        <v>6362</v>
      </c>
      <c r="F857" s="11" t="s">
        <v>6363</v>
      </c>
      <c r="G857" s="10" t="s">
        <v>13</v>
      </c>
      <c r="H857" s="12">
        <v>46263</v>
      </c>
      <c r="I857" s="10" t="s">
        <v>1510</v>
      </c>
      <c r="J857" s="10" t="str">
        <f>IFERROR(INDEX([1]Programas!$B$2:$B$50,MATCH(LEFT(I857,3),[1]Programas!$A$2:$A$50,0)),"")</f>
        <v>Desarrollo Web y Aplic</v>
      </c>
      <c r="K857" s="10" t="s">
        <v>516</v>
      </c>
    </row>
    <row r="858" spans="1:11" x14ac:dyDescent="0.2">
      <c r="A858" s="10">
        <v>857</v>
      </c>
      <c r="B858" s="10" t="s">
        <v>6364</v>
      </c>
      <c r="C858" s="11" t="s">
        <v>656</v>
      </c>
      <c r="D858" s="10" t="s">
        <v>4419</v>
      </c>
      <c r="E858" s="10" t="s">
        <v>6365</v>
      </c>
      <c r="F858" s="11" t="s">
        <v>6366</v>
      </c>
      <c r="G858" s="10" t="s">
        <v>13</v>
      </c>
      <c r="H858" s="12">
        <v>46273</v>
      </c>
      <c r="I858" s="10" t="s">
        <v>1510</v>
      </c>
      <c r="J858" s="10" t="str">
        <f>IFERROR(INDEX([1]Programas!$B$2:$B$50,MATCH(LEFT(I858,3),[1]Programas!$A$2:$A$50,0)),"")</f>
        <v>Desarrollo Web y Aplic</v>
      </c>
      <c r="K858" s="10" t="s">
        <v>516</v>
      </c>
    </row>
    <row r="859" spans="1:11" x14ac:dyDescent="0.2">
      <c r="A859" s="10">
        <v>858</v>
      </c>
      <c r="B859" s="10" t="s">
        <v>1575</v>
      </c>
      <c r="C859" s="11" t="s">
        <v>1574</v>
      </c>
      <c r="D859" s="10" t="s">
        <v>4419</v>
      </c>
      <c r="E859" s="10" t="s">
        <v>6367</v>
      </c>
      <c r="F859" s="11" t="s">
        <v>6368</v>
      </c>
      <c r="G859" s="10" t="s">
        <v>13</v>
      </c>
      <c r="H859" s="12">
        <v>46280</v>
      </c>
      <c r="I859" s="10" t="s">
        <v>1510</v>
      </c>
      <c r="J859" s="10" t="str">
        <f>IFERROR(INDEX([1]Programas!$B$2:$B$50,MATCH(LEFT(I859,3),[1]Programas!$A$2:$A$50,0)),"")</f>
        <v>Desarrollo Web y Aplic</v>
      </c>
      <c r="K859" s="10" t="s">
        <v>516</v>
      </c>
    </row>
    <row r="860" spans="1:11" x14ac:dyDescent="0.2">
      <c r="A860" s="10">
        <v>859</v>
      </c>
      <c r="B860" s="10" t="s">
        <v>3830</v>
      </c>
      <c r="C860" s="11" t="s">
        <v>3829</v>
      </c>
      <c r="D860" s="10" t="s">
        <v>4419</v>
      </c>
      <c r="E860" s="10" t="s">
        <v>6369</v>
      </c>
      <c r="F860" s="11" t="s">
        <v>6370</v>
      </c>
      <c r="G860" s="10" t="s">
        <v>13</v>
      </c>
      <c r="H860" s="12">
        <v>46262</v>
      </c>
      <c r="I860" s="10" t="s">
        <v>3832</v>
      </c>
      <c r="J860" s="10" t="str">
        <f>IFERROR(INDEX([1]Programas!$B$2:$B$50,MATCH(LEFT(I860,3),[1]Programas!$A$2:$A$50,0)),"")</f>
        <v>Marketing Digital y Ge</v>
      </c>
      <c r="K860" s="10" t="s">
        <v>1453</v>
      </c>
    </row>
    <row r="861" spans="1:11" x14ac:dyDescent="0.2">
      <c r="A861" s="10">
        <v>860</v>
      </c>
      <c r="B861" s="10" t="s">
        <v>3837</v>
      </c>
      <c r="C861" s="11" t="s">
        <v>3836</v>
      </c>
      <c r="D861" s="10" t="s">
        <v>4453</v>
      </c>
      <c r="E861" s="10" t="s">
        <v>6371</v>
      </c>
      <c r="F861" s="11" t="s">
        <v>6372</v>
      </c>
      <c r="G861" s="10" t="s">
        <v>13</v>
      </c>
      <c r="H861" s="12">
        <v>46262</v>
      </c>
      <c r="I861" s="10" t="s">
        <v>3832</v>
      </c>
      <c r="J861" s="10" t="str">
        <f>IFERROR(INDEX([1]Programas!$B$2:$B$50,MATCH(LEFT(I861,3),[1]Programas!$A$2:$A$50,0)),"")</f>
        <v>Marketing Digital y Ge</v>
      </c>
      <c r="K861" s="10" t="s">
        <v>1453</v>
      </c>
    </row>
    <row r="862" spans="1:11" x14ac:dyDescent="0.2">
      <c r="A862" s="10">
        <v>861</v>
      </c>
      <c r="B862" s="10" t="s">
        <v>3840</v>
      </c>
      <c r="C862" s="11" t="s">
        <v>3839</v>
      </c>
      <c r="D862" s="10" t="s">
        <v>4419</v>
      </c>
      <c r="E862" s="10" t="s">
        <v>6373</v>
      </c>
      <c r="F862" s="11" t="s">
        <v>6374</v>
      </c>
      <c r="G862" s="10" t="s">
        <v>13</v>
      </c>
      <c r="H862" s="12">
        <v>46262</v>
      </c>
      <c r="I862" s="10" t="s">
        <v>3832</v>
      </c>
      <c r="J862" s="10" t="str">
        <f>IFERROR(INDEX([1]Programas!$B$2:$B$50,MATCH(LEFT(I862,3),[1]Programas!$A$2:$A$50,0)),"")</f>
        <v>Marketing Digital y Ge</v>
      </c>
      <c r="K862" s="10" t="s">
        <v>1453</v>
      </c>
    </row>
    <row r="863" spans="1:11" x14ac:dyDescent="0.2">
      <c r="A863" s="10">
        <v>862</v>
      </c>
      <c r="B863" s="10" t="s">
        <v>3844</v>
      </c>
      <c r="C863" s="11" t="s">
        <v>3843</v>
      </c>
      <c r="D863" s="10" t="s">
        <v>4419</v>
      </c>
      <c r="E863" s="10" t="s">
        <v>6375</v>
      </c>
      <c r="F863" s="11" t="s">
        <v>6376</v>
      </c>
      <c r="G863" s="10" t="s">
        <v>13</v>
      </c>
      <c r="H863" s="12">
        <v>46262</v>
      </c>
      <c r="I863" s="10" t="s">
        <v>3832</v>
      </c>
      <c r="J863" s="10" t="str">
        <f>IFERROR(INDEX([1]Programas!$B$2:$B$50,MATCH(LEFT(I863,3),[1]Programas!$A$2:$A$50,0)),"")</f>
        <v>Marketing Digital y Ge</v>
      </c>
      <c r="K863" s="10" t="s">
        <v>1453</v>
      </c>
    </row>
    <row r="864" spans="1:11" x14ac:dyDescent="0.2">
      <c r="A864" s="10">
        <v>863</v>
      </c>
      <c r="B864" s="10" t="s">
        <v>6377</v>
      </c>
      <c r="C864" s="11" t="s">
        <v>3845</v>
      </c>
      <c r="D864" s="10" t="s">
        <v>4419</v>
      </c>
      <c r="E864" s="10" t="s">
        <v>6378</v>
      </c>
      <c r="F864" s="11" t="s">
        <v>6379</v>
      </c>
      <c r="G864" s="10" t="s">
        <v>13</v>
      </c>
      <c r="H864" s="12">
        <v>46262</v>
      </c>
      <c r="I864" s="10" t="s">
        <v>3832</v>
      </c>
      <c r="J864" s="10" t="str">
        <f>IFERROR(INDEX([1]Programas!$B$2:$B$50,MATCH(LEFT(I864,3),[1]Programas!$A$2:$A$50,0)),"")</f>
        <v>Marketing Digital y Ge</v>
      </c>
      <c r="K864" s="10" t="s">
        <v>1453</v>
      </c>
    </row>
    <row r="865" spans="1:11" x14ac:dyDescent="0.2">
      <c r="A865" s="10">
        <v>864</v>
      </c>
      <c r="B865" s="10" t="s">
        <v>3849</v>
      </c>
      <c r="C865" s="11" t="s">
        <v>3848</v>
      </c>
      <c r="D865" s="10" t="s">
        <v>4419</v>
      </c>
      <c r="E865" s="10" t="s">
        <v>6380</v>
      </c>
      <c r="F865" s="11" t="s">
        <v>6381</v>
      </c>
      <c r="G865" s="10" t="s">
        <v>13</v>
      </c>
      <c r="H865" s="12">
        <v>46262</v>
      </c>
      <c r="I865" s="10" t="s">
        <v>3832</v>
      </c>
      <c r="J865" s="10" t="str">
        <f>IFERROR(INDEX([1]Programas!$B$2:$B$50,MATCH(LEFT(I865,3),[1]Programas!$A$2:$A$50,0)),"")</f>
        <v>Marketing Digital y Ge</v>
      </c>
      <c r="K865" s="10" t="s">
        <v>1453</v>
      </c>
    </row>
    <row r="866" spans="1:11" x14ac:dyDescent="0.2">
      <c r="A866" s="10">
        <v>865</v>
      </c>
      <c r="B866" s="10" t="s">
        <v>3851</v>
      </c>
      <c r="C866" s="11" t="s">
        <v>3850</v>
      </c>
      <c r="D866" s="10" t="s">
        <v>4419</v>
      </c>
      <c r="E866" s="10" t="s">
        <v>6382</v>
      </c>
      <c r="F866" s="11" t="s">
        <v>6383</v>
      </c>
      <c r="G866" s="10" t="s">
        <v>13</v>
      </c>
      <c r="H866" s="12">
        <v>46262</v>
      </c>
      <c r="I866" s="10" t="s">
        <v>3832</v>
      </c>
      <c r="J866" s="10" t="str">
        <f>IFERROR(INDEX([1]Programas!$B$2:$B$50,MATCH(LEFT(I866,3),[1]Programas!$A$2:$A$50,0)),"")</f>
        <v>Marketing Digital y Ge</v>
      </c>
      <c r="K866" s="10" t="s">
        <v>1453</v>
      </c>
    </row>
    <row r="867" spans="1:11" x14ac:dyDescent="0.2">
      <c r="A867" s="10">
        <v>866</v>
      </c>
      <c r="B867" s="10" t="s">
        <v>3853</v>
      </c>
      <c r="C867" s="11" t="s">
        <v>3852</v>
      </c>
      <c r="D867" s="10" t="s">
        <v>4419</v>
      </c>
      <c r="E867" s="10" t="s">
        <v>6384</v>
      </c>
      <c r="F867" s="11" t="s">
        <v>6385</v>
      </c>
      <c r="G867" s="10" t="s">
        <v>13</v>
      </c>
      <c r="H867" s="12">
        <v>46262</v>
      </c>
      <c r="I867" s="10" t="s">
        <v>3832</v>
      </c>
      <c r="J867" s="10" t="str">
        <f>IFERROR(INDEX([1]Programas!$B$2:$B$50,MATCH(LEFT(I867,3),[1]Programas!$A$2:$A$50,0)),"")</f>
        <v>Marketing Digital y Ge</v>
      </c>
      <c r="K867" s="10" t="s">
        <v>1453</v>
      </c>
    </row>
    <row r="868" spans="1:11" x14ac:dyDescent="0.2">
      <c r="A868" s="10">
        <v>867</v>
      </c>
      <c r="B868" s="10" t="s">
        <v>6386</v>
      </c>
      <c r="C868" s="11" t="s">
        <v>3854</v>
      </c>
      <c r="D868" s="10" t="s">
        <v>4419</v>
      </c>
      <c r="E868" s="10" t="s">
        <v>6387</v>
      </c>
      <c r="F868" s="11" t="s">
        <v>6388</v>
      </c>
      <c r="G868" s="10" t="s">
        <v>13</v>
      </c>
      <c r="H868" s="12">
        <v>46262</v>
      </c>
      <c r="I868" s="10" t="s">
        <v>3832</v>
      </c>
      <c r="J868" s="10" t="str">
        <f>IFERROR(INDEX([1]Programas!$B$2:$B$50,MATCH(LEFT(I868,3),[1]Programas!$A$2:$A$50,0)),"")</f>
        <v>Marketing Digital y Ge</v>
      </c>
      <c r="K868" s="10" t="s">
        <v>1453</v>
      </c>
    </row>
    <row r="869" spans="1:11" x14ac:dyDescent="0.2">
      <c r="A869" s="10">
        <v>868</v>
      </c>
      <c r="B869" s="10" t="s">
        <v>3857</v>
      </c>
      <c r="C869" s="11" t="s">
        <v>3856</v>
      </c>
      <c r="D869" s="10" t="s">
        <v>4419</v>
      </c>
      <c r="E869" s="10" t="s">
        <v>6389</v>
      </c>
      <c r="F869" s="11" t="s">
        <v>6390</v>
      </c>
      <c r="G869" s="10" t="s">
        <v>13</v>
      </c>
      <c r="H869" s="12">
        <v>46262</v>
      </c>
      <c r="I869" s="10" t="s">
        <v>3832</v>
      </c>
      <c r="J869" s="10" t="str">
        <f>IFERROR(INDEX([1]Programas!$B$2:$B$50,MATCH(LEFT(I869,3),[1]Programas!$A$2:$A$50,0)),"")</f>
        <v>Marketing Digital y Ge</v>
      </c>
      <c r="K869" s="10" t="s">
        <v>1453</v>
      </c>
    </row>
    <row r="870" spans="1:11" x14ac:dyDescent="0.2">
      <c r="A870" s="10">
        <v>869</v>
      </c>
      <c r="B870" s="10" t="s">
        <v>6391</v>
      </c>
      <c r="C870" s="11" t="s">
        <v>3858</v>
      </c>
      <c r="D870" s="10" t="s">
        <v>4419</v>
      </c>
      <c r="E870" s="10" t="s">
        <v>6392</v>
      </c>
      <c r="F870" s="11" t="s">
        <v>6393</v>
      </c>
      <c r="G870" s="10" t="s">
        <v>13</v>
      </c>
      <c r="H870" s="12">
        <v>46262</v>
      </c>
      <c r="I870" s="10" t="s">
        <v>3832</v>
      </c>
      <c r="J870" s="10" t="str">
        <f>IFERROR(INDEX([1]Programas!$B$2:$B$50,MATCH(LEFT(I870,3),[1]Programas!$A$2:$A$50,0)),"")</f>
        <v>Marketing Digital y Ge</v>
      </c>
      <c r="K870" s="10" t="s">
        <v>1453</v>
      </c>
    </row>
    <row r="871" spans="1:11" x14ac:dyDescent="0.2">
      <c r="A871" s="10">
        <v>870</v>
      </c>
      <c r="B871" s="10" t="s">
        <v>3861</v>
      </c>
      <c r="C871" s="11" t="s">
        <v>3860</v>
      </c>
      <c r="D871" s="10" t="s">
        <v>4419</v>
      </c>
      <c r="E871" s="10" t="s">
        <v>6394</v>
      </c>
      <c r="F871" s="11" t="s">
        <v>6395</v>
      </c>
      <c r="G871" s="10" t="s">
        <v>13</v>
      </c>
      <c r="H871" s="12">
        <v>46262</v>
      </c>
      <c r="I871" s="10" t="s">
        <v>3832</v>
      </c>
      <c r="J871" s="10" t="str">
        <f>IFERROR(INDEX([1]Programas!$B$2:$B$50,MATCH(LEFT(I871,3),[1]Programas!$A$2:$A$50,0)),"")</f>
        <v>Marketing Digital y Ge</v>
      </c>
      <c r="K871" s="10" t="s">
        <v>1453</v>
      </c>
    </row>
    <row r="872" spans="1:11" x14ac:dyDescent="0.2">
      <c r="A872" s="10">
        <v>871</v>
      </c>
      <c r="B872" s="10" t="s">
        <v>3863</v>
      </c>
      <c r="C872" s="11" t="s">
        <v>3862</v>
      </c>
      <c r="D872" s="10" t="s">
        <v>4419</v>
      </c>
      <c r="E872" s="10" t="s">
        <v>6396</v>
      </c>
      <c r="F872" s="11" t="s">
        <v>6397</v>
      </c>
      <c r="G872" s="10" t="s">
        <v>13</v>
      </c>
      <c r="H872" s="12">
        <v>46262</v>
      </c>
      <c r="I872" s="10" t="s">
        <v>3832</v>
      </c>
      <c r="J872" s="10" t="str">
        <f>IFERROR(INDEX([1]Programas!$B$2:$B$50,MATCH(LEFT(I872,3),[1]Programas!$A$2:$A$50,0)),"")</f>
        <v>Marketing Digital y Ge</v>
      </c>
      <c r="K872" s="10" t="s">
        <v>1453</v>
      </c>
    </row>
    <row r="873" spans="1:11" x14ac:dyDescent="0.2">
      <c r="A873" s="10">
        <v>872</v>
      </c>
      <c r="B873" s="10" t="s">
        <v>3865</v>
      </c>
      <c r="C873" s="11" t="s">
        <v>3864</v>
      </c>
      <c r="D873" s="10" t="s">
        <v>4453</v>
      </c>
      <c r="E873" s="10" t="s">
        <v>6398</v>
      </c>
      <c r="F873" s="11" t="s">
        <v>6399</v>
      </c>
      <c r="G873" s="10" t="s">
        <v>13</v>
      </c>
      <c r="H873" s="12">
        <v>46262</v>
      </c>
      <c r="I873" s="10" t="s">
        <v>3832</v>
      </c>
      <c r="J873" s="10" t="str">
        <f>IFERROR(INDEX([1]Programas!$B$2:$B$50,MATCH(LEFT(I873,3),[1]Programas!$A$2:$A$50,0)),"")</f>
        <v>Marketing Digital y Ge</v>
      </c>
      <c r="K873" s="10" t="s">
        <v>1453</v>
      </c>
    </row>
    <row r="874" spans="1:11" x14ac:dyDescent="0.2">
      <c r="A874" s="10">
        <v>873</v>
      </c>
      <c r="B874" s="10" t="s">
        <v>3867</v>
      </c>
      <c r="C874" s="11" t="s">
        <v>3866</v>
      </c>
      <c r="D874" s="10" t="s">
        <v>4419</v>
      </c>
      <c r="E874" s="10" t="s">
        <v>6400</v>
      </c>
      <c r="F874" s="11" t="s">
        <v>6401</v>
      </c>
      <c r="G874" s="10" t="s">
        <v>13</v>
      </c>
      <c r="H874" s="12">
        <v>46262</v>
      </c>
      <c r="I874" s="10" t="s">
        <v>3832</v>
      </c>
      <c r="J874" s="10" t="str">
        <f>IFERROR(INDEX([1]Programas!$B$2:$B$50,MATCH(LEFT(I874,3),[1]Programas!$A$2:$A$50,0)),"")</f>
        <v>Marketing Digital y Ge</v>
      </c>
      <c r="K874" s="10" t="s">
        <v>1453</v>
      </c>
    </row>
    <row r="875" spans="1:11" x14ac:dyDescent="0.2">
      <c r="A875" s="10">
        <v>874</v>
      </c>
      <c r="B875" s="10" t="s">
        <v>3869</v>
      </c>
      <c r="C875" s="11" t="s">
        <v>3868</v>
      </c>
      <c r="D875" s="10" t="s">
        <v>4453</v>
      </c>
      <c r="E875" s="10" t="s">
        <v>6402</v>
      </c>
      <c r="F875" s="11" t="s">
        <v>6403</v>
      </c>
      <c r="G875" s="10" t="s">
        <v>13</v>
      </c>
      <c r="H875" s="12">
        <v>46262</v>
      </c>
      <c r="I875" s="10" t="s">
        <v>3832</v>
      </c>
      <c r="J875" s="10" t="str">
        <f>IFERROR(INDEX([1]Programas!$B$2:$B$50,MATCH(LEFT(I875,3),[1]Programas!$A$2:$A$50,0)),"")</f>
        <v>Marketing Digital y Ge</v>
      </c>
      <c r="K875" s="10" t="s">
        <v>1453</v>
      </c>
    </row>
    <row r="876" spans="1:11" x14ac:dyDescent="0.2">
      <c r="A876" s="10">
        <v>875</v>
      </c>
      <c r="B876" s="10" t="s">
        <v>3871</v>
      </c>
      <c r="C876" s="11" t="s">
        <v>3870</v>
      </c>
      <c r="D876" s="10" t="s">
        <v>4419</v>
      </c>
      <c r="E876" s="10" t="s">
        <v>6404</v>
      </c>
      <c r="F876" s="11" t="s">
        <v>6405</v>
      </c>
      <c r="G876" s="10" t="s">
        <v>13</v>
      </c>
      <c r="H876" s="12">
        <v>46262</v>
      </c>
      <c r="I876" s="10" t="s">
        <v>3832</v>
      </c>
      <c r="J876" s="10" t="str">
        <f>IFERROR(INDEX([1]Programas!$B$2:$B$50,MATCH(LEFT(I876,3),[1]Programas!$A$2:$A$50,0)),"")</f>
        <v>Marketing Digital y Ge</v>
      </c>
      <c r="K876" s="10" t="s">
        <v>1453</v>
      </c>
    </row>
    <row r="877" spans="1:11" x14ac:dyDescent="0.2">
      <c r="A877" s="10">
        <v>876</v>
      </c>
      <c r="B877" s="10" t="s">
        <v>6406</v>
      </c>
      <c r="C877" s="11" t="s">
        <v>3872</v>
      </c>
      <c r="D877" s="10" t="s">
        <v>4419</v>
      </c>
      <c r="E877" s="10" t="s">
        <v>6407</v>
      </c>
      <c r="F877" s="11" t="s">
        <v>6408</v>
      </c>
      <c r="G877" s="10" t="s">
        <v>13</v>
      </c>
      <c r="H877" s="12">
        <v>46262</v>
      </c>
      <c r="I877" s="10" t="s">
        <v>3832</v>
      </c>
      <c r="J877" s="10" t="str">
        <f>IFERROR(INDEX([1]Programas!$B$2:$B$50,MATCH(LEFT(I877,3),[1]Programas!$A$2:$A$50,0)),"")</f>
        <v>Marketing Digital y Ge</v>
      </c>
      <c r="K877" s="10" t="s">
        <v>1453</v>
      </c>
    </row>
    <row r="878" spans="1:11" x14ac:dyDescent="0.2">
      <c r="A878" s="10">
        <v>877</v>
      </c>
      <c r="B878" s="10" t="s">
        <v>6409</v>
      </c>
      <c r="C878" s="11" t="s">
        <v>3874</v>
      </c>
      <c r="D878" s="10" t="s">
        <v>4419</v>
      </c>
      <c r="E878" s="10" t="s">
        <v>6410</v>
      </c>
      <c r="F878" s="11" t="s">
        <v>6411</v>
      </c>
      <c r="G878" s="10" t="s">
        <v>13</v>
      </c>
      <c r="H878" s="12">
        <v>46262</v>
      </c>
      <c r="I878" s="10" t="s">
        <v>3832</v>
      </c>
      <c r="J878" s="10" t="str">
        <f>IFERROR(INDEX([1]Programas!$B$2:$B$50,MATCH(LEFT(I878,3),[1]Programas!$A$2:$A$50,0)),"")</f>
        <v>Marketing Digital y Ge</v>
      </c>
      <c r="K878" s="10" t="s">
        <v>1453</v>
      </c>
    </row>
    <row r="879" spans="1:11" x14ac:dyDescent="0.2">
      <c r="A879" s="10">
        <v>878</v>
      </c>
      <c r="B879" s="10" t="s">
        <v>6412</v>
      </c>
      <c r="C879" s="11" t="s">
        <v>3876</v>
      </c>
      <c r="D879" s="10" t="s">
        <v>4419</v>
      </c>
      <c r="E879" s="10" t="s">
        <v>6413</v>
      </c>
      <c r="F879" s="11" t="s">
        <v>6414</v>
      </c>
      <c r="G879" s="10" t="s">
        <v>13</v>
      </c>
      <c r="H879" s="12">
        <v>46262</v>
      </c>
      <c r="I879" s="10" t="s">
        <v>3832</v>
      </c>
      <c r="J879" s="10" t="str">
        <f>IFERROR(INDEX([1]Programas!$B$2:$B$50,MATCH(LEFT(I879,3),[1]Programas!$A$2:$A$50,0)),"")</f>
        <v>Marketing Digital y Ge</v>
      </c>
      <c r="K879" s="10" t="s">
        <v>1453</v>
      </c>
    </row>
    <row r="880" spans="1:11" x14ac:dyDescent="0.2">
      <c r="A880" s="10">
        <v>879</v>
      </c>
      <c r="B880" s="10" t="s">
        <v>3879</v>
      </c>
      <c r="C880" s="11" t="s">
        <v>3878</v>
      </c>
      <c r="D880" s="10" t="s">
        <v>4419</v>
      </c>
      <c r="E880" s="10" t="s">
        <v>6415</v>
      </c>
      <c r="F880" s="11" t="s">
        <v>6416</v>
      </c>
      <c r="G880" s="10" t="s">
        <v>13</v>
      </c>
      <c r="H880" s="12">
        <v>46262</v>
      </c>
      <c r="I880" s="10" t="s">
        <v>3832</v>
      </c>
      <c r="J880" s="10" t="str">
        <f>IFERROR(INDEX([1]Programas!$B$2:$B$50,MATCH(LEFT(I880,3),[1]Programas!$A$2:$A$50,0)),"")</f>
        <v>Marketing Digital y Ge</v>
      </c>
      <c r="K880" s="10" t="s">
        <v>1453</v>
      </c>
    </row>
    <row r="881" spans="1:11" x14ac:dyDescent="0.2">
      <c r="A881" s="10">
        <v>880</v>
      </c>
      <c r="B881" s="10" t="s">
        <v>6417</v>
      </c>
      <c r="C881" s="11" t="s">
        <v>3880</v>
      </c>
      <c r="D881" s="10" t="s">
        <v>4419</v>
      </c>
      <c r="E881" s="10" t="s">
        <v>6418</v>
      </c>
      <c r="F881" s="11" t="s">
        <v>6419</v>
      </c>
      <c r="G881" s="10" t="s">
        <v>13</v>
      </c>
      <c r="H881" s="12">
        <v>46262</v>
      </c>
      <c r="I881" s="10" t="s">
        <v>3832</v>
      </c>
      <c r="J881" s="10" t="str">
        <f>IFERROR(INDEX([1]Programas!$B$2:$B$50,MATCH(LEFT(I881,3),[1]Programas!$A$2:$A$50,0)),"")</f>
        <v>Marketing Digital y Ge</v>
      </c>
      <c r="K881" s="10" t="s">
        <v>1453</v>
      </c>
    </row>
    <row r="882" spans="1:11" x14ac:dyDescent="0.2">
      <c r="A882" s="10">
        <v>881</v>
      </c>
      <c r="B882" s="10" t="s">
        <v>3883</v>
      </c>
      <c r="C882" s="11" t="s">
        <v>3882</v>
      </c>
      <c r="D882" s="10" t="s">
        <v>4419</v>
      </c>
      <c r="E882" s="10" t="s">
        <v>6420</v>
      </c>
      <c r="F882" s="11" t="s">
        <v>6421</v>
      </c>
      <c r="G882" s="10" t="s">
        <v>13</v>
      </c>
      <c r="H882" s="12">
        <v>46262</v>
      </c>
      <c r="I882" s="10" t="s">
        <v>3832</v>
      </c>
      <c r="J882" s="10" t="str">
        <f>IFERROR(INDEX([1]Programas!$B$2:$B$50,MATCH(LEFT(I882,3),[1]Programas!$A$2:$A$50,0)),"")</f>
        <v>Marketing Digital y Ge</v>
      </c>
      <c r="K882" s="10" t="s">
        <v>1453</v>
      </c>
    </row>
    <row r="883" spans="1:11" x14ac:dyDescent="0.2">
      <c r="A883" s="10">
        <v>882</v>
      </c>
      <c r="B883" s="10" t="s">
        <v>3885</v>
      </c>
      <c r="C883" s="11" t="s">
        <v>3884</v>
      </c>
      <c r="D883" s="10" t="s">
        <v>4419</v>
      </c>
      <c r="E883" s="10" t="s">
        <v>6422</v>
      </c>
      <c r="F883" s="11" t="s">
        <v>6423</v>
      </c>
      <c r="G883" s="10" t="s">
        <v>13</v>
      </c>
      <c r="H883" s="12">
        <v>46262</v>
      </c>
      <c r="I883" s="10" t="s">
        <v>3832</v>
      </c>
      <c r="J883" s="10" t="str">
        <f>IFERROR(INDEX([1]Programas!$B$2:$B$50,MATCH(LEFT(I883,3),[1]Programas!$A$2:$A$50,0)),"")</f>
        <v>Marketing Digital y Ge</v>
      </c>
      <c r="K883" s="10" t="s">
        <v>1453</v>
      </c>
    </row>
    <row r="884" spans="1:11" x14ac:dyDescent="0.2">
      <c r="A884" s="10">
        <v>883</v>
      </c>
      <c r="B884" s="10" t="s">
        <v>6424</v>
      </c>
      <c r="C884" s="11" t="s">
        <v>3886</v>
      </c>
      <c r="D884" s="10" t="s">
        <v>4419</v>
      </c>
      <c r="E884" s="10" t="s">
        <v>6425</v>
      </c>
      <c r="F884" s="11" t="s">
        <v>6426</v>
      </c>
      <c r="G884" s="10" t="s">
        <v>13</v>
      </c>
      <c r="H884" s="12">
        <v>46262</v>
      </c>
      <c r="I884" s="10" t="s">
        <v>3832</v>
      </c>
      <c r="J884" s="10" t="str">
        <f>IFERROR(INDEX([1]Programas!$B$2:$B$50,MATCH(LEFT(I884,3),[1]Programas!$A$2:$A$50,0)),"")</f>
        <v>Marketing Digital y Ge</v>
      </c>
      <c r="K884" s="10" t="s">
        <v>1453</v>
      </c>
    </row>
    <row r="885" spans="1:11" x14ac:dyDescent="0.2">
      <c r="A885" s="10">
        <v>884</v>
      </c>
      <c r="B885" s="10" t="s">
        <v>6427</v>
      </c>
      <c r="C885" s="11" t="s">
        <v>3888</v>
      </c>
      <c r="D885" s="10" t="s">
        <v>4419</v>
      </c>
      <c r="E885" s="10" t="s">
        <v>6428</v>
      </c>
      <c r="F885" s="11" t="s">
        <v>6429</v>
      </c>
      <c r="G885" s="10" t="s">
        <v>13</v>
      </c>
      <c r="H885" s="12">
        <v>46262</v>
      </c>
      <c r="I885" s="10" t="s">
        <v>3832</v>
      </c>
      <c r="J885" s="10" t="str">
        <f>IFERROR(INDEX([1]Programas!$B$2:$B$50,MATCH(LEFT(I885,3),[1]Programas!$A$2:$A$50,0)),"")</f>
        <v>Marketing Digital y Ge</v>
      </c>
      <c r="K885" s="10" t="s">
        <v>1453</v>
      </c>
    </row>
    <row r="886" spans="1:11" x14ac:dyDescent="0.2">
      <c r="A886" s="10">
        <v>885</v>
      </c>
      <c r="B886" s="10" t="s">
        <v>6430</v>
      </c>
      <c r="C886" s="11" t="s">
        <v>3890</v>
      </c>
      <c r="D886" s="10" t="s">
        <v>4453</v>
      </c>
      <c r="E886" s="10" t="s">
        <v>6431</v>
      </c>
      <c r="F886" s="11" t="s">
        <v>6432</v>
      </c>
      <c r="G886" s="10" t="s">
        <v>13</v>
      </c>
      <c r="H886" s="12">
        <v>46262</v>
      </c>
      <c r="I886" s="10" t="s">
        <v>3832</v>
      </c>
      <c r="J886" s="10" t="str">
        <f>IFERROR(INDEX([1]Programas!$B$2:$B$50,MATCH(LEFT(I886,3),[1]Programas!$A$2:$A$50,0)),"")</f>
        <v>Marketing Digital y Ge</v>
      </c>
      <c r="K886" s="10" t="s">
        <v>1453</v>
      </c>
    </row>
    <row r="887" spans="1:11" x14ac:dyDescent="0.2">
      <c r="A887" s="10">
        <v>886</v>
      </c>
      <c r="B887" s="10" t="s">
        <v>3893</v>
      </c>
      <c r="C887" s="11" t="s">
        <v>3892</v>
      </c>
      <c r="D887" s="10" t="s">
        <v>4419</v>
      </c>
      <c r="E887" s="10" t="s">
        <v>6433</v>
      </c>
      <c r="F887" s="11" t="s">
        <v>6434</v>
      </c>
      <c r="G887" s="10" t="s">
        <v>13</v>
      </c>
      <c r="H887" s="12">
        <v>46262</v>
      </c>
      <c r="I887" s="10" t="s">
        <v>3832</v>
      </c>
      <c r="J887" s="10" t="str">
        <f>IFERROR(INDEX([1]Programas!$B$2:$B$50,MATCH(LEFT(I887,3),[1]Programas!$A$2:$A$50,0)),"")</f>
        <v>Marketing Digital y Ge</v>
      </c>
      <c r="K887" s="10" t="s">
        <v>1453</v>
      </c>
    </row>
    <row r="888" spans="1:11" x14ac:dyDescent="0.2">
      <c r="A888" s="10">
        <v>887</v>
      </c>
      <c r="B888" s="10" t="s">
        <v>3895</v>
      </c>
      <c r="C888" s="11" t="s">
        <v>3894</v>
      </c>
      <c r="D888" s="10" t="s">
        <v>4419</v>
      </c>
      <c r="E888" s="10" t="s">
        <v>6435</v>
      </c>
      <c r="F888" s="11" t="s">
        <v>6436</v>
      </c>
      <c r="G888" s="10" t="s">
        <v>13</v>
      </c>
      <c r="H888" s="12">
        <v>46262</v>
      </c>
      <c r="I888" s="10" t="s">
        <v>3832</v>
      </c>
      <c r="J888" s="10" t="str">
        <f>IFERROR(INDEX([1]Programas!$B$2:$B$50,MATCH(LEFT(I888,3),[1]Programas!$A$2:$A$50,0)),"")</f>
        <v>Marketing Digital y Ge</v>
      </c>
      <c r="K888" s="10" t="s">
        <v>1453</v>
      </c>
    </row>
    <row r="889" spans="1:11" x14ac:dyDescent="0.2">
      <c r="A889" s="10">
        <v>888</v>
      </c>
      <c r="B889" s="10" t="s">
        <v>3897</v>
      </c>
      <c r="C889" s="11" t="s">
        <v>3896</v>
      </c>
      <c r="D889" s="10" t="s">
        <v>4419</v>
      </c>
      <c r="E889" s="10" t="s">
        <v>6437</v>
      </c>
      <c r="F889" s="11" t="s">
        <v>6438</v>
      </c>
      <c r="G889" s="10" t="s">
        <v>13</v>
      </c>
      <c r="H889" s="12">
        <v>46262</v>
      </c>
      <c r="I889" s="10" t="s">
        <v>3832</v>
      </c>
      <c r="J889" s="10" t="str">
        <f>IFERROR(INDEX([1]Programas!$B$2:$B$50,MATCH(LEFT(I889,3),[1]Programas!$A$2:$A$50,0)),"")</f>
        <v>Marketing Digital y Ge</v>
      </c>
      <c r="K889" s="10" t="s">
        <v>1453</v>
      </c>
    </row>
    <row r="890" spans="1:11" x14ac:dyDescent="0.2">
      <c r="A890" s="10">
        <v>889</v>
      </c>
      <c r="B890" s="10" t="s">
        <v>6439</v>
      </c>
      <c r="C890" s="11" t="s">
        <v>3898</v>
      </c>
      <c r="D890" s="10" t="s">
        <v>4419</v>
      </c>
      <c r="E890" s="10" t="s">
        <v>6440</v>
      </c>
      <c r="F890" s="11" t="s">
        <v>6441</v>
      </c>
      <c r="G890" s="10" t="s">
        <v>13</v>
      </c>
      <c r="H890" s="12">
        <v>46262</v>
      </c>
      <c r="I890" s="10" t="s">
        <v>3832</v>
      </c>
      <c r="J890" s="10" t="str">
        <f>IFERROR(INDEX([1]Programas!$B$2:$B$50,MATCH(LEFT(I890,3),[1]Programas!$A$2:$A$50,0)),"")</f>
        <v>Marketing Digital y Ge</v>
      </c>
      <c r="K890" s="10" t="s">
        <v>1453</v>
      </c>
    </row>
    <row r="891" spans="1:11" x14ac:dyDescent="0.2">
      <c r="A891" s="10">
        <v>890</v>
      </c>
      <c r="B891" s="10" t="s">
        <v>3901</v>
      </c>
      <c r="C891" s="11" t="s">
        <v>3900</v>
      </c>
      <c r="D891" s="10" t="s">
        <v>4419</v>
      </c>
      <c r="E891" s="10" t="s">
        <v>6442</v>
      </c>
      <c r="F891" s="11" t="s">
        <v>6443</v>
      </c>
      <c r="G891" s="10" t="s">
        <v>13</v>
      </c>
      <c r="H891" s="12">
        <v>46262</v>
      </c>
      <c r="I891" s="10" t="s">
        <v>3832</v>
      </c>
      <c r="J891" s="10" t="str">
        <f>IFERROR(INDEX([1]Programas!$B$2:$B$50,MATCH(LEFT(I891,3),[1]Programas!$A$2:$A$50,0)),"")</f>
        <v>Marketing Digital y Ge</v>
      </c>
      <c r="K891" s="10" t="s">
        <v>1453</v>
      </c>
    </row>
    <row r="892" spans="1:11" x14ac:dyDescent="0.2">
      <c r="A892" s="10">
        <v>891</v>
      </c>
      <c r="B892" s="10" t="s">
        <v>3903</v>
      </c>
      <c r="C892" s="11" t="s">
        <v>3902</v>
      </c>
      <c r="D892" s="10" t="s">
        <v>4419</v>
      </c>
      <c r="E892" s="10" t="s">
        <v>6444</v>
      </c>
      <c r="F892" s="11" t="s">
        <v>6445</v>
      </c>
      <c r="G892" s="10" t="s">
        <v>13</v>
      </c>
      <c r="H892" s="12">
        <v>46262</v>
      </c>
      <c r="I892" s="10" t="s">
        <v>3832</v>
      </c>
      <c r="J892" s="10" t="str">
        <f>IFERROR(INDEX([1]Programas!$B$2:$B$50,MATCH(LEFT(I892,3),[1]Programas!$A$2:$A$50,0)),"")</f>
        <v>Marketing Digital y Ge</v>
      </c>
      <c r="K892" s="10" t="s">
        <v>1453</v>
      </c>
    </row>
    <row r="893" spans="1:11" x14ac:dyDescent="0.2">
      <c r="A893" s="10">
        <v>892</v>
      </c>
      <c r="B893" s="10" t="s">
        <v>6446</v>
      </c>
      <c r="C893" s="11" t="s">
        <v>3904</v>
      </c>
      <c r="D893" s="10" t="s">
        <v>4453</v>
      </c>
      <c r="E893" s="10" t="s">
        <v>6447</v>
      </c>
      <c r="F893" s="11" t="s">
        <v>6448</v>
      </c>
      <c r="G893" s="10" t="s">
        <v>13</v>
      </c>
      <c r="H893" s="12">
        <v>46262</v>
      </c>
      <c r="I893" s="10" t="s">
        <v>3832</v>
      </c>
      <c r="J893" s="10" t="str">
        <f>IFERROR(INDEX([1]Programas!$B$2:$B$50,MATCH(LEFT(I893,3),[1]Programas!$A$2:$A$50,0)),"")</f>
        <v>Marketing Digital y Ge</v>
      </c>
      <c r="K893" s="10" t="s">
        <v>1453</v>
      </c>
    </row>
    <row r="894" spans="1:11" x14ac:dyDescent="0.2">
      <c r="A894" s="10">
        <v>893</v>
      </c>
      <c r="B894" s="10" t="s">
        <v>3907</v>
      </c>
      <c r="C894" s="11" t="s">
        <v>3906</v>
      </c>
      <c r="D894" s="10" t="s">
        <v>4419</v>
      </c>
      <c r="E894" s="10" t="s">
        <v>6449</v>
      </c>
      <c r="F894" s="11" t="s">
        <v>6450</v>
      </c>
      <c r="G894" s="10" t="s">
        <v>13</v>
      </c>
      <c r="H894" s="12">
        <v>46262</v>
      </c>
      <c r="I894" s="10" t="s">
        <v>3832</v>
      </c>
      <c r="J894" s="10" t="str">
        <f>IFERROR(INDEX([1]Programas!$B$2:$B$50,MATCH(LEFT(I894,3),[1]Programas!$A$2:$A$50,0)),"")</f>
        <v>Marketing Digital y Ge</v>
      </c>
      <c r="K894" s="10" t="s">
        <v>1453</v>
      </c>
    </row>
    <row r="895" spans="1:11" x14ac:dyDescent="0.2">
      <c r="A895" s="10">
        <v>894</v>
      </c>
      <c r="B895" s="10" t="s">
        <v>6451</v>
      </c>
      <c r="C895" s="11" t="s">
        <v>3908</v>
      </c>
      <c r="D895" s="10" t="s">
        <v>4419</v>
      </c>
      <c r="E895" s="10" t="s">
        <v>6452</v>
      </c>
      <c r="F895" s="11" t="s">
        <v>6453</v>
      </c>
      <c r="G895" s="10" t="s">
        <v>13</v>
      </c>
      <c r="H895" s="12">
        <v>46262</v>
      </c>
      <c r="I895" s="10" t="s">
        <v>3832</v>
      </c>
      <c r="J895" s="10" t="str">
        <f>IFERROR(INDEX([1]Programas!$B$2:$B$50,MATCH(LEFT(I895,3),[1]Programas!$A$2:$A$50,0)),"")</f>
        <v>Marketing Digital y Ge</v>
      </c>
      <c r="K895" s="10" t="s">
        <v>1453</v>
      </c>
    </row>
    <row r="896" spans="1:11" x14ac:dyDescent="0.2">
      <c r="A896" s="10">
        <v>895</v>
      </c>
      <c r="B896" s="10" t="s">
        <v>3911</v>
      </c>
      <c r="C896" s="11" t="s">
        <v>3910</v>
      </c>
      <c r="D896" s="10" t="s">
        <v>4419</v>
      </c>
      <c r="E896" s="10" t="s">
        <v>6454</v>
      </c>
      <c r="F896" s="11" t="s">
        <v>6455</v>
      </c>
      <c r="G896" s="10" t="s">
        <v>13</v>
      </c>
      <c r="H896" s="12">
        <v>46262</v>
      </c>
      <c r="I896" s="10" t="s">
        <v>3832</v>
      </c>
      <c r="J896" s="10" t="str">
        <f>IFERROR(INDEX([1]Programas!$B$2:$B$50,MATCH(LEFT(I896,3),[1]Programas!$A$2:$A$50,0)),"")</f>
        <v>Marketing Digital y Ge</v>
      </c>
      <c r="K896" s="10" t="s">
        <v>1453</v>
      </c>
    </row>
    <row r="897" spans="1:11" x14ac:dyDescent="0.2">
      <c r="A897" s="10">
        <v>896</v>
      </c>
      <c r="B897" s="10" t="s">
        <v>6456</v>
      </c>
      <c r="C897" s="11" t="s">
        <v>3912</v>
      </c>
      <c r="D897" s="10" t="s">
        <v>4419</v>
      </c>
      <c r="E897" s="10" t="s">
        <v>6457</v>
      </c>
      <c r="F897" s="11" t="s">
        <v>6458</v>
      </c>
      <c r="G897" s="10" t="s">
        <v>13</v>
      </c>
      <c r="H897" s="12">
        <v>46262</v>
      </c>
      <c r="I897" s="10" t="s">
        <v>3832</v>
      </c>
      <c r="J897" s="10" t="str">
        <f>IFERROR(INDEX([1]Programas!$B$2:$B$50,MATCH(LEFT(I897,3),[1]Programas!$A$2:$A$50,0)),"")</f>
        <v>Marketing Digital y Ge</v>
      </c>
      <c r="K897" s="10" t="s">
        <v>1453</v>
      </c>
    </row>
    <row r="898" spans="1:11" x14ac:dyDescent="0.2">
      <c r="A898" s="10">
        <v>897</v>
      </c>
      <c r="B898" s="10" t="s">
        <v>3915</v>
      </c>
      <c r="C898" s="11" t="s">
        <v>3914</v>
      </c>
      <c r="D898" s="10" t="s">
        <v>4419</v>
      </c>
      <c r="E898" s="10" t="s">
        <v>6459</v>
      </c>
      <c r="F898" s="11" t="s">
        <v>6460</v>
      </c>
      <c r="G898" s="10" t="s">
        <v>13</v>
      </c>
      <c r="H898" s="12">
        <v>46262</v>
      </c>
      <c r="I898" s="10" t="s">
        <v>3832</v>
      </c>
      <c r="J898" s="10" t="str">
        <f>IFERROR(INDEX([1]Programas!$B$2:$B$50,MATCH(LEFT(I898,3),[1]Programas!$A$2:$A$50,0)),"")</f>
        <v>Marketing Digital y Ge</v>
      </c>
      <c r="K898" s="10" t="s">
        <v>1453</v>
      </c>
    </row>
    <row r="899" spans="1:11" x14ac:dyDescent="0.2">
      <c r="A899" s="10">
        <v>898</v>
      </c>
      <c r="B899" s="10" t="s">
        <v>3917</v>
      </c>
      <c r="C899" s="11" t="s">
        <v>3916</v>
      </c>
      <c r="D899" s="10" t="s">
        <v>4419</v>
      </c>
      <c r="E899" s="10" t="s">
        <v>6461</v>
      </c>
      <c r="F899" s="11" t="s">
        <v>6462</v>
      </c>
      <c r="G899" s="10" t="s">
        <v>13</v>
      </c>
      <c r="H899" s="12">
        <v>46262</v>
      </c>
      <c r="I899" s="10" t="s">
        <v>3832</v>
      </c>
      <c r="J899" s="10" t="str">
        <f>IFERROR(INDEX([1]Programas!$B$2:$B$50,MATCH(LEFT(I899,3),[1]Programas!$A$2:$A$50,0)),"")</f>
        <v>Marketing Digital y Ge</v>
      </c>
      <c r="K899" s="10" t="s">
        <v>1453</v>
      </c>
    </row>
    <row r="900" spans="1:11" x14ac:dyDescent="0.2">
      <c r="A900" s="10">
        <v>899</v>
      </c>
      <c r="B900" s="10" t="s">
        <v>6463</v>
      </c>
      <c r="C900" s="11" t="s">
        <v>3918</v>
      </c>
      <c r="D900" s="10" t="s">
        <v>4419</v>
      </c>
      <c r="E900" s="10" t="s">
        <v>6464</v>
      </c>
      <c r="F900" s="11" t="s">
        <v>6465</v>
      </c>
      <c r="G900" s="10" t="s">
        <v>13</v>
      </c>
      <c r="H900" s="12">
        <v>46262</v>
      </c>
      <c r="I900" s="10" t="s">
        <v>3832</v>
      </c>
      <c r="J900" s="10" t="str">
        <f>IFERROR(INDEX([1]Programas!$B$2:$B$50,MATCH(LEFT(I900,3),[1]Programas!$A$2:$A$50,0)),"")</f>
        <v>Marketing Digital y Ge</v>
      </c>
      <c r="K900" s="10" t="s">
        <v>1453</v>
      </c>
    </row>
    <row r="901" spans="1:11" x14ac:dyDescent="0.2">
      <c r="A901" s="10">
        <v>900</v>
      </c>
      <c r="B901" s="10" t="s">
        <v>1850</v>
      </c>
      <c r="C901" s="11" t="s">
        <v>1849</v>
      </c>
      <c r="D901" s="10" t="s">
        <v>4419</v>
      </c>
      <c r="E901" s="10" t="s">
        <v>6466</v>
      </c>
      <c r="F901" s="11" t="s">
        <v>6467</v>
      </c>
      <c r="G901" s="10" t="s">
        <v>13</v>
      </c>
      <c r="H901" s="12">
        <v>46272</v>
      </c>
      <c r="I901" s="10" t="s">
        <v>3832</v>
      </c>
      <c r="J901" s="10" t="str">
        <f>IFERROR(INDEX([1]Programas!$B$2:$B$50,MATCH(LEFT(I901,3),[1]Programas!$A$2:$A$50,0)),"")</f>
        <v>Marketing Digital y Ge</v>
      </c>
      <c r="K901" s="10" t="s">
        <v>1453</v>
      </c>
    </row>
    <row r="902" spans="1:11" x14ac:dyDescent="0.2">
      <c r="A902" s="10">
        <v>901</v>
      </c>
      <c r="B902" s="10" t="s">
        <v>1800</v>
      </c>
      <c r="C902" s="11" t="s">
        <v>1799</v>
      </c>
      <c r="D902" s="10" t="s">
        <v>4419</v>
      </c>
      <c r="E902" s="10" t="s">
        <v>6468</v>
      </c>
      <c r="F902" s="11" t="s">
        <v>6469</v>
      </c>
      <c r="G902" s="10" t="s">
        <v>13</v>
      </c>
      <c r="H902" s="12">
        <v>46272</v>
      </c>
      <c r="I902" s="10" t="s">
        <v>3832</v>
      </c>
      <c r="J902" s="10" t="str">
        <f>IFERROR(INDEX([1]Programas!$B$2:$B$50,MATCH(LEFT(I902,3),[1]Programas!$A$2:$A$50,0)),"")</f>
        <v>Marketing Digital y Ge</v>
      </c>
      <c r="K902" s="10" t="s">
        <v>1453</v>
      </c>
    </row>
    <row r="903" spans="1:11" x14ac:dyDescent="0.2">
      <c r="A903" s="10">
        <v>902</v>
      </c>
      <c r="B903" s="10" t="s">
        <v>6470</v>
      </c>
      <c r="C903" s="11" t="s">
        <v>2165</v>
      </c>
      <c r="D903" s="10" t="s">
        <v>4419</v>
      </c>
      <c r="E903" s="10" t="s">
        <v>6471</v>
      </c>
      <c r="F903" s="11" t="s">
        <v>6472</v>
      </c>
      <c r="G903" s="10" t="s">
        <v>13</v>
      </c>
      <c r="H903" s="12">
        <v>46280</v>
      </c>
      <c r="I903" s="10" t="s">
        <v>3832</v>
      </c>
      <c r="J903" s="10" t="str">
        <f>IFERROR(INDEX([1]Programas!$B$2:$B$50,MATCH(LEFT(I903,3),[1]Programas!$A$2:$A$50,0)),"")</f>
        <v>Marketing Digital y Ge</v>
      </c>
      <c r="K903" s="10" t="s">
        <v>1453</v>
      </c>
    </row>
    <row r="904" spans="1:11" x14ac:dyDescent="0.2">
      <c r="A904" s="10">
        <v>903</v>
      </c>
      <c r="B904" s="10" t="s">
        <v>3922</v>
      </c>
      <c r="C904" s="11" t="s">
        <v>3921</v>
      </c>
      <c r="D904" s="10" t="s">
        <v>4419</v>
      </c>
      <c r="E904" s="10" t="s">
        <v>6473</v>
      </c>
      <c r="F904" s="11" t="s">
        <v>6474</v>
      </c>
      <c r="G904" s="10" t="s">
        <v>13</v>
      </c>
      <c r="H904" s="12">
        <v>46262</v>
      </c>
      <c r="I904" s="10" t="s">
        <v>3924</v>
      </c>
      <c r="J904" s="10" t="str">
        <f>IFERROR(INDEX([1]Programas!$B$2:$B$50,MATCH(LEFT(I904,3),[1]Programas!$A$2:$A$50,0)),"")</f>
        <v>Marketing Digital y Ge</v>
      </c>
      <c r="K904" s="10" t="s">
        <v>16</v>
      </c>
    </row>
    <row r="905" spans="1:11" x14ac:dyDescent="0.2">
      <c r="A905" s="10">
        <v>904</v>
      </c>
      <c r="B905" s="10" t="s">
        <v>1648</v>
      </c>
      <c r="C905" s="11" t="s">
        <v>1647</v>
      </c>
      <c r="D905" s="10" t="s">
        <v>4419</v>
      </c>
      <c r="E905" s="10" t="s">
        <v>6475</v>
      </c>
      <c r="F905" s="11" t="s">
        <v>6476</v>
      </c>
      <c r="G905" s="10" t="s">
        <v>13</v>
      </c>
      <c r="H905" s="12">
        <v>46262</v>
      </c>
      <c r="I905" s="10" t="s">
        <v>3924</v>
      </c>
      <c r="J905" s="10" t="str">
        <f>IFERROR(INDEX([1]Programas!$B$2:$B$50,MATCH(LEFT(I905,3),[1]Programas!$A$2:$A$50,0)),"")</f>
        <v>Marketing Digital y Ge</v>
      </c>
      <c r="K905" s="10" t="s">
        <v>16</v>
      </c>
    </row>
    <row r="906" spans="1:11" x14ac:dyDescent="0.2">
      <c r="A906" s="10">
        <v>905</v>
      </c>
      <c r="B906" s="10" t="s">
        <v>3930</v>
      </c>
      <c r="C906" s="11" t="s">
        <v>3929</v>
      </c>
      <c r="D906" s="10" t="s">
        <v>4419</v>
      </c>
      <c r="E906" s="10" t="s">
        <v>6477</v>
      </c>
      <c r="F906" s="11" t="s">
        <v>3929</v>
      </c>
      <c r="G906" s="10" t="s">
        <v>13</v>
      </c>
      <c r="H906" s="12">
        <v>46262</v>
      </c>
      <c r="I906" s="10" t="s">
        <v>3924</v>
      </c>
      <c r="J906" s="10" t="str">
        <f>IFERROR(INDEX([1]Programas!$B$2:$B$50,MATCH(LEFT(I906,3),[1]Programas!$A$2:$A$50,0)),"")</f>
        <v>Marketing Digital y Ge</v>
      </c>
      <c r="K906" s="10" t="s">
        <v>16</v>
      </c>
    </row>
    <row r="907" spans="1:11" x14ac:dyDescent="0.2">
      <c r="A907" s="10">
        <v>906</v>
      </c>
      <c r="B907" s="10" t="s">
        <v>3933</v>
      </c>
      <c r="C907" s="11" t="s">
        <v>3932</v>
      </c>
      <c r="D907" s="10" t="s">
        <v>4419</v>
      </c>
      <c r="E907" s="10" t="s">
        <v>6478</v>
      </c>
      <c r="F907" s="11" t="s">
        <v>6479</v>
      </c>
      <c r="G907" s="10" t="s">
        <v>13</v>
      </c>
      <c r="H907" s="12">
        <v>46262</v>
      </c>
      <c r="I907" s="10" t="s">
        <v>3924</v>
      </c>
      <c r="J907" s="10" t="str">
        <f>IFERROR(INDEX([1]Programas!$B$2:$B$50,MATCH(LEFT(I907,3),[1]Programas!$A$2:$A$50,0)),"")</f>
        <v>Marketing Digital y Ge</v>
      </c>
      <c r="K907" s="10" t="s">
        <v>16</v>
      </c>
    </row>
    <row r="908" spans="1:11" x14ac:dyDescent="0.2">
      <c r="A908" s="10">
        <v>907</v>
      </c>
      <c r="B908" s="10" t="s">
        <v>3935</v>
      </c>
      <c r="C908" s="11" t="s">
        <v>3934</v>
      </c>
      <c r="D908" s="10" t="s">
        <v>4419</v>
      </c>
      <c r="E908" s="10" t="s">
        <v>6480</v>
      </c>
      <c r="F908" s="11" t="s">
        <v>6481</v>
      </c>
      <c r="G908" s="10" t="s">
        <v>13</v>
      </c>
      <c r="H908" s="12">
        <v>46262</v>
      </c>
      <c r="I908" s="10" t="s">
        <v>3924</v>
      </c>
      <c r="J908" s="10" t="str">
        <f>IFERROR(INDEX([1]Programas!$B$2:$B$50,MATCH(LEFT(I908,3),[1]Programas!$A$2:$A$50,0)),"")</f>
        <v>Marketing Digital y Ge</v>
      </c>
      <c r="K908" s="10" t="s">
        <v>16</v>
      </c>
    </row>
    <row r="909" spans="1:11" x14ac:dyDescent="0.2">
      <c r="A909" s="10">
        <v>908</v>
      </c>
      <c r="B909" s="10" t="s">
        <v>6482</v>
      </c>
      <c r="C909" s="11" t="s">
        <v>3936</v>
      </c>
      <c r="D909" s="10" t="s">
        <v>4419</v>
      </c>
      <c r="E909" s="10" t="s">
        <v>6483</v>
      </c>
      <c r="F909" s="11" t="s">
        <v>6484</v>
      </c>
      <c r="G909" s="10" t="s">
        <v>13</v>
      </c>
      <c r="H909" s="12">
        <v>46262</v>
      </c>
      <c r="I909" s="10" t="s">
        <v>3924</v>
      </c>
      <c r="J909" s="10" t="str">
        <f>IFERROR(INDEX([1]Programas!$B$2:$B$50,MATCH(LEFT(I909,3),[1]Programas!$A$2:$A$50,0)),"")</f>
        <v>Marketing Digital y Ge</v>
      </c>
      <c r="K909" s="10" t="s">
        <v>16</v>
      </c>
    </row>
    <row r="910" spans="1:11" x14ac:dyDescent="0.2">
      <c r="A910" s="10">
        <v>909</v>
      </c>
      <c r="B910" s="10" t="s">
        <v>3939</v>
      </c>
      <c r="C910" s="11" t="s">
        <v>3938</v>
      </c>
      <c r="D910" s="10" t="s">
        <v>4419</v>
      </c>
      <c r="E910" s="10" t="s">
        <v>6485</v>
      </c>
      <c r="F910" s="11" t="s">
        <v>6486</v>
      </c>
      <c r="G910" s="10" t="s">
        <v>13</v>
      </c>
      <c r="H910" s="12">
        <v>46262</v>
      </c>
      <c r="I910" s="10" t="s">
        <v>3924</v>
      </c>
      <c r="J910" s="10" t="str">
        <f>IFERROR(INDEX([1]Programas!$B$2:$B$50,MATCH(LEFT(I910,3),[1]Programas!$A$2:$A$50,0)),"")</f>
        <v>Marketing Digital y Ge</v>
      </c>
      <c r="K910" s="10" t="s">
        <v>16</v>
      </c>
    </row>
    <row r="911" spans="1:11" x14ac:dyDescent="0.2">
      <c r="A911" s="10">
        <v>910</v>
      </c>
      <c r="B911" s="10" t="s">
        <v>3942</v>
      </c>
      <c r="C911" s="11" t="s">
        <v>3941</v>
      </c>
      <c r="D911" s="10" t="s">
        <v>4419</v>
      </c>
      <c r="E911" s="10" t="s">
        <v>6487</v>
      </c>
      <c r="F911" s="11" t="s">
        <v>6488</v>
      </c>
      <c r="G911" s="10" t="s">
        <v>13</v>
      </c>
      <c r="H911" s="12">
        <v>46262</v>
      </c>
      <c r="I911" s="10" t="s">
        <v>3924</v>
      </c>
      <c r="J911" s="10" t="str">
        <f>IFERROR(INDEX([1]Programas!$B$2:$B$50,MATCH(LEFT(I911,3),[1]Programas!$A$2:$A$50,0)),"")</f>
        <v>Marketing Digital y Ge</v>
      </c>
      <c r="K911" s="10" t="s">
        <v>16</v>
      </c>
    </row>
    <row r="912" spans="1:11" x14ac:dyDescent="0.2">
      <c r="A912" s="10">
        <v>911</v>
      </c>
      <c r="B912" s="10" t="s">
        <v>3944</v>
      </c>
      <c r="C912" s="11" t="s">
        <v>3943</v>
      </c>
      <c r="D912" s="10" t="s">
        <v>4419</v>
      </c>
      <c r="E912" s="10" t="s">
        <v>6489</v>
      </c>
      <c r="F912" s="11" t="s">
        <v>6490</v>
      </c>
      <c r="G912" s="10" t="s">
        <v>13</v>
      </c>
      <c r="H912" s="12">
        <v>46262</v>
      </c>
      <c r="I912" s="10" t="s">
        <v>3924</v>
      </c>
      <c r="J912" s="10" t="str">
        <f>IFERROR(INDEX([1]Programas!$B$2:$B$50,MATCH(LEFT(I912,3),[1]Programas!$A$2:$A$50,0)),"")</f>
        <v>Marketing Digital y Ge</v>
      </c>
      <c r="K912" s="10" t="s">
        <v>16</v>
      </c>
    </row>
    <row r="913" spans="1:11" x14ac:dyDescent="0.2">
      <c r="A913" s="10">
        <v>912</v>
      </c>
      <c r="B913" s="10" t="s">
        <v>6491</v>
      </c>
      <c r="C913" s="11" t="s">
        <v>3945</v>
      </c>
      <c r="D913" s="10" t="s">
        <v>4419</v>
      </c>
      <c r="E913" s="10" t="s">
        <v>6492</v>
      </c>
      <c r="F913" s="11" t="s">
        <v>6493</v>
      </c>
      <c r="G913" s="10" t="s">
        <v>13</v>
      </c>
      <c r="H913" s="12">
        <v>46262</v>
      </c>
      <c r="I913" s="10" t="s">
        <v>3924</v>
      </c>
      <c r="J913" s="10" t="str">
        <f>IFERROR(INDEX([1]Programas!$B$2:$B$50,MATCH(LEFT(I913,3),[1]Programas!$A$2:$A$50,0)),"")</f>
        <v>Marketing Digital y Ge</v>
      </c>
      <c r="K913" s="10" t="s">
        <v>16</v>
      </c>
    </row>
    <row r="914" spans="1:11" x14ac:dyDescent="0.2">
      <c r="A914" s="10">
        <v>913</v>
      </c>
      <c r="B914" s="10" t="s">
        <v>6494</v>
      </c>
      <c r="C914" s="11" t="s">
        <v>3947</v>
      </c>
      <c r="D914" s="10" t="s">
        <v>4453</v>
      </c>
      <c r="E914" s="10" t="s">
        <v>6495</v>
      </c>
      <c r="F914" s="11" t="s">
        <v>6496</v>
      </c>
      <c r="G914" s="10" t="s">
        <v>13</v>
      </c>
      <c r="H914" s="12">
        <v>46262</v>
      </c>
      <c r="I914" s="10" t="s">
        <v>3924</v>
      </c>
      <c r="J914" s="10" t="str">
        <f>IFERROR(INDEX([1]Programas!$B$2:$B$50,MATCH(LEFT(I914,3),[1]Programas!$A$2:$A$50,0)),"")</f>
        <v>Marketing Digital y Ge</v>
      </c>
      <c r="K914" s="10" t="s">
        <v>16</v>
      </c>
    </row>
    <row r="915" spans="1:11" x14ac:dyDescent="0.2">
      <c r="A915" s="10">
        <v>914</v>
      </c>
      <c r="B915" s="10" t="s">
        <v>3950</v>
      </c>
      <c r="C915" s="11" t="s">
        <v>3949</v>
      </c>
      <c r="D915" s="10" t="s">
        <v>4419</v>
      </c>
      <c r="E915" s="10" t="s">
        <v>6497</v>
      </c>
      <c r="F915" s="11" t="s">
        <v>6498</v>
      </c>
      <c r="G915" s="10" t="s">
        <v>13</v>
      </c>
      <c r="H915" s="12">
        <v>46262</v>
      </c>
      <c r="I915" s="10" t="s">
        <v>3924</v>
      </c>
      <c r="J915" s="10" t="str">
        <f>IFERROR(INDEX([1]Programas!$B$2:$B$50,MATCH(LEFT(I915,3),[1]Programas!$A$2:$A$50,0)),"")</f>
        <v>Marketing Digital y Ge</v>
      </c>
      <c r="K915" s="10" t="s">
        <v>16</v>
      </c>
    </row>
    <row r="916" spans="1:11" x14ac:dyDescent="0.2">
      <c r="A916" s="10">
        <v>915</v>
      </c>
      <c r="B916" s="10" t="s">
        <v>3952</v>
      </c>
      <c r="C916" s="11" t="s">
        <v>3951</v>
      </c>
      <c r="D916" s="10" t="s">
        <v>4419</v>
      </c>
      <c r="E916" s="10" t="s">
        <v>6499</v>
      </c>
      <c r="F916" s="11" t="s">
        <v>6500</v>
      </c>
      <c r="G916" s="10" t="s">
        <v>13</v>
      </c>
      <c r="H916" s="12">
        <v>46262</v>
      </c>
      <c r="I916" s="10" t="s">
        <v>3924</v>
      </c>
      <c r="J916" s="10" t="str">
        <f>IFERROR(INDEX([1]Programas!$B$2:$B$50,MATCH(LEFT(I916,3),[1]Programas!$A$2:$A$50,0)),"")</f>
        <v>Marketing Digital y Ge</v>
      </c>
      <c r="K916" s="10" t="s">
        <v>16</v>
      </c>
    </row>
    <row r="917" spans="1:11" x14ac:dyDescent="0.2">
      <c r="A917" s="10">
        <v>916</v>
      </c>
      <c r="B917" s="10" t="s">
        <v>6501</v>
      </c>
      <c r="C917" s="11" t="s">
        <v>3953</v>
      </c>
      <c r="D917" s="10" t="s">
        <v>4419</v>
      </c>
      <c r="E917" s="10" t="s">
        <v>6502</v>
      </c>
      <c r="F917" s="11" t="s">
        <v>6503</v>
      </c>
      <c r="G917" s="10" t="s">
        <v>13</v>
      </c>
      <c r="H917" s="12">
        <v>46262</v>
      </c>
      <c r="I917" s="10" t="s">
        <v>3924</v>
      </c>
      <c r="J917" s="10" t="str">
        <f>IFERROR(INDEX([1]Programas!$B$2:$B$50,MATCH(LEFT(I917,3),[1]Programas!$A$2:$A$50,0)),"")</f>
        <v>Marketing Digital y Ge</v>
      </c>
      <c r="K917" s="10" t="s">
        <v>16</v>
      </c>
    </row>
    <row r="918" spans="1:11" x14ac:dyDescent="0.2">
      <c r="A918" s="10">
        <v>917</v>
      </c>
      <c r="B918" s="10" t="s">
        <v>6504</v>
      </c>
      <c r="C918" s="11" t="s">
        <v>3955</v>
      </c>
      <c r="D918" s="10" t="s">
        <v>4419</v>
      </c>
      <c r="E918" s="10" t="s">
        <v>6505</v>
      </c>
      <c r="F918" s="11" t="s">
        <v>6506</v>
      </c>
      <c r="G918" s="10" t="s">
        <v>13</v>
      </c>
      <c r="H918" s="12">
        <v>46262</v>
      </c>
      <c r="I918" s="10" t="s">
        <v>3924</v>
      </c>
      <c r="J918" s="10" t="str">
        <f>IFERROR(INDEX([1]Programas!$B$2:$B$50,MATCH(LEFT(I918,3),[1]Programas!$A$2:$A$50,0)),"")</f>
        <v>Marketing Digital y Ge</v>
      </c>
      <c r="K918" s="10" t="s">
        <v>16</v>
      </c>
    </row>
    <row r="919" spans="1:11" x14ac:dyDescent="0.2">
      <c r="A919" s="10">
        <v>918</v>
      </c>
      <c r="B919" s="10" t="s">
        <v>3958</v>
      </c>
      <c r="C919" s="11" t="s">
        <v>3957</v>
      </c>
      <c r="D919" s="10" t="s">
        <v>4419</v>
      </c>
      <c r="E919" s="10" t="s">
        <v>6507</v>
      </c>
      <c r="F919" s="11" t="s">
        <v>6508</v>
      </c>
      <c r="G919" s="10" t="s">
        <v>13</v>
      </c>
      <c r="H919" s="12">
        <v>46262</v>
      </c>
      <c r="I919" s="10" t="s">
        <v>3924</v>
      </c>
      <c r="J919" s="10" t="str">
        <f>IFERROR(INDEX([1]Programas!$B$2:$B$50,MATCH(LEFT(I919,3),[1]Programas!$A$2:$A$50,0)),"")</f>
        <v>Marketing Digital y Ge</v>
      </c>
      <c r="K919" s="10" t="s">
        <v>16</v>
      </c>
    </row>
    <row r="920" spans="1:11" x14ac:dyDescent="0.2">
      <c r="A920" s="10">
        <v>919</v>
      </c>
      <c r="B920" s="10" t="s">
        <v>6509</v>
      </c>
      <c r="C920" s="11" t="s">
        <v>3959</v>
      </c>
      <c r="D920" s="10" t="s">
        <v>4419</v>
      </c>
      <c r="E920" s="10" t="s">
        <v>6510</v>
      </c>
      <c r="F920" s="11" t="s">
        <v>6511</v>
      </c>
      <c r="G920" s="10" t="s">
        <v>13</v>
      </c>
      <c r="H920" s="12">
        <v>46262</v>
      </c>
      <c r="I920" s="10" t="s">
        <v>3924</v>
      </c>
      <c r="J920" s="10" t="str">
        <f>IFERROR(INDEX([1]Programas!$B$2:$B$50,MATCH(LEFT(I920,3),[1]Programas!$A$2:$A$50,0)),"")</f>
        <v>Marketing Digital y Ge</v>
      </c>
      <c r="K920" s="10" t="s">
        <v>16</v>
      </c>
    </row>
    <row r="921" spans="1:11" x14ac:dyDescent="0.2">
      <c r="A921" s="10">
        <v>920</v>
      </c>
      <c r="B921" s="10" t="s">
        <v>6512</v>
      </c>
      <c r="C921" s="11" t="s">
        <v>3961</v>
      </c>
      <c r="D921" s="10" t="s">
        <v>4419</v>
      </c>
      <c r="E921" s="10" t="s">
        <v>6513</v>
      </c>
      <c r="F921" s="11" t="s">
        <v>6514</v>
      </c>
      <c r="G921" s="10" t="s">
        <v>13</v>
      </c>
      <c r="H921" s="12">
        <v>46262</v>
      </c>
      <c r="I921" s="10" t="s">
        <v>3924</v>
      </c>
      <c r="J921" s="10" t="str">
        <f>IFERROR(INDEX([1]Programas!$B$2:$B$50,MATCH(LEFT(I921,3),[1]Programas!$A$2:$A$50,0)),"")</f>
        <v>Marketing Digital y Ge</v>
      </c>
      <c r="K921" s="10" t="s">
        <v>16</v>
      </c>
    </row>
    <row r="922" spans="1:11" x14ac:dyDescent="0.2">
      <c r="A922" s="10">
        <v>921</v>
      </c>
      <c r="B922" s="10" t="s">
        <v>6515</v>
      </c>
      <c r="C922" s="11" t="s">
        <v>3963</v>
      </c>
      <c r="D922" s="10" t="s">
        <v>4419</v>
      </c>
      <c r="E922" s="10" t="s">
        <v>6516</v>
      </c>
      <c r="F922" s="11" t="s">
        <v>6517</v>
      </c>
      <c r="G922" s="10" t="s">
        <v>13</v>
      </c>
      <c r="H922" s="12">
        <v>46262</v>
      </c>
      <c r="I922" s="10" t="s">
        <v>3924</v>
      </c>
      <c r="J922" s="10" t="str">
        <f>IFERROR(INDEX([1]Programas!$B$2:$B$50,MATCH(LEFT(I922,3),[1]Programas!$A$2:$A$50,0)),"")</f>
        <v>Marketing Digital y Ge</v>
      </c>
      <c r="K922" s="10" t="s">
        <v>16</v>
      </c>
    </row>
    <row r="923" spans="1:11" x14ac:dyDescent="0.2">
      <c r="A923" s="10">
        <v>922</v>
      </c>
      <c r="B923" s="10" t="s">
        <v>3966</v>
      </c>
      <c r="C923" s="11" t="s">
        <v>3965</v>
      </c>
      <c r="D923" s="10" t="s">
        <v>4419</v>
      </c>
      <c r="E923" s="10" t="s">
        <v>6518</v>
      </c>
      <c r="F923" s="11" t="s">
        <v>6519</v>
      </c>
      <c r="G923" s="10" t="s">
        <v>13</v>
      </c>
      <c r="H923" s="12">
        <v>46262</v>
      </c>
      <c r="I923" s="10" t="s">
        <v>3924</v>
      </c>
      <c r="J923" s="10" t="str">
        <f>IFERROR(INDEX([1]Programas!$B$2:$B$50,MATCH(LEFT(I923,3),[1]Programas!$A$2:$A$50,0)),"")</f>
        <v>Marketing Digital y Ge</v>
      </c>
      <c r="K923" s="10" t="s">
        <v>16</v>
      </c>
    </row>
    <row r="924" spans="1:11" x14ac:dyDescent="0.2">
      <c r="A924" s="10">
        <v>923</v>
      </c>
      <c r="B924" s="10" t="s">
        <v>3968</v>
      </c>
      <c r="C924" s="11" t="s">
        <v>3967</v>
      </c>
      <c r="D924" s="10" t="s">
        <v>4419</v>
      </c>
      <c r="E924" s="10" t="s">
        <v>6520</v>
      </c>
      <c r="F924" s="11" t="s">
        <v>6521</v>
      </c>
      <c r="G924" s="10" t="s">
        <v>13</v>
      </c>
      <c r="H924" s="12">
        <v>46262</v>
      </c>
      <c r="I924" s="10" t="s">
        <v>3924</v>
      </c>
      <c r="J924" s="10" t="str">
        <f>IFERROR(INDEX([1]Programas!$B$2:$B$50,MATCH(LEFT(I924,3),[1]Programas!$A$2:$A$50,0)),"")</f>
        <v>Marketing Digital y Ge</v>
      </c>
      <c r="K924" s="10" t="s">
        <v>16</v>
      </c>
    </row>
    <row r="925" spans="1:11" x14ac:dyDescent="0.2">
      <c r="A925" s="10">
        <v>924</v>
      </c>
      <c r="B925" s="10" t="s">
        <v>3970</v>
      </c>
      <c r="C925" s="11" t="s">
        <v>3969</v>
      </c>
      <c r="D925" s="10" t="s">
        <v>4419</v>
      </c>
      <c r="E925" s="10" t="s">
        <v>6522</v>
      </c>
      <c r="F925" s="11" t="s">
        <v>6523</v>
      </c>
      <c r="G925" s="10" t="s">
        <v>13</v>
      </c>
      <c r="H925" s="12">
        <v>46262</v>
      </c>
      <c r="I925" s="10" t="s">
        <v>3924</v>
      </c>
      <c r="J925" s="10" t="str">
        <f>IFERROR(INDEX([1]Programas!$B$2:$B$50,MATCH(LEFT(I925,3),[1]Programas!$A$2:$A$50,0)),"")</f>
        <v>Marketing Digital y Ge</v>
      </c>
      <c r="K925" s="10" t="s">
        <v>16</v>
      </c>
    </row>
    <row r="926" spans="1:11" x14ac:dyDescent="0.2">
      <c r="A926" s="10">
        <v>925</v>
      </c>
      <c r="B926" s="10" t="s">
        <v>6524</v>
      </c>
      <c r="C926" s="11" t="s">
        <v>3971</v>
      </c>
      <c r="D926" s="10" t="s">
        <v>4419</v>
      </c>
      <c r="E926" s="10" t="s">
        <v>6525</v>
      </c>
      <c r="F926" s="11" t="s">
        <v>6526</v>
      </c>
      <c r="G926" s="10" t="s">
        <v>13</v>
      </c>
      <c r="H926" s="12">
        <v>46262</v>
      </c>
      <c r="I926" s="10" t="s">
        <v>3924</v>
      </c>
      <c r="J926" s="10" t="str">
        <f>IFERROR(INDEX([1]Programas!$B$2:$B$50,MATCH(LEFT(I926,3),[1]Programas!$A$2:$A$50,0)),"")</f>
        <v>Marketing Digital y Ge</v>
      </c>
      <c r="K926" s="10" t="s">
        <v>16</v>
      </c>
    </row>
    <row r="927" spans="1:11" x14ac:dyDescent="0.2">
      <c r="A927" s="10">
        <v>926</v>
      </c>
      <c r="B927" s="10" t="s">
        <v>3976</v>
      </c>
      <c r="C927" s="11" t="s">
        <v>3975</v>
      </c>
      <c r="D927" s="10" t="s">
        <v>4419</v>
      </c>
      <c r="E927" s="10" t="s">
        <v>6527</v>
      </c>
      <c r="F927" s="11" t="s">
        <v>6528</v>
      </c>
      <c r="G927" s="10" t="s">
        <v>13</v>
      </c>
      <c r="H927" s="12">
        <v>46262</v>
      </c>
      <c r="I927" s="10" t="s">
        <v>3924</v>
      </c>
      <c r="J927" s="10" t="str">
        <f>IFERROR(INDEX([1]Programas!$B$2:$B$50,MATCH(LEFT(I927,3),[1]Programas!$A$2:$A$50,0)),"")</f>
        <v>Marketing Digital y Ge</v>
      </c>
      <c r="K927" s="10" t="s">
        <v>16</v>
      </c>
    </row>
    <row r="928" spans="1:11" x14ac:dyDescent="0.2">
      <c r="A928" s="10">
        <v>927</v>
      </c>
      <c r="B928" s="10" t="s">
        <v>6529</v>
      </c>
      <c r="C928" s="11" t="s">
        <v>3977</v>
      </c>
      <c r="D928" s="10" t="s">
        <v>4419</v>
      </c>
      <c r="E928" s="10" t="s">
        <v>6530</v>
      </c>
      <c r="F928" s="11" t="s">
        <v>6531</v>
      </c>
      <c r="G928" s="10" t="s">
        <v>13</v>
      </c>
      <c r="H928" s="12">
        <v>46262</v>
      </c>
      <c r="I928" s="10" t="s">
        <v>3924</v>
      </c>
      <c r="J928" s="10" t="str">
        <f>IFERROR(INDEX([1]Programas!$B$2:$B$50,MATCH(LEFT(I928,3),[1]Programas!$A$2:$A$50,0)),"")</f>
        <v>Marketing Digital y Ge</v>
      </c>
      <c r="K928" s="10" t="s">
        <v>16</v>
      </c>
    </row>
    <row r="929" spans="1:11" x14ac:dyDescent="0.2">
      <c r="A929" s="10">
        <v>928</v>
      </c>
      <c r="B929" s="10" t="s">
        <v>3980</v>
      </c>
      <c r="C929" s="11" t="s">
        <v>3979</v>
      </c>
      <c r="D929" s="10" t="s">
        <v>4419</v>
      </c>
      <c r="E929" s="10" t="s">
        <v>6532</v>
      </c>
      <c r="F929" s="11" t="s">
        <v>6533</v>
      </c>
      <c r="G929" s="10" t="s">
        <v>13</v>
      </c>
      <c r="H929" s="12">
        <v>46262</v>
      </c>
      <c r="I929" s="10" t="s">
        <v>3924</v>
      </c>
      <c r="J929" s="10" t="str">
        <f>IFERROR(INDEX([1]Programas!$B$2:$B$50,MATCH(LEFT(I929,3),[1]Programas!$A$2:$A$50,0)),"")</f>
        <v>Marketing Digital y Ge</v>
      </c>
      <c r="K929" s="10" t="s">
        <v>16</v>
      </c>
    </row>
    <row r="930" spans="1:11" x14ac:dyDescent="0.2">
      <c r="A930" s="10">
        <v>929</v>
      </c>
      <c r="B930" s="10" t="s">
        <v>3983</v>
      </c>
      <c r="C930" s="11" t="s">
        <v>3982</v>
      </c>
      <c r="D930" s="10" t="s">
        <v>4419</v>
      </c>
      <c r="E930" s="10" t="s">
        <v>6534</v>
      </c>
      <c r="F930" s="11" t="s">
        <v>6535</v>
      </c>
      <c r="G930" s="10" t="s">
        <v>13</v>
      </c>
      <c r="H930" s="12">
        <v>46262</v>
      </c>
      <c r="I930" s="10" t="s">
        <v>3924</v>
      </c>
      <c r="J930" s="10" t="str">
        <f>IFERROR(INDEX([1]Programas!$B$2:$B$50,MATCH(LEFT(I930,3),[1]Programas!$A$2:$A$50,0)),"")</f>
        <v>Marketing Digital y Ge</v>
      </c>
      <c r="K930" s="10" t="s">
        <v>16</v>
      </c>
    </row>
    <row r="931" spans="1:11" x14ac:dyDescent="0.2">
      <c r="A931" s="10">
        <v>930</v>
      </c>
      <c r="B931" s="10" t="s">
        <v>3482</v>
      </c>
      <c r="C931" s="11" t="s">
        <v>3481</v>
      </c>
      <c r="D931" s="10" t="s">
        <v>4419</v>
      </c>
      <c r="E931" s="10" t="s">
        <v>6536</v>
      </c>
      <c r="F931" s="11" t="s">
        <v>6537</v>
      </c>
      <c r="G931" s="10" t="s">
        <v>13</v>
      </c>
      <c r="H931" s="12">
        <v>46271</v>
      </c>
      <c r="I931" s="10" t="s">
        <v>3924</v>
      </c>
      <c r="J931" s="10" t="str">
        <f>IFERROR(INDEX([1]Programas!$B$2:$B$50,MATCH(LEFT(I931,3),[1]Programas!$A$2:$A$50,0)),"")</f>
        <v>Marketing Digital y Ge</v>
      </c>
      <c r="K931" s="10" t="s">
        <v>16</v>
      </c>
    </row>
    <row r="932" spans="1:11" x14ac:dyDescent="0.2">
      <c r="A932" s="10">
        <v>931</v>
      </c>
      <c r="B932" s="10" t="s">
        <v>3450</v>
      </c>
      <c r="C932" s="11" t="s">
        <v>3449</v>
      </c>
      <c r="D932" s="10" t="s">
        <v>4419</v>
      </c>
      <c r="E932" s="10" t="s">
        <v>6538</v>
      </c>
      <c r="F932" s="11" t="s">
        <v>6539</v>
      </c>
      <c r="G932" s="10" t="s">
        <v>13</v>
      </c>
      <c r="H932" s="12">
        <v>46275</v>
      </c>
      <c r="I932" s="10" t="s">
        <v>3924</v>
      </c>
      <c r="J932" s="10" t="str">
        <f>IFERROR(INDEX([1]Programas!$B$2:$B$50,MATCH(LEFT(I932,3),[1]Programas!$A$2:$A$50,0)),"")</f>
        <v>Marketing Digital y Ge</v>
      </c>
      <c r="K932" s="10" t="s">
        <v>16</v>
      </c>
    </row>
    <row r="933" spans="1:11" x14ac:dyDescent="0.2">
      <c r="A933" s="10">
        <v>932</v>
      </c>
      <c r="B933" s="10" t="s">
        <v>3985</v>
      </c>
      <c r="C933" s="11" t="s">
        <v>3984</v>
      </c>
      <c r="D933" s="10" t="s">
        <v>4419</v>
      </c>
      <c r="E933" s="10" t="s">
        <v>6540</v>
      </c>
      <c r="F933" s="11" t="s">
        <v>6541</v>
      </c>
      <c r="G933" s="10" t="s">
        <v>13</v>
      </c>
      <c r="H933" s="12">
        <v>46262</v>
      </c>
      <c r="I933" s="10" t="s">
        <v>3987</v>
      </c>
      <c r="J933" s="10" t="str">
        <f>IFERROR(INDEX([1]Programas!$B$2:$B$50,MATCH(LEFT(I933,3),[1]Programas!$A$2:$A$50,0)),"")</f>
        <v>Marketing Digital y Ge</v>
      </c>
      <c r="K933" s="10" t="s">
        <v>335</v>
      </c>
    </row>
    <row r="934" spans="1:11" x14ac:dyDescent="0.2">
      <c r="A934" s="10">
        <v>933</v>
      </c>
      <c r="B934" s="10" t="s">
        <v>3989</v>
      </c>
      <c r="C934" s="11" t="s">
        <v>3988</v>
      </c>
      <c r="D934" s="10" t="s">
        <v>4419</v>
      </c>
      <c r="E934" s="10" t="s">
        <v>6542</v>
      </c>
      <c r="F934" s="11" t="s">
        <v>6543</v>
      </c>
      <c r="G934" s="10" t="s">
        <v>13</v>
      </c>
      <c r="H934" s="12">
        <v>46262</v>
      </c>
      <c r="I934" s="10" t="s">
        <v>3987</v>
      </c>
      <c r="J934" s="10" t="str">
        <f>IFERROR(INDEX([1]Programas!$B$2:$B$50,MATCH(LEFT(I934,3),[1]Programas!$A$2:$A$50,0)),"")</f>
        <v>Marketing Digital y Ge</v>
      </c>
      <c r="K934" s="10" t="s">
        <v>335</v>
      </c>
    </row>
    <row r="935" spans="1:11" x14ac:dyDescent="0.2">
      <c r="A935" s="10">
        <v>934</v>
      </c>
      <c r="B935" s="10" t="s">
        <v>3991</v>
      </c>
      <c r="C935" s="11" t="s">
        <v>3990</v>
      </c>
      <c r="D935" s="10" t="s">
        <v>4419</v>
      </c>
      <c r="E935" s="10" t="s">
        <v>6544</v>
      </c>
      <c r="F935" s="11" t="s">
        <v>6545</v>
      </c>
      <c r="G935" s="10" t="s">
        <v>13</v>
      </c>
      <c r="H935" s="12">
        <v>46262</v>
      </c>
      <c r="I935" s="10" t="s">
        <v>3987</v>
      </c>
      <c r="J935" s="10" t="str">
        <f>IFERROR(INDEX([1]Programas!$B$2:$B$50,MATCH(LEFT(I935,3),[1]Programas!$A$2:$A$50,0)),"")</f>
        <v>Marketing Digital y Ge</v>
      </c>
      <c r="K935" s="10" t="s">
        <v>335</v>
      </c>
    </row>
    <row r="936" spans="1:11" x14ac:dyDescent="0.2">
      <c r="A936" s="10">
        <v>935</v>
      </c>
      <c r="B936" s="10" t="s">
        <v>3993</v>
      </c>
      <c r="C936" s="11" t="s">
        <v>3992</v>
      </c>
      <c r="D936" s="10" t="s">
        <v>4419</v>
      </c>
      <c r="E936" s="10" t="s">
        <v>6546</v>
      </c>
      <c r="F936" s="11" t="s">
        <v>6547</v>
      </c>
      <c r="G936" s="10" t="s">
        <v>13</v>
      </c>
      <c r="H936" s="12">
        <v>46262</v>
      </c>
      <c r="I936" s="10" t="s">
        <v>3987</v>
      </c>
      <c r="J936" s="10" t="str">
        <f>IFERROR(INDEX([1]Programas!$B$2:$B$50,MATCH(LEFT(I936,3),[1]Programas!$A$2:$A$50,0)),"")</f>
        <v>Marketing Digital y Ge</v>
      </c>
      <c r="K936" s="10" t="s">
        <v>335</v>
      </c>
    </row>
    <row r="937" spans="1:11" x14ac:dyDescent="0.2">
      <c r="A937" s="10">
        <v>936</v>
      </c>
      <c r="B937" s="10" t="s">
        <v>3995</v>
      </c>
      <c r="C937" s="11" t="s">
        <v>3994</v>
      </c>
      <c r="D937" s="10" t="s">
        <v>4419</v>
      </c>
      <c r="E937" s="10" t="s">
        <v>6548</v>
      </c>
      <c r="F937" s="11" t="s">
        <v>6549</v>
      </c>
      <c r="G937" s="10" t="s">
        <v>13</v>
      </c>
      <c r="H937" s="12">
        <v>46262</v>
      </c>
      <c r="I937" s="10" t="s">
        <v>3987</v>
      </c>
      <c r="J937" s="10" t="str">
        <f>IFERROR(INDEX([1]Programas!$B$2:$B$50,MATCH(LEFT(I937,3),[1]Programas!$A$2:$A$50,0)),"")</f>
        <v>Marketing Digital y Ge</v>
      </c>
      <c r="K937" s="10" t="s">
        <v>335</v>
      </c>
    </row>
    <row r="938" spans="1:11" x14ac:dyDescent="0.2">
      <c r="A938" s="10">
        <v>937</v>
      </c>
      <c r="B938" s="10" t="s">
        <v>6550</v>
      </c>
      <c r="C938" s="11" t="s">
        <v>3996</v>
      </c>
      <c r="D938" s="10" t="s">
        <v>4419</v>
      </c>
      <c r="E938" s="10" t="s">
        <v>6551</v>
      </c>
      <c r="F938" s="11" t="s">
        <v>6552</v>
      </c>
      <c r="G938" s="10" t="s">
        <v>13</v>
      </c>
      <c r="H938" s="12">
        <v>46262</v>
      </c>
      <c r="I938" s="10" t="s">
        <v>3987</v>
      </c>
      <c r="J938" s="10" t="str">
        <f>IFERROR(INDEX([1]Programas!$B$2:$B$50,MATCH(LEFT(I938,3),[1]Programas!$A$2:$A$50,0)),"")</f>
        <v>Marketing Digital y Ge</v>
      </c>
      <c r="K938" s="10" t="s">
        <v>335</v>
      </c>
    </row>
    <row r="939" spans="1:11" x14ac:dyDescent="0.2">
      <c r="A939" s="10">
        <v>938</v>
      </c>
      <c r="B939" s="10" t="s">
        <v>3999</v>
      </c>
      <c r="C939" s="11" t="s">
        <v>3998</v>
      </c>
      <c r="D939" s="10" t="s">
        <v>4419</v>
      </c>
      <c r="E939" s="10" t="s">
        <v>6553</v>
      </c>
      <c r="F939" s="11" t="s">
        <v>6554</v>
      </c>
      <c r="G939" s="10" t="s">
        <v>13</v>
      </c>
      <c r="H939" s="12">
        <v>46262</v>
      </c>
      <c r="I939" s="10" t="s">
        <v>3987</v>
      </c>
      <c r="J939" s="10" t="str">
        <f>IFERROR(INDEX([1]Programas!$B$2:$B$50,MATCH(LEFT(I939,3),[1]Programas!$A$2:$A$50,0)),"")</f>
        <v>Marketing Digital y Ge</v>
      </c>
      <c r="K939" s="10" t="s">
        <v>335</v>
      </c>
    </row>
    <row r="940" spans="1:11" x14ac:dyDescent="0.2">
      <c r="A940" s="10">
        <v>939</v>
      </c>
      <c r="B940" s="10" t="s">
        <v>6555</v>
      </c>
      <c r="C940" s="11" t="s">
        <v>4000</v>
      </c>
      <c r="D940" s="10" t="s">
        <v>4419</v>
      </c>
      <c r="E940" s="10" t="s">
        <v>6556</v>
      </c>
      <c r="F940" s="11" t="s">
        <v>6557</v>
      </c>
      <c r="G940" s="10" t="s">
        <v>13</v>
      </c>
      <c r="H940" s="12">
        <v>46262</v>
      </c>
      <c r="I940" s="10" t="s">
        <v>3987</v>
      </c>
      <c r="J940" s="10" t="str">
        <f>IFERROR(INDEX([1]Programas!$B$2:$B$50,MATCH(LEFT(I940,3),[1]Programas!$A$2:$A$50,0)),"")</f>
        <v>Marketing Digital y Ge</v>
      </c>
      <c r="K940" s="10" t="s">
        <v>335</v>
      </c>
    </row>
    <row r="941" spans="1:11" x14ac:dyDescent="0.2">
      <c r="A941" s="10">
        <v>940</v>
      </c>
      <c r="B941" s="10" t="s">
        <v>4003</v>
      </c>
      <c r="C941" s="11" t="s">
        <v>4002</v>
      </c>
      <c r="D941" s="10" t="s">
        <v>4419</v>
      </c>
      <c r="E941" s="10" t="s">
        <v>6558</v>
      </c>
      <c r="F941" s="11" t="s">
        <v>6559</v>
      </c>
      <c r="G941" s="10" t="s">
        <v>13</v>
      </c>
      <c r="H941" s="12">
        <v>46262</v>
      </c>
      <c r="I941" s="10" t="s">
        <v>3987</v>
      </c>
      <c r="J941" s="10" t="str">
        <f>IFERROR(INDEX([1]Programas!$B$2:$B$50,MATCH(LEFT(I941,3),[1]Programas!$A$2:$A$50,0)),"")</f>
        <v>Marketing Digital y Ge</v>
      </c>
      <c r="K941" s="10" t="s">
        <v>335</v>
      </c>
    </row>
    <row r="942" spans="1:11" x14ac:dyDescent="0.2">
      <c r="A942" s="10">
        <v>941</v>
      </c>
      <c r="B942" s="10" t="s">
        <v>4005</v>
      </c>
      <c r="C942" s="11" t="s">
        <v>4004</v>
      </c>
      <c r="D942" s="10" t="s">
        <v>4419</v>
      </c>
      <c r="E942" s="10" t="s">
        <v>6560</v>
      </c>
      <c r="F942" s="11" t="s">
        <v>6561</v>
      </c>
      <c r="G942" s="10" t="s">
        <v>13</v>
      </c>
      <c r="H942" s="12">
        <v>46262</v>
      </c>
      <c r="I942" s="10" t="s">
        <v>3987</v>
      </c>
      <c r="J942" s="10" t="str">
        <f>IFERROR(INDEX([1]Programas!$B$2:$B$50,MATCH(LEFT(I942,3),[1]Programas!$A$2:$A$50,0)),"")</f>
        <v>Marketing Digital y Ge</v>
      </c>
      <c r="K942" s="10" t="s">
        <v>335</v>
      </c>
    </row>
    <row r="943" spans="1:11" x14ac:dyDescent="0.2">
      <c r="A943" s="10">
        <v>942</v>
      </c>
      <c r="B943" s="10" t="s">
        <v>4007</v>
      </c>
      <c r="C943" s="11" t="s">
        <v>4006</v>
      </c>
      <c r="D943" s="10" t="s">
        <v>4419</v>
      </c>
      <c r="E943" s="10" t="s">
        <v>6562</v>
      </c>
      <c r="F943" s="11" t="s">
        <v>6563</v>
      </c>
      <c r="G943" s="10" t="s">
        <v>13</v>
      </c>
      <c r="H943" s="12">
        <v>46262</v>
      </c>
      <c r="I943" s="10" t="s">
        <v>3987</v>
      </c>
      <c r="J943" s="10" t="str">
        <f>IFERROR(INDEX([1]Programas!$B$2:$B$50,MATCH(LEFT(I943,3),[1]Programas!$A$2:$A$50,0)),"")</f>
        <v>Marketing Digital y Ge</v>
      </c>
      <c r="K943" s="10" t="s">
        <v>335</v>
      </c>
    </row>
    <row r="944" spans="1:11" x14ac:dyDescent="0.2">
      <c r="A944" s="10">
        <v>943</v>
      </c>
      <c r="B944" s="10" t="s">
        <v>4009</v>
      </c>
      <c r="C944" s="11" t="s">
        <v>4008</v>
      </c>
      <c r="D944" s="10" t="s">
        <v>4419</v>
      </c>
      <c r="E944" s="10" t="s">
        <v>6564</v>
      </c>
      <c r="F944" s="11" t="s">
        <v>6565</v>
      </c>
      <c r="G944" s="10" t="s">
        <v>13</v>
      </c>
      <c r="H944" s="12">
        <v>46262</v>
      </c>
      <c r="I944" s="10" t="s">
        <v>3987</v>
      </c>
      <c r="J944" s="10" t="str">
        <f>IFERROR(INDEX([1]Programas!$B$2:$B$50,MATCH(LEFT(I944,3),[1]Programas!$A$2:$A$50,0)),"")</f>
        <v>Marketing Digital y Ge</v>
      </c>
      <c r="K944" s="10" t="s">
        <v>335</v>
      </c>
    </row>
    <row r="945" spans="1:11" x14ac:dyDescent="0.2">
      <c r="A945" s="10">
        <v>944</v>
      </c>
      <c r="B945" s="10" t="s">
        <v>6566</v>
      </c>
      <c r="C945" s="11" t="s">
        <v>4010</v>
      </c>
      <c r="D945" s="10" t="s">
        <v>4419</v>
      </c>
      <c r="E945" s="10" t="s">
        <v>6567</v>
      </c>
      <c r="F945" s="11" t="s">
        <v>6568</v>
      </c>
      <c r="G945" s="10" t="s">
        <v>13</v>
      </c>
      <c r="H945" s="12">
        <v>46262</v>
      </c>
      <c r="I945" s="10" t="s">
        <v>3987</v>
      </c>
      <c r="J945" s="10" t="str">
        <f>IFERROR(INDEX([1]Programas!$B$2:$B$50,MATCH(LEFT(I945,3),[1]Programas!$A$2:$A$50,0)),"")</f>
        <v>Marketing Digital y Ge</v>
      </c>
      <c r="K945" s="10" t="s">
        <v>335</v>
      </c>
    </row>
    <row r="946" spans="1:11" x14ac:dyDescent="0.2">
      <c r="A946" s="10">
        <v>945</v>
      </c>
      <c r="B946" s="10" t="s">
        <v>4013</v>
      </c>
      <c r="C946" s="11" t="s">
        <v>4012</v>
      </c>
      <c r="D946" s="10" t="s">
        <v>4419</v>
      </c>
      <c r="E946" s="10" t="s">
        <v>6569</v>
      </c>
      <c r="F946" s="11" t="s">
        <v>6570</v>
      </c>
      <c r="G946" s="10" t="s">
        <v>13</v>
      </c>
      <c r="H946" s="12">
        <v>46262</v>
      </c>
      <c r="I946" s="10" t="s">
        <v>3987</v>
      </c>
      <c r="J946" s="10" t="str">
        <f>IFERROR(INDEX([1]Programas!$B$2:$B$50,MATCH(LEFT(I946,3),[1]Programas!$A$2:$A$50,0)),"")</f>
        <v>Marketing Digital y Ge</v>
      </c>
      <c r="K946" s="10" t="s">
        <v>335</v>
      </c>
    </row>
    <row r="947" spans="1:11" x14ac:dyDescent="0.2">
      <c r="A947" s="10">
        <v>946</v>
      </c>
      <c r="B947" s="10" t="s">
        <v>6571</v>
      </c>
      <c r="C947" s="11" t="s">
        <v>4014</v>
      </c>
      <c r="D947" s="10" t="s">
        <v>4419</v>
      </c>
      <c r="E947" s="10" t="s">
        <v>6572</v>
      </c>
      <c r="F947" s="11" t="s">
        <v>6573</v>
      </c>
      <c r="G947" s="10" t="s">
        <v>13</v>
      </c>
      <c r="H947" s="12">
        <v>46262</v>
      </c>
      <c r="I947" s="10" t="s">
        <v>3987</v>
      </c>
      <c r="J947" s="10" t="str">
        <f>IFERROR(INDEX([1]Programas!$B$2:$B$50,MATCH(LEFT(I947,3),[1]Programas!$A$2:$A$50,0)),"")</f>
        <v>Marketing Digital y Ge</v>
      </c>
      <c r="K947" s="10" t="s">
        <v>335</v>
      </c>
    </row>
    <row r="948" spans="1:11" x14ac:dyDescent="0.2">
      <c r="A948" s="10">
        <v>947</v>
      </c>
      <c r="B948" s="10" t="s">
        <v>6574</v>
      </c>
      <c r="C948" s="11" t="s">
        <v>4016</v>
      </c>
      <c r="D948" s="10" t="s">
        <v>4419</v>
      </c>
      <c r="E948" s="10" t="s">
        <v>6575</v>
      </c>
      <c r="F948" s="11" t="s">
        <v>6576</v>
      </c>
      <c r="G948" s="10" t="s">
        <v>13</v>
      </c>
      <c r="H948" s="12">
        <v>46262</v>
      </c>
      <c r="I948" s="10" t="s">
        <v>3987</v>
      </c>
      <c r="J948" s="10" t="str">
        <f>IFERROR(INDEX([1]Programas!$B$2:$B$50,MATCH(LEFT(I948,3),[1]Programas!$A$2:$A$50,0)),"")</f>
        <v>Marketing Digital y Ge</v>
      </c>
      <c r="K948" s="10" t="s">
        <v>335</v>
      </c>
    </row>
    <row r="949" spans="1:11" x14ac:dyDescent="0.2">
      <c r="A949" s="10">
        <v>948</v>
      </c>
      <c r="B949" s="10" t="s">
        <v>6577</v>
      </c>
      <c r="C949" s="11" t="s">
        <v>4018</v>
      </c>
      <c r="D949" s="10" t="s">
        <v>4419</v>
      </c>
      <c r="E949" s="10" t="s">
        <v>6578</v>
      </c>
      <c r="F949" s="11" t="s">
        <v>6579</v>
      </c>
      <c r="G949" s="10" t="s">
        <v>13</v>
      </c>
      <c r="H949" s="12">
        <v>46262</v>
      </c>
      <c r="I949" s="10" t="s">
        <v>3987</v>
      </c>
      <c r="J949" s="10" t="str">
        <f>IFERROR(INDEX([1]Programas!$B$2:$B$50,MATCH(LEFT(I949,3),[1]Programas!$A$2:$A$50,0)),"")</f>
        <v>Marketing Digital y Ge</v>
      </c>
      <c r="K949" s="10" t="s">
        <v>335</v>
      </c>
    </row>
    <row r="950" spans="1:11" x14ac:dyDescent="0.2">
      <c r="A950" s="10">
        <v>949</v>
      </c>
      <c r="B950" s="10" t="s">
        <v>4021</v>
      </c>
      <c r="C950" s="11" t="s">
        <v>4020</v>
      </c>
      <c r="D950" s="10" t="s">
        <v>4419</v>
      </c>
      <c r="E950" s="10" t="s">
        <v>6580</v>
      </c>
      <c r="F950" s="11" t="s">
        <v>6581</v>
      </c>
      <c r="G950" s="10" t="s">
        <v>13</v>
      </c>
      <c r="H950" s="12">
        <v>46262</v>
      </c>
      <c r="I950" s="10" t="s">
        <v>3987</v>
      </c>
      <c r="J950" s="10" t="str">
        <f>IFERROR(INDEX([1]Programas!$B$2:$B$50,MATCH(LEFT(I950,3),[1]Programas!$A$2:$A$50,0)),"")</f>
        <v>Marketing Digital y Ge</v>
      </c>
      <c r="K950" s="10" t="s">
        <v>335</v>
      </c>
    </row>
    <row r="951" spans="1:11" x14ac:dyDescent="0.2">
      <c r="A951" s="10">
        <v>950</v>
      </c>
      <c r="B951" s="10" t="s">
        <v>4023</v>
      </c>
      <c r="C951" s="11" t="s">
        <v>4022</v>
      </c>
      <c r="D951" s="10" t="s">
        <v>4419</v>
      </c>
      <c r="E951" s="10" t="s">
        <v>6582</v>
      </c>
      <c r="F951" s="11" t="s">
        <v>6583</v>
      </c>
      <c r="G951" s="10" t="s">
        <v>13</v>
      </c>
      <c r="H951" s="12">
        <v>46262</v>
      </c>
      <c r="I951" s="10" t="s">
        <v>3987</v>
      </c>
      <c r="J951" s="10" t="str">
        <f>IFERROR(INDEX([1]Programas!$B$2:$B$50,MATCH(LEFT(I951,3),[1]Programas!$A$2:$A$50,0)),"")</f>
        <v>Marketing Digital y Ge</v>
      </c>
      <c r="K951" s="10" t="s">
        <v>335</v>
      </c>
    </row>
    <row r="952" spans="1:11" x14ac:dyDescent="0.2">
      <c r="A952" s="10">
        <v>951</v>
      </c>
      <c r="B952" s="10" t="s">
        <v>4025</v>
      </c>
      <c r="C952" s="11" t="s">
        <v>4024</v>
      </c>
      <c r="D952" s="10" t="s">
        <v>4419</v>
      </c>
      <c r="E952" s="10" t="s">
        <v>6584</v>
      </c>
      <c r="F952" s="11" t="s">
        <v>6585</v>
      </c>
      <c r="G952" s="10" t="s">
        <v>13</v>
      </c>
      <c r="H952" s="12">
        <v>46262</v>
      </c>
      <c r="I952" s="10" t="s">
        <v>3987</v>
      </c>
      <c r="J952" s="10" t="str">
        <f>IFERROR(INDEX([1]Programas!$B$2:$B$50,MATCH(LEFT(I952,3),[1]Programas!$A$2:$A$50,0)),"")</f>
        <v>Marketing Digital y Ge</v>
      </c>
      <c r="K952" s="10" t="s">
        <v>335</v>
      </c>
    </row>
    <row r="953" spans="1:11" x14ac:dyDescent="0.2">
      <c r="A953" s="10">
        <v>952</v>
      </c>
      <c r="B953" s="10" t="s">
        <v>6586</v>
      </c>
      <c r="C953" s="11" t="s">
        <v>4026</v>
      </c>
      <c r="D953" s="10" t="s">
        <v>4419</v>
      </c>
      <c r="E953" s="10" t="s">
        <v>6587</v>
      </c>
      <c r="F953" s="11" t="s">
        <v>6588</v>
      </c>
      <c r="G953" s="10" t="s">
        <v>13</v>
      </c>
      <c r="H953" s="12">
        <v>46262</v>
      </c>
      <c r="I953" s="10" t="s">
        <v>3987</v>
      </c>
      <c r="J953" s="10" t="str">
        <f>IFERROR(INDEX([1]Programas!$B$2:$B$50,MATCH(LEFT(I953,3),[1]Programas!$A$2:$A$50,0)),"")</f>
        <v>Marketing Digital y Ge</v>
      </c>
      <c r="K953" s="10" t="s">
        <v>335</v>
      </c>
    </row>
    <row r="954" spans="1:11" x14ac:dyDescent="0.2">
      <c r="A954" s="10">
        <v>953</v>
      </c>
      <c r="B954" s="10" t="s">
        <v>6589</v>
      </c>
      <c r="C954" s="11" t="s">
        <v>4028</v>
      </c>
      <c r="D954" s="10" t="s">
        <v>4419</v>
      </c>
      <c r="E954" s="10" t="s">
        <v>6590</v>
      </c>
      <c r="F954" s="11" t="s">
        <v>6591</v>
      </c>
      <c r="G954" s="10" t="s">
        <v>13</v>
      </c>
      <c r="H954" s="12">
        <v>46262</v>
      </c>
      <c r="I954" s="10" t="s">
        <v>3987</v>
      </c>
      <c r="J954" s="10" t="str">
        <f>IFERROR(INDEX([1]Programas!$B$2:$B$50,MATCH(LEFT(I954,3),[1]Programas!$A$2:$A$50,0)),"")</f>
        <v>Marketing Digital y Ge</v>
      </c>
      <c r="K954" s="10" t="s">
        <v>335</v>
      </c>
    </row>
    <row r="955" spans="1:11" x14ac:dyDescent="0.2">
      <c r="A955" s="10">
        <v>954</v>
      </c>
      <c r="B955" s="10" t="s">
        <v>4031</v>
      </c>
      <c r="C955" s="11" t="s">
        <v>4030</v>
      </c>
      <c r="D955" s="10" t="s">
        <v>4419</v>
      </c>
      <c r="E955" s="10" t="s">
        <v>6592</v>
      </c>
      <c r="F955" s="11" t="s">
        <v>6593</v>
      </c>
      <c r="G955" s="10" t="s">
        <v>13</v>
      </c>
      <c r="H955" s="12">
        <v>46262</v>
      </c>
      <c r="I955" s="10" t="s">
        <v>3987</v>
      </c>
      <c r="J955" s="10" t="str">
        <f>IFERROR(INDEX([1]Programas!$B$2:$B$50,MATCH(LEFT(I955,3),[1]Programas!$A$2:$A$50,0)),"")</f>
        <v>Marketing Digital y Ge</v>
      </c>
      <c r="K955" s="10" t="s">
        <v>335</v>
      </c>
    </row>
    <row r="956" spans="1:11" x14ac:dyDescent="0.2">
      <c r="A956" s="10">
        <v>955</v>
      </c>
      <c r="B956" s="10" t="s">
        <v>4033</v>
      </c>
      <c r="C956" s="11" t="s">
        <v>4032</v>
      </c>
      <c r="D956" s="10" t="s">
        <v>4419</v>
      </c>
      <c r="E956" s="10" t="s">
        <v>6594</v>
      </c>
      <c r="F956" s="11" t="s">
        <v>6595</v>
      </c>
      <c r="G956" s="10" t="s">
        <v>13</v>
      </c>
      <c r="H956" s="12">
        <v>46262</v>
      </c>
      <c r="I956" s="10" t="s">
        <v>3987</v>
      </c>
      <c r="J956" s="10" t="str">
        <f>IFERROR(INDEX([1]Programas!$B$2:$B$50,MATCH(LEFT(I956,3),[1]Programas!$A$2:$A$50,0)),"")</f>
        <v>Marketing Digital y Ge</v>
      </c>
      <c r="K956" s="10" t="s">
        <v>335</v>
      </c>
    </row>
    <row r="957" spans="1:11" x14ac:dyDescent="0.2">
      <c r="A957" s="10">
        <v>956</v>
      </c>
      <c r="B957" s="10" t="s">
        <v>4035</v>
      </c>
      <c r="C957" s="11" t="s">
        <v>4034</v>
      </c>
      <c r="D957" s="10" t="s">
        <v>4419</v>
      </c>
      <c r="E957" s="10" t="s">
        <v>6596</v>
      </c>
      <c r="F957" s="11" t="s">
        <v>6597</v>
      </c>
      <c r="G957" s="10" t="s">
        <v>13</v>
      </c>
      <c r="H957" s="12">
        <v>46262</v>
      </c>
      <c r="I957" s="10" t="s">
        <v>3987</v>
      </c>
      <c r="J957" s="10" t="str">
        <f>IFERROR(INDEX([1]Programas!$B$2:$B$50,MATCH(LEFT(I957,3),[1]Programas!$A$2:$A$50,0)),"")</f>
        <v>Marketing Digital y Ge</v>
      </c>
      <c r="K957" s="10" t="s">
        <v>335</v>
      </c>
    </row>
    <row r="958" spans="1:11" x14ac:dyDescent="0.2">
      <c r="A958" s="10">
        <v>957</v>
      </c>
      <c r="B958" s="10" t="s">
        <v>4037</v>
      </c>
      <c r="C958" s="11" t="s">
        <v>4036</v>
      </c>
      <c r="D958" s="10" t="s">
        <v>4419</v>
      </c>
      <c r="E958" s="10" t="s">
        <v>6598</v>
      </c>
      <c r="F958" s="11" t="s">
        <v>6599</v>
      </c>
      <c r="G958" s="10" t="s">
        <v>13</v>
      </c>
      <c r="H958" s="12">
        <v>46262</v>
      </c>
      <c r="I958" s="10" t="s">
        <v>3987</v>
      </c>
      <c r="J958" s="10" t="str">
        <f>IFERROR(INDEX([1]Programas!$B$2:$B$50,MATCH(LEFT(I958,3),[1]Programas!$A$2:$A$50,0)),"")</f>
        <v>Marketing Digital y Ge</v>
      </c>
      <c r="K958" s="10" t="s">
        <v>335</v>
      </c>
    </row>
    <row r="959" spans="1:11" x14ac:dyDescent="0.2">
      <c r="A959" s="10">
        <v>958</v>
      </c>
      <c r="B959" s="10" t="s">
        <v>4039</v>
      </c>
      <c r="C959" s="11" t="s">
        <v>4038</v>
      </c>
      <c r="D959" s="10" t="s">
        <v>4419</v>
      </c>
      <c r="E959" s="10" t="s">
        <v>6600</v>
      </c>
      <c r="F959" s="11" t="s">
        <v>6601</v>
      </c>
      <c r="G959" s="10" t="s">
        <v>13</v>
      </c>
      <c r="H959" s="12">
        <v>46262</v>
      </c>
      <c r="I959" s="10" t="s">
        <v>3987</v>
      </c>
      <c r="J959" s="10" t="str">
        <f>IFERROR(INDEX([1]Programas!$B$2:$B$50,MATCH(LEFT(I959,3),[1]Programas!$A$2:$A$50,0)),"")</f>
        <v>Marketing Digital y Ge</v>
      </c>
      <c r="K959" s="10" t="s">
        <v>335</v>
      </c>
    </row>
    <row r="960" spans="1:11" x14ac:dyDescent="0.2">
      <c r="A960" s="10">
        <v>959</v>
      </c>
      <c r="B960" s="10" t="s">
        <v>4041</v>
      </c>
      <c r="C960" s="11" t="s">
        <v>4040</v>
      </c>
      <c r="D960" s="10" t="s">
        <v>4419</v>
      </c>
      <c r="E960" s="10" t="s">
        <v>6602</v>
      </c>
      <c r="F960" s="11" t="s">
        <v>6603</v>
      </c>
      <c r="G960" s="10" t="s">
        <v>13</v>
      </c>
      <c r="H960" s="12">
        <v>46262</v>
      </c>
      <c r="I960" s="10" t="s">
        <v>3987</v>
      </c>
      <c r="J960" s="10" t="str">
        <f>IFERROR(INDEX([1]Programas!$B$2:$B$50,MATCH(LEFT(I960,3),[1]Programas!$A$2:$A$50,0)),"")</f>
        <v>Marketing Digital y Ge</v>
      </c>
      <c r="K960" s="10" t="s">
        <v>335</v>
      </c>
    </row>
    <row r="961" spans="1:11" x14ac:dyDescent="0.2">
      <c r="A961" s="10">
        <v>960</v>
      </c>
      <c r="B961" s="10" t="s">
        <v>4043</v>
      </c>
      <c r="C961" s="11" t="s">
        <v>4042</v>
      </c>
      <c r="D961" s="10" t="s">
        <v>4419</v>
      </c>
      <c r="E961" s="10" t="s">
        <v>6604</v>
      </c>
      <c r="F961" s="11" t="s">
        <v>6605</v>
      </c>
      <c r="G961" s="10" t="s">
        <v>13</v>
      </c>
      <c r="H961" s="12">
        <v>46262</v>
      </c>
      <c r="I961" s="10" t="s">
        <v>3987</v>
      </c>
      <c r="J961" s="10" t="str">
        <f>IFERROR(INDEX([1]Programas!$B$2:$B$50,MATCH(LEFT(I961,3),[1]Programas!$A$2:$A$50,0)),"")</f>
        <v>Marketing Digital y Ge</v>
      </c>
      <c r="K961" s="10" t="s">
        <v>335</v>
      </c>
    </row>
    <row r="962" spans="1:11" x14ac:dyDescent="0.2">
      <c r="A962" s="10">
        <v>961</v>
      </c>
      <c r="B962" s="10" t="s">
        <v>4045</v>
      </c>
      <c r="C962" s="11" t="s">
        <v>4044</v>
      </c>
      <c r="D962" s="10" t="s">
        <v>4419</v>
      </c>
      <c r="E962" s="10" t="s">
        <v>6606</v>
      </c>
      <c r="F962" s="11" t="s">
        <v>6607</v>
      </c>
      <c r="G962" s="10" t="s">
        <v>13</v>
      </c>
      <c r="H962" s="12">
        <v>46262</v>
      </c>
      <c r="I962" s="10" t="s">
        <v>3987</v>
      </c>
      <c r="J962" s="10" t="str">
        <f>IFERROR(INDEX([1]Programas!$B$2:$B$50,MATCH(LEFT(I962,3),[1]Programas!$A$2:$A$50,0)),"")</f>
        <v>Marketing Digital y Ge</v>
      </c>
      <c r="K962" s="10" t="s">
        <v>335</v>
      </c>
    </row>
    <row r="963" spans="1:11" x14ac:dyDescent="0.2">
      <c r="A963" s="10">
        <v>962</v>
      </c>
      <c r="B963" s="10" t="s">
        <v>4047</v>
      </c>
      <c r="C963" s="11" t="s">
        <v>4046</v>
      </c>
      <c r="D963" s="10" t="s">
        <v>4419</v>
      </c>
      <c r="E963" s="10" t="s">
        <v>6608</v>
      </c>
      <c r="F963" s="11" t="s">
        <v>6609</v>
      </c>
      <c r="G963" s="10" t="s">
        <v>13</v>
      </c>
      <c r="H963" s="12">
        <v>46262</v>
      </c>
      <c r="I963" s="10" t="s">
        <v>3987</v>
      </c>
      <c r="J963" s="10" t="str">
        <f>IFERROR(INDEX([1]Programas!$B$2:$B$50,MATCH(LEFT(I963,3),[1]Programas!$A$2:$A$50,0)),"")</f>
        <v>Marketing Digital y Ge</v>
      </c>
      <c r="K963" s="10" t="s">
        <v>335</v>
      </c>
    </row>
    <row r="964" spans="1:11" x14ac:dyDescent="0.2">
      <c r="A964" s="10">
        <v>963</v>
      </c>
      <c r="B964" s="10" t="s">
        <v>6610</v>
      </c>
      <c r="C964" s="11" t="s">
        <v>4048</v>
      </c>
      <c r="D964" s="10" t="s">
        <v>4419</v>
      </c>
      <c r="E964" s="10" t="s">
        <v>6611</v>
      </c>
      <c r="F964" s="11" t="s">
        <v>6612</v>
      </c>
      <c r="G964" s="10" t="s">
        <v>13</v>
      </c>
      <c r="H964" s="12">
        <v>46262</v>
      </c>
      <c r="I964" s="10" t="s">
        <v>3987</v>
      </c>
      <c r="J964" s="10" t="str">
        <f>IFERROR(INDEX([1]Programas!$B$2:$B$50,MATCH(LEFT(I964,3),[1]Programas!$A$2:$A$50,0)),"")</f>
        <v>Marketing Digital y Ge</v>
      </c>
      <c r="K964" s="10" t="s">
        <v>335</v>
      </c>
    </row>
    <row r="965" spans="1:11" x14ac:dyDescent="0.2">
      <c r="A965" s="10">
        <v>964</v>
      </c>
      <c r="B965" s="10" t="s">
        <v>4051</v>
      </c>
      <c r="C965" s="11" t="s">
        <v>4050</v>
      </c>
      <c r="D965" s="10" t="s">
        <v>4419</v>
      </c>
      <c r="E965" s="10" t="s">
        <v>6613</v>
      </c>
      <c r="F965" s="11" t="s">
        <v>6614</v>
      </c>
      <c r="G965" s="10" t="s">
        <v>13</v>
      </c>
      <c r="H965" s="12">
        <v>46262</v>
      </c>
      <c r="I965" s="10" t="s">
        <v>3987</v>
      </c>
      <c r="J965" s="10" t="str">
        <f>IFERROR(INDEX([1]Programas!$B$2:$B$50,MATCH(LEFT(I965,3),[1]Programas!$A$2:$A$50,0)),"")</f>
        <v>Marketing Digital y Ge</v>
      </c>
      <c r="K965" s="10" t="s">
        <v>335</v>
      </c>
    </row>
    <row r="966" spans="1:11" x14ac:dyDescent="0.2">
      <c r="A966" s="10">
        <v>965</v>
      </c>
      <c r="B966" s="10" t="s">
        <v>6615</v>
      </c>
      <c r="C966" s="11" t="s">
        <v>4052</v>
      </c>
      <c r="D966" s="10" t="s">
        <v>4419</v>
      </c>
      <c r="E966" s="10" t="s">
        <v>6616</v>
      </c>
      <c r="F966" s="11" t="s">
        <v>6617</v>
      </c>
      <c r="G966" s="10" t="s">
        <v>13</v>
      </c>
      <c r="H966" s="12">
        <v>46262</v>
      </c>
      <c r="I966" s="10" t="s">
        <v>3987</v>
      </c>
      <c r="J966" s="10" t="str">
        <f>IFERROR(INDEX([1]Programas!$B$2:$B$50,MATCH(LEFT(I966,3),[1]Programas!$A$2:$A$50,0)),"")</f>
        <v>Marketing Digital y Ge</v>
      </c>
      <c r="K966" s="10" t="s">
        <v>335</v>
      </c>
    </row>
    <row r="967" spans="1:11" x14ac:dyDescent="0.2">
      <c r="A967" s="10">
        <v>966</v>
      </c>
      <c r="B967" s="10" t="s">
        <v>4055</v>
      </c>
      <c r="C967" s="11" t="s">
        <v>4054</v>
      </c>
      <c r="D967" s="10" t="s">
        <v>4419</v>
      </c>
      <c r="E967" s="10" t="s">
        <v>6618</v>
      </c>
      <c r="F967" s="11" t="s">
        <v>6619</v>
      </c>
      <c r="G967" s="10" t="s">
        <v>13</v>
      </c>
      <c r="H967" s="12">
        <v>46262</v>
      </c>
      <c r="I967" s="10" t="s">
        <v>3987</v>
      </c>
      <c r="J967" s="10" t="str">
        <f>IFERROR(INDEX([1]Programas!$B$2:$B$50,MATCH(LEFT(I967,3),[1]Programas!$A$2:$A$50,0)),"")</f>
        <v>Marketing Digital y Ge</v>
      </c>
      <c r="K967" s="10" t="s">
        <v>335</v>
      </c>
    </row>
    <row r="968" spans="1:11" x14ac:dyDescent="0.2">
      <c r="A968" s="10">
        <v>967</v>
      </c>
      <c r="B968" s="10" t="s">
        <v>4057</v>
      </c>
      <c r="C968" s="11" t="s">
        <v>4056</v>
      </c>
      <c r="D968" s="10" t="s">
        <v>4419</v>
      </c>
      <c r="E968" s="10" t="s">
        <v>6620</v>
      </c>
      <c r="F968" s="11" t="s">
        <v>6621</v>
      </c>
      <c r="G968" s="10" t="s">
        <v>13</v>
      </c>
      <c r="H968" s="12">
        <v>46262</v>
      </c>
      <c r="I968" s="10" t="s">
        <v>3987</v>
      </c>
      <c r="J968" s="10" t="str">
        <f>IFERROR(INDEX([1]Programas!$B$2:$B$50,MATCH(LEFT(I968,3),[1]Programas!$A$2:$A$50,0)),"")</f>
        <v>Marketing Digital y Ge</v>
      </c>
      <c r="K968" s="10" t="s">
        <v>335</v>
      </c>
    </row>
    <row r="969" spans="1:11" x14ac:dyDescent="0.2">
      <c r="A969" s="10">
        <v>968</v>
      </c>
      <c r="B969" s="10" t="s">
        <v>4059</v>
      </c>
      <c r="C969" s="11" t="s">
        <v>4058</v>
      </c>
      <c r="D969" s="10" t="s">
        <v>4419</v>
      </c>
      <c r="E969" s="10" t="s">
        <v>6622</v>
      </c>
      <c r="F969" s="11" t="s">
        <v>6623</v>
      </c>
      <c r="G969" s="10" t="s">
        <v>13</v>
      </c>
      <c r="H969" s="12">
        <v>46262</v>
      </c>
      <c r="I969" s="10" t="s">
        <v>3987</v>
      </c>
      <c r="J969" s="10" t="str">
        <f>IFERROR(INDEX([1]Programas!$B$2:$B$50,MATCH(LEFT(I969,3),[1]Programas!$A$2:$A$50,0)),"")</f>
        <v>Marketing Digital y Ge</v>
      </c>
      <c r="K969" s="10" t="s">
        <v>335</v>
      </c>
    </row>
    <row r="970" spans="1:11" x14ac:dyDescent="0.2">
      <c r="A970" s="10">
        <v>969</v>
      </c>
      <c r="B970" s="10" t="s">
        <v>4061</v>
      </c>
      <c r="C970" s="11" t="s">
        <v>4060</v>
      </c>
      <c r="D970" s="10" t="s">
        <v>4419</v>
      </c>
      <c r="E970" s="10" t="s">
        <v>6624</v>
      </c>
      <c r="F970" s="11" t="s">
        <v>6625</v>
      </c>
      <c r="G970" s="10" t="s">
        <v>13</v>
      </c>
      <c r="H970" s="12">
        <v>46262</v>
      </c>
      <c r="I970" s="10" t="s">
        <v>3987</v>
      </c>
      <c r="J970" s="10" t="str">
        <f>IFERROR(INDEX([1]Programas!$B$2:$B$50,MATCH(LEFT(I970,3),[1]Programas!$A$2:$A$50,0)),"")</f>
        <v>Marketing Digital y Ge</v>
      </c>
      <c r="K970" s="10" t="s">
        <v>335</v>
      </c>
    </row>
    <row r="971" spans="1:11" x14ac:dyDescent="0.2">
      <c r="A971" s="10">
        <v>970</v>
      </c>
      <c r="B971" s="10" t="s">
        <v>3325</v>
      </c>
      <c r="C971" s="11" t="s">
        <v>3324</v>
      </c>
      <c r="D971" s="10" t="s">
        <v>4419</v>
      </c>
      <c r="E971" s="10" t="s">
        <v>6626</v>
      </c>
      <c r="F971" s="11" t="s">
        <v>6627</v>
      </c>
      <c r="G971" s="10" t="s">
        <v>13</v>
      </c>
      <c r="H971" s="12">
        <v>46273</v>
      </c>
      <c r="I971" s="10" t="s">
        <v>3987</v>
      </c>
      <c r="J971" s="10" t="str">
        <f>IFERROR(INDEX([1]Programas!$B$2:$B$50,MATCH(LEFT(I971,3),[1]Programas!$A$2:$A$50,0)),"")</f>
        <v>Marketing Digital y Ge</v>
      </c>
      <c r="K971" s="10" t="s">
        <v>335</v>
      </c>
    </row>
    <row r="972" spans="1:11" x14ac:dyDescent="0.2">
      <c r="A972" s="10">
        <v>971</v>
      </c>
      <c r="B972" s="10" t="s">
        <v>2487</v>
      </c>
      <c r="C972" s="11" t="s">
        <v>2486</v>
      </c>
      <c r="D972" s="10" t="s">
        <v>4419</v>
      </c>
      <c r="E972" s="10" t="s">
        <v>6628</v>
      </c>
      <c r="F972" s="11" t="s">
        <v>6629</v>
      </c>
      <c r="G972" s="10" t="s">
        <v>13</v>
      </c>
      <c r="H972" s="12">
        <v>46275</v>
      </c>
      <c r="I972" s="10" t="s">
        <v>3987</v>
      </c>
      <c r="J972" s="10" t="str">
        <f>IFERROR(INDEX([1]Programas!$B$2:$B$50,MATCH(LEFT(I972,3),[1]Programas!$A$2:$A$50,0)),"")</f>
        <v>Marketing Digital y Ge</v>
      </c>
      <c r="K972" s="10" t="s">
        <v>335</v>
      </c>
    </row>
    <row r="973" spans="1:11" x14ac:dyDescent="0.2">
      <c r="A973" s="10">
        <v>972</v>
      </c>
      <c r="B973" s="10" t="s">
        <v>1378</v>
      </c>
      <c r="C973" s="11" t="s">
        <v>1377</v>
      </c>
      <c r="D973" s="10" t="s">
        <v>4419</v>
      </c>
      <c r="E973" s="10" t="s">
        <v>6630</v>
      </c>
      <c r="F973" s="11" t="s">
        <v>6631</v>
      </c>
      <c r="G973" s="10" t="s">
        <v>13</v>
      </c>
      <c r="H973" s="12">
        <v>46281</v>
      </c>
      <c r="I973" s="10" t="s">
        <v>3987</v>
      </c>
      <c r="J973" s="10" t="str">
        <f>IFERROR(INDEX([1]Programas!$B$2:$B$50,MATCH(LEFT(I973,3),[1]Programas!$A$2:$A$50,0)),"")</f>
        <v>Marketing Digital y Ge</v>
      </c>
      <c r="K973" s="10" t="s">
        <v>335</v>
      </c>
    </row>
    <row r="974" spans="1:11" x14ac:dyDescent="0.2">
      <c r="A974" s="10">
        <v>973</v>
      </c>
      <c r="B974" s="10" t="s">
        <v>6632</v>
      </c>
      <c r="C974" s="11" t="s">
        <v>4062</v>
      </c>
      <c r="D974" s="10" t="s">
        <v>4419</v>
      </c>
      <c r="E974" s="10" t="s">
        <v>6633</v>
      </c>
      <c r="F974" s="11" t="s">
        <v>6634</v>
      </c>
      <c r="G974" s="10" t="s">
        <v>13</v>
      </c>
      <c r="H974" s="12">
        <v>46262</v>
      </c>
      <c r="I974" s="10" t="s">
        <v>4065</v>
      </c>
      <c r="J974" s="10" t="str">
        <f>IFERROR(INDEX([1]Programas!$B$2:$B$50,MATCH(LEFT(I974,3),[1]Programas!$A$2:$A$50,0)),"")</f>
        <v>Marketing Digital y Ge</v>
      </c>
      <c r="K974" s="10" t="s">
        <v>111</v>
      </c>
    </row>
    <row r="975" spans="1:11" x14ac:dyDescent="0.2">
      <c r="A975" s="10">
        <v>974</v>
      </c>
      <c r="B975" s="10" t="s">
        <v>6635</v>
      </c>
      <c r="C975" s="11" t="s">
        <v>4067</v>
      </c>
      <c r="D975" s="10" t="s">
        <v>4419</v>
      </c>
      <c r="E975" s="10" t="s">
        <v>6636</v>
      </c>
      <c r="F975" s="11" t="s">
        <v>6637</v>
      </c>
      <c r="G975" s="10" t="s">
        <v>13</v>
      </c>
      <c r="H975" s="12">
        <v>46262</v>
      </c>
      <c r="I975" s="10" t="s">
        <v>4065</v>
      </c>
      <c r="J975" s="10" t="str">
        <f>IFERROR(INDEX([1]Programas!$B$2:$B$50,MATCH(LEFT(I975,3),[1]Programas!$A$2:$A$50,0)),"")</f>
        <v>Marketing Digital y Ge</v>
      </c>
      <c r="K975" s="10" t="s">
        <v>111</v>
      </c>
    </row>
    <row r="976" spans="1:11" x14ac:dyDescent="0.2">
      <c r="A976" s="10">
        <v>975</v>
      </c>
      <c r="B976" s="10" t="s">
        <v>4070</v>
      </c>
      <c r="C976" s="11" t="s">
        <v>4069</v>
      </c>
      <c r="D976" s="10" t="s">
        <v>4419</v>
      </c>
      <c r="E976" s="10" t="s">
        <v>6638</v>
      </c>
      <c r="F976" s="11" t="s">
        <v>6639</v>
      </c>
      <c r="G976" s="10" t="s">
        <v>13</v>
      </c>
      <c r="H976" s="12">
        <v>46262</v>
      </c>
      <c r="I976" s="10" t="s">
        <v>4065</v>
      </c>
      <c r="J976" s="10" t="str">
        <f>IFERROR(INDEX([1]Programas!$B$2:$B$50,MATCH(LEFT(I976,3),[1]Programas!$A$2:$A$50,0)),"")</f>
        <v>Marketing Digital y Ge</v>
      </c>
      <c r="K976" s="10" t="s">
        <v>111</v>
      </c>
    </row>
    <row r="977" spans="1:11" x14ac:dyDescent="0.2">
      <c r="A977" s="10">
        <v>976</v>
      </c>
      <c r="B977" s="10" t="s">
        <v>4074</v>
      </c>
      <c r="C977" s="11" t="s">
        <v>4073</v>
      </c>
      <c r="D977" s="10" t="s">
        <v>4419</v>
      </c>
      <c r="E977" s="10" t="s">
        <v>6640</v>
      </c>
      <c r="F977" s="11" t="s">
        <v>6641</v>
      </c>
      <c r="G977" s="10" t="s">
        <v>13</v>
      </c>
      <c r="H977" s="12">
        <v>46262</v>
      </c>
      <c r="I977" s="10" t="s">
        <v>4065</v>
      </c>
      <c r="J977" s="10" t="str">
        <f>IFERROR(INDEX([1]Programas!$B$2:$B$50,MATCH(LEFT(I977,3),[1]Programas!$A$2:$A$50,0)),"")</f>
        <v>Marketing Digital y Ge</v>
      </c>
      <c r="K977" s="10" t="s">
        <v>111</v>
      </c>
    </row>
    <row r="978" spans="1:11" x14ac:dyDescent="0.2">
      <c r="A978" s="10">
        <v>977</v>
      </c>
      <c r="B978" s="10" t="s">
        <v>4076</v>
      </c>
      <c r="C978" s="11" t="s">
        <v>4075</v>
      </c>
      <c r="D978" s="10" t="s">
        <v>4419</v>
      </c>
      <c r="E978" s="10" t="s">
        <v>6642</v>
      </c>
      <c r="F978" s="11" t="s">
        <v>6643</v>
      </c>
      <c r="G978" s="10" t="s">
        <v>13</v>
      </c>
      <c r="H978" s="12">
        <v>46262</v>
      </c>
      <c r="I978" s="10" t="s">
        <v>4065</v>
      </c>
      <c r="J978" s="10" t="str">
        <f>IFERROR(INDEX([1]Programas!$B$2:$B$50,MATCH(LEFT(I978,3),[1]Programas!$A$2:$A$50,0)),"")</f>
        <v>Marketing Digital y Ge</v>
      </c>
      <c r="K978" s="10" t="s">
        <v>111</v>
      </c>
    </row>
    <row r="979" spans="1:11" x14ac:dyDescent="0.2">
      <c r="A979" s="10">
        <v>978</v>
      </c>
      <c r="B979" s="10" t="s">
        <v>6644</v>
      </c>
      <c r="C979" s="11" t="s">
        <v>4077</v>
      </c>
      <c r="D979" s="10" t="s">
        <v>4419</v>
      </c>
      <c r="E979" s="10" t="s">
        <v>6645</v>
      </c>
      <c r="F979" s="11" t="s">
        <v>6646</v>
      </c>
      <c r="G979" s="10" t="s">
        <v>13</v>
      </c>
      <c r="H979" s="12">
        <v>46262</v>
      </c>
      <c r="I979" s="10" t="s">
        <v>4065</v>
      </c>
      <c r="J979" s="10" t="str">
        <f>IFERROR(INDEX([1]Programas!$B$2:$B$50,MATCH(LEFT(I979,3),[1]Programas!$A$2:$A$50,0)),"")</f>
        <v>Marketing Digital y Ge</v>
      </c>
      <c r="K979" s="10" t="s">
        <v>111</v>
      </c>
    </row>
    <row r="980" spans="1:11" x14ac:dyDescent="0.2">
      <c r="A980" s="10">
        <v>979</v>
      </c>
      <c r="B980" s="10" t="s">
        <v>4080</v>
      </c>
      <c r="C980" s="11" t="s">
        <v>4079</v>
      </c>
      <c r="D980" s="10" t="s">
        <v>4419</v>
      </c>
      <c r="E980" s="10" t="s">
        <v>6647</v>
      </c>
      <c r="F980" s="11" t="s">
        <v>6648</v>
      </c>
      <c r="G980" s="10" t="s">
        <v>13</v>
      </c>
      <c r="H980" s="12">
        <v>46262</v>
      </c>
      <c r="I980" s="10" t="s">
        <v>4065</v>
      </c>
      <c r="J980" s="10" t="str">
        <f>IFERROR(INDEX([1]Programas!$B$2:$B$50,MATCH(LEFT(I980,3),[1]Programas!$A$2:$A$50,0)),"")</f>
        <v>Marketing Digital y Ge</v>
      </c>
      <c r="K980" s="10" t="s">
        <v>111</v>
      </c>
    </row>
    <row r="981" spans="1:11" x14ac:dyDescent="0.2">
      <c r="A981" s="10">
        <v>980</v>
      </c>
      <c r="B981" s="10" t="s">
        <v>4082</v>
      </c>
      <c r="C981" s="11" t="s">
        <v>4081</v>
      </c>
      <c r="D981" s="10" t="s">
        <v>4419</v>
      </c>
      <c r="E981" s="10" t="s">
        <v>6649</v>
      </c>
      <c r="F981" s="11" t="s">
        <v>6650</v>
      </c>
      <c r="G981" s="10" t="s">
        <v>13</v>
      </c>
      <c r="H981" s="12">
        <v>46262</v>
      </c>
      <c r="I981" s="10" t="s">
        <v>4065</v>
      </c>
      <c r="J981" s="10" t="str">
        <f>IFERROR(INDEX([1]Programas!$B$2:$B$50,MATCH(LEFT(I981,3),[1]Programas!$A$2:$A$50,0)),"")</f>
        <v>Marketing Digital y Ge</v>
      </c>
      <c r="K981" s="10" t="s">
        <v>111</v>
      </c>
    </row>
    <row r="982" spans="1:11" x14ac:dyDescent="0.2">
      <c r="A982" s="10">
        <v>981</v>
      </c>
      <c r="B982" s="10" t="s">
        <v>4084</v>
      </c>
      <c r="C982" s="11" t="s">
        <v>4083</v>
      </c>
      <c r="D982" s="10" t="s">
        <v>4419</v>
      </c>
      <c r="E982" s="10" t="s">
        <v>6651</v>
      </c>
      <c r="F982" s="11" t="s">
        <v>6652</v>
      </c>
      <c r="G982" s="10" t="s">
        <v>13</v>
      </c>
      <c r="H982" s="12">
        <v>46262</v>
      </c>
      <c r="I982" s="10" t="s">
        <v>4065</v>
      </c>
      <c r="J982" s="10" t="str">
        <f>IFERROR(INDEX([1]Programas!$B$2:$B$50,MATCH(LEFT(I982,3),[1]Programas!$A$2:$A$50,0)),"")</f>
        <v>Marketing Digital y Ge</v>
      </c>
      <c r="K982" s="10" t="s">
        <v>111</v>
      </c>
    </row>
    <row r="983" spans="1:11" x14ac:dyDescent="0.2">
      <c r="A983" s="10">
        <v>982</v>
      </c>
      <c r="B983" s="10" t="s">
        <v>6653</v>
      </c>
      <c r="C983" s="11" t="s">
        <v>4085</v>
      </c>
      <c r="D983" s="10" t="s">
        <v>4419</v>
      </c>
      <c r="E983" s="10" t="s">
        <v>6654</v>
      </c>
      <c r="F983" s="11" t="s">
        <v>6655</v>
      </c>
      <c r="G983" s="10" t="s">
        <v>13</v>
      </c>
      <c r="H983" s="12">
        <v>46262</v>
      </c>
      <c r="I983" s="10" t="s">
        <v>4065</v>
      </c>
      <c r="J983" s="10" t="str">
        <f>IFERROR(INDEX([1]Programas!$B$2:$B$50,MATCH(LEFT(I983,3),[1]Programas!$A$2:$A$50,0)),"")</f>
        <v>Marketing Digital y Ge</v>
      </c>
      <c r="K983" s="10" t="s">
        <v>111</v>
      </c>
    </row>
    <row r="984" spans="1:11" x14ac:dyDescent="0.2">
      <c r="A984" s="10">
        <v>983</v>
      </c>
      <c r="B984" s="10" t="s">
        <v>4088</v>
      </c>
      <c r="C984" s="11" t="s">
        <v>4087</v>
      </c>
      <c r="D984" s="10" t="s">
        <v>4419</v>
      </c>
      <c r="E984" s="10" t="s">
        <v>6656</v>
      </c>
      <c r="F984" s="11" t="s">
        <v>6657</v>
      </c>
      <c r="G984" s="10" t="s">
        <v>13</v>
      </c>
      <c r="H984" s="12">
        <v>46262</v>
      </c>
      <c r="I984" s="10" t="s">
        <v>4065</v>
      </c>
      <c r="J984" s="10" t="str">
        <f>IFERROR(INDEX([1]Programas!$B$2:$B$50,MATCH(LEFT(I984,3),[1]Programas!$A$2:$A$50,0)),"")</f>
        <v>Marketing Digital y Ge</v>
      </c>
      <c r="K984" s="10" t="s">
        <v>111</v>
      </c>
    </row>
    <row r="985" spans="1:11" x14ac:dyDescent="0.2">
      <c r="A985" s="10">
        <v>984</v>
      </c>
      <c r="B985" s="10" t="s">
        <v>4090</v>
      </c>
      <c r="C985" s="11" t="s">
        <v>4089</v>
      </c>
      <c r="D985" s="10" t="s">
        <v>4419</v>
      </c>
      <c r="E985" s="10" t="s">
        <v>6658</v>
      </c>
      <c r="F985" s="11" t="s">
        <v>6659</v>
      </c>
      <c r="G985" s="10" t="s">
        <v>13</v>
      </c>
      <c r="H985" s="12">
        <v>46262</v>
      </c>
      <c r="I985" s="10" t="s">
        <v>4065</v>
      </c>
      <c r="J985" s="10" t="str">
        <f>IFERROR(INDEX([1]Programas!$B$2:$B$50,MATCH(LEFT(I985,3),[1]Programas!$A$2:$A$50,0)),"")</f>
        <v>Marketing Digital y Ge</v>
      </c>
      <c r="K985" s="10" t="s">
        <v>111</v>
      </c>
    </row>
    <row r="986" spans="1:11" x14ac:dyDescent="0.2">
      <c r="A986" s="10">
        <v>985</v>
      </c>
      <c r="B986" s="10" t="s">
        <v>6660</v>
      </c>
      <c r="C986" s="11" t="s">
        <v>4091</v>
      </c>
      <c r="D986" s="10" t="s">
        <v>4419</v>
      </c>
      <c r="E986" s="10" t="s">
        <v>6661</v>
      </c>
      <c r="F986" s="11" t="s">
        <v>6662</v>
      </c>
      <c r="G986" s="10" t="s">
        <v>13</v>
      </c>
      <c r="H986" s="12">
        <v>46262</v>
      </c>
      <c r="I986" s="10" t="s">
        <v>4065</v>
      </c>
      <c r="J986" s="10" t="str">
        <f>IFERROR(INDEX([1]Programas!$B$2:$B$50,MATCH(LEFT(I986,3),[1]Programas!$A$2:$A$50,0)),"")</f>
        <v>Marketing Digital y Ge</v>
      </c>
      <c r="K986" s="10" t="s">
        <v>111</v>
      </c>
    </row>
    <row r="987" spans="1:11" x14ac:dyDescent="0.2">
      <c r="A987" s="10">
        <v>986</v>
      </c>
      <c r="B987" s="10" t="s">
        <v>4094</v>
      </c>
      <c r="C987" s="11" t="s">
        <v>4093</v>
      </c>
      <c r="D987" s="10" t="s">
        <v>4419</v>
      </c>
      <c r="E987" s="10" t="s">
        <v>6663</v>
      </c>
      <c r="F987" s="11" t="s">
        <v>6664</v>
      </c>
      <c r="G987" s="10" t="s">
        <v>13</v>
      </c>
      <c r="H987" s="12">
        <v>46262</v>
      </c>
      <c r="I987" s="10" t="s">
        <v>4065</v>
      </c>
      <c r="J987" s="10" t="str">
        <f>IFERROR(INDEX([1]Programas!$B$2:$B$50,MATCH(LEFT(I987,3),[1]Programas!$A$2:$A$50,0)),"")</f>
        <v>Marketing Digital y Ge</v>
      </c>
      <c r="K987" s="10" t="s">
        <v>111</v>
      </c>
    </row>
    <row r="988" spans="1:11" x14ac:dyDescent="0.2">
      <c r="A988" s="10">
        <v>987</v>
      </c>
      <c r="B988" s="10" t="s">
        <v>4096</v>
      </c>
      <c r="C988" s="11" t="s">
        <v>4095</v>
      </c>
      <c r="D988" s="10" t="s">
        <v>4419</v>
      </c>
      <c r="E988" s="10" t="s">
        <v>6665</v>
      </c>
      <c r="F988" s="11" t="s">
        <v>6666</v>
      </c>
      <c r="G988" s="10" t="s">
        <v>13</v>
      </c>
      <c r="H988" s="12">
        <v>46262</v>
      </c>
      <c r="I988" s="10" t="s">
        <v>4065</v>
      </c>
      <c r="J988" s="10" t="str">
        <f>IFERROR(INDEX([1]Programas!$B$2:$B$50,MATCH(LEFT(I988,3),[1]Programas!$A$2:$A$50,0)),"")</f>
        <v>Marketing Digital y Ge</v>
      </c>
      <c r="K988" s="10" t="s">
        <v>111</v>
      </c>
    </row>
    <row r="989" spans="1:11" x14ac:dyDescent="0.2">
      <c r="A989" s="10">
        <v>988</v>
      </c>
      <c r="B989" s="10" t="s">
        <v>4098</v>
      </c>
      <c r="C989" s="11" t="s">
        <v>4097</v>
      </c>
      <c r="D989" s="10" t="s">
        <v>4419</v>
      </c>
      <c r="E989" s="10" t="s">
        <v>6667</v>
      </c>
      <c r="F989" s="11" t="s">
        <v>6668</v>
      </c>
      <c r="G989" s="10" t="s">
        <v>13</v>
      </c>
      <c r="H989" s="12">
        <v>46262</v>
      </c>
      <c r="I989" s="10" t="s">
        <v>4065</v>
      </c>
      <c r="J989" s="10" t="str">
        <f>IFERROR(INDEX([1]Programas!$B$2:$B$50,MATCH(LEFT(I989,3),[1]Programas!$A$2:$A$50,0)),"")</f>
        <v>Marketing Digital y Ge</v>
      </c>
      <c r="K989" s="10" t="s">
        <v>111</v>
      </c>
    </row>
    <row r="990" spans="1:11" x14ac:dyDescent="0.2">
      <c r="A990" s="10">
        <v>989</v>
      </c>
      <c r="B990" s="10" t="s">
        <v>4100</v>
      </c>
      <c r="C990" s="11" t="s">
        <v>4099</v>
      </c>
      <c r="D990" s="10" t="s">
        <v>4419</v>
      </c>
      <c r="E990" s="10" t="s">
        <v>6669</v>
      </c>
      <c r="F990" s="11" t="s">
        <v>6670</v>
      </c>
      <c r="G990" s="10" t="s">
        <v>13</v>
      </c>
      <c r="H990" s="12">
        <v>46262</v>
      </c>
      <c r="I990" s="10" t="s">
        <v>4065</v>
      </c>
      <c r="J990" s="10" t="str">
        <f>IFERROR(INDEX([1]Programas!$B$2:$B$50,MATCH(LEFT(I990,3),[1]Programas!$A$2:$A$50,0)),"")</f>
        <v>Marketing Digital y Ge</v>
      </c>
      <c r="K990" s="10" t="s">
        <v>111</v>
      </c>
    </row>
    <row r="991" spans="1:11" x14ac:dyDescent="0.2">
      <c r="A991" s="10">
        <v>990</v>
      </c>
      <c r="B991" s="10" t="s">
        <v>6671</v>
      </c>
      <c r="C991" s="11" t="s">
        <v>4101</v>
      </c>
      <c r="D991" s="10" t="s">
        <v>4419</v>
      </c>
      <c r="E991" s="10" t="s">
        <v>6672</v>
      </c>
      <c r="F991" s="11" t="s">
        <v>6673</v>
      </c>
      <c r="G991" s="10" t="s">
        <v>13</v>
      </c>
      <c r="H991" s="12">
        <v>46262</v>
      </c>
      <c r="I991" s="10" t="s">
        <v>4065</v>
      </c>
      <c r="J991" s="10" t="str">
        <f>IFERROR(INDEX([1]Programas!$B$2:$B$50,MATCH(LEFT(I991,3),[1]Programas!$A$2:$A$50,0)),"")</f>
        <v>Marketing Digital y Ge</v>
      </c>
      <c r="K991" s="10" t="s">
        <v>111</v>
      </c>
    </row>
    <row r="992" spans="1:11" x14ac:dyDescent="0.2">
      <c r="A992" s="10">
        <v>991</v>
      </c>
      <c r="B992" s="10" t="s">
        <v>6674</v>
      </c>
      <c r="C992" s="11" t="s">
        <v>4103</v>
      </c>
      <c r="D992" s="10" t="s">
        <v>4419</v>
      </c>
      <c r="E992" s="10" t="s">
        <v>6675</v>
      </c>
      <c r="F992" s="11" t="s">
        <v>6676</v>
      </c>
      <c r="G992" s="10" t="s">
        <v>13</v>
      </c>
      <c r="H992" s="12">
        <v>46262</v>
      </c>
      <c r="I992" s="10" t="s">
        <v>4065</v>
      </c>
      <c r="J992" s="10" t="str">
        <f>IFERROR(INDEX([1]Programas!$B$2:$B$50,MATCH(LEFT(I992,3),[1]Programas!$A$2:$A$50,0)),"")</f>
        <v>Marketing Digital y Ge</v>
      </c>
      <c r="K992" s="10" t="s">
        <v>111</v>
      </c>
    </row>
    <row r="993" spans="1:11" x14ac:dyDescent="0.2">
      <c r="A993" s="10">
        <v>992</v>
      </c>
      <c r="B993" s="10" t="s">
        <v>4106</v>
      </c>
      <c r="C993" s="11" t="s">
        <v>4105</v>
      </c>
      <c r="D993" s="10" t="s">
        <v>4419</v>
      </c>
      <c r="E993" s="10" t="s">
        <v>6677</v>
      </c>
      <c r="F993" s="11" t="s">
        <v>6678</v>
      </c>
      <c r="G993" s="10" t="s">
        <v>13</v>
      </c>
      <c r="H993" s="12">
        <v>46262</v>
      </c>
      <c r="I993" s="10" t="s">
        <v>4065</v>
      </c>
      <c r="J993" s="10" t="str">
        <f>IFERROR(INDEX([1]Programas!$B$2:$B$50,MATCH(LEFT(I993,3),[1]Programas!$A$2:$A$50,0)),"")</f>
        <v>Marketing Digital y Ge</v>
      </c>
      <c r="K993" s="10" t="s">
        <v>111</v>
      </c>
    </row>
    <row r="994" spans="1:11" x14ac:dyDescent="0.2">
      <c r="A994" s="10">
        <v>993</v>
      </c>
      <c r="B994" s="10" t="s">
        <v>4108</v>
      </c>
      <c r="C994" s="11" t="s">
        <v>4107</v>
      </c>
      <c r="D994" s="10" t="s">
        <v>4419</v>
      </c>
      <c r="E994" s="10" t="s">
        <v>6679</v>
      </c>
      <c r="F994" s="11" t="s">
        <v>6680</v>
      </c>
      <c r="G994" s="10" t="s">
        <v>13</v>
      </c>
      <c r="H994" s="12">
        <v>46262</v>
      </c>
      <c r="I994" s="10" t="s">
        <v>4065</v>
      </c>
      <c r="J994" s="10" t="str">
        <f>IFERROR(INDEX([1]Programas!$B$2:$B$50,MATCH(LEFT(I994,3),[1]Programas!$A$2:$A$50,0)),"")</f>
        <v>Marketing Digital y Ge</v>
      </c>
      <c r="K994" s="10" t="s">
        <v>111</v>
      </c>
    </row>
    <row r="995" spans="1:11" x14ac:dyDescent="0.2">
      <c r="A995" s="10">
        <v>994</v>
      </c>
      <c r="B995" s="10" t="s">
        <v>6681</v>
      </c>
      <c r="C995" s="11" t="s">
        <v>4109</v>
      </c>
      <c r="D995" s="10" t="s">
        <v>4419</v>
      </c>
      <c r="E995" s="10" t="s">
        <v>6682</v>
      </c>
      <c r="F995" s="11" t="s">
        <v>6683</v>
      </c>
      <c r="G995" s="10" t="s">
        <v>13</v>
      </c>
      <c r="H995" s="12">
        <v>46262</v>
      </c>
      <c r="I995" s="10" t="s">
        <v>4065</v>
      </c>
      <c r="J995" s="10" t="str">
        <f>IFERROR(INDEX([1]Programas!$B$2:$B$50,MATCH(LEFT(I995,3),[1]Programas!$A$2:$A$50,0)),"")</f>
        <v>Marketing Digital y Ge</v>
      </c>
      <c r="K995" s="10" t="s">
        <v>111</v>
      </c>
    </row>
    <row r="996" spans="1:11" x14ac:dyDescent="0.2">
      <c r="A996" s="10">
        <v>995</v>
      </c>
      <c r="B996" s="10" t="s">
        <v>4112</v>
      </c>
      <c r="C996" s="11" t="s">
        <v>4111</v>
      </c>
      <c r="D996" s="10" t="s">
        <v>4419</v>
      </c>
      <c r="E996" s="10" t="s">
        <v>6684</v>
      </c>
      <c r="F996" s="11" t="s">
        <v>6685</v>
      </c>
      <c r="G996" s="10" t="s">
        <v>13</v>
      </c>
      <c r="H996" s="12">
        <v>46262</v>
      </c>
      <c r="I996" s="10" t="s">
        <v>4065</v>
      </c>
      <c r="J996" s="10" t="str">
        <f>IFERROR(INDEX([1]Programas!$B$2:$B$50,MATCH(LEFT(I996,3),[1]Programas!$A$2:$A$50,0)),"")</f>
        <v>Marketing Digital y Ge</v>
      </c>
      <c r="K996" s="10" t="s">
        <v>111</v>
      </c>
    </row>
    <row r="997" spans="1:11" x14ac:dyDescent="0.2">
      <c r="A997" s="10">
        <v>996</v>
      </c>
      <c r="B997" s="10" t="s">
        <v>4114</v>
      </c>
      <c r="C997" s="11" t="s">
        <v>4113</v>
      </c>
      <c r="D997" s="10" t="s">
        <v>4419</v>
      </c>
      <c r="E997" s="10" t="s">
        <v>6686</v>
      </c>
      <c r="F997" s="11" t="s">
        <v>6687</v>
      </c>
      <c r="G997" s="10" t="s">
        <v>13</v>
      </c>
      <c r="H997" s="12">
        <v>46262</v>
      </c>
      <c r="I997" s="10" t="s">
        <v>4065</v>
      </c>
      <c r="J997" s="10" t="str">
        <f>IFERROR(INDEX([1]Programas!$B$2:$B$50,MATCH(LEFT(I997,3),[1]Programas!$A$2:$A$50,0)),"")</f>
        <v>Marketing Digital y Ge</v>
      </c>
      <c r="K997" s="10" t="s">
        <v>111</v>
      </c>
    </row>
    <row r="998" spans="1:11" x14ac:dyDescent="0.2">
      <c r="A998" s="10">
        <v>997</v>
      </c>
      <c r="B998" s="10" t="s">
        <v>4116</v>
      </c>
      <c r="C998" s="11" t="s">
        <v>4115</v>
      </c>
      <c r="D998" s="10" t="s">
        <v>4419</v>
      </c>
      <c r="E998" s="10" t="s">
        <v>6688</v>
      </c>
      <c r="F998" s="11" t="s">
        <v>6689</v>
      </c>
      <c r="G998" s="10" t="s">
        <v>13</v>
      </c>
      <c r="H998" s="12">
        <v>46262</v>
      </c>
      <c r="I998" s="10" t="s">
        <v>4065</v>
      </c>
      <c r="J998" s="10" t="str">
        <f>IFERROR(INDEX([1]Programas!$B$2:$B$50,MATCH(LEFT(I998,3),[1]Programas!$A$2:$A$50,0)),"")</f>
        <v>Marketing Digital y Ge</v>
      </c>
      <c r="K998" s="10" t="s">
        <v>111</v>
      </c>
    </row>
    <row r="999" spans="1:11" x14ac:dyDescent="0.2">
      <c r="A999" s="10">
        <v>998</v>
      </c>
      <c r="B999" s="10" t="s">
        <v>6690</v>
      </c>
      <c r="C999" s="11" t="s">
        <v>4117</v>
      </c>
      <c r="D999" s="10" t="s">
        <v>4419</v>
      </c>
      <c r="E999" s="10" t="s">
        <v>6691</v>
      </c>
      <c r="F999" s="11" t="s">
        <v>6692</v>
      </c>
      <c r="G999" s="10" t="s">
        <v>13</v>
      </c>
      <c r="H999" s="12">
        <v>46262</v>
      </c>
      <c r="I999" s="10" t="s">
        <v>4065</v>
      </c>
      <c r="J999" s="10" t="str">
        <f>IFERROR(INDEX([1]Programas!$B$2:$B$50,MATCH(LEFT(I999,3),[1]Programas!$A$2:$A$50,0)),"")</f>
        <v>Marketing Digital y Ge</v>
      </c>
      <c r="K999" s="10" t="s">
        <v>111</v>
      </c>
    </row>
    <row r="1000" spans="1:11" x14ac:dyDescent="0.2">
      <c r="A1000" s="10">
        <v>999</v>
      </c>
      <c r="B1000" s="10" t="s">
        <v>6693</v>
      </c>
      <c r="C1000" s="11" t="s">
        <v>4119</v>
      </c>
      <c r="D1000" s="10" t="s">
        <v>4419</v>
      </c>
      <c r="E1000" s="10" t="s">
        <v>6694</v>
      </c>
      <c r="F1000" s="11" t="s">
        <v>6695</v>
      </c>
      <c r="G1000" s="10" t="s">
        <v>13</v>
      </c>
      <c r="H1000" s="12">
        <v>46262</v>
      </c>
      <c r="I1000" s="10" t="s">
        <v>4065</v>
      </c>
      <c r="J1000" s="10" t="str">
        <f>IFERROR(INDEX([1]Programas!$B$2:$B$50,MATCH(LEFT(I1000,3),[1]Programas!$A$2:$A$50,0)),"")</f>
        <v>Marketing Digital y Ge</v>
      </c>
      <c r="K1000" s="10" t="s">
        <v>111</v>
      </c>
    </row>
    <row r="1001" spans="1:11" x14ac:dyDescent="0.2">
      <c r="A1001" s="10">
        <v>1000</v>
      </c>
      <c r="B1001" s="10" t="s">
        <v>4122</v>
      </c>
      <c r="C1001" s="11" t="s">
        <v>4121</v>
      </c>
      <c r="D1001" s="10" t="s">
        <v>4419</v>
      </c>
      <c r="E1001" s="10" t="s">
        <v>6696</v>
      </c>
      <c r="F1001" s="11" t="s">
        <v>6697</v>
      </c>
      <c r="G1001" s="10" t="s">
        <v>13</v>
      </c>
      <c r="H1001" s="12">
        <v>46262</v>
      </c>
      <c r="I1001" s="10" t="s">
        <v>4065</v>
      </c>
      <c r="J1001" s="10" t="str">
        <f>IFERROR(INDEX([1]Programas!$B$2:$B$50,MATCH(LEFT(I1001,3),[1]Programas!$A$2:$A$50,0)),"")</f>
        <v>Marketing Digital y Ge</v>
      </c>
      <c r="K1001" s="10" t="s">
        <v>111</v>
      </c>
    </row>
    <row r="1002" spans="1:11" x14ac:dyDescent="0.2">
      <c r="A1002" s="10">
        <v>1001</v>
      </c>
      <c r="B1002" s="10" t="s">
        <v>4124</v>
      </c>
      <c r="C1002" s="11" t="s">
        <v>4123</v>
      </c>
      <c r="D1002" s="10" t="s">
        <v>4419</v>
      </c>
      <c r="E1002" s="10" t="s">
        <v>6698</v>
      </c>
      <c r="F1002" s="11" t="s">
        <v>6699</v>
      </c>
      <c r="G1002" s="10" t="s">
        <v>13</v>
      </c>
      <c r="H1002" s="12">
        <v>46262</v>
      </c>
      <c r="I1002" s="10" t="s">
        <v>4065</v>
      </c>
      <c r="J1002" s="10" t="str">
        <f>IFERROR(INDEX([1]Programas!$B$2:$B$50,MATCH(LEFT(I1002,3),[1]Programas!$A$2:$A$50,0)),"")</f>
        <v>Marketing Digital y Ge</v>
      </c>
      <c r="K1002" s="10" t="s">
        <v>111</v>
      </c>
    </row>
    <row r="1003" spans="1:11" x14ac:dyDescent="0.2">
      <c r="A1003" s="10">
        <v>1002</v>
      </c>
      <c r="B1003" s="10" t="s">
        <v>4126</v>
      </c>
      <c r="C1003" s="11" t="s">
        <v>4125</v>
      </c>
      <c r="D1003" s="10" t="s">
        <v>4419</v>
      </c>
      <c r="E1003" s="10" t="s">
        <v>6700</v>
      </c>
      <c r="F1003" s="11" t="s">
        <v>6701</v>
      </c>
      <c r="G1003" s="10" t="s">
        <v>13</v>
      </c>
      <c r="H1003" s="12">
        <v>46262</v>
      </c>
      <c r="I1003" s="10" t="s">
        <v>4065</v>
      </c>
      <c r="J1003" s="10" t="str">
        <f>IFERROR(INDEX([1]Programas!$B$2:$B$50,MATCH(LEFT(I1003,3),[1]Programas!$A$2:$A$50,0)),"")</f>
        <v>Marketing Digital y Ge</v>
      </c>
      <c r="K1003" s="10" t="s">
        <v>111</v>
      </c>
    </row>
    <row r="1004" spans="1:11" x14ac:dyDescent="0.2">
      <c r="A1004" s="10">
        <v>1003</v>
      </c>
      <c r="B1004" s="10" t="s">
        <v>4128</v>
      </c>
      <c r="C1004" s="11" t="s">
        <v>4127</v>
      </c>
      <c r="D1004" s="10" t="s">
        <v>4419</v>
      </c>
      <c r="E1004" s="10" t="s">
        <v>6702</v>
      </c>
      <c r="F1004" s="11" t="s">
        <v>6703</v>
      </c>
      <c r="G1004" s="10" t="s">
        <v>13</v>
      </c>
      <c r="H1004" s="12">
        <v>46262</v>
      </c>
      <c r="I1004" s="10" t="s">
        <v>4065</v>
      </c>
      <c r="J1004" s="10" t="str">
        <f>IFERROR(INDEX([1]Programas!$B$2:$B$50,MATCH(LEFT(I1004,3),[1]Programas!$A$2:$A$50,0)),"")</f>
        <v>Marketing Digital y Ge</v>
      </c>
      <c r="K1004" s="10" t="s">
        <v>111</v>
      </c>
    </row>
    <row r="1005" spans="1:11" x14ac:dyDescent="0.2">
      <c r="A1005" s="10">
        <v>1004</v>
      </c>
      <c r="B1005" s="10" t="s">
        <v>6704</v>
      </c>
      <c r="C1005" s="11" t="s">
        <v>4129</v>
      </c>
      <c r="D1005" s="10" t="s">
        <v>4453</v>
      </c>
      <c r="E1005" s="10" t="s">
        <v>6705</v>
      </c>
      <c r="F1005" s="11" t="s">
        <v>6706</v>
      </c>
      <c r="G1005" s="10" t="s">
        <v>13</v>
      </c>
      <c r="H1005" s="12">
        <v>46262</v>
      </c>
      <c r="I1005" s="10" t="s">
        <v>4065</v>
      </c>
      <c r="J1005" s="10" t="str">
        <f>IFERROR(INDEX([1]Programas!$B$2:$B$50,MATCH(LEFT(I1005,3),[1]Programas!$A$2:$A$50,0)),"")</f>
        <v>Marketing Digital y Ge</v>
      </c>
      <c r="K1005" s="10" t="s">
        <v>111</v>
      </c>
    </row>
    <row r="1006" spans="1:11" x14ac:dyDescent="0.2">
      <c r="A1006" s="10">
        <v>1005</v>
      </c>
      <c r="B1006" s="10" t="s">
        <v>4132</v>
      </c>
      <c r="C1006" s="11" t="s">
        <v>4131</v>
      </c>
      <c r="D1006" s="10" t="s">
        <v>4419</v>
      </c>
      <c r="E1006" s="10" t="s">
        <v>6707</v>
      </c>
      <c r="F1006" s="11" t="s">
        <v>6708</v>
      </c>
      <c r="G1006" s="10" t="s">
        <v>13</v>
      </c>
      <c r="H1006" s="12">
        <v>46262</v>
      </c>
      <c r="I1006" s="10" t="s">
        <v>4065</v>
      </c>
      <c r="J1006" s="10" t="str">
        <f>IFERROR(INDEX([1]Programas!$B$2:$B$50,MATCH(LEFT(I1006,3),[1]Programas!$A$2:$A$50,0)),"")</f>
        <v>Marketing Digital y Ge</v>
      </c>
      <c r="K1006" s="10" t="s">
        <v>111</v>
      </c>
    </row>
    <row r="1007" spans="1:11" x14ac:dyDescent="0.2">
      <c r="A1007" s="10">
        <v>1006</v>
      </c>
      <c r="B1007" s="10" t="s">
        <v>6709</v>
      </c>
      <c r="C1007" s="11" t="s">
        <v>4133</v>
      </c>
      <c r="D1007" s="10" t="s">
        <v>4419</v>
      </c>
      <c r="E1007" s="10" t="s">
        <v>6710</v>
      </c>
      <c r="F1007" s="11" t="s">
        <v>6711</v>
      </c>
      <c r="G1007" s="10" t="s">
        <v>13</v>
      </c>
      <c r="H1007" s="12">
        <v>46262</v>
      </c>
      <c r="I1007" s="10" t="s">
        <v>4065</v>
      </c>
      <c r="J1007" s="10" t="str">
        <f>IFERROR(INDEX([1]Programas!$B$2:$B$50,MATCH(LEFT(I1007,3),[1]Programas!$A$2:$A$50,0)),"")</f>
        <v>Marketing Digital y Ge</v>
      </c>
      <c r="K1007" s="10" t="s">
        <v>111</v>
      </c>
    </row>
    <row r="1008" spans="1:11" x14ac:dyDescent="0.2">
      <c r="A1008" s="10">
        <v>1007</v>
      </c>
      <c r="B1008" s="10" t="s">
        <v>6712</v>
      </c>
      <c r="C1008" s="11" t="s">
        <v>4135</v>
      </c>
      <c r="D1008" s="10" t="s">
        <v>4419</v>
      </c>
      <c r="E1008" s="10" t="s">
        <v>6713</v>
      </c>
      <c r="F1008" s="11" t="s">
        <v>6714</v>
      </c>
      <c r="G1008" s="10" t="s">
        <v>13</v>
      </c>
      <c r="H1008" s="12">
        <v>46262</v>
      </c>
      <c r="I1008" s="10" t="s">
        <v>4065</v>
      </c>
      <c r="J1008" s="10" t="str">
        <f>IFERROR(INDEX([1]Programas!$B$2:$B$50,MATCH(LEFT(I1008,3),[1]Programas!$A$2:$A$50,0)),"")</f>
        <v>Marketing Digital y Ge</v>
      </c>
      <c r="K1008" s="10" t="s">
        <v>111</v>
      </c>
    </row>
    <row r="1009" spans="1:11" x14ac:dyDescent="0.2">
      <c r="A1009" s="10">
        <v>1008</v>
      </c>
      <c r="B1009" s="10" t="s">
        <v>4138</v>
      </c>
      <c r="C1009" s="11" t="s">
        <v>4137</v>
      </c>
      <c r="D1009" s="10" t="s">
        <v>4419</v>
      </c>
      <c r="E1009" s="10" t="s">
        <v>6715</v>
      </c>
      <c r="F1009" s="11" t="s">
        <v>6716</v>
      </c>
      <c r="G1009" s="10" t="s">
        <v>13</v>
      </c>
      <c r="H1009" s="12">
        <v>46262</v>
      </c>
      <c r="I1009" s="10" t="s">
        <v>4065</v>
      </c>
      <c r="J1009" s="10" t="str">
        <f>IFERROR(INDEX([1]Programas!$B$2:$B$50,MATCH(LEFT(I1009,3),[1]Programas!$A$2:$A$50,0)),"")</f>
        <v>Marketing Digital y Ge</v>
      </c>
      <c r="K1009" s="10" t="s">
        <v>111</v>
      </c>
    </row>
    <row r="1010" spans="1:11" x14ac:dyDescent="0.2">
      <c r="A1010" s="10">
        <v>1009</v>
      </c>
      <c r="B1010" s="10" t="s">
        <v>4140</v>
      </c>
      <c r="C1010" s="11" t="s">
        <v>4139</v>
      </c>
      <c r="D1010" s="10" t="s">
        <v>4419</v>
      </c>
      <c r="E1010" s="10" t="s">
        <v>6717</v>
      </c>
      <c r="F1010" s="11" t="s">
        <v>6718</v>
      </c>
      <c r="G1010" s="10" t="s">
        <v>13</v>
      </c>
      <c r="H1010" s="12">
        <v>46262</v>
      </c>
      <c r="I1010" s="10" t="s">
        <v>4065</v>
      </c>
      <c r="J1010" s="10" t="str">
        <f>IFERROR(INDEX([1]Programas!$B$2:$B$50,MATCH(LEFT(I1010,3),[1]Programas!$A$2:$A$50,0)),"")</f>
        <v>Marketing Digital y Ge</v>
      </c>
      <c r="K1010" s="10" t="s">
        <v>111</v>
      </c>
    </row>
    <row r="1011" spans="1:11" x14ac:dyDescent="0.2">
      <c r="A1011" s="10">
        <v>1010</v>
      </c>
      <c r="B1011" s="10" t="s">
        <v>6719</v>
      </c>
      <c r="C1011" s="11" t="s">
        <v>4141</v>
      </c>
      <c r="D1011" s="10" t="s">
        <v>4419</v>
      </c>
      <c r="E1011" s="10" t="s">
        <v>6720</v>
      </c>
      <c r="F1011" s="11" t="s">
        <v>6721</v>
      </c>
      <c r="G1011" s="10" t="s">
        <v>13</v>
      </c>
      <c r="H1011" s="12">
        <v>46262</v>
      </c>
      <c r="I1011" s="10" t="s">
        <v>4065</v>
      </c>
      <c r="J1011" s="10" t="str">
        <f>IFERROR(INDEX([1]Programas!$B$2:$B$50,MATCH(LEFT(I1011,3),[1]Programas!$A$2:$A$50,0)),"")</f>
        <v>Marketing Digital y Ge</v>
      </c>
      <c r="K1011" s="10" t="s">
        <v>111</v>
      </c>
    </row>
    <row r="1012" spans="1:11" x14ac:dyDescent="0.2">
      <c r="A1012" s="10">
        <v>1011</v>
      </c>
      <c r="B1012" s="10" t="s">
        <v>4144</v>
      </c>
      <c r="C1012" s="11" t="s">
        <v>4143</v>
      </c>
      <c r="D1012" s="10" t="s">
        <v>4419</v>
      </c>
      <c r="E1012" s="10" t="s">
        <v>6722</v>
      </c>
      <c r="F1012" s="11" t="s">
        <v>6723</v>
      </c>
      <c r="G1012" s="10" t="s">
        <v>13</v>
      </c>
      <c r="H1012" s="12">
        <v>46262</v>
      </c>
      <c r="I1012" s="10" t="s">
        <v>4065</v>
      </c>
      <c r="J1012" s="10" t="str">
        <f>IFERROR(INDEX([1]Programas!$B$2:$B$50,MATCH(LEFT(I1012,3),[1]Programas!$A$2:$A$50,0)),"")</f>
        <v>Marketing Digital y Ge</v>
      </c>
      <c r="K1012" s="10" t="s">
        <v>111</v>
      </c>
    </row>
    <row r="1013" spans="1:11" x14ac:dyDescent="0.2">
      <c r="A1013" s="10">
        <v>1012</v>
      </c>
      <c r="B1013" s="10" t="s">
        <v>4146</v>
      </c>
      <c r="C1013" s="11" t="s">
        <v>4145</v>
      </c>
      <c r="D1013" s="10" t="s">
        <v>4419</v>
      </c>
      <c r="E1013" s="10" t="s">
        <v>6724</v>
      </c>
      <c r="F1013" s="11" t="s">
        <v>6725</v>
      </c>
      <c r="G1013" s="10" t="s">
        <v>13</v>
      </c>
      <c r="H1013" s="12">
        <v>46262</v>
      </c>
      <c r="I1013" s="10" t="s">
        <v>4065</v>
      </c>
      <c r="J1013" s="10" t="str">
        <f>IFERROR(INDEX([1]Programas!$B$2:$B$50,MATCH(LEFT(I1013,3),[1]Programas!$A$2:$A$50,0)),"")</f>
        <v>Marketing Digital y Ge</v>
      </c>
      <c r="K1013" s="10" t="s">
        <v>111</v>
      </c>
    </row>
    <row r="1014" spans="1:11" x14ac:dyDescent="0.2">
      <c r="A1014" s="10">
        <v>1013</v>
      </c>
      <c r="B1014" s="10" t="s">
        <v>6726</v>
      </c>
      <c r="C1014" s="11" t="s">
        <v>4147</v>
      </c>
      <c r="D1014" s="10" t="s">
        <v>4453</v>
      </c>
      <c r="E1014" s="10" t="s">
        <v>6727</v>
      </c>
      <c r="F1014" s="11" t="s">
        <v>6728</v>
      </c>
      <c r="G1014" s="10" t="s">
        <v>13</v>
      </c>
      <c r="H1014" s="12">
        <v>46262</v>
      </c>
      <c r="I1014" s="10" t="s">
        <v>4065</v>
      </c>
      <c r="J1014" s="10" t="str">
        <f>IFERROR(INDEX([1]Programas!$B$2:$B$50,MATCH(LEFT(I1014,3),[1]Programas!$A$2:$A$50,0)),"")</f>
        <v>Marketing Digital y Ge</v>
      </c>
      <c r="K1014" s="10" t="s">
        <v>111</v>
      </c>
    </row>
    <row r="1015" spans="1:11" x14ac:dyDescent="0.2">
      <c r="A1015" s="10">
        <v>1014</v>
      </c>
      <c r="B1015" s="10" t="s">
        <v>6729</v>
      </c>
      <c r="C1015" s="11" t="s">
        <v>4149</v>
      </c>
      <c r="D1015" s="10" t="s">
        <v>4419</v>
      </c>
      <c r="E1015" s="10" t="s">
        <v>6730</v>
      </c>
      <c r="F1015" s="11" t="s">
        <v>6731</v>
      </c>
      <c r="G1015" s="10" t="s">
        <v>13</v>
      </c>
      <c r="H1015" s="12">
        <v>46262</v>
      </c>
      <c r="I1015" s="10" t="s">
        <v>4065</v>
      </c>
      <c r="J1015" s="10" t="str">
        <f>IFERROR(INDEX([1]Programas!$B$2:$B$50,MATCH(LEFT(I1015,3),[1]Programas!$A$2:$A$50,0)),"")</f>
        <v>Marketing Digital y Ge</v>
      </c>
      <c r="K1015" s="10" t="s">
        <v>111</v>
      </c>
    </row>
    <row r="1016" spans="1:11" x14ac:dyDescent="0.2">
      <c r="A1016" s="10">
        <v>1015</v>
      </c>
      <c r="B1016" s="10" t="s">
        <v>4152</v>
      </c>
      <c r="C1016" s="11" t="s">
        <v>4151</v>
      </c>
      <c r="D1016" s="10" t="s">
        <v>4419</v>
      </c>
      <c r="E1016" s="10" t="s">
        <v>6732</v>
      </c>
      <c r="F1016" s="11" t="s">
        <v>6733</v>
      </c>
      <c r="G1016" s="10" t="s">
        <v>13</v>
      </c>
      <c r="H1016" s="12">
        <v>46262</v>
      </c>
      <c r="I1016" s="10" t="s">
        <v>4065</v>
      </c>
      <c r="J1016" s="10" t="str">
        <f>IFERROR(INDEX([1]Programas!$B$2:$B$50,MATCH(LEFT(I1016,3),[1]Programas!$A$2:$A$50,0)),"")</f>
        <v>Marketing Digital y Ge</v>
      </c>
      <c r="K1016" s="10" t="s">
        <v>111</v>
      </c>
    </row>
    <row r="1017" spans="1:11" x14ac:dyDescent="0.2">
      <c r="A1017" s="10">
        <v>1016</v>
      </c>
      <c r="B1017" s="10" t="s">
        <v>4154</v>
      </c>
      <c r="C1017" s="11" t="s">
        <v>4153</v>
      </c>
      <c r="D1017" s="10" t="s">
        <v>4419</v>
      </c>
      <c r="E1017" s="10" t="s">
        <v>6734</v>
      </c>
      <c r="F1017" s="11" t="s">
        <v>6735</v>
      </c>
      <c r="G1017" s="10" t="s">
        <v>13</v>
      </c>
      <c r="H1017" s="12">
        <v>46262</v>
      </c>
      <c r="I1017" s="10" t="s">
        <v>4065</v>
      </c>
      <c r="J1017" s="10" t="str">
        <f>IFERROR(INDEX([1]Programas!$B$2:$B$50,MATCH(LEFT(I1017,3),[1]Programas!$A$2:$A$50,0)),"")</f>
        <v>Marketing Digital y Ge</v>
      </c>
      <c r="K1017" s="10" t="s">
        <v>111</v>
      </c>
    </row>
    <row r="1018" spans="1:11" x14ac:dyDescent="0.2">
      <c r="A1018" s="10">
        <v>1017</v>
      </c>
      <c r="B1018" s="10" t="s">
        <v>6736</v>
      </c>
      <c r="C1018" s="11" t="s">
        <v>4155</v>
      </c>
      <c r="D1018" s="10" t="s">
        <v>4419</v>
      </c>
      <c r="E1018" s="10" t="s">
        <v>6737</v>
      </c>
      <c r="F1018" s="11" t="s">
        <v>6738</v>
      </c>
      <c r="G1018" s="10" t="s">
        <v>13</v>
      </c>
      <c r="H1018" s="12">
        <v>46262</v>
      </c>
      <c r="I1018" s="10" t="s">
        <v>4065</v>
      </c>
      <c r="J1018" s="10" t="str">
        <f>IFERROR(INDEX([1]Programas!$B$2:$B$50,MATCH(LEFT(I1018,3),[1]Programas!$A$2:$A$50,0)),"")</f>
        <v>Marketing Digital y Ge</v>
      </c>
      <c r="K1018" s="10" t="s">
        <v>111</v>
      </c>
    </row>
    <row r="1019" spans="1:11" x14ac:dyDescent="0.2">
      <c r="A1019" s="10">
        <v>1018</v>
      </c>
      <c r="B1019" s="10" t="s">
        <v>4158</v>
      </c>
      <c r="C1019" s="11" t="s">
        <v>4157</v>
      </c>
      <c r="D1019" s="10" t="s">
        <v>4419</v>
      </c>
      <c r="E1019" s="10" t="s">
        <v>6739</v>
      </c>
      <c r="F1019" s="11" t="s">
        <v>6740</v>
      </c>
      <c r="G1019" s="10" t="s">
        <v>13</v>
      </c>
      <c r="H1019" s="12">
        <v>46262</v>
      </c>
      <c r="I1019" s="10" t="s">
        <v>4065</v>
      </c>
      <c r="J1019" s="10" t="str">
        <f>IFERROR(INDEX([1]Programas!$B$2:$B$50,MATCH(LEFT(I1019,3),[1]Programas!$A$2:$A$50,0)),"")</f>
        <v>Marketing Digital y Ge</v>
      </c>
      <c r="K1019" s="10" t="s">
        <v>111</v>
      </c>
    </row>
    <row r="1020" spans="1:11" x14ac:dyDescent="0.2">
      <c r="A1020" s="10">
        <v>1019</v>
      </c>
      <c r="B1020" s="10" t="s">
        <v>4160</v>
      </c>
      <c r="C1020" s="11" t="s">
        <v>4159</v>
      </c>
      <c r="D1020" s="10" t="s">
        <v>4419</v>
      </c>
      <c r="E1020" s="10" t="s">
        <v>6741</v>
      </c>
      <c r="F1020" s="11" t="s">
        <v>6742</v>
      </c>
      <c r="G1020" s="10" t="s">
        <v>13</v>
      </c>
      <c r="H1020" s="12">
        <v>46262</v>
      </c>
      <c r="I1020" s="10" t="s">
        <v>4065</v>
      </c>
      <c r="J1020" s="10" t="str">
        <f>IFERROR(INDEX([1]Programas!$B$2:$B$50,MATCH(LEFT(I1020,3),[1]Programas!$A$2:$A$50,0)),"")</f>
        <v>Marketing Digital y Ge</v>
      </c>
      <c r="K1020" s="10" t="s">
        <v>111</v>
      </c>
    </row>
    <row r="1021" spans="1:11" x14ac:dyDescent="0.2">
      <c r="A1021" s="10">
        <v>1020</v>
      </c>
      <c r="B1021" s="10" t="s">
        <v>4162</v>
      </c>
      <c r="C1021" s="11" t="s">
        <v>4161</v>
      </c>
      <c r="D1021" s="10" t="s">
        <v>4419</v>
      </c>
      <c r="E1021" s="10" t="s">
        <v>6743</v>
      </c>
      <c r="F1021" s="11" t="s">
        <v>6744</v>
      </c>
      <c r="G1021" s="10" t="s">
        <v>13</v>
      </c>
      <c r="H1021" s="12">
        <v>46262</v>
      </c>
      <c r="I1021" s="10" t="s">
        <v>4065</v>
      </c>
      <c r="J1021" s="10" t="str">
        <f>IFERROR(INDEX([1]Programas!$B$2:$B$50,MATCH(LEFT(I1021,3),[1]Programas!$A$2:$A$50,0)),"")</f>
        <v>Marketing Digital y Ge</v>
      </c>
      <c r="K1021" s="10" t="s">
        <v>111</v>
      </c>
    </row>
    <row r="1022" spans="1:11" x14ac:dyDescent="0.2">
      <c r="A1022" s="10">
        <v>1021</v>
      </c>
      <c r="B1022" s="10" t="s">
        <v>4164</v>
      </c>
      <c r="C1022" s="11" t="s">
        <v>4163</v>
      </c>
      <c r="D1022" s="10" t="s">
        <v>4419</v>
      </c>
      <c r="E1022" s="10" t="s">
        <v>6745</v>
      </c>
      <c r="F1022" s="11" t="s">
        <v>6746</v>
      </c>
      <c r="G1022" s="10" t="s">
        <v>13</v>
      </c>
      <c r="H1022" s="12">
        <v>46262</v>
      </c>
      <c r="I1022" s="10" t="s">
        <v>4166</v>
      </c>
      <c r="J1022" s="10" t="str">
        <f>IFERROR(INDEX([1]Programas!$B$2:$B$50,MATCH(LEFT(I1022,3),[1]Programas!$A$2:$A$50,0)),"")</f>
        <v>Marketing Digital y Ge</v>
      </c>
      <c r="K1022" s="10" t="s">
        <v>807</v>
      </c>
    </row>
    <row r="1023" spans="1:11" x14ac:dyDescent="0.2">
      <c r="A1023" s="10">
        <v>1022</v>
      </c>
      <c r="B1023" s="10" t="s">
        <v>6747</v>
      </c>
      <c r="C1023" s="11" t="s">
        <v>4167</v>
      </c>
      <c r="D1023" s="10" t="s">
        <v>4419</v>
      </c>
      <c r="E1023" s="10" t="s">
        <v>6748</v>
      </c>
      <c r="F1023" s="11" t="s">
        <v>6749</v>
      </c>
      <c r="G1023" s="10" t="s">
        <v>13</v>
      </c>
      <c r="H1023" s="12">
        <v>46262</v>
      </c>
      <c r="I1023" s="10" t="s">
        <v>4166</v>
      </c>
      <c r="J1023" s="10" t="str">
        <f>IFERROR(INDEX([1]Programas!$B$2:$B$50,MATCH(LEFT(I1023,3),[1]Programas!$A$2:$A$50,0)),"")</f>
        <v>Marketing Digital y Ge</v>
      </c>
      <c r="K1023" s="10" t="s">
        <v>807</v>
      </c>
    </row>
    <row r="1024" spans="1:11" x14ac:dyDescent="0.2">
      <c r="A1024" s="10">
        <v>1023</v>
      </c>
      <c r="B1024" s="10" t="s">
        <v>4170</v>
      </c>
      <c r="C1024" s="11" t="s">
        <v>4169</v>
      </c>
      <c r="D1024" s="10" t="s">
        <v>4419</v>
      </c>
      <c r="E1024" s="10" t="s">
        <v>6750</v>
      </c>
      <c r="F1024" s="11" t="s">
        <v>6751</v>
      </c>
      <c r="G1024" s="10" t="s">
        <v>13</v>
      </c>
      <c r="H1024" s="12">
        <v>46262</v>
      </c>
      <c r="I1024" s="10" t="s">
        <v>4166</v>
      </c>
      <c r="J1024" s="10" t="str">
        <f>IFERROR(INDEX([1]Programas!$B$2:$B$50,MATCH(LEFT(I1024,3),[1]Programas!$A$2:$A$50,0)),"")</f>
        <v>Marketing Digital y Ge</v>
      </c>
      <c r="K1024" s="10" t="s">
        <v>807</v>
      </c>
    </row>
    <row r="1025" spans="1:11" x14ac:dyDescent="0.2">
      <c r="A1025" s="10">
        <v>1024</v>
      </c>
      <c r="B1025" s="10" t="s">
        <v>6752</v>
      </c>
      <c r="C1025" s="11" t="s">
        <v>4171</v>
      </c>
      <c r="D1025" s="10" t="s">
        <v>4419</v>
      </c>
      <c r="E1025" s="10" t="s">
        <v>6753</v>
      </c>
      <c r="F1025" s="11" t="s">
        <v>6754</v>
      </c>
      <c r="G1025" s="10" t="s">
        <v>13</v>
      </c>
      <c r="H1025" s="12">
        <v>46262</v>
      </c>
      <c r="I1025" s="10" t="s">
        <v>4166</v>
      </c>
      <c r="J1025" s="10" t="str">
        <f>IFERROR(INDEX([1]Programas!$B$2:$B$50,MATCH(LEFT(I1025,3),[1]Programas!$A$2:$A$50,0)),"")</f>
        <v>Marketing Digital y Ge</v>
      </c>
      <c r="K1025" s="10" t="s">
        <v>807</v>
      </c>
    </row>
    <row r="1026" spans="1:11" x14ac:dyDescent="0.2">
      <c r="A1026" s="10">
        <v>1025</v>
      </c>
      <c r="B1026" s="10" t="s">
        <v>6755</v>
      </c>
      <c r="C1026" s="11" t="s">
        <v>4173</v>
      </c>
      <c r="D1026" s="10" t="s">
        <v>4453</v>
      </c>
      <c r="E1026" s="10" t="s">
        <v>6756</v>
      </c>
      <c r="F1026" s="11" t="s">
        <v>6757</v>
      </c>
      <c r="G1026" s="10" t="s">
        <v>13</v>
      </c>
      <c r="H1026" s="12">
        <v>46262</v>
      </c>
      <c r="I1026" s="10" t="s">
        <v>4166</v>
      </c>
      <c r="J1026" s="10" t="str">
        <f>IFERROR(INDEX([1]Programas!$B$2:$B$50,MATCH(LEFT(I1026,3),[1]Programas!$A$2:$A$50,0)),"")</f>
        <v>Marketing Digital y Ge</v>
      </c>
      <c r="K1026" s="10" t="s">
        <v>807</v>
      </c>
    </row>
    <row r="1027" spans="1:11" x14ac:dyDescent="0.2">
      <c r="A1027" s="10">
        <v>1026</v>
      </c>
      <c r="B1027" s="10" t="s">
        <v>4176</v>
      </c>
      <c r="C1027" s="11" t="s">
        <v>4175</v>
      </c>
      <c r="D1027" s="10" t="s">
        <v>4419</v>
      </c>
      <c r="E1027" s="10" t="s">
        <v>6758</v>
      </c>
      <c r="F1027" s="11" t="s">
        <v>6759</v>
      </c>
      <c r="G1027" s="10" t="s">
        <v>13</v>
      </c>
      <c r="H1027" s="12">
        <v>46262</v>
      </c>
      <c r="I1027" s="10" t="s">
        <v>4166</v>
      </c>
      <c r="J1027" s="10" t="str">
        <f>IFERROR(INDEX([1]Programas!$B$2:$B$50,MATCH(LEFT(I1027,3),[1]Programas!$A$2:$A$50,0)),"")</f>
        <v>Marketing Digital y Ge</v>
      </c>
      <c r="K1027" s="10" t="s">
        <v>807</v>
      </c>
    </row>
    <row r="1028" spans="1:11" x14ac:dyDescent="0.2">
      <c r="A1028" s="10">
        <v>1027</v>
      </c>
      <c r="B1028" s="10" t="s">
        <v>4178</v>
      </c>
      <c r="C1028" s="11" t="s">
        <v>4177</v>
      </c>
      <c r="D1028" s="10" t="s">
        <v>4419</v>
      </c>
      <c r="E1028" s="10" t="s">
        <v>6760</v>
      </c>
      <c r="F1028" s="11" t="s">
        <v>6761</v>
      </c>
      <c r="G1028" s="10" t="s">
        <v>13</v>
      </c>
      <c r="H1028" s="12">
        <v>46262</v>
      </c>
      <c r="I1028" s="10" t="s">
        <v>4166</v>
      </c>
      <c r="J1028" s="10" t="str">
        <f>IFERROR(INDEX([1]Programas!$B$2:$B$50,MATCH(LEFT(I1028,3),[1]Programas!$A$2:$A$50,0)),"")</f>
        <v>Marketing Digital y Ge</v>
      </c>
      <c r="K1028" s="10" t="s">
        <v>807</v>
      </c>
    </row>
    <row r="1029" spans="1:11" x14ac:dyDescent="0.2">
      <c r="A1029" s="10">
        <v>1028</v>
      </c>
      <c r="B1029" s="10" t="s">
        <v>4180</v>
      </c>
      <c r="C1029" s="11" t="s">
        <v>4179</v>
      </c>
      <c r="D1029" s="10" t="s">
        <v>4419</v>
      </c>
      <c r="E1029" s="10" t="s">
        <v>6762</v>
      </c>
      <c r="F1029" s="11" t="s">
        <v>6763</v>
      </c>
      <c r="G1029" s="10" t="s">
        <v>13</v>
      </c>
      <c r="H1029" s="12">
        <v>46262</v>
      </c>
      <c r="I1029" s="10" t="s">
        <v>4166</v>
      </c>
      <c r="J1029" s="10" t="str">
        <f>IFERROR(INDEX([1]Programas!$B$2:$B$50,MATCH(LEFT(I1029,3),[1]Programas!$A$2:$A$50,0)),"")</f>
        <v>Marketing Digital y Ge</v>
      </c>
      <c r="K1029" s="10" t="s">
        <v>807</v>
      </c>
    </row>
    <row r="1030" spans="1:11" x14ac:dyDescent="0.2">
      <c r="A1030" s="10">
        <v>1029</v>
      </c>
      <c r="B1030" s="10" t="s">
        <v>4182</v>
      </c>
      <c r="C1030" s="11" t="s">
        <v>4181</v>
      </c>
      <c r="D1030" s="10" t="s">
        <v>4419</v>
      </c>
      <c r="E1030" s="10" t="s">
        <v>6764</v>
      </c>
      <c r="F1030" s="11" t="s">
        <v>6765</v>
      </c>
      <c r="G1030" s="10" t="s">
        <v>13</v>
      </c>
      <c r="H1030" s="12">
        <v>46262</v>
      </c>
      <c r="I1030" s="10" t="s">
        <v>4166</v>
      </c>
      <c r="J1030" s="10" t="str">
        <f>IFERROR(INDEX([1]Programas!$B$2:$B$50,MATCH(LEFT(I1030,3),[1]Programas!$A$2:$A$50,0)),"")</f>
        <v>Marketing Digital y Ge</v>
      </c>
      <c r="K1030" s="10" t="s">
        <v>807</v>
      </c>
    </row>
    <row r="1031" spans="1:11" x14ac:dyDescent="0.2">
      <c r="A1031" s="10">
        <v>1030</v>
      </c>
      <c r="B1031" s="10" t="s">
        <v>4184</v>
      </c>
      <c r="C1031" s="11" t="s">
        <v>4183</v>
      </c>
      <c r="D1031" s="10" t="s">
        <v>4419</v>
      </c>
      <c r="E1031" s="10" t="s">
        <v>6766</v>
      </c>
      <c r="F1031" s="11" t="s">
        <v>6767</v>
      </c>
      <c r="G1031" s="10" t="s">
        <v>13</v>
      </c>
      <c r="H1031" s="12">
        <v>46262</v>
      </c>
      <c r="I1031" s="10" t="s">
        <v>4166</v>
      </c>
      <c r="J1031" s="10" t="str">
        <f>IFERROR(INDEX([1]Programas!$B$2:$B$50,MATCH(LEFT(I1031,3),[1]Programas!$A$2:$A$50,0)),"")</f>
        <v>Marketing Digital y Ge</v>
      </c>
      <c r="K1031" s="10" t="s">
        <v>807</v>
      </c>
    </row>
    <row r="1032" spans="1:11" x14ac:dyDescent="0.2">
      <c r="A1032" s="10">
        <v>1031</v>
      </c>
      <c r="B1032" s="10" t="s">
        <v>6768</v>
      </c>
      <c r="C1032" s="11" t="s">
        <v>4185</v>
      </c>
      <c r="D1032" s="10" t="s">
        <v>4419</v>
      </c>
      <c r="E1032" s="10" t="s">
        <v>6769</v>
      </c>
      <c r="F1032" s="11" t="s">
        <v>6770</v>
      </c>
      <c r="G1032" s="10" t="s">
        <v>13</v>
      </c>
      <c r="H1032" s="12">
        <v>46262</v>
      </c>
      <c r="I1032" s="10" t="s">
        <v>4166</v>
      </c>
      <c r="J1032" s="10" t="str">
        <f>IFERROR(INDEX([1]Programas!$B$2:$B$50,MATCH(LEFT(I1032,3),[1]Programas!$A$2:$A$50,0)),"")</f>
        <v>Marketing Digital y Ge</v>
      </c>
      <c r="K1032" s="10" t="s">
        <v>807</v>
      </c>
    </row>
    <row r="1033" spans="1:11" x14ac:dyDescent="0.2">
      <c r="A1033" s="10">
        <v>1032</v>
      </c>
      <c r="B1033" s="10" t="s">
        <v>6771</v>
      </c>
      <c r="C1033" s="11" t="s">
        <v>4187</v>
      </c>
      <c r="D1033" s="10" t="s">
        <v>4419</v>
      </c>
      <c r="E1033" s="10" t="s">
        <v>6772</v>
      </c>
      <c r="F1033" s="11" t="s">
        <v>6773</v>
      </c>
      <c r="G1033" s="10" t="s">
        <v>13</v>
      </c>
      <c r="H1033" s="12">
        <v>46262</v>
      </c>
      <c r="I1033" s="10" t="s">
        <v>4166</v>
      </c>
      <c r="J1033" s="10" t="str">
        <f>IFERROR(INDEX([1]Programas!$B$2:$B$50,MATCH(LEFT(I1033,3),[1]Programas!$A$2:$A$50,0)),"")</f>
        <v>Marketing Digital y Ge</v>
      </c>
      <c r="K1033" s="10" t="s">
        <v>807</v>
      </c>
    </row>
    <row r="1034" spans="1:11" x14ac:dyDescent="0.2">
      <c r="A1034" s="10">
        <v>1033</v>
      </c>
      <c r="B1034" s="10" t="s">
        <v>4190</v>
      </c>
      <c r="C1034" s="11" t="s">
        <v>4189</v>
      </c>
      <c r="D1034" s="10" t="s">
        <v>4419</v>
      </c>
      <c r="E1034" s="10" t="s">
        <v>6774</v>
      </c>
      <c r="F1034" s="11" t="s">
        <v>6775</v>
      </c>
      <c r="G1034" s="10" t="s">
        <v>13</v>
      </c>
      <c r="H1034" s="12">
        <v>46262</v>
      </c>
      <c r="I1034" s="10" t="s">
        <v>4166</v>
      </c>
      <c r="J1034" s="10" t="str">
        <f>IFERROR(INDEX([1]Programas!$B$2:$B$50,MATCH(LEFT(I1034,3),[1]Programas!$A$2:$A$50,0)),"")</f>
        <v>Marketing Digital y Ge</v>
      </c>
      <c r="K1034" s="10" t="s">
        <v>807</v>
      </c>
    </row>
    <row r="1035" spans="1:11" x14ac:dyDescent="0.2">
      <c r="A1035" s="10">
        <v>1034</v>
      </c>
      <c r="B1035" s="10" t="s">
        <v>4192</v>
      </c>
      <c r="C1035" s="11" t="s">
        <v>4191</v>
      </c>
      <c r="D1035" s="10" t="s">
        <v>4419</v>
      </c>
      <c r="E1035" s="10" t="s">
        <v>6776</v>
      </c>
      <c r="F1035" s="11" t="s">
        <v>6777</v>
      </c>
      <c r="G1035" s="10" t="s">
        <v>13</v>
      </c>
      <c r="H1035" s="12">
        <v>46262</v>
      </c>
      <c r="I1035" s="10" t="s">
        <v>4166</v>
      </c>
      <c r="J1035" s="10" t="str">
        <f>IFERROR(INDEX([1]Programas!$B$2:$B$50,MATCH(LEFT(I1035,3),[1]Programas!$A$2:$A$50,0)),"")</f>
        <v>Marketing Digital y Ge</v>
      </c>
      <c r="K1035" s="10" t="s">
        <v>807</v>
      </c>
    </row>
    <row r="1036" spans="1:11" x14ac:dyDescent="0.2">
      <c r="A1036" s="10">
        <v>1035</v>
      </c>
      <c r="B1036" s="10" t="s">
        <v>4194</v>
      </c>
      <c r="C1036" s="11" t="s">
        <v>4193</v>
      </c>
      <c r="D1036" s="10" t="s">
        <v>4419</v>
      </c>
      <c r="E1036" s="10" t="s">
        <v>6778</v>
      </c>
      <c r="F1036" s="11" t="s">
        <v>6779</v>
      </c>
      <c r="G1036" s="10" t="s">
        <v>13</v>
      </c>
      <c r="H1036" s="12">
        <v>46262</v>
      </c>
      <c r="I1036" s="10" t="s">
        <v>4166</v>
      </c>
      <c r="J1036" s="10" t="str">
        <f>IFERROR(INDEX([1]Programas!$B$2:$B$50,MATCH(LEFT(I1036,3),[1]Programas!$A$2:$A$50,0)),"")</f>
        <v>Marketing Digital y Ge</v>
      </c>
      <c r="K1036" s="10" t="s">
        <v>807</v>
      </c>
    </row>
    <row r="1037" spans="1:11" x14ac:dyDescent="0.2">
      <c r="A1037" s="10">
        <v>1036</v>
      </c>
      <c r="B1037" s="10" t="s">
        <v>4196</v>
      </c>
      <c r="C1037" s="11" t="s">
        <v>4195</v>
      </c>
      <c r="D1037" s="10" t="s">
        <v>4419</v>
      </c>
      <c r="E1037" s="10" t="s">
        <v>6780</v>
      </c>
      <c r="F1037" s="11" t="s">
        <v>6781</v>
      </c>
      <c r="G1037" s="10" t="s">
        <v>13</v>
      </c>
      <c r="H1037" s="12">
        <v>46262</v>
      </c>
      <c r="I1037" s="10" t="s">
        <v>4166</v>
      </c>
      <c r="J1037" s="10" t="str">
        <f>IFERROR(INDEX([1]Programas!$B$2:$B$50,MATCH(LEFT(I1037,3),[1]Programas!$A$2:$A$50,0)),"")</f>
        <v>Marketing Digital y Ge</v>
      </c>
      <c r="K1037" s="10" t="s">
        <v>807</v>
      </c>
    </row>
    <row r="1038" spans="1:11" x14ac:dyDescent="0.2">
      <c r="A1038" s="10">
        <v>1037</v>
      </c>
      <c r="B1038" s="10" t="s">
        <v>4198</v>
      </c>
      <c r="C1038" s="11" t="s">
        <v>4197</v>
      </c>
      <c r="D1038" s="10" t="s">
        <v>4419</v>
      </c>
      <c r="E1038" s="10" t="s">
        <v>6782</v>
      </c>
      <c r="F1038" s="11" t="s">
        <v>6783</v>
      </c>
      <c r="G1038" s="10" t="s">
        <v>13</v>
      </c>
      <c r="H1038" s="12">
        <v>46262</v>
      </c>
      <c r="I1038" s="10" t="s">
        <v>4166</v>
      </c>
      <c r="J1038" s="10" t="str">
        <f>IFERROR(INDEX([1]Programas!$B$2:$B$50,MATCH(LEFT(I1038,3),[1]Programas!$A$2:$A$50,0)),"")</f>
        <v>Marketing Digital y Ge</v>
      </c>
      <c r="K1038" s="10" t="s">
        <v>807</v>
      </c>
    </row>
    <row r="1039" spans="1:11" x14ac:dyDescent="0.2">
      <c r="A1039" s="10">
        <v>1038</v>
      </c>
      <c r="B1039" s="10" t="s">
        <v>4200</v>
      </c>
      <c r="C1039" s="11" t="s">
        <v>4199</v>
      </c>
      <c r="D1039" s="10" t="s">
        <v>4419</v>
      </c>
      <c r="E1039" s="10" t="s">
        <v>6784</v>
      </c>
      <c r="F1039" s="11" t="s">
        <v>6785</v>
      </c>
      <c r="G1039" s="10" t="s">
        <v>13</v>
      </c>
      <c r="H1039" s="12">
        <v>46262</v>
      </c>
      <c r="I1039" s="10" t="s">
        <v>4166</v>
      </c>
      <c r="J1039" s="10" t="str">
        <f>IFERROR(INDEX([1]Programas!$B$2:$B$50,MATCH(LEFT(I1039,3),[1]Programas!$A$2:$A$50,0)),"")</f>
        <v>Marketing Digital y Ge</v>
      </c>
      <c r="K1039" s="10" t="s">
        <v>807</v>
      </c>
    </row>
    <row r="1040" spans="1:11" x14ac:dyDescent="0.2">
      <c r="A1040" s="10">
        <v>1039</v>
      </c>
      <c r="B1040" s="10" t="s">
        <v>4202</v>
      </c>
      <c r="C1040" s="11" t="s">
        <v>4201</v>
      </c>
      <c r="D1040" s="10" t="s">
        <v>4419</v>
      </c>
      <c r="E1040" s="10" t="s">
        <v>6786</v>
      </c>
      <c r="F1040" s="11" t="s">
        <v>6787</v>
      </c>
      <c r="G1040" s="10" t="s">
        <v>13</v>
      </c>
      <c r="H1040" s="12">
        <v>46262</v>
      </c>
      <c r="I1040" s="10" t="s">
        <v>4166</v>
      </c>
      <c r="J1040" s="10" t="str">
        <f>IFERROR(INDEX([1]Programas!$B$2:$B$50,MATCH(LEFT(I1040,3),[1]Programas!$A$2:$A$50,0)),"")</f>
        <v>Marketing Digital y Ge</v>
      </c>
      <c r="K1040" s="10" t="s">
        <v>807</v>
      </c>
    </row>
    <row r="1041" spans="1:11" x14ac:dyDescent="0.2">
      <c r="A1041" s="10">
        <v>1040</v>
      </c>
      <c r="B1041" s="10" t="s">
        <v>4204</v>
      </c>
      <c r="C1041" s="11" t="s">
        <v>4203</v>
      </c>
      <c r="D1041" s="10" t="s">
        <v>4419</v>
      </c>
      <c r="E1041" s="10" t="s">
        <v>6788</v>
      </c>
      <c r="F1041" s="11" t="s">
        <v>6789</v>
      </c>
      <c r="G1041" s="10" t="s">
        <v>13</v>
      </c>
      <c r="H1041" s="12">
        <v>46262</v>
      </c>
      <c r="I1041" s="10" t="s">
        <v>4166</v>
      </c>
      <c r="J1041" s="10" t="str">
        <f>IFERROR(INDEX([1]Programas!$B$2:$B$50,MATCH(LEFT(I1041,3),[1]Programas!$A$2:$A$50,0)),"")</f>
        <v>Marketing Digital y Ge</v>
      </c>
      <c r="K1041" s="10" t="s">
        <v>807</v>
      </c>
    </row>
    <row r="1042" spans="1:11" x14ac:dyDescent="0.2">
      <c r="A1042" s="10">
        <v>1041</v>
      </c>
      <c r="B1042" s="10" t="s">
        <v>6790</v>
      </c>
      <c r="C1042" s="11" t="s">
        <v>4205</v>
      </c>
      <c r="D1042" s="10" t="s">
        <v>4419</v>
      </c>
      <c r="E1042" s="10" t="s">
        <v>6791</v>
      </c>
      <c r="F1042" s="11" t="s">
        <v>6792</v>
      </c>
      <c r="G1042" s="10" t="s">
        <v>13</v>
      </c>
      <c r="H1042" s="12">
        <v>46262</v>
      </c>
      <c r="I1042" s="10" t="s">
        <v>4166</v>
      </c>
      <c r="J1042" s="10" t="str">
        <f>IFERROR(INDEX([1]Programas!$B$2:$B$50,MATCH(LEFT(I1042,3),[1]Programas!$A$2:$A$50,0)),"")</f>
        <v>Marketing Digital y Ge</v>
      </c>
      <c r="K1042" s="10" t="s">
        <v>807</v>
      </c>
    </row>
    <row r="1043" spans="1:11" x14ac:dyDescent="0.2">
      <c r="A1043" s="10">
        <v>1042</v>
      </c>
      <c r="B1043" s="10" t="s">
        <v>6793</v>
      </c>
      <c r="C1043" s="11" t="s">
        <v>4207</v>
      </c>
      <c r="D1043" s="10" t="s">
        <v>4419</v>
      </c>
      <c r="E1043" s="10" t="s">
        <v>6794</v>
      </c>
      <c r="F1043" s="11" t="s">
        <v>6795</v>
      </c>
      <c r="G1043" s="10" t="s">
        <v>13</v>
      </c>
      <c r="H1043" s="12">
        <v>46262</v>
      </c>
      <c r="I1043" s="10" t="s">
        <v>4166</v>
      </c>
      <c r="J1043" s="10" t="str">
        <f>IFERROR(INDEX([1]Programas!$B$2:$B$50,MATCH(LEFT(I1043,3),[1]Programas!$A$2:$A$50,0)),"")</f>
        <v>Marketing Digital y Ge</v>
      </c>
      <c r="K1043" s="10" t="s">
        <v>807</v>
      </c>
    </row>
    <row r="1044" spans="1:11" x14ac:dyDescent="0.2">
      <c r="A1044" s="10">
        <v>1043</v>
      </c>
      <c r="B1044" s="10" t="s">
        <v>4212</v>
      </c>
      <c r="C1044" s="11" t="s">
        <v>4211</v>
      </c>
      <c r="D1044" s="10" t="s">
        <v>4419</v>
      </c>
      <c r="E1044" s="10" t="s">
        <v>6796</v>
      </c>
      <c r="F1044" s="11" t="s">
        <v>6797</v>
      </c>
      <c r="G1044" s="10" t="s">
        <v>13</v>
      </c>
      <c r="H1044" s="12">
        <v>46262</v>
      </c>
      <c r="I1044" s="10" t="s">
        <v>4166</v>
      </c>
      <c r="J1044" s="10" t="str">
        <f>IFERROR(INDEX([1]Programas!$B$2:$B$50,MATCH(LEFT(I1044,3),[1]Programas!$A$2:$A$50,0)),"")</f>
        <v>Marketing Digital y Ge</v>
      </c>
      <c r="K1044" s="10" t="s">
        <v>807</v>
      </c>
    </row>
    <row r="1045" spans="1:11" x14ac:dyDescent="0.2">
      <c r="A1045" s="10">
        <v>1044</v>
      </c>
      <c r="B1045" s="10" t="s">
        <v>4214</v>
      </c>
      <c r="C1045" s="11" t="s">
        <v>4213</v>
      </c>
      <c r="D1045" s="10" t="s">
        <v>4419</v>
      </c>
      <c r="E1045" s="10" t="s">
        <v>6798</v>
      </c>
      <c r="F1045" s="11" t="s">
        <v>6799</v>
      </c>
      <c r="G1045" s="10" t="s">
        <v>13</v>
      </c>
      <c r="H1045" s="12">
        <v>46262</v>
      </c>
      <c r="I1045" s="10" t="s">
        <v>4166</v>
      </c>
      <c r="J1045" s="10" t="str">
        <f>IFERROR(INDEX([1]Programas!$B$2:$B$50,MATCH(LEFT(I1045,3),[1]Programas!$A$2:$A$50,0)),"")</f>
        <v>Marketing Digital y Ge</v>
      </c>
      <c r="K1045" s="10" t="s">
        <v>807</v>
      </c>
    </row>
    <row r="1046" spans="1:11" x14ac:dyDescent="0.2">
      <c r="A1046" s="10">
        <v>1045</v>
      </c>
      <c r="B1046" s="10" t="s">
        <v>4216</v>
      </c>
      <c r="C1046" s="11" t="s">
        <v>4215</v>
      </c>
      <c r="D1046" s="10" t="s">
        <v>4419</v>
      </c>
      <c r="E1046" s="10" t="s">
        <v>6800</v>
      </c>
      <c r="F1046" s="11" t="s">
        <v>6801</v>
      </c>
      <c r="G1046" s="10" t="s">
        <v>13</v>
      </c>
      <c r="H1046" s="12">
        <v>46262</v>
      </c>
      <c r="I1046" s="10" t="s">
        <v>4166</v>
      </c>
      <c r="J1046" s="10" t="str">
        <f>IFERROR(INDEX([1]Programas!$B$2:$B$50,MATCH(LEFT(I1046,3),[1]Programas!$A$2:$A$50,0)),"")</f>
        <v>Marketing Digital y Ge</v>
      </c>
      <c r="K1046" s="10" t="s">
        <v>807</v>
      </c>
    </row>
    <row r="1047" spans="1:11" x14ac:dyDescent="0.2">
      <c r="A1047" s="10">
        <v>1046</v>
      </c>
      <c r="B1047" s="10" t="s">
        <v>6802</v>
      </c>
      <c r="C1047" s="11" t="s">
        <v>4217</v>
      </c>
      <c r="D1047" s="10" t="s">
        <v>4419</v>
      </c>
      <c r="E1047" s="10" t="s">
        <v>6803</v>
      </c>
      <c r="F1047" s="11" t="s">
        <v>6804</v>
      </c>
      <c r="G1047" s="10" t="s">
        <v>13</v>
      </c>
      <c r="H1047" s="12">
        <v>46262</v>
      </c>
      <c r="I1047" s="10" t="s">
        <v>4166</v>
      </c>
      <c r="J1047" s="10" t="str">
        <f>IFERROR(INDEX([1]Programas!$B$2:$B$50,MATCH(LEFT(I1047,3),[1]Programas!$A$2:$A$50,0)),"")</f>
        <v>Marketing Digital y Ge</v>
      </c>
      <c r="K1047" s="10" t="s">
        <v>807</v>
      </c>
    </row>
    <row r="1048" spans="1:11" x14ac:dyDescent="0.2">
      <c r="A1048" s="10">
        <v>1047</v>
      </c>
      <c r="B1048" s="10" t="s">
        <v>4220</v>
      </c>
      <c r="C1048" s="11" t="s">
        <v>4219</v>
      </c>
      <c r="D1048" s="10" t="s">
        <v>4419</v>
      </c>
      <c r="E1048" s="10" t="s">
        <v>6805</v>
      </c>
      <c r="F1048" s="11" t="s">
        <v>6806</v>
      </c>
      <c r="G1048" s="10" t="s">
        <v>13</v>
      </c>
      <c r="H1048" s="12">
        <v>46262</v>
      </c>
      <c r="I1048" s="10" t="s">
        <v>4166</v>
      </c>
      <c r="J1048" s="10" t="str">
        <f>IFERROR(INDEX([1]Programas!$B$2:$B$50,MATCH(LEFT(I1048,3),[1]Programas!$A$2:$A$50,0)),"")</f>
        <v>Marketing Digital y Ge</v>
      </c>
      <c r="K1048" s="10" t="s">
        <v>807</v>
      </c>
    </row>
    <row r="1049" spans="1:11" x14ac:dyDescent="0.2">
      <c r="A1049" s="10">
        <v>1048</v>
      </c>
      <c r="B1049" s="10" t="s">
        <v>4222</v>
      </c>
      <c r="C1049" s="11" t="s">
        <v>4221</v>
      </c>
      <c r="D1049" s="10" t="s">
        <v>4419</v>
      </c>
      <c r="E1049" s="10" t="s">
        <v>6807</v>
      </c>
      <c r="F1049" s="11" t="s">
        <v>6808</v>
      </c>
      <c r="G1049" s="10" t="s">
        <v>13</v>
      </c>
      <c r="H1049" s="12">
        <v>46262</v>
      </c>
      <c r="I1049" s="10" t="s">
        <v>4166</v>
      </c>
      <c r="J1049" s="10" t="str">
        <f>IFERROR(INDEX([1]Programas!$B$2:$B$50,MATCH(LEFT(I1049,3),[1]Programas!$A$2:$A$50,0)),"")</f>
        <v>Marketing Digital y Ge</v>
      </c>
      <c r="K1049" s="10" t="s">
        <v>807</v>
      </c>
    </row>
    <row r="1050" spans="1:11" x14ac:dyDescent="0.2">
      <c r="A1050" s="10">
        <v>1049</v>
      </c>
      <c r="B1050" s="10" t="s">
        <v>6809</v>
      </c>
      <c r="C1050" s="11" t="s">
        <v>4223</v>
      </c>
      <c r="D1050" s="10" t="s">
        <v>4419</v>
      </c>
      <c r="E1050" s="10" t="s">
        <v>6810</v>
      </c>
      <c r="F1050" s="11" t="s">
        <v>6811</v>
      </c>
      <c r="G1050" s="10" t="s">
        <v>13</v>
      </c>
      <c r="H1050" s="12">
        <v>46262</v>
      </c>
      <c r="I1050" s="10" t="s">
        <v>4166</v>
      </c>
      <c r="J1050" s="10" t="str">
        <f>IFERROR(INDEX([1]Programas!$B$2:$B$50,MATCH(LEFT(I1050,3),[1]Programas!$A$2:$A$50,0)),"")</f>
        <v>Marketing Digital y Ge</v>
      </c>
      <c r="K1050" s="10" t="s">
        <v>807</v>
      </c>
    </row>
    <row r="1051" spans="1:11" x14ac:dyDescent="0.2">
      <c r="A1051" s="10">
        <v>1050</v>
      </c>
      <c r="B1051" s="10" t="s">
        <v>4226</v>
      </c>
      <c r="C1051" s="11" t="s">
        <v>4225</v>
      </c>
      <c r="D1051" s="10" t="s">
        <v>4419</v>
      </c>
      <c r="E1051" s="10" t="s">
        <v>6812</v>
      </c>
      <c r="F1051" s="11" t="s">
        <v>6813</v>
      </c>
      <c r="G1051" s="10" t="s">
        <v>13</v>
      </c>
      <c r="H1051" s="12">
        <v>46262</v>
      </c>
      <c r="I1051" s="10" t="s">
        <v>4166</v>
      </c>
      <c r="J1051" s="10" t="str">
        <f>IFERROR(INDEX([1]Programas!$B$2:$B$50,MATCH(LEFT(I1051,3),[1]Programas!$A$2:$A$50,0)),"")</f>
        <v>Marketing Digital y Ge</v>
      </c>
      <c r="K1051" s="10" t="s">
        <v>807</v>
      </c>
    </row>
    <row r="1052" spans="1:11" x14ac:dyDescent="0.2">
      <c r="A1052" s="10">
        <v>1051</v>
      </c>
      <c r="B1052" s="10" t="s">
        <v>4228</v>
      </c>
      <c r="C1052" s="11" t="s">
        <v>4227</v>
      </c>
      <c r="D1052" s="10" t="s">
        <v>4419</v>
      </c>
      <c r="E1052" s="10" t="s">
        <v>6814</v>
      </c>
      <c r="F1052" s="11" t="s">
        <v>6815</v>
      </c>
      <c r="G1052" s="10" t="s">
        <v>13</v>
      </c>
      <c r="H1052" s="12">
        <v>46262</v>
      </c>
      <c r="I1052" s="10" t="s">
        <v>4166</v>
      </c>
      <c r="J1052" s="10" t="str">
        <f>IFERROR(INDEX([1]Programas!$B$2:$B$50,MATCH(LEFT(I1052,3),[1]Programas!$A$2:$A$50,0)),"")</f>
        <v>Marketing Digital y Ge</v>
      </c>
      <c r="K1052" s="10" t="s">
        <v>807</v>
      </c>
    </row>
    <row r="1053" spans="1:11" x14ac:dyDescent="0.2">
      <c r="A1053" s="10">
        <v>1052</v>
      </c>
      <c r="B1053" s="10" t="s">
        <v>6816</v>
      </c>
      <c r="C1053" s="11" t="s">
        <v>4229</v>
      </c>
      <c r="D1053" s="10" t="s">
        <v>4419</v>
      </c>
      <c r="E1053" s="10" t="s">
        <v>6817</v>
      </c>
      <c r="F1053" s="11" t="s">
        <v>6818</v>
      </c>
      <c r="G1053" s="10" t="s">
        <v>13</v>
      </c>
      <c r="H1053" s="12">
        <v>46262</v>
      </c>
      <c r="I1053" s="10" t="s">
        <v>4166</v>
      </c>
      <c r="J1053" s="10" t="str">
        <f>IFERROR(INDEX([1]Programas!$B$2:$B$50,MATCH(LEFT(I1053,3),[1]Programas!$A$2:$A$50,0)),"")</f>
        <v>Marketing Digital y Ge</v>
      </c>
      <c r="K1053" s="10" t="s">
        <v>807</v>
      </c>
    </row>
    <row r="1054" spans="1:11" x14ac:dyDescent="0.2">
      <c r="A1054" s="10">
        <v>1053</v>
      </c>
      <c r="B1054" s="10" t="s">
        <v>4232</v>
      </c>
      <c r="C1054" s="11" t="s">
        <v>4231</v>
      </c>
      <c r="D1054" s="10" t="s">
        <v>4419</v>
      </c>
      <c r="E1054" s="10" t="s">
        <v>6819</v>
      </c>
      <c r="F1054" s="11" t="s">
        <v>6820</v>
      </c>
      <c r="G1054" s="10" t="s">
        <v>13</v>
      </c>
      <c r="H1054" s="12">
        <v>46262</v>
      </c>
      <c r="I1054" s="10" t="s">
        <v>4166</v>
      </c>
      <c r="J1054" s="10" t="str">
        <f>IFERROR(INDEX([1]Programas!$B$2:$B$50,MATCH(LEFT(I1054,3),[1]Programas!$A$2:$A$50,0)),"")</f>
        <v>Marketing Digital y Ge</v>
      </c>
      <c r="K1054" s="10" t="s">
        <v>807</v>
      </c>
    </row>
    <row r="1055" spans="1:11" x14ac:dyDescent="0.2">
      <c r="A1055" s="10">
        <v>1054</v>
      </c>
      <c r="B1055" s="10" t="s">
        <v>6821</v>
      </c>
      <c r="C1055" s="11" t="s">
        <v>4233</v>
      </c>
      <c r="D1055" s="10" t="s">
        <v>4419</v>
      </c>
      <c r="E1055" s="10" t="s">
        <v>6822</v>
      </c>
      <c r="F1055" s="11" t="s">
        <v>6823</v>
      </c>
      <c r="G1055" s="10" t="s">
        <v>13</v>
      </c>
      <c r="H1055" s="12">
        <v>46262</v>
      </c>
      <c r="I1055" s="10" t="s">
        <v>4166</v>
      </c>
      <c r="J1055" s="10" t="str">
        <f>IFERROR(INDEX([1]Programas!$B$2:$B$50,MATCH(LEFT(I1055,3),[1]Programas!$A$2:$A$50,0)),"")</f>
        <v>Marketing Digital y Ge</v>
      </c>
      <c r="K1055" s="10" t="s">
        <v>807</v>
      </c>
    </row>
    <row r="1056" spans="1:11" x14ac:dyDescent="0.2">
      <c r="A1056" s="10">
        <v>1055</v>
      </c>
      <c r="B1056" s="10" t="s">
        <v>4236</v>
      </c>
      <c r="C1056" s="11" t="s">
        <v>4235</v>
      </c>
      <c r="D1056" s="10" t="s">
        <v>4419</v>
      </c>
      <c r="E1056" s="10" t="s">
        <v>6824</v>
      </c>
      <c r="F1056" s="11" t="s">
        <v>6825</v>
      </c>
      <c r="G1056" s="10" t="s">
        <v>13</v>
      </c>
      <c r="H1056" s="12">
        <v>46262</v>
      </c>
      <c r="I1056" s="10" t="s">
        <v>4166</v>
      </c>
      <c r="J1056" s="10" t="str">
        <f>IFERROR(INDEX([1]Programas!$B$2:$B$50,MATCH(LEFT(I1056,3),[1]Programas!$A$2:$A$50,0)),"")</f>
        <v>Marketing Digital y Ge</v>
      </c>
      <c r="K1056" s="10" t="s">
        <v>807</v>
      </c>
    </row>
    <row r="1057" spans="1:11" x14ac:dyDescent="0.2">
      <c r="A1057" s="10">
        <v>1056</v>
      </c>
      <c r="B1057" s="10" t="s">
        <v>6826</v>
      </c>
      <c r="C1057" s="11" t="s">
        <v>4237</v>
      </c>
      <c r="D1057" s="10" t="s">
        <v>4419</v>
      </c>
      <c r="E1057" s="10" t="s">
        <v>6827</v>
      </c>
      <c r="F1057" s="11" t="s">
        <v>6828</v>
      </c>
      <c r="G1057" s="10" t="s">
        <v>13</v>
      </c>
      <c r="H1057" s="12">
        <v>46262</v>
      </c>
      <c r="I1057" s="10" t="s">
        <v>4166</v>
      </c>
      <c r="J1057" s="10" t="str">
        <f>IFERROR(INDEX([1]Programas!$B$2:$B$50,MATCH(LEFT(I1057,3),[1]Programas!$A$2:$A$50,0)),"")</f>
        <v>Marketing Digital y Ge</v>
      </c>
      <c r="K1057" s="10" t="s">
        <v>807</v>
      </c>
    </row>
    <row r="1058" spans="1:11" x14ac:dyDescent="0.2">
      <c r="A1058" s="10">
        <v>1057</v>
      </c>
      <c r="B1058" s="10" t="s">
        <v>4240</v>
      </c>
      <c r="C1058" s="11" t="s">
        <v>4239</v>
      </c>
      <c r="D1058" s="10" t="s">
        <v>4419</v>
      </c>
      <c r="E1058" s="10" t="s">
        <v>6829</v>
      </c>
      <c r="F1058" s="11" t="s">
        <v>6830</v>
      </c>
      <c r="G1058" s="10" t="s">
        <v>13</v>
      </c>
      <c r="H1058" s="12">
        <v>46262</v>
      </c>
      <c r="I1058" s="10" t="s">
        <v>4166</v>
      </c>
      <c r="J1058" s="10" t="str">
        <f>IFERROR(INDEX([1]Programas!$B$2:$B$50,MATCH(LEFT(I1058,3),[1]Programas!$A$2:$A$50,0)),"")</f>
        <v>Marketing Digital y Ge</v>
      </c>
      <c r="K1058" s="10" t="s">
        <v>807</v>
      </c>
    </row>
    <row r="1059" spans="1:11" x14ac:dyDescent="0.2">
      <c r="A1059" s="10">
        <v>1058</v>
      </c>
      <c r="B1059" s="10" t="s">
        <v>4242</v>
      </c>
      <c r="C1059" s="11" t="s">
        <v>4241</v>
      </c>
      <c r="D1059" s="10" t="s">
        <v>4419</v>
      </c>
      <c r="E1059" s="10" t="s">
        <v>6831</v>
      </c>
      <c r="F1059" s="11" t="s">
        <v>6832</v>
      </c>
      <c r="G1059" s="10" t="s">
        <v>13</v>
      </c>
      <c r="H1059" s="12">
        <v>46262</v>
      </c>
      <c r="I1059" s="10" t="s">
        <v>4166</v>
      </c>
      <c r="J1059" s="10" t="str">
        <f>IFERROR(INDEX([1]Programas!$B$2:$B$50,MATCH(LEFT(I1059,3),[1]Programas!$A$2:$A$50,0)),"")</f>
        <v>Marketing Digital y Ge</v>
      </c>
      <c r="K1059" s="10" t="s">
        <v>807</v>
      </c>
    </row>
    <row r="1060" spans="1:11" x14ac:dyDescent="0.2">
      <c r="A1060" s="10">
        <v>1059</v>
      </c>
      <c r="B1060" s="10" t="s">
        <v>4244</v>
      </c>
      <c r="C1060" s="11" t="s">
        <v>4243</v>
      </c>
      <c r="D1060" s="10" t="s">
        <v>4419</v>
      </c>
      <c r="E1060" s="10" t="s">
        <v>6833</v>
      </c>
      <c r="F1060" s="11" t="s">
        <v>6834</v>
      </c>
      <c r="G1060" s="10" t="s">
        <v>13</v>
      </c>
      <c r="H1060" s="12">
        <v>46262</v>
      </c>
      <c r="I1060" s="10" t="s">
        <v>4166</v>
      </c>
      <c r="J1060" s="10" t="str">
        <f>IFERROR(INDEX([1]Programas!$B$2:$B$50,MATCH(LEFT(I1060,3),[1]Programas!$A$2:$A$50,0)),"")</f>
        <v>Marketing Digital y Ge</v>
      </c>
      <c r="K1060" s="10" t="s">
        <v>807</v>
      </c>
    </row>
    <row r="1061" spans="1:11" x14ac:dyDescent="0.2">
      <c r="A1061" s="10">
        <v>1060</v>
      </c>
      <c r="B1061" s="10" t="s">
        <v>6835</v>
      </c>
      <c r="C1061" s="11" t="s">
        <v>4245</v>
      </c>
      <c r="D1061" s="10" t="s">
        <v>4419</v>
      </c>
      <c r="E1061" s="10" t="s">
        <v>6836</v>
      </c>
      <c r="F1061" s="11" t="s">
        <v>6837</v>
      </c>
      <c r="G1061" s="10" t="s">
        <v>13</v>
      </c>
      <c r="H1061" s="12">
        <v>46262</v>
      </c>
      <c r="I1061" s="10" t="s">
        <v>4166</v>
      </c>
      <c r="J1061" s="10" t="str">
        <f>IFERROR(INDEX([1]Programas!$B$2:$B$50,MATCH(LEFT(I1061,3),[1]Programas!$A$2:$A$50,0)),"")</f>
        <v>Marketing Digital y Ge</v>
      </c>
      <c r="K1061" s="10" t="s">
        <v>807</v>
      </c>
    </row>
    <row r="1062" spans="1:11" x14ac:dyDescent="0.2">
      <c r="A1062" s="10">
        <v>1061</v>
      </c>
      <c r="B1062" s="10" t="s">
        <v>1440</v>
      </c>
      <c r="C1062" s="11" t="s">
        <v>1439</v>
      </c>
      <c r="D1062" s="10" t="s">
        <v>4419</v>
      </c>
      <c r="E1062" s="10" t="s">
        <v>6838</v>
      </c>
      <c r="F1062" s="11" t="s">
        <v>6839</v>
      </c>
      <c r="G1062" s="10" t="s">
        <v>13</v>
      </c>
      <c r="H1062" s="12">
        <v>46275</v>
      </c>
      <c r="I1062" s="10" t="s">
        <v>4166</v>
      </c>
      <c r="J1062" s="10" t="str">
        <f>IFERROR(INDEX([1]Programas!$B$2:$B$50,MATCH(LEFT(I1062,3),[1]Programas!$A$2:$A$50,0)),"")</f>
        <v>Marketing Digital y Ge</v>
      </c>
      <c r="K1062" s="10" t="s">
        <v>807</v>
      </c>
    </row>
    <row r="1063" spans="1:11" x14ac:dyDescent="0.2">
      <c r="A1063" s="10">
        <v>1062</v>
      </c>
      <c r="B1063" s="10" t="s">
        <v>6840</v>
      </c>
      <c r="C1063" s="11" t="s">
        <v>4250</v>
      </c>
      <c r="D1063" s="10" t="s">
        <v>4419</v>
      </c>
      <c r="E1063" s="10" t="s">
        <v>6841</v>
      </c>
      <c r="F1063" s="11" t="s">
        <v>6842</v>
      </c>
      <c r="G1063" s="10" t="s">
        <v>13</v>
      </c>
      <c r="H1063" s="12">
        <v>46262</v>
      </c>
      <c r="I1063" s="10" t="s">
        <v>4248</v>
      </c>
      <c r="J1063" s="10" t="str">
        <f>IFERROR(INDEX([1]Programas!$B$2:$B$50,MATCH(LEFT(I1063,3),[1]Programas!$A$2:$A$50,0)),"")</f>
        <v>Marketing Digital y Ge</v>
      </c>
      <c r="K1063" s="10" t="s">
        <v>516</v>
      </c>
    </row>
    <row r="1064" spans="1:11" x14ac:dyDescent="0.2">
      <c r="A1064" s="10">
        <v>1063</v>
      </c>
      <c r="B1064" s="10" t="s">
        <v>6843</v>
      </c>
      <c r="C1064" s="11" t="s">
        <v>4252</v>
      </c>
      <c r="D1064" s="10" t="s">
        <v>4419</v>
      </c>
      <c r="E1064" s="10" t="s">
        <v>6844</v>
      </c>
      <c r="F1064" s="11" t="s">
        <v>6845</v>
      </c>
      <c r="G1064" s="10" t="s">
        <v>13</v>
      </c>
      <c r="H1064" s="12">
        <v>46262</v>
      </c>
      <c r="I1064" s="10" t="s">
        <v>4248</v>
      </c>
      <c r="J1064" s="10" t="str">
        <f>IFERROR(INDEX([1]Programas!$B$2:$B$50,MATCH(LEFT(I1064,3),[1]Programas!$A$2:$A$50,0)),"")</f>
        <v>Marketing Digital y Ge</v>
      </c>
      <c r="K1064" s="10" t="s">
        <v>516</v>
      </c>
    </row>
    <row r="1065" spans="1:11" x14ac:dyDescent="0.2">
      <c r="A1065" s="10">
        <v>1064</v>
      </c>
      <c r="B1065" s="10" t="s">
        <v>4255</v>
      </c>
      <c r="C1065" s="11" t="s">
        <v>4254</v>
      </c>
      <c r="D1065" s="10" t="s">
        <v>4419</v>
      </c>
      <c r="E1065" s="10" t="s">
        <v>6846</v>
      </c>
      <c r="F1065" s="11" t="s">
        <v>6847</v>
      </c>
      <c r="G1065" s="10" t="s">
        <v>13</v>
      </c>
      <c r="H1065" s="12">
        <v>46262</v>
      </c>
      <c r="I1065" s="10" t="s">
        <v>4248</v>
      </c>
      <c r="J1065" s="10" t="str">
        <f>IFERROR(INDEX([1]Programas!$B$2:$B$50,MATCH(LEFT(I1065,3),[1]Programas!$A$2:$A$50,0)),"")</f>
        <v>Marketing Digital y Ge</v>
      </c>
      <c r="K1065" s="10" t="s">
        <v>516</v>
      </c>
    </row>
    <row r="1066" spans="1:11" x14ac:dyDescent="0.2">
      <c r="A1066" s="10">
        <v>1065</v>
      </c>
      <c r="B1066" s="10" t="s">
        <v>6848</v>
      </c>
      <c r="C1066" s="11" t="s">
        <v>4256</v>
      </c>
      <c r="D1066" s="10" t="s">
        <v>4419</v>
      </c>
      <c r="E1066" s="10" t="s">
        <v>6849</v>
      </c>
      <c r="F1066" s="11" t="s">
        <v>6850</v>
      </c>
      <c r="G1066" s="10" t="s">
        <v>13</v>
      </c>
      <c r="H1066" s="12">
        <v>46262</v>
      </c>
      <c r="I1066" s="10" t="s">
        <v>4248</v>
      </c>
      <c r="J1066" s="10" t="str">
        <f>IFERROR(INDEX([1]Programas!$B$2:$B$50,MATCH(LEFT(I1066,3),[1]Programas!$A$2:$A$50,0)),"")</f>
        <v>Marketing Digital y Ge</v>
      </c>
      <c r="K1066" s="10" t="s">
        <v>516</v>
      </c>
    </row>
    <row r="1067" spans="1:11" x14ac:dyDescent="0.2">
      <c r="A1067" s="10">
        <v>1066</v>
      </c>
      <c r="B1067" s="10" t="s">
        <v>6851</v>
      </c>
      <c r="C1067" s="11" t="s">
        <v>4258</v>
      </c>
      <c r="D1067" s="10" t="s">
        <v>4419</v>
      </c>
      <c r="E1067" s="10" t="s">
        <v>6852</v>
      </c>
      <c r="F1067" s="11" t="s">
        <v>6853</v>
      </c>
      <c r="G1067" s="10" t="s">
        <v>13</v>
      </c>
      <c r="H1067" s="12">
        <v>46262</v>
      </c>
      <c r="I1067" s="10" t="s">
        <v>4248</v>
      </c>
      <c r="J1067" s="10" t="str">
        <f>IFERROR(INDEX([1]Programas!$B$2:$B$50,MATCH(LEFT(I1067,3),[1]Programas!$A$2:$A$50,0)),"")</f>
        <v>Marketing Digital y Ge</v>
      </c>
      <c r="K1067" s="10" t="s">
        <v>516</v>
      </c>
    </row>
    <row r="1068" spans="1:11" x14ac:dyDescent="0.2">
      <c r="A1068" s="10">
        <v>1067</v>
      </c>
      <c r="B1068" s="10" t="s">
        <v>6854</v>
      </c>
      <c r="C1068" s="11" t="s">
        <v>4260</v>
      </c>
      <c r="D1068" s="10" t="s">
        <v>4419</v>
      </c>
      <c r="E1068" s="10" t="s">
        <v>6855</v>
      </c>
      <c r="F1068" s="11" t="s">
        <v>6856</v>
      </c>
      <c r="G1068" s="10" t="s">
        <v>13</v>
      </c>
      <c r="H1068" s="12">
        <v>46262</v>
      </c>
      <c r="I1068" s="10" t="s">
        <v>4248</v>
      </c>
      <c r="J1068" s="10" t="str">
        <f>IFERROR(INDEX([1]Programas!$B$2:$B$50,MATCH(LEFT(I1068,3),[1]Programas!$A$2:$A$50,0)),"")</f>
        <v>Marketing Digital y Ge</v>
      </c>
      <c r="K1068" s="10" t="s">
        <v>516</v>
      </c>
    </row>
    <row r="1069" spans="1:11" x14ac:dyDescent="0.2">
      <c r="A1069" s="10">
        <v>1068</v>
      </c>
      <c r="B1069" s="10" t="s">
        <v>4263</v>
      </c>
      <c r="C1069" s="11" t="s">
        <v>4262</v>
      </c>
      <c r="D1069" s="10" t="s">
        <v>4419</v>
      </c>
      <c r="E1069" s="10" t="s">
        <v>6857</v>
      </c>
      <c r="F1069" s="11" t="s">
        <v>6858</v>
      </c>
      <c r="G1069" s="10" t="s">
        <v>13</v>
      </c>
      <c r="H1069" s="12">
        <v>46262</v>
      </c>
      <c r="I1069" s="10" t="s">
        <v>4248</v>
      </c>
      <c r="J1069" s="10" t="str">
        <f>IFERROR(INDEX([1]Programas!$B$2:$B$50,MATCH(LEFT(I1069,3),[1]Programas!$A$2:$A$50,0)),"")</f>
        <v>Marketing Digital y Ge</v>
      </c>
      <c r="K1069" s="10" t="s">
        <v>516</v>
      </c>
    </row>
    <row r="1070" spans="1:11" x14ac:dyDescent="0.2">
      <c r="A1070" s="10">
        <v>1069</v>
      </c>
      <c r="B1070" s="10" t="s">
        <v>4265</v>
      </c>
      <c r="C1070" s="11" t="s">
        <v>4264</v>
      </c>
      <c r="D1070" s="10" t="s">
        <v>4419</v>
      </c>
      <c r="E1070" s="10" t="s">
        <v>6859</v>
      </c>
      <c r="F1070" s="11" t="s">
        <v>6860</v>
      </c>
      <c r="G1070" s="10" t="s">
        <v>13</v>
      </c>
      <c r="H1070" s="12">
        <v>46262</v>
      </c>
      <c r="I1070" s="10" t="s">
        <v>4248</v>
      </c>
      <c r="J1070" s="10" t="str">
        <f>IFERROR(INDEX([1]Programas!$B$2:$B$50,MATCH(LEFT(I1070,3),[1]Programas!$A$2:$A$50,0)),"")</f>
        <v>Marketing Digital y Ge</v>
      </c>
      <c r="K1070" s="10" t="s">
        <v>516</v>
      </c>
    </row>
    <row r="1071" spans="1:11" x14ac:dyDescent="0.2">
      <c r="A1071" s="10">
        <v>1070</v>
      </c>
      <c r="B1071" s="10" t="s">
        <v>6861</v>
      </c>
      <c r="C1071" s="11" t="s">
        <v>4266</v>
      </c>
      <c r="D1071" s="10" t="s">
        <v>4419</v>
      </c>
      <c r="E1071" s="10" t="s">
        <v>6862</v>
      </c>
      <c r="F1071" s="11" t="s">
        <v>6863</v>
      </c>
      <c r="G1071" s="10" t="s">
        <v>13</v>
      </c>
      <c r="H1071" s="12">
        <v>46262</v>
      </c>
      <c r="I1071" s="10" t="s">
        <v>4248</v>
      </c>
      <c r="J1071" s="10" t="str">
        <f>IFERROR(INDEX([1]Programas!$B$2:$B$50,MATCH(LEFT(I1071,3),[1]Programas!$A$2:$A$50,0)),"")</f>
        <v>Marketing Digital y Ge</v>
      </c>
      <c r="K1071" s="10" t="s">
        <v>516</v>
      </c>
    </row>
    <row r="1072" spans="1:11" x14ac:dyDescent="0.2">
      <c r="A1072" s="10">
        <v>1071</v>
      </c>
      <c r="B1072" s="10" t="s">
        <v>4269</v>
      </c>
      <c r="C1072" s="11" t="s">
        <v>4268</v>
      </c>
      <c r="D1072" s="10" t="s">
        <v>4419</v>
      </c>
      <c r="E1072" s="10" t="s">
        <v>6864</v>
      </c>
      <c r="F1072" s="11" t="s">
        <v>6865</v>
      </c>
      <c r="G1072" s="10" t="s">
        <v>13</v>
      </c>
      <c r="H1072" s="12">
        <v>46262</v>
      </c>
      <c r="I1072" s="10" t="s">
        <v>4248</v>
      </c>
      <c r="J1072" s="10" t="str">
        <f>IFERROR(INDEX([1]Programas!$B$2:$B$50,MATCH(LEFT(I1072,3),[1]Programas!$A$2:$A$50,0)),"")</f>
        <v>Marketing Digital y Ge</v>
      </c>
      <c r="K1072" s="10" t="s">
        <v>516</v>
      </c>
    </row>
    <row r="1073" spans="1:11" x14ac:dyDescent="0.2">
      <c r="A1073" s="10">
        <v>1072</v>
      </c>
      <c r="B1073" s="10" t="s">
        <v>4271</v>
      </c>
      <c r="C1073" s="11" t="s">
        <v>4270</v>
      </c>
      <c r="D1073" s="10" t="s">
        <v>4419</v>
      </c>
      <c r="E1073" s="10" t="s">
        <v>6866</v>
      </c>
      <c r="F1073" s="11" t="s">
        <v>6867</v>
      </c>
      <c r="G1073" s="10" t="s">
        <v>13</v>
      </c>
      <c r="H1073" s="12">
        <v>46262</v>
      </c>
      <c r="I1073" s="10" t="s">
        <v>4248</v>
      </c>
      <c r="J1073" s="10" t="str">
        <f>IFERROR(INDEX([1]Programas!$B$2:$B$50,MATCH(LEFT(I1073,3),[1]Programas!$A$2:$A$50,0)),"")</f>
        <v>Marketing Digital y Ge</v>
      </c>
      <c r="K1073" s="10" t="s">
        <v>516</v>
      </c>
    </row>
    <row r="1074" spans="1:11" x14ac:dyDescent="0.2">
      <c r="A1074" s="10">
        <v>1073</v>
      </c>
      <c r="B1074" s="10" t="s">
        <v>6868</v>
      </c>
      <c r="C1074" s="11" t="s">
        <v>4272</v>
      </c>
      <c r="D1074" s="10" t="s">
        <v>4419</v>
      </c>
      <c r="E1074" s="10" t="s">
        <v>6869</v>
      </c>
      <c r="F1074" s="11" t="s">
        <v>6870</v>
      </c>
      <c r="G1074" s="10" t="s">
        <v>13</v>
      </c>
      <c r="H1074" s="12">
        <v>46262</v>
      </c>
      <c r="I1074" s="10" t="s">
        <v>4248</v>
      </c>
      <c r="J1074" s="10" t="str">
        <f>IFERROR(INDEX([1]Programas!$B$2:$B$50,MATCH(LEFT(I1074,3),[1]Programas!$A$2:$A$50,0)),"")</f>
        <v>Marketing Digital y Ge</v>
      </c>
      <c r="K1074" s="10" t="s">
        <v>516</v>
      </c>
    </row>
    <row r="1075" spans="1:11" x14ac:dyDescent="0.2">
      <c r="A1075" s="10">
        <v>1074</v>
      </c>
      <c r="B1075" s="10" t="s">
        <v>4275</v>
      </c>
      <c r="C1075" s="11" t="s">
        <v>4274</v>
      </c>
      <c r="D1075" s="10" t="s">
        <v>4453</v>
      </c>
      <c r="E1075" s="10" t="s">
        <v>6871</v>
      </c>
      <c r="F1075" s="11" t="s">
        <v>6872</v>
      </c>
      <c r="G1075" s="10" t="s">
        <v>13</v>
      </c>
      <c r="H1075" s="12">
        <v>46262</v>
      </c>
      <c r="I1075" s="10" t="s">
        <v>4248</v>
      </c>
      <c r="J1075" s="10" t="str">
        <f>IFERROR(INDEX([1]Programas!$B$2:$B$50,MATCH(LEFT(I1075,3),[1]Programas!$A$2:$A$50,0)),"")</f>
        <v>Marketing Digital y Ge</v>
      </c>
      <c r="K1075" s="10" t="s">
        <v>516</v>
      </c>
    </row>
    <row r="1076" spans="1:11" x14ac:dyDescent="0.2">
      <c r="A1076" s="10">
        <v>1075</v>
      </c>
      <c r="B1076" s="10" t="s">
        <v>4277</v>
      </c>
      <c r="C1076" s="11" t="s">
        <v>4276</v>
      </c>
      <c r="D1076" s="10" t="s">
        <v>4419</v>
      </c>
      <c r="E1076" s="10" t="s">
        <v>6873</v>
      </c>
      <c r="F1076" s="11" t="s">
        <v>6874</v>
      </c>
      <c r="G1076" s="10" t="s">
        <v>13</v>
      </c>
      <c r="H1076" s="12">
        <v>46262</v>
      </c>
      <c r="I1076" s="10" t="s">
        <v>4248</v>
      </c>
      <c r="J1076" s="10" t="str">
        <f>IFERROR(INDEX([1]Programas!$B$2:$B$50,MATCH(LEFT(I1076,3),[1]Programas!$A$2:$A$50,0)),"")</f>
        <v>Marketing Digital y Ge</v>
      </c>
      <c r="K1076" s="10" t="s">
        <v>516</v>
      </c>
    </row>
    <row r="1077" spans="1:11" x14ac:dyDescent="0.2">
      <c r="A1077" s="10">
        <v>1076</v>
      </c>
      <c r="B1077" s="10" t="s">
        <v>6875</v>
      </c>
      <c r="C1077" s="11" t="s">
        <v>4278</v>
      </c>
      <c r="D1077" s="10" t="s">
        <v>4419</v>
      </c>
      <c r="E1077" s="10" t="s">
        <v>6876</v>
      </c>
      <c r="F1077" s="11" t="s">
        <v>6877</v>
      </c>
      <c r="G1077" s="10" t="s">
        <v>13</v>
      </c>
      <c r="H1077" s="12">
        <v>46262</v>
      </c>
      <c r="I1077" s="10" t="s">
        <v>4248</v>
      </c>
      <c r="J1077" s="10" t="str">
        <f>IFERROR(INDEX([1]Programas!$B$2:$B$50,MATCH(LEFT(I1077,3),[1]Programas!$A$2:$A$50,0)),"")</f>
        <v>Marketing Digital y Ge</v>
      </c>
      <c r="K1077" s="10" t="s">
        <v>516</v>
      </c>
    </row>
    <row r="1078" spans="1:11" x14ac:dyDescent="0.2">
      <c r="A1078" s="10">
        <v>1077</v>
      </c>
      <c r="B1078" s="10" t="s">
        <v>6878</v>
      </c>
      <c r="C1078" s="11" t="s">
        <v>4280</v>
      </c>
      <c r="D1078" s="10" t="s">
        <v>4419</v>
      </c>
      <c r="E1078" s="10" t="s">
        <v>6879</v>
      </c>
      <c r="F1078" s="11" t="s">
        <v>6880</v>
      </c>
      <c r="G1078" s="10" t="s">
        <v>13</v>
      </c>
      <c r="H1078" s="12">
        <v>46262</v>
      </c>
      <c r="I1078" s="10" t="s">
        <v>4248</v>
      </c>
      <c r="J1078" s="10" t="str">
        <f>IFERROR(INDEX([1]Programas!$B$2:$B$50,MATCH(LEFT(I1078,3),[1]Programas!$A$2:$A$50,0)),"")</f>
        <v>Marketing Digital y Ge</v>
      </c>
      <c r="K1078" s="10" t="s">
        <v>516</v>
      </c>
    </row>
    <row r="1079" spans="1:11" x14ac:dyDescent="0.2">
      <c r="A1079" s="10">
        <v>1078</v>
      </c>
      <c r="B1079" s="10" t="s">
        <v>4283</v>
      </c>
      <c r="C1079" s="11" t="s">
        <v>4282</v>
      </c>
      <c r="D1079" s="10" t="s">
        <v>4419</v>
      </c>
      <c r="E1079" s="10" t="s">
        <v>6881</v>
      </c>
      <c r="F1079" s="11" t="s">
        <v>6882</v>
      </c>
      <c r="G1079" s="10" t="s">
        <v>13</v>
      </c>
      <c r="H1079" s="12">
        <v>46262</v>
      </c>
      <c r="I1079" s="10" t="s">
        <v>4248</v>
      </c>
      <c r="J1079" s="10" t="str">
        <f>IFERROR(INDEX([1]Programas!$B$2:$B$50,MATCH(LEFT(I1079,3),[1]Programas!$A$2:$A$50,0)),"")</f>
        <v>Marketing Digital y Ge</v>
      </c>
      <c r="K1079" s="10" t="s">
        <v>516</v>
      </c>
    </row>
    <row r="1080" spans="1:11" x14ac:dyDescent="0.2">
      <c r="A1080" s="10">
        <v>1079</v>
      </c>
      <c r="B1080" s="10" t="s">
        <v>4285</v>
      </c>
      <c r="C1080" s="11" t="s">
        <v>4284</v>
      </c>
      <c r="D1080" s="10" t="s">
        <v>4419</v>
      </c>
      <c r="E1080" s="10" t="s">
        <v>6883</v>
      </c>
      <c r="F1080" s="11" t="s">
        <v>6884</v>
      </c>
      <c r="G1080" s="10" t="s">
        <v>13</v>
      </c>
      <c r="H1080" s="12">
        <v>46262</v>
      </c>
      <c r="I1080" s="10" t="s">
        <v>4248</v>
      </c>
      <c r="J1080" s="10" t="str">
        <f>IFERROR(INDEX([1]Programas!$B$2:$B$50,MATCH(LEFT(I1080,3),[1]Programas!$A$2:$A$50,0)),"")</f>
        <v>Marketing Digital y Ge</v>
      </c>
      <c r="K1080" s="10" t="s">
        <v>516</v>
      </c>
    </row>
    <row r="1081" spans="1:11" x14ac:dyDescent="0.2">
      <c r="A1081" s="10">
        <v>1080</v>
      </c>
      <c r="B1081" s="10" t="s">
        <v>6885</v>
      </c>
      <c r="C1081" s="11" t="s">
        <v>4286</v>
      </c>
      <c r="D1081" s="10" t="s">
        <v>4419</v>
      </c>
      <c r="E1081" s="10" t="s">
        <v>6886</v>
      </c>
      <c r="F1081" s="11" t="s">
        <v>6887</v>
      </c>
      <c r="G1081" s="10" t="s">
        <v>13</v>
      </c>
      <c r="H1081" s="12">
        <v>46262</v>
      </c>
      <c r="I1081" s="10" t="s">
        <v>4248</v>
      </c>
      <c r="J1081" s="10" t="str">
        <f>IFERROR(INDEX([1]Programas!$B$2:$B$50,MATCH(LEFT(I1081,3),[1]Programas!$A$2:$A$50,0)),"")</f>
        <v>Marketing Digital y Ge</v>
      </c>
      <c r="K1081" s="10" t="s">
        <v>516</v>
      </c>
    </row>
    <row r="1082" spans="1:11" x14ac:dyDescent="0.2">
      <c r="A1082" s="10">
        <v>1081</v>
      </c>
      <c r="B1082" s="10" t="s">
        <v>4289</v>
      </c>
      <c r="C1082" s="11" t="s">
        <v>4288</v>
      </c>
      <c r="D1082" s="10" t="s">
        <v>4419</v>
      </c>
      <c r="E1082" s="10" t="s">
        <v>6888</v>
      </c>
      <c r="F1082" s="11" t="s">
        <v>6889</v>
      </c>
      <c r="G1082" s="10" t="s">
        <v>13</v>
      </c>
      <c r="H1082" s="12">
        <v>46262</v>
      </c>
      <c r="I1082" s="10" t="s">
        <v>4248</v>
      </c>
      <c r="J1082" s="10" t="str">
        <f>IFERROR(INDEX([1]Programas!$B$2:$B$50,MATCH(LEFT(I1082,3),[1]Programas!$A$2:$A$50,0)),"")</f>
        <v>Marketing Digital y Ge</v>
      </c>
      <c r="K1082" s="10" t="s">
        <v>516</v>
      </c>
    </row>
    <row r="1083" spans="1:11" x14ac:dyDescent="0.2">
      <c r="A1083" s="10">
        <v>1082</v>
      </c>
      <c r="B1083" s="10" t="s">
        <v>6890</v>
      </c>
      <c r="C1083" s="11" t="s">
        <v>4290</v>
      </c>
      <c r="D1083" s="10" t="s">
        <v>4419</v>
      </c>
      <c r="E1083" s="10" t="s">
        <v>6891</v>
      </c>
      <c r="F1083" s="11" t="s">
        <v>6892</v>
      </c>
      <c r="G1083" s="10" t="s">
        <v>13</v>
      </c>
      <c r="H1083" s="12">
        <v>46262</v>
      </c>
      <c r="I1083" s="10" t="s">
        <v>4248</v>
      </c>
      <c r="J1083" s="10" t="str">
        <f>IFERROR(INDEX([1]Programas!$B$2:$B$50,MATCH(LEFT(I1083,3),[1]Programas!$A$2:$A$50,0)),"")</f>
        <v>Marketing Digital y Ge</v>
      </c>
      <c r="K1083" s="10" t="s">
        <v>516</v>
      </c>
    </row>
    <row r="1084" spans="1:11" x14ac:dyDescent="0.2">
      <c r="A1084" s="10">
        <v>1083</v>
      </c>
      <c r="B1084" s="10" t="s">
        <v>4293</v>
      </c>
      <c r="C1084" s="11" t="s">
        <v>4292</v>
      </c>
      <c r="D1084" s="10" t="s">
        <v>4419</v>
      </c>
      <c r="E1084" s="10" t="s">
        <v>6893</v>
      </c>
      <c r="F1084" s="11" t="s">
        <v>6894</v>
      </c>
      <c r="G1084" s="10" t="s">
        <v>13</v>
      </c>
      <c r="H1084" s="12">
        <v>46262</v>
      </c>
      <c r="I1084" s="10" t="s">
        <v>4248</v>
      </c>
      <c r="J1084" s="10" t="str">
        <f>IFERROR(INDEX([1]Programas!$B$2:$B$50,MATCH(LEFT(I1084,3),[1]Programas!$A$2:$A$50,0)),"")</f>
        <v>Marketing Digital y Ge</v>
      </c>
      <c r="K1084" s="10" t="s">
        <v>516</v>
      </c>
    </row>
    <row r="1085" spans="1:11" x14ac:dyDescent="0.2">
      <c r="A1085" s="10">
        <v>1084</v>
      </c>
      <c r="B1085" s="10" t="s">
        <v>4297</v>
      </c>
      <c r="C1085" s="11" t="s">
        <v>4296</v>
      </c>
      <c r="D1085" s="10" t="s">
        <v>4419</v>
      </c>
      <c r="E1085" s="10" t="s">
        <v>6895</v>
      </c>
      <c r="F1085" s="11" t="s">
        <v>6896</v>
      </c>
      <c r="G1085" s="10" t="s">
        <v>13</v>
      </c>
      <c r="H1085" s="12">
        <v>46262</v>
      </c>
      <c r="I1085" s="10" t="s">
        <v>4248</v>
      </c>
      <c r="J1085" s="10" t="str">
        <f>IFERROR(INDEX([1]Programas!$B$2:$B$50,MATCH(LEFT(I1085,3),[1]Programas!$A$2:$A$50,0)),"")</f>
        <v>Marketing Digital y Ge</v>
      </c>
      <c r="K1085" s="10" t="s">
        <v>516</v>
      </c>
    </row>
    <row r="1086" spans="1:11" x14ac:dyDescent="0.2">
      <c r="A1086" s="10">
        <v>1085</v>
      </c>
      <c r="B1086" s="10" t="s">
        <v>4299</v>
      </c>
      <c r="C1086" s="11" t="s">
        <v>4298</v>
      </c>
      <c r="D1086" s="10" t="s">
        <v>4419</v>
      </c>
      <c r="E1086" s="10" t="s">
        <v>6897</v>
      </c>
      <c r="F1086" s="11" t="s">
        <v>6898</v>
      </c>
      <c r="G1086" s="10" t="s">
        <v>13</v>
      </c>
      <c r="H1086" s="12">
        <v>46262</v>
      </c>
      <c r="I1086" s="10" t="s">
        <v>4248</v>
      </c>
      <c r="J1086" s="10" t="str">
        <f>IFERROR(INDEX([1]Programas!$B$2:$B$50,MATCH(LEFT(I1086,3),[1]Programas!$A$2:$A$50,0)),"")</f>
        <v>Marketing Digital y Ge</v>
      </c>
      <c r="K1086" s="10" t="s">
        <v>516</v>
      </c>
    </row>
    <row r="1087" spans="1:11" x14ac:dyDescent="0.2">
      <c r="A1087" s="10">
        <v>1086</v>
      </c>
      <c r="B1087" s="10" t="s">
        <v>6899</v>
      </c>
      <c r="C1087" s="11" t="s">
        <v>4300</v>
      </c>
      <c r="D1087" s="10" t="s">
        <v>4419</v>
      </c>
      <c r="E1087" s="10" t="s">
        <v>6900</v>
      </c>
      <c r="F1087" s="11" t="s">
        <v>6901</v>
      </c>
      <c r="G1087" s="10" t="s">
        <v>13</v>
      </c>
      <c r="H1087" s="12">
        <v>46262</v>
      </c>
      <c r="I1087" s="10" t="s">
        <v>4248</v>
      </c>
      <c r="J1087" s="10" t="str">
        <f>IFERROR(INDEX([1]Programas!$B$2:$B$50,MATCH(LEFT(I1087,3),[1]Programas!$A$2:$A$50,0)),"")</f>
        <v>Marketing Digital y Ge</v>
      </c>
      <c r="K1087" s="10" t="s">
        <v>516</v>
      </c>
    </row>
    <row r="1088" spans="1:11" x14ac:dyDescent="0.2">
      <c r="A1088" s="10">
        <v>1087</v>
      </c>
      <c r="B1088" s="10" t="s">
        <v>4303</v>
      </c>
      <c r="C1088" s="11" t="s">
        <v>4302</v>
      </c>
      <c r="D1088" s="10" t="s">
        <v>4419</v>
      </c>
      <c r="E1088" s="10" t="s">
        <v>6902</v>
      </c>
      <c r="F1088" s="11" t="s">
        <v>6903</v>
      </c>
      <c r="G1088" s="10" t="s">
        <v>13</v>
      </c>
      <c r="H1088" s="12">
        <v>46262</v>
      </c>
      <c r="I1088" s="10" t="s">
        <v>4248</v>
      </c>
      <c r="J1088" s="10" t="str">
        <f>IFERROR(INDEX([1]Programas!$B$2:$B$50,MATCH(LEFT(I1088,3),[1]Programas!$A$2:$A$50,0)),"")</f>
        <v>Marketing Digital y Ge</v>
      </c>
      <c r="K1088" s="10" t="s">
        <v>516</v>
      </c>
    </row>
    <row r="1089" spans="1:11" x14ac:dyDescent="0.2">
      <c r="A1089" s="10">
        <v>1088</v>
      </c>
      <c r="B1089" s="10" t="s">
        <v>6904</v>
      </c>
      <c r="C1089" s="11" t="s">
        <v>4304</v>
      </c>
      <c r="D1089" s="10" t="s">
        <v>4419</v>
      </c>
      <c r="E1089" s="10" t="s">
        <v>6905</v>
      </c>
      <c r="F1089" s="11" t="s">
        <v>6906</v>
      </c>
      <c r="G1089" s="10" t="s">
        <v>13</v>
      </c>
      <c r="H1089" s="12">
        <v>46262</v>
      </c>
      <c r="I1089" s="10" t="s">
        <v>4248</v>
      </c>
      <c r="J1089" s="10" t="str">
        <f>IFERROR(INDEX([1]Programas!$B$2:$B$50,MATCH(LEFT(I1089,3),[1]Programas!$A$2:$A$50,0)),"")</f>
        <v>Marketing Digital y Ge</v>
      </c>
      <c r="K1089" s="10" t="s">
        <v>516</v>
      </c>
    </row>
    <row r="1090" spans="1:11" x14ac:dyDescent="0.2">
      <c r="A1090" s="10">
        <v>1089</v>
      </c>
      <c r="B1090" s="10" t="s">
        <v>4307</v>
      </c>
      <c r="C1090" s="11" t="s">
        <v>4306</v>
      </c>
      <c r="D1090" s="10" t="s">
        <v>4419</v>
      </c>
      <c r="E1090" s="10" t="s">
        <v>6907</v>
      </c>
      <c r="F1090" s="11" t="s">
        <v>6908</v>
      </c>
      <c r="G1090" s="10" t="s">
        <v>13</v>
      </c>
      <c r="H1090" s="12">
        <v>46262</v>
      </c>
      <c r="I1090" s="10" t="s">
        <v>4248</v>
      </c>
      <c r="J1090" s="10" t="str">
        <f>IFERROR(INDEX([1]Programas!$B$2:$B$50,MATCH(LEFT(I1090,3),[1]Programas!$A$2:$A$50,0)),"")</f>
        <v>Marketing Digital y Ge</v>
      </c>
      <c r="K1090" s="10" t="s">
        <v>516</v>
      </c>
    </row>
    <row r="1091" spans="1:11" x14ac:dyDescent="0.2">
      <c r="A1091" s="10">
        <v>1090</v>
      </c>
      <c r="B1091" s="10" t="s">
        <v>6909</v>
      </c>
      <c r="C1091" s="11" t="s">
        <v>4308</v>
      </c>
      <c r="D1091" s="10" t="s">
        <v>4419</v>
      </c>
      <c r="E1091" s="10" t="s">
        <v>6910</v>
      </c>
      <c r="F1091" s="11" t="s">
        <v>6911</v>
      </c>
      <c r="G1091" s="10" t="s">
        <v>13</v>
      </c>
      <c r="H1091" s="12">
        <v>46262</v>
      </c>
      <c r="I1091" s="10" t="s">
        <v>4248</v>
      </c>
      <c r="J1091" s="10" t="str">
        <f>IFERROR(INDEX([1]Programas!$B$2:$B$50,MATCH(LEFT(I1091,3),[1]Programas!$A$2:$A$50,0)),"")</f>
        <v>Marketing Digital y Ge</v>
      </c>
      <c r="K1091" s="10" t="s">
        <v>516</v>
      </c>
    </row>
    <row r="1092" spans="1:11" x14ac:dyDescent="0.2">
      <c r="A1092" s="10">
        <v>1091</v>
      </c>
      <c r="B1092" s="10" t="s">
        <v>4313</v>
      </c>
      <c r="C1092" s="11" t="s">
        <v>4312</v>
      </c>
      <c r="D1092" s="10" t="s">
        <v>4419</v>
      </c>
      <c r="E1092" s="10" t="s">
        <v>6912</v>
      </c>
      <c r="F1092" s="11" t="s">
        <v>6913</v>
      </c>
      <c r="G1092" s="10" t="s">
        <v>13</v>
      </c>
      <c r="H1092" s="12">
        <v>46262</v>
      </c>
      <c r="I1092" s="10" t="s">
        <v>4248</v>
      </c>
      <c r="J1092" s="10" t="str">
        <f>IFERROR(INDEX([1]Programas!$B$2:$B$50,MATCH(LEFT(I1092,3),[1]Programas!$A$2:$A$50,0)),"")</f>
        <v>Marketing Digital y Ge</v>
      </c>
      <c r="K1092" s="10" t="s">
        <v>516</v>
      </c>
    </row>
    <row r="1093" spans="1:11" x14ac:dyDescent="0.2">
      <c r="A1093" s="10">
        <v>1092</v>
      </c>
      <c r="B1093" s="10" t="s">
        <v>4315</v>
      </c>
      <c r="C1093" s="11" t="s">
        <v>4314</v>
      </c>
      <c r="D1093" s="10" t="s">
        <v>4419</v>
      </c>
      <c r="E1093" s="10" t="s">
        <v>6914</v>
      </c>
      <c r="F1093" s="11" t="s">
        <v>6915</v>
      </c>
      <c r="G1093" s="10" t="s">
        <v>13</v>
      </c>
      <c r="H1093" s="12">
        <v>46262</v>
      </c>
      <c r="I1093" s="10" t="s">
        <v>4248</v>
      </c>
      <c r="J1093" s="10" t="str">
        <f>IFERROR(INDEX([1]Programas!$B$2:$B$50,MATCH(LEFT(I1093,3),[1]Programas!$A$2:$A$50,0)),"")</f>
        <v>Marketing Digital y Ge</v>
      </c>
      <c r="K1093" s="10" t="s">
        <v>516</v>
      </c>
    </row>
    <row r="1094" spans="1:11" x14ac:dyDescent="0.2">
      <c r="A1094" s="10">
        <v>1093</v>
      </c>
      <c r="B1094" s="10" t="s">
        <v>4317</v>
      </c>
      <c r="C1094" s="11" t="s">
        <v>4316</v>
      </c>
      <c r="D1094" s="10" t="s">
        <v>4419</v>
      </c>
      <c r="E1094" s="10" t="s">
        <v>6916</v>
      </c>
      <c r="F1094" s="11" t="s">
        <v>6917</v>
      </c>
      <c r="G1094" s="10" t="s">
        <v>13</v>
      </c>
      <c r="H1094" s="12">
        <v>46262</v>
      </c>
      <c r="I1094" s="10" t="s">
        <v>4248</v>
      </c>
      <c r="J1094" s="10" t="str">
        <f>IFERROR(INDEX([1]Programas!$B$2:$B$50,MATCH(LEFT(I1094,3),[1]Programas!$A$2:$A$50,0)),"")</f>
        <v>Marketing Digital y Ge</v>
      </c>
      <c r="K1094" s="10" t="s">
        <v>516</v>
      </c>
    </row>
    <row r="1095" spans="1:11" x14ac:dyDescent="0.2">
      <c r="A1095" s="10">
        <v>1094</v>
      </c>
      <c r="B1095" s="10" t="s">
        <v>4319</v>
      </c>
      <c r="C1095" s="11" t="s">
        <v>4318</v>
      </c>
      <c r="D1095" s="10" t="s">
        <v>4419</v>
      </c>
      <c r="E1095" s="10" t="s">
        <v>6918</v>
      </c>
      <c r="F1095" s="11" t="s">
        <v>6919</v>
      </c>
      <c r="G1095" s="10" t="s">
        <v>13</v>
      </c>
      <c r="H1095" s="12">
        <v>46262</v>
      </c>
      <c r="I1095" s="10" t="s">
        <v>4248</v>
      </c>
      <c r="J1095" s="10" t="str">
        <f>IFERROR(INDEX([1]Programas!$B$2:$B$50,MATCH(LEFT(I1095,3),[1]Programas!$A$2:$A$50,0)),"")</f>
        <v>Marketing Digital y Ge</v>
      </c>
      <c r="K1095" s="10" t="s">
        <v>516</v>
      </c>
    </row>
    <row r="1096" spans="1:11" x14ac:dyDescent="0.2">
      <c r="A1096" s="10">
        <v>1095</v>
      </c>
      <c r="B1096" s="10" t="s">
        <v>4321</v>
      </c>
      <c r="C1096" s="11" t="s">
        <v>4320</v>
      </c>
      <c r="D1096" s="10" t="s">
        <v>4419</v>
      </c>
      <c r="E1096" s="10" t="s">
        <v>6920</v>
      </c>
      <c r="F1096" s="11" t="s">
        <v>6921</v>
      </c>
      <c r="G1096" s="10" t="s">
        <v>13</v>
      </c>
      <c r="H1096" s="12">
        <v>46262</v>
      </c>
      <c r="I1096" s="10" t="s">
        <v>4248</v>
      </c>
      <c r="J1096" s="10" t="str">
        <f>IFERROR(INDEX([1]Programas!$B$2:$B$50,MATCH(LEFT(I1096,3),[1]Programas!$A$2:$A$50,0)),"")</f>
        <v>Marketing Digital y Ge</v>
      </c>
      <c r="K1096" s="10" t="s">
        <v>516</v>
      </c>
    </row>
    <row r="1097" spans="1:11" x14ac:dyDescent="0.2">
      <c r="A1097" s="10">
        <v>1096</v>
      </c>
      <c r="B1097" s="10" t="s">
        <v>4323</v>
      </c>
      <c r="C1097" s="11" t="s">
        <v>4322</v>
      </c>
      <c r="D1097" s="10" t="s">
        <v>4419</v>
      </c>
      <c r="E1097" s="10" t="s">
        <v>6922</v>
      </c>
      <c r="F1097" s="11" t="s">
        <v>6923</v>
      </c>
      <c r="G1097" s="10" t="s">
        <v>13</v>
      </c>
      <c r="H1097" s="12">
        <v>46262</v>
      </c>
      <c r="I1097" s="10" t="s">
        <v>4248</v>
      </c>
      <c r="J1097" s="10" t="str">
        <f>IFERROR(INDEX([1]Programas!$B$2:$B$50,MATCH(LEFT(I1097,3),[1]Programas!$A$2:$A$50,0)),"")</f>
        <v>Marketing Digital y Ge</v>
      </c>
      <c r="K1097" s="10" t="s">
        <v>516</v>
      </c>
    </row>
    <row r="1098" spans="1:11" x14ac:dyDescent="0.2">
      <c r="A1098" s="10">
        <v>1097</v>
      </c>
      <c r="B1098" s="10" t="s">
        <v>4325</v>
      </c>
      <c r="C1098" s="11" t="s">
        <v>4324</v>
      </c>
      <c r="D1098" s="10" t="s">
        <v>4419</v>
      </c>
      <c r="E1098" s="10" t="s">
        <v>6924</v>
      </c>
      <c r="F1098" s="11" t="s">
        <v>6925</v>
      </c>
      <c r="G1098" s="10" t="s">
        <v>13</v>
      </c>
      <c r="H1098" s="12">
        <v>46262</v>
      </c>
      <c r="I1098" s="10" t="s">
        <v>4248</v>
      </c>
      <c r="J1098" s="10" t="str">
        <f>IFERROR(INDEX([1]Programas!$B$2:$B$50,MATCH(LEFT(I1098,3),[1]Programas!$A$2:$A$50,0)),"")</f>
        <v>Marketing Digital y Ge</v>
      </c>
      <c r="K1098" s="10" t="s">
        <v>516</v>
      </c>
    </row>
    <row r="1099" spans="1:11" x14ac:dyDescent="0.2">
      <c r="A1099" s="10">
        <v>1098</v>
      </c>
      <c r="B1099" s="10" t="s">
        <v>4327</v>
      </c>
      <c r="C1099" s="11" t="s">
        <v>4326</v>
      </c>
      <c r="D1099" s="10" t="s">
        <v>4419</v>
      </c>
      <c r="E1099" s="10" t="s">
        <v>6926</v>
      </c>
      <c r="F1099" s="11" t="s">
        <v>6927</v>
      </c>
      <c r="G1099" s="10" t="s">
        <v>13</v>
      </c>
      <c r="H1099" s="12">
        <v>46262</v>
      </c>
      <c r="I1099" s="10" t="s">
        <v>4248</v>
      </c>
      <c r="J1099" s="10" t="str">
        <f>IFERROR(INDEX([1]Programas!$B$2:$B$50,MATCH(LEFT(I1099,3),[1]Programas!$A$2:$A$50,0)),"")</f>
        <v>Marketing Digital y Ge</v>
      </c>
      <c r="K1099" s="10" t="s">
        <v>516</v>
      </c>
    </row>
    <row r="1100" spans="1:11" x14ac:dyDescent="0.2">
      <c r="A1100" s="10">
        <v>1099</v>
      </c>
      <c r="B1100" s="10" t="s">
        <v>6928</v>
      </c>
      <c r="C1100" s="11" t="s">
        <v>4328</v>
      </c>
      <c r="D1100" s="10" t="s">
        <v>4419</v>
      </c>
      <c r="E1100" s="10" t="s">
        <v>6929</v>
      </c>
      <c r="F1100" s="11" t="s">
        <v>6930</v>
      </c>
      <c r="G1100" s="10" t="s">
        <v>13</v>
      </c>
      <c r="H1100" s="12">
        <v>46262</v>
      </c>
      <c r="I1100" s="10" t="s">
        <v>4248</v>
      </c>
      <c r="J1100" s="10" t="str">
        <f>IFERROR(INDEX([1]Programas!$B$2:$B$50,MATCH(LEFT(I1100,3),[1]Programas!$A$2:$A$50,0)),"")</f>
        <v>Marketing Digital y Ge</v>
      </c>
      <c r="K1100" s="10" t="s">
        <v>516</v>
      </c>
    </row>
    <row r="1101" spans="1:11" x14ac:dyDescent="0.2">
      <c r="A1101" s="10">
        <v>1100</v>
      </c>
      <c r="B1101" s="10" t="s">
        <v>4331</v>
      </c>
      <c r="C1101" s="11" t="s">
        <v>4330</v>
      </c>
      <c r="D1101" s="10" t="s">
        <v>4419</v>
      </c>
      <c r="E1101" s="10" t="s">
        <v>6931</v>
      </c>
      <c r="F1101" s="11" t="s">
        <v>6932</v>
      </c>
      <c r="G1101" s="10" t="s">
        <v>13</v>
      </c>
      <c r="H1101" s="12">
        <v>46262</v>
      </c>
      <c r="I1101" s="10" t="s">
        <v>4248</v>
      </c>
      <c r="J1101" s="10" t="str">
        <f>IFERROR(INDEX([1]Programas!$B$2:$B$50,MATCH(LEFT(I1101,3),[1]Programas!$A$2:$A$50,0)),"")</f>
        <v>Marketing Digital y Ge</v>
      </c>
      <c r="K1101" s="10" t="s">
        <v>516</v>
      </c>
    </row>
    <row r="1102" spans="1:11" x14ac:dyDescent="0.2">
      <c r="A1102" s="10">
        <v>1101</v>
      </c>
      <c r="B1102" s="10" t="s">
        <v>4333</v>
      </c>
      <c r="C1102" s="11" t="s">
        <v>4332</v>
      </c>
      <c r="D1102" s="10" t="s">
        <v>4419</v>
      </c>
      <c r="E1102" s="10" t="s">
        <v>6933</v>
      </c>
      <c r="F1102" s="11" t="s">
        <v>6934</v>
      </c>
      <c r="G1102" s="10" t="s">
        <v>13</v>
      </c>
      <c r="H1102" s="12">
        <v>46262</v>
      </c>
      <c r="I1102" s="10" t="s">
        <v>4248</v>
      </c>
      <c r="J1102" s="10" t="str">
        <f>IFERROR(INDEX([1]Programas!$B$2:$B$50,MATCH(LEFT(I1102,3),[1]Programas!$A$2:$A$50,0)),"")</f>
        <v>Marketing Digital y Ge</v>
      </c>
      <c r="K1102" s="10" t="s">
        <v>516</v>
      </c>
    </row>
    <row r="1103" spans="1:11" x14ac:dyDescent="0.2">
      <c r="A1103" s="10">
        <v>1102</v>
      </c>
      <c r="B1103" s="10" t="s">
        <v>6935</v>
      </c>
      <c r="C1103" s="11" t="s">
        <v>4334</v>
      </c>
      <c r="D1103" s="10" t="s">
        <v>4419</v>
      </c>
      <c r="E1103" s="10" t="s">
        <v>6936</v>
      </c>
      <c r="F1103" s="11" t="s">
        <v>6937</v>
      </c>
      <c r="G1103" s="10" t="s">
        <v>13</v>
      </c>
      <c r="H1103" s="12">
        <v>46262</v>
      </c>
      <c r="I1103" s="10" t="s">
        <v>4248</v>
      </c>
      <c r="J1103" s="10" t="str">
        <f>IFERROR(INDEX([1]Programas!$B$2:$B$50,MATCH(LEFT(I1103,3),[1]Programas!$A$2:$A$50,0)),"")</f>
        <v>Marketing Digital y Ge</v>
      </c>
      <c r="K1103" s="10" t="s">
        <v>516</v>
      </c>
    </row>
    <row r="1104" spans="1:11" x14ac:dyDescent="0.2">
      <c r="A1104" s="10">
        <v>1103</v>
      </c>
      <c r="B1104" s="10" t="s">
        <v>4337</v>
      </c>
      <c r="C1104" s="11" t="s">
        <v>4336</v>
      </c>
      <c r="D1104" s="10" t="s">
        <v>4419</v>
      </c>
      <c r="E1104" s="10" t="s">
        <v>6938</v>
      </c>
      <c r="F1104" s="11" t="s">
        <v>6939</v>
      </c>
      <c r="G1104" s="10" t="s">
        <v>13</v>
      </c>
      <c r="H1104" s="12">
        <v>46263</v>
      </c>
      <c r="I1104" s="10" t="s">
        <v>4248</v>
      </c>
      <c r="J1104" s="10" t="str">
        <f>IFERROR(INDEX([1]Programas!$B$2:$B$50,MATCH(LEFT(I1104,3),[1]Programas!$A$2:$A$50,0)),"")</f>
        <v>Marketing Digital y Ge</v>
      </c>
      <c r="K1104" s="10" t="s">
        <v>516</v>
      </c>
    </row>
    <row r="1105" spans="1:11" x14ac:dyDescent="0.2">
      <c r="A1105" s="10">
        <v>1104</v>
      </c>
      <c r="B1105" s="10" t="s">
        <v>4339</v>
      </c>
      <c r="C1105" s="11" t="s">
        <v>4338</v>
      </c>
      <c r="D1105" s="10" t="s">
        <v>4419</v>
      </c>
      <c r="E1105" s="10" t="s">
        <v>6940</v>
      </c>
      <c r="F1105" s="11" t="s">
        <v>6941</v>
      </c>
      <c r="G1105" s="10" t="s">
        <v>13</v>
      </c>
      <c r="H1105" s="12">
        <v>46265</v>
      </c>
      <c r="I1105" s="10" t="s">
        <v>4248</v>
      </c>
      <c r="J1105" s="10" t="str">
        <f>IFERROR(INDEX([1]Programas!$B$2:$B$50,MATCH(LEFT(I1105,3),[1]Programas!$A$2:$A$50,0)),"")</f>
        <v>Marketing Digital y Ge</v>
      </c>
      <c r="K1105" s="10" t="s">
        <v>516</v>
      </c>
    </row>
    <row r="1106" spans="1:11" x14ac:dyDescent="0.2">
      <c r="A1106" s="10">
        <v>1105</v>
      </c>
      <c r="B1106" s="10" t="s">
        <v>3164</v>
      </c>
      <c r="C1106" s="11" t="s">
        <v>3163</v>
      </c>
      <c r="D1106" s="10" t="s">
        <v>4419</v>
      </c>
      <c r="E1106" s="10" t="s">
        <v>6942</v>
      </c>
      <c r="F1106" s="11" t="s">
        <v>6943</v>
      </c>
      <c r="G1106" s="10" t="s">
        <v>13</v>
      </c>
      <c r="H1106" s="12">
        <v>46274</v>
      </c>
      <c r="I1106" s="10" t="s">
        <v>4248</v>
      </c>
      <c r="J1106" s="10" t="str">
        <f>IFERROR(INDEX([1]Programas!$B$2:$B$50,MATCH(LEFT(I1106,3),[1]Programas!$A$2:$A$50,0)),"")</f>
        <v>Marketing Digital y Ge</v>
      </c>
      <c r="K1106" s="10" t="s">
        <v>516</v>
      </c>
    </row>
    <row r="1107" spans="1:11" x14ac:dyDescent="0.2">
      <c r="A1107" s="10">
        <v>1106</v>
      </c>
      <c r="B1107" s="10" t="s">
        <v>6944</v>
      </c>
      <c r="C1107" s="11" t="s">
        <v>2845</v>
      </c>
      <c r="D1107" s="10" t="s">
        <v>4419</v>
      </c>
      <c r="E1107" s="10" t="s">
        <v>6918</v>
      </c>
      <c r="F1107" s="11" t="s">
        <v>6945</v>
      </c>
      <c r="G1107" s="10" t="s">
        <v>13</v>
      </c>
      <c r="H1107" s="12">
        <v>46277</v>
      </c>
      <c r="I1107" s="10" t="s">
        <v>4248</v>
      </c>
      <c r="J1107" s="10" t="str">
        <f>IFERROR(INDEX([1]Programas!$B$2:$B$50,MATCH(LEFT(I1107,3),[1]Programas!$A$2:$A$50,0)),"")</f>
        <v>Marketing Digital y Ge</v>
      </c>
      <c r="K1107" s="10" t="s">
        <v>516</v>
      </c>
    </row>
    <row r="1108" spans="1:11" x14ac:dyDescent="0.2">
      <c r="A1108" s="10">
        <v>1107</v>
      </c>
      <c r="B1108" s="10" t="s">
        <v>3082</v>
      </c>
      <c r="C1108" s="11" t="s">
        <v>3081</v>
      </c>
      <c r="D1108" s="10" t="s">
        <v>4419</v>
      </c>
      <c r="E1108" s="10" t="s">
        <v>5637</v>
      </c>
      <c r="F1108" s="11" t="s">
        <v>5638</v>
      </c>
      <c r="G1108" s="10" t="s">
        <v>13</v>
      </c>
      <c r="H1108" s="12">
        <v>46260</v>
      </c>
      <c r="I1108" s="10" t="s">
        <v>4341</v>
      </c>
      <c r="J1108" s="10" t="str">
        <f>IFERROR(INDEX([1]Programas!$B$2:$B$50,MATCH(LEFT(I1108,3),[1]Programas!$A$2:$A$50,0)),"")</f>
        <v>Marketing Digital y Ge</v>
      </c>
      <c r="K1108" s="10" t="s">
        <v>649</v>
      </c>
    </row>
    <row r="1109" spans="1:11" x14ac:dyDescent="0.2">
      <c r="A1109" s="10">
        <v>1108</v>
      </c>
      <c r="B1109" s="10" t="s">
        <v>4343</v>
      </c>
      <c r="C1109" s="11" t="s">
        <v>4342</v>
      </c>
      <c r="D1109" s="10" t="s">
        <v>4419</v>
      </c>
      <c r="E1109" s="10" t="s">
        <v>6946</v>
      </c>
      <c r="F1109" s="11" t="s">
        <v>6947</v>
      </c>
      <c r="G1109" s="10" t="s">
        <v>13</v>
      </c>
      <c r="H1109" s="12">
        <v>46262</v>
      </c>
      <c r="I1109" s="10" t="s">
        <v>4341</v>
      </c>
      <c r="J1109" s="10" t="str">
        <f>IFERROR(INDEX([1]Programas!$B$2:$B$50,MATCH(LEFT(I1109,3),[1]Programas!$A$2:$A$50,0)),"")</f>
        <v>Marketing Digital y Ge</v>
      </c>
      <c r="K1109" s="10" t="s">
        <v>649</v>
      </c>
    </row>
    <row r="1110" spans="1:11" x14ac:dyDescent="0.2">
      <c r="A1110" s="10">
        <v>1109</v>
      </c>
      <c r="B1110" s="10" t="s">
        <v>4345</v>
      </c>
      <c r="C1110" s="11" t="s">
        <v>4344</v>
      </c>
      <c r="D1110" s="10" t="s">
        <v>4419</v>
      </c>
      <c r="E1110" s="10" t="s">
        <v>6948</v>
      </c>
      <c r="F1110" s="11" t="s">
        <v>6949</v>
      </c>
      <c r="G1110" s="10" t="s">
        <v>13</v>
      </c>
      <c r="H1110" s="12">
        <v>46262</v>
      </c>
      <c r="I1110" s="10" t="s">
        <v>4341</v>
      </c>
      <c r="J1110" s="10" t="str">
        <f>IFERROR(INDEX([1]Programas!$B$2:$B$50,MATCH(LEFT(I1110,3),[1]Programas!$A$2:$A$50,0)),"")</f>
        <v>Marketing Digital y Ge</v>
      </c>
      <c r="K1110" s="10" t="s">
        <v>649</v>
      </c>
    </row>
    <row r="1111" spans="1:11" x14ac:dyDescent="0.2">
      <c r="A1111" s="10">
        <v>1110</v>
      </c>
      <c r="B1111" s="10" t="s">
        <v>6950</v>
      </c>
      <c r="C1111" s="11" t="s">
        <v>4346</v>
      </c>
      <c r="D1111" s="10" t="s">
        <v>4419</v>
      </c>
      <c r="E1111" s="10" t="s">
        <v>6951</v>
      </c>
      <c r="F1111" s="11" t="s">
        <v>6952</v>
      </c>
      <c r="G1111" s="10" t="s">
        <v>13</v>
      </c>
      <c r="H1111" s="12">
        <v>46262</v>
      </c>
      <c r="I1111" s="10" t="s">
        <v>4341</v>
      </c>
      <c r="J1111" s="10" t="str">
        <f>IFERROR(INDEX([1]Programas!$B$2:$B$50,MATCH(LEFT(I1111,3),[1]Programas!$A$2:$A$50,0)),"")</f>
        <v>Marketing Digital y Ge</v>
      </c>
      <c r="K1111" s="10" t="s">
        <v>649</v>
      </c>
    </row>
    <row r="1112" spans="1:11" x14ac:dyDescent="0.2">
      <c r="A1112" s="10">
        <v>1111</v>
      </c>
      <c r="B1112" s="10" t="s">
        <v>6953</v>
      </c>
      <c r="C1112" s="11" t="s">
        <v>4348</v>
      </c>
      <c r="D1112" s="10" t="s">
        <v>4453</v>
      </c>
      <c r="E1112" s="10" t="s">
        <v>6954</v>
      </c>
      <c r="F1112" s="11" t="s">
        <v>6955</v>
      </c>
      <c r="G1112" s="10" t="s">
        <v>13</v>
      </c>
      <c r="H1112" s="12">
        <v>46262</v>
      </c>
      <c r="I1112" s="10" t="s">
        <v>4341</v>
      </c>
      <c r="J1112" s="10" t="str">
        <f>IFERROR(INDEX([1]Programas!$B$2:$B$50,MATCH(LEFT(I1112,3),[1]Programas!$A$2:$A$50,0)),"")</f>
        <v>Marketing Digital y Ge</v>
      </c>
      <c r="K1112" s="10" t="s">
        <v>649</v>
      </c>
    </row>
    <row r="1113" spans="1:11" x14ac:dyDescent="0.2">
      <c r="A1113" s="10">
        <v>1112</v>
      </c>
      <c r="B1113" s="10" t="s">
        <v>4351</v>
      </c>
      <c r="C1113" s="11" t="s">
        <v>4350</v>
      </c>
      <c r="D1113" s="10" t="s">
        <v>5003</v>
      </c>
      <c r="E1113" s="10" t="s">
        <v>6956</v>
      </c>
      <c r="F1113" s="11" t="s">
        <v>6957</v>
      </c>
      <c r="G1113" s="10" t="s">
        <v>13</v>
      </c>
      <c r="H1113" s="12">
        <v>46262</v>
      </c>
      <c r="I1113" s="10" t="s">
        <v>4341</v>
      </c>
      <c r="J1113" s="10" t="str">
        <f>IFERROR(INDEX([1]Programas!$B$2:$B$50,MATCH(LEFT(I1113,3),[1]Programas!$A$2:$A$50,0)),"")</f>
        <v>Marketing Digital y Ge</v>
      </c>
      <c r="K1113" s="10" t="s">
        <v>649</v>
      </c>
    </row>
    <row r="1114" spans="1:11" x14ac:dyDescent="0.2">
      <c r="A1114" s="10">
        <v>1113</v>
      </c>
      <c r="B1114" s="10" t="s">
        <v>4353</v>
      </c>
      <c r="C1114" s="11" t="s">
        <v>4352</v>
      </c>
      <c r="D1114" s="10" t="s">
        <v>4419</v>
      </c>
      <c r="E1114" s="10" t="s">
        <v>6958</v>
      </c>
      <c r="F1114" s="11" t="s">
        <v>6959</v>
      </c>
      <c r="G1114" s="10" t="s">
        <v>13</v>
      </c>
      <c r="H1114" s="12">
        <v>46262</v>
      </c>
      <c r="I1114" s="10" t="s">
        <v>4341</v>
      </c>
      <c r="J1114" s="10" t="str">
        <f>IFERROR(INDEX([1]Programas!$B$2:$B$50,MATCH(LEFT(I1114,3),[1]Programas!$A$2:$A$50,0)),"")</f>
        <v>Marketing Digital y Ge</v>
      </c>
      <c r="K1114" s="10" t="s">
        <v>649</v>
      </c>
    </row>
    <row r="1115" spans="1:11" x14ac:dyDescent="0.2">
      <c r="A1115" s="10">
        <v>1114</v>
      </c>
      <c r="B1115" s="10" t="s">
        <v>4355</v>
      </c>
      <c r="C1115" s="11" t="s">
        <v>4354</v>
      </c>
      <c r="D1115" s="10" t="s">
        <v>4419</v>
      </c>
      <c r="E1115" s="10" t="s">
        <v>6960</v>
      </c>
      <c r="F1115" s="11" t="s">
        <v>6961</v>
      </c>
      <c r="G1115" s="10" t="s">
        <v>13</v>
      </c>
      <c r="H1115" s="12">
        <v>46262</v>
      </c>
      <c r="I1115" s="10" t="s">
        <v>4341</v>
      </c>
      <c r="J1115" s="10" t="str">
        <f>IFERROR(INDEX([1]Programas!$B$2:$B$50,MATCH(LEFT(I1115,3),[1]Programas!$A$2:$A$50,0)),"")</f>
        <v>Marketing Digital y Ge</v>
      </c>
      <c r="K1115" s="10" t="s">
        <v>649</v>
      </c>
    </row>
    <row r="1116" spans="1:11" x14ac:dyDescent="0.2">
      <c r="A1116" s="10">
        <v>1115</v>
      </c>
      <c r="B1116" s="10" t="s">
        <v>4357</v>
      </c>
      <c r="C1116" s="11" t="s">
        <v>4356</v>
      </c>
      <c r="D1116" s="10" t="s">
        <v>5003</v>
      </c>
      <c r="E1116" s="10" t="s">
        <v>6962</v>
      </c>
      <c r="F1116" s="11" t="s">
        <v>6963</v>
      </c>
      <c r="G1116" s="10" t="s">
        <v>13</v>
      </c>
      <c r="H1116" s="12">
        <v>46262</v>
      </c>
      <c r="I1116" s="10" t="s">
        <v>4341</v>
      </c>
      <c r="J1116" s="10" t="str">
        <f>IFERROR(INDEX([1]Programas!$B$2:$B$50,MATCH(LEFT(I1116,3),[1]Programas!$A$2:$A$50,0)),"")</f>
        <v>Marketing Digital y Ge</v>
      </c>
      <c r="K1116" s="10" t="s">
        <v>649</v>
      </c>
    </row>
    <row r="1117" spans="1:11" x14ac:dyDescent="0.2">
      <c r="A1117" s="10">
        <v>1116</v>
      </c>
      <c r="B1117" s="10" t="s">
        <v>6964</v>
      </c>
      <c r="C1117" s="11" t="s">
        <v>4358</v>
      </c>
      <c r="D1117" s="10" t="s">
        <v>4419</v>
      </c>
      <c r="E1117" s="10" t="s">
        <v>6965</v>
      </c>
      <c r="F1117" s="11" t="s">
        <v>6966</v>
      </c>
      <c r="G1117" s="10" t="s">
        <v>13</v>
      </c>
      <c r="H1117" s="12">
        <v>46262</v>
      </c>
      <c r="I1117" s="10" t="s">
        <v>4341</v>
      </c>
      <c r="J1117" s="10" t="str">
        <f>IFERROR(INDEX([1]Programas!$B$2:$B$50,MATCH(LEFT(I1117,3),[1]Programas!$A$2:$A$50,0)),"")</f>
        <v>Marketing Digital y Ge</v>
      </c>
      <c r="K1117" s="10" t="s">
        <v>649</v>
      </c>
    </row>
    <row r="1118" spans="1:11" x14ac:dyDescent="0.2">
      <c r="A1118" s="10">
        <v>1117</v>
      </c>
      <c r="B1118" s="10" t="s">
        <v>4361</v>
      </c>
      <c r="C1118" s="11" t="s">
        <v>4360</v>
      </c>
      <c r="D1118" s="10" t="s">
        <v>4419</v>
      </c>
      <c r="E1118" s="10" t="s">
        <v>6967</v>
      </c>
      <c r="F1118" s="11" t="s">
        <v>6968</v>
      </c>
      <c r="G1118" s="10" t="s">
        <v>13</v>
      </c>
      <c r="H1118" s="12">
        <v>46262</v>
      </c>
      <c r="I1118" s="10" t="s">
        <v>4341</v>
      </c>
      <c r="J1118" s="10" t="str">
        <f>IFERROR(INDEX([1]Programas!$B$2:$B$50,MATCH(LEFT(I1118,3),[1]Programas!$A$2:$A$50,0)),"")</f>
        <v>Marketing Digital y Ge</v>
      </c>
      <c r="K1118" s="10" t="s">
        <v>649</v>
      </c>
    </row>
    <row r="1119" spans="1:11" x14ac:dyDescent="0.2">
      <c r="A1119" s="10">
        <v>1118</v>
      </c>
      <c r="B1119" s="10" t="s">
        <v>4363</v>
      </c>
      <c r="C1119" s="11" t="s">
        <v>4362</v>
      </c>
      <c r="D1119" s="10" t="s">
        <v>4419</v>
      </c>
      <c r="E1119" s="10" t="s">
        <v>6969</v>
      </c>
      <c r="F1119" s="11" t="s">
        <v>6970</v>
      </c>
      <c r="G1119" s="10" t="s">
        <v>13</v>
      </c>
      <c r="H1119" s="12">
        <v>46262</v>
      </c>
      <c r="I1119" s="10" t="s">
        <v>4341</v>
      </c>
      <c r="J1119" s="10" t="str">
        <f>IFERROR(INDEX([1]Programas!$B$2:$B$50,MATCH(LEFT(I1119,3),[1]Programas!$A$2:$A$50,0)),"")</f>
        <v>Marketing Digital y Ge</v>
      </c>
      <c r="K1119" s="10" t="s">
        <v>649</v>
      </c>
    </row>
    <row r="1120" spans="1:11" x14ac:dyDescent="0.2">
      <c r="A1120" s="10">
        <v>1119</v>
      </c>
      <c r="B1120" s="10" t="s">
        <v>4365</v>
      </c>
      <c r="C1120" s="11" t="s">
        <v>4364</v>
      </c>
      <c r="D1120" s="10" t="s">
        <v>4419</v>
      </c>
      <c r="E1120" s="10" t="s">
        <v>6971</v>
      </c>
      <c r="F1120" s="11" t="s">
        <v>6972</v>
      </c>
      <c r="G1120" s="10" t="s">
        <v>13</v>
      </c>
      <c r="H1120" s="12">
        <v>46262</v>
      </c>
      <c r="I1120" s="10" t="s">
        <v>4341</v>
      </c>
      <c r="J1120" s="10" t="str">
        <f>IFERROR(INDEX([1]Programas!$B$2:$B$50,MATCH(LEFT(I1120,3),[1]Programas!$A$2:$A$50,0)),"")</f>
        <v>Marketing Digital y Ge</v>
      </c>
      <c r="K1120" s="10" t="s">
        <v>649</v>
      </c>
    </row>
    <row r="1121" spans="1:11" x14ac:dyDescent="0.2">
      <c r="A1121" s="10">
        <v>1120</v>
      </c>
      <c r="B1121" s="10" t="s">
        <v>4367</v>
      </c>
      <c r="C1121" s="11" t="s">
        <v>4366</v>
      </c>
      <c r="D1121" s="10" t="s">
        <v>4419</v>
      </c>
      <c r="E1121" s="10" t="s">
        <v>6973</v>
      </c>
      <c r="F1121" s="11" t="s">
        <v>6974</v>
      </c>
      <c r="G1121" s="10" t="s">
        <v>13</v>
      </c>
      <c r="H1121" s="12">
        <v>46262</v>
      </c>
      <c r="I1121" s="10" t="s">
        <v>4341</v>
      </c>
      <c r="J1121" s="10" t="str">
        <f>IFERROR(INDEX([1]Programas!$B$2:$B$50,MATCH(LEFT(I1121,3),[1]Programas!$A$2:$A$50,0)),"")</f>
        <v>Marketing Digital y Ge</v>
      </c>
      <c r="K1121" s="10" t="s">
        <v>649</v>
      </c>
    </row>
    <row r="1122" spans="1:11" x14ac:dyDescent="0.2">
      <c r="A1122" s="10">
        <v>1121</v>
      </c>
      <c r="B1122" s="10" t="s">
        <v>4369</v>
      </c>
      <c r="C1122" s="11" t="s">
        <v>4368</v>
      </c>
      <c r="D1122" s="10" t="s">
        <v>4419</v>
      </c>
      <c r="E1122" s="10" t="s">
        <v>6975</v>
      </c>
      <c r="F1122" s="11" t="s">
        <v>6976</v>
      </c>
      <c r="G1122" s="10" t="s">
        <v>13</v>
      </c>
      <c r="H1122" s="12">
        <v>46262</v>
      </c>
      <c r="I1122" s="10" t="s">
        <v>4341</v>
      </c>
      <c r="J1122" s="10" t="str">
        <f>IFERROR(INDEX([1]Programas!$B$2:$B$50,MATCH(LEFT(I1122,3),[1]Programas!$A$2:$A$50,0)),"")</f>
        <v>Marketing Digital y Ge</v>
      </c>
      <c r="K1122" s="10" t="s">
        <v>649</v>
      </c>
    </row>
    <row r="1123" spans="1:11" x14ac:dyDescent="0.2">
      <c r="A1123" s="10">
        <v>1122</v>
      </c>
      <c r="B1123" s="10" t="s">
        <v>4371</v>
      </c>
      <c r="C1123" s="11" t="s">
        <v>4370</v>
      </c>
      <c r="D1123" s="10" t="s">
        <v>4453</v>
      </c>
      <c r="E1123" s="10" t="s">
        <v>6977</v>
      </c>
      <c r="F1123" s="11" t="s">
        <v>6978</v>
      </c>
      <c r="G1123" s="10" t="s">
        <v>13</v>
      </c>
      <c r="H1123" s="12">
        <v>46262</v>
      </c>
      <c r="I1123" s="10" t="s">
        <v>4341</v>
      </c>
      <c r="J1123" s="10" t="str">
        <f>IFERROR(INDEX([1]Programas!$B$2:$B$50,MATCH(LEFT(I1123,3),[1]Programas!$A$2:$A$50,0)),"")</f>
        <v>Marketing Digital y Ge</v>
      </c>
      <c r="K1123" s="10" t="s">
        <v>649</v>
      </c>
    </row>
    <row r="1124" spans="1:11" x14ac:dyDescent="0.2">
      <c r="A1124" s="10">
        <v>1123</v>
      </c>
      <c r="B1124" s="10" t="s">
        <v>6979</v>
      </c>
      <c r="C1124" s="11" t="s">
        <v>4372</v>
      </c>
      <c r="D1124" s="10" t="s">
        <v>4419</v>
      </c>
      <c r="E1124" s="10" t="s">
        <v>6980</v>
      </c>
      <c r="F1124" s="11" t="s">
        <v>6981</v>
      </c>
      <c r="G1124" s="10" t="s">
        <v>13</v>
      </c>
      <c r="H1124" s="12">
        <v>46262</v>
      </c>
      <c r="I1124" s="10" t="s">
        <v>4341</v>
      </c>
      <c r="J1124" s="10" t="str">
        <f>IFERROR(INDEX([1]Programas!$B$2:$B$50,MATCH(LEFT(I1124,3),[1]Programas!$A$2:$A$50,0)),"")</f>
        <v>Marketing Digital y Ge</v>
      </c>
      <c r="K1124" s="10" t="s">
        <v>649</v>
      </c>
    </row>
    <row r="1125" spans="1:11" x14ac:dyDescent="0.2">
      <c r="A1125" s="10">
        <v>1124</v>
      </c>
      <c r="B1125" s="10" t="s">
        <v>4375</v>
      </c>
      <c r="C1125" s="11" t="s">
        <v>4374</v>
      </c>
      <c r="D1125" s="10" t="s">
        <v>4419</v>
      </c>
      <c r="E1125" s="10" t="s">
        <v>6982</v>
      </c>
      <c r="F1125" s="11" t="s">
        <v>6983</v>
      </c>
      <c r="G1125" s="10" t="s">
        <v>13</v>
      </c>
      <c r="H1125" s="12">
        <v>46262</v>
      </c>
      <c r="I1125" s="10" t="s">
        <v>4341</v>
      </c>
      <c r="J1125" s="10" t="str">
        <f>IFERROR(INDEX([1]Programas!$B$2:$B$50,MATCH(LEFT(I1125,3),[1]Programas!$A$2:$A$50,0)),"")</f>
        <v>Marketing Digital y Ge</v>
      </c>
      <c r="K1125" s="10" t="s">
        <v>649</v>
      </c>
    </row>
    <row r="1126" spans="1:11" x14ac:dyDescent="0.2">
      <c r="A1126" s="10">
        <v>1125</v>
      </c>
      <c r="B1126" s="10" t="s">
        <v>6984</v>
      </c>
      <c r="C1126" s="11" t="s">
        <v>4376</v>
      </c>
      <c r="D1126" s="10" t="s">
        <v>4419</v>
      </c>
      <c r="E1126" s="10" t="s">
        <v>6985</v>
      </c>
      <c r="F1126" s="11" t="s">
        <v>6986</v>
      </c>
      <c r="G1126" s="10" t="s">
        <v>13</v>
      </c>
      <c r="H1126" s="12">
        <v>46262</v>
      </c>
      <c r="I1126" s="10" t="s">
        <v>4341</v>
      </c>
      <c r="J1126" s="10" t="str">
        <f>IFERROR(INDEX([1]Programas!$B$2:$B$50,MATCH(LEFT(I1126,3),[1]Programas!$A$2:$A$50,0)),"")</f>
        <v>Marketing Digital y Ge</v>
      </c>
      <c r="K1126" s="10" t="s">
        <v>649</v>
      </c>
    </row>
    <row r="1127" spans="1:11" x14ac:dyDescent="0.2">
      <c r="A1127" s="10">
        <v>1126</v>
      </c>
      <c r="B1127" s="10" t="s">
        <v>4379</v>
      </c>
      <c r="C1127" s="11" t="s">
        <v>4378</v>
      </c>
      <c r="D1127" s="10" t="s">
        <v>4419</v>
      </c>
      <c r="E1127" s="10" t="s">
        <v>6987</v>
      </c>
      <c r="F1127" s="11" t="s">
        <v>6988</v>
      </c>
      <c r="G1127" s="10" t="s">
        <v>13</v>
      </c>
      <c r="H1127" s="12">
        <v>46262</v>
      </c>
      <c r="I1127" s="10" t="s">
        <v>4341</v>
      </c>
      <c r="J1127" s="10" t="str">
        <f>IFERROR(INDEX([1]Programas!$B$2:$B$50,MATCH(LEFT(I1127,3),[1]Programas!$A$2:$A$50,0)),"")</f>
        <v>Marketing Digital y Ge</v>
      </c>
      <c r="K1127" s="10" t="s">
        <v>649</v>
      </c>
    </row>
    <row r="1128" spans="1:11" x14ac:dyDescent="0.2">
      <c r="A1128" s="10">
        <v>1127</v>
      </c>
      <c r="B1128" s="10" t="s">
        <v>4381</v>
      </c>
      <c r="C1128" s="11" t="s">
        <v>4380</v>
      </c>
      <c r="D1128" s="10" t="s">
        <v>4419</v>
      </c>
      <c r="E1128" s="10" t="s">
        <v>6989</v>
      </c>
      <c r="F1128" s="11" t="s">
        <v>6990</v>
      </c>
      <c r="G1128" s="10" t="s">
        <v>13</v>
      </c>
      <c r="H1128" s="12">
        <v>46262</v>
      </c>
      <c r="I1128" s="10" t="s">
        <v>4341</v>
      </c>
      <c r="J1128" s="10" t="str">
        <f>IFERROR(INDEX([1]Programas!$B$2:$B$50,MATCH(LEFT(I1128,3),[1]Programas!$A$2:$A$50,0)),"")</f>
        <v>Marketing Digital y Ge</v>
      </c>
      <c r="K1128" s="10" t="s">
        <v>649</v>
      </c>
    </row>
    <row r="1129" spans="1:11" x14ac:dyDescent="0.2">
      <c r="A1129" s="10">
        <v>1128</v>
      </c>
      <c r="B1129" s="10" t="s">
        <v>6991</v>
      </c>
      <c r="C1129" s="11" t="s">
        <v>4382</v>
      </c>
      <c r="D1129" s="10" t="s">
        <v>4419</v>
      </c>
      <c r="E1129" s="10" t="s">
        <v>6992</v>
      </c>
      <c r="F1129" s="11" t="s">
        <v>6993</v>
      </c>
      <c r="G1129" s="10" t="s">
        <v>13</v>
      </c>
      <c r="H1129" s="12">
        <v>46262</v>
      </c>
      <c r="I1129" s="10" t="s">
        <v>4341</v>
      </c>
      <c r="J1129" s="10" t="str">
        <f>IFERROR(INDEX([1]Programas!$B$2:$B$50,MATCH(LEFT(I1129,3),[1]Programas!$A$2:$A$50,0)),"")</f>
        <v>Marketing Digital y Ge</v>
      </c>
      <c r="K1129" s="10" t="s">
        <v>649</v>
      </c>
    </row>
    <row r="1130" spans="1:11" x14ac:dyDescent="0.2">
      <c r="A1130" s="10">
        <v>1129</v>
      </c>
      <c r="B1130" s="10" t="s">
        <v>4385</v>
      </c>
      <c r="C1130" s="11" t="s">
        <v>4384</v>
      </c>
      <c r="D1130" s="10" t="s">
        <v>4419</v>
      </c>
      <c r="E1130" s="10" t="s">
        <v>6994</v>
      </c>
      <c r="F1130" s="11" t="s">
        <v>6995</v>
      </c>
      <c r="G1130" s="10" t="s">
        <v>13</v>
      </c>
      <c r="H1130" s="12">
        <v>46262</v>
      </c>
      <c r="I1130" s="10" t="s">
        <v>4341</v>
      </c>
      <c r="J1130" s="10" t="str">
        <f>IFERROR(INDEX([1]Programas!$B$2:$B$50,MATCH(LEFT(I1130,3),[1]Programas!$A$2:$A$50,0)),"")</f>
        <v>Marketing Digital y Ge</v>
      </c>
      <c r="K1130" s="10" t="s">
        <v>649</v>
      </c>
    </row>
    <row r="1131" spans="1:11" x14ac:dyDescent="0.2">
      <c r="A1131" s="10">
        <v>1130</v>
      </c>
      <c r="B1131" s="10" t="s">
        <v>4387</v>
      </c>
      <c r="C1131" s="11" t="s">
        <v>4386</v>
      </c>
      <c r="D1131" s="10" t="s">
        <v>4419</v>
      </c>
      <c r="E1131" s="10" t="s">
        <v>6996</v>
      </c>
      <c r="F1131" s="11" t="s">
        <v>6997</v>
      </c>
      <c r="G1131" s="10" t="s">
        <v>13</v>
      </c>
      <c r="H1131" s="12">
        <v>46262</v>
      </c>
      <c r="I1131" s="10" t="s">
        <v>4341</v>
      </c>
      <c r="J1131" s="10" t="str">
        <f>IFERROR(INDEX([1]Programas!$B$2:$B$50,MATCH(LEFT(I1131,3),[1]Programas!$A$2:$A$50,0)),"")</f>
        <v>Marketing Digital y Ge</v>
      </c>
      <c r="K1131" s="10" t="s">
        <v>649</v>
      </c>
    </row>
    <row r="1132" spans="1:11" x14ac:dyDescent="0.2">
      <c r="A1132" s="10">
        <v>1131</v>
      </c>
      <c r="B1132" s="10" t="s">
        <v>4389</v>
      </c>
      <c r="C1132" s="11" t="s">
        <v>4388</v>
      </c>
      <c r="D1132" s="10" t="s">
        <v>4419</v>
      </c>
      <c r="E1132" s="10" t="s">
        <v>6998</v>
      </c>
      <c r="F1132" s="11" t="s">
        <v>6999</v>
      </c>
      <c r="G1132" s="10" t="s">
        <v>13</v>
      </c>
      <c r="H1132" s="12">
        <v>46262</v>
      </c>
      <c r="I1132" s="10" t="s">
        <v>4341</v>
      </c>
      <c r="J1132" s="10" t="str">
        <f>IFERROR(INDEX([1]Programas!$B$2:$B$50,MATCH(LEFT(I1132,3),[1]Programas!$A$2:$A$50,0)),"")</f>
        <v>Marketing Digital y Ge</v>
      </c>
      <c r="K1132" s="10" t="s">
        <v>649</v>
      </c>
    </row>
    <row r="1133" spans="1:11" x14ac:dyDescent="0.2">
      <c r="A1133" s="10">
        <v>1132</v>
      </c>
      <c r="B1133" s="10" t="s">
        <v>4391</v>
      </c>
      <c r="C1133" s="11" t="s">
        <v>4390</v>
      </c>
      <c r="D1133" s="10" t="s">
        <v>4419</v>
      </c>
      <c r="E1133" s="10" t="s">
        <v>7000</v>
      </c>
      <c r="F1133" s="11" t="s">
        <v>7001</v>
      </c>
      <c r="G1133" s="10" t="s">
        <v>13</v>
      </c>
      <c r="H1133" s="12">
        <v>46262</v>
      </c>
      <c r="I1133" s="10" t="s">
        <v>4341</v>
      </c>
      <c r="J1133" s="10" t="str">
        <f>IFERROR(INDEX([1]Programas!$B$2:$B$50,MATCH(LEFT(I1133,3),[1]Programas!$A$2:$A$50,0)),"")</f>
        <v>Marketing Digital y Ge</v>
      </c>
      <c r="K1133" s="10" t="s">
        <v>649</v>
      </c>
    </row>
    <row r="1134" spans="1:11" x14ac:dyDescent="0.2">
      <c r="A1134" s="10">
        <v>1133</v>
      </c>
      <c r="B1134" s="10" t="s">
        <v>7002</v>
      </c>
      <c r="C1134" s="11" t="s">
        <v>4392</v>
      </c>
      <c r="D1134" s="10" t="s">
        <v>4419</v>
      </c>
      <c r="E1134" s="10" t="s">
        <v>7003</v>
      </c>
      <c r="F1134" s="11" t="s">
        <v>7004</v>
      </c>
      <c r="G1134" s="10" t="s">
        <v>13</v>
      </c>
      <c r="H1134" s="12">
        <v>46262</v>
      </c>
      <c r="I1134" s="10" t="s">
        <v>4341</v>
      </c>
      <c r="J1134" s="10" t="str">
        <f>IFERROR(INDEX([1]Programas!$B$2:$B$50,MATCH(LEFT(I1134,3),[1]Programas!$A$2:$A$50,0)),"")</f>
        <v>Marketing Digital y Ge</v>
      </c>
      <c r="K1134" s="10" t="s">
        <v>649</v>
      </c>
    </row>
    <row r="1135" spans="1:11" x14ac:dyDescent="0.2">
      <c r="A1135" s="10">
        <v>1134</v>
      </c>
      <c r="B1135" s="10" t="s">
        <v>4395</v>
      </c>
      <c r="C1135" s="11" t="s">
        <v>4394</v>
      </c>
      <c r="D1135" s="10" t="s">
        <v>4419</v>
      </c>
      <c r="E1135" s="10" t="s">
        <v>7005</v>
      </c>
      <c r="F1135" s="11" t="s">
        <v>7006</v>
      </c>
      <c r="G1135" s="10" t="s">
        <v>13</v>
      </c>
      <c r="H1135" s="12">
        <v>46262</v>
      </c>
      <c r="I1135" s="10" t="s">
        <v>4341</v>
      </c>
      <c r="J1135" s="10" t="str">
        <f>IFERROR(INDEX([1]Programas!$B$2:$B$50,MATCH(LEFT(I1135,3),[1]Programas!$A$2:$A$50,0)),"")</f>
        <v>Marketing Digital y Ge</v>
      </c>
      <c r="K1135" s="10" t="s">
        <v>649</v>
      </c>
    </row>
    <row r="1136" spans="1:11" x14ac:dyDescent="0.2">
      <c r="A1136" s="10">
        <v>1135</v>
      </c>
      <c r="B1136" s="10" t="s">
        <v>4397</v>
      </c>
      <c r="C1136" s="11" t="s">
        <v>4396</v>
      </c>
      <c r="D1136" s="10" t="s">
        <v>4419</v>
      </c>
      <c r="E1136" s="10" t="s">
        <v>7007</v>
      </c>
      <c r="F1136" s="11" t="s">
        <v>7008</v>
      </c>
      <c r="G1136" s="10" t="s">
        <v>13</v>
      </c>
      <c r="H1136" s="12">
        <v>46262</v>
      </c>
      <c r="I1136" s="10" t="s">
        <v>4341</v>
      </c>
      <c r="J1136" s="10" t="str">
        <f>IFERROR(INDEX([1]Programas!$B$2:$B$50,MATCH(LEFT(I1136,3),[1]Programas!$A$2:$A$50,0)),"")</f>
        <v>Marketing Digital y Ge</v>
      </c>
      <c r="K1136" s="10" t="s">
        <v>649</v>
      </c>
    </row>
    <row r="1137" spans="1:11" x14ac:dyDescent="0.2">
      <c r="A1137" s="10">
        <v>1136</v>
      </c>
      <c r="B1137" s="10" t="s">
        <v>4399</v>
      </c>
      <c r="C1137" s="11" t="s">
        <v>4398</v>
      </c>
      <c r="D1137" s="10" t="s">
        <v>4419</v>
      </c>
      <c r="E1137" s="10" t="s">
        <v>7009</v>
      </c>
      <c r="F1137" s="11" t="s">
        <v>7010</v>
      </c>
      <c r="G1137" s="10" t="s">
        <v>13</v>
      </c>
      <c r="H1137" s="12">
        <v>46262</v>
      </c>
      <c r="I1137" s="10" t="s">
        <v>4341</v>
      </c>
      <c r="J1137" s="10" t="str">
        <f>IFERROR(INDEX([1]Programas!$B$2:$B$50,MATCH(LEFT(I1137,3),[1]Programas!$A$2:$A$50,0)),"")</f>
        <v>Marketing Digital y Ge</v>
      </c>
      <c r="K1137" s="10" t="s">
        <v>649</v>
      </c>
    </row>
    <row r="1138" spans="1:11" x14ac:dyDescent="0.2">
      <c r="A1138" s="10">
        <v>1137</v>
      </c>
      <c r="B1138" s="10" t="s">
        <v>4401</v>
      </c>
      <c r="C1138" s="11" t="s">
        <v>4400</v>
      </c>
      <c r="D1138" s="10" t="s">
        <v>4419</v>
      </c>
      <c r="E1138" s="10" t="s">
        <v>7011</v>
      </c>
      <c r="F1138" s="11" t="s">
        <v>7012</v>
      </c>
      <c r="G1138" s="10" t="s">
        <v>13</v>
      </c>
      <c r="H1138" s="12">
        <v>46263</v>
      </c>
      <c r="I1138" s="10" t="s">
        <v>4341</v>
      </c>
      <c r="J1138" s="10" t="str">
        <f>IFERROR(INDEX([1]Programas!$B$2:$B$50,MATCH(LEFT(I1138,3),[1]Programas!$A$2:$A$50,0)),"")</f>
        <v>Marketing Digital y Ge</v>
      </c>
      <c r="K1138" s="10" t="s">
        <v>649</v>
      </c>
    </row>
    <row r="1139" spans="1:11" x14ac:dyDescent="0.2">
      <c r="A1139" s="10">
        <v>1138</v>
      </c>
      <c r="B1139" s="10" t="s">
        <v>4403</v>
      </c>
      <c r="C1139" s="11" t="s">
        <v>4402</v>
      </c>
      <c r="D1139" s="10" t="s">
        <v>4419</v>
      </c>
      <c r="E1139" s="10" t="s">
        <v>7013</v>
      </c>
      <c r="F1139" s="11" t="s">
        <v>7014</v>
      </c>
      <c r="G1139" s="10" t="s">
        <v>13</v>
      </c>
      <c r="H1139" s="12">
        <v>46263</v>
      </c>
      <c r="I1139" s="10" t="s">
        <v>4341</v>
      </c>
      <c r="J1139" s="10" t="str">
        <f>IFERROR(INDEX([1]Programas!$B$2:$B$50,MATCH(LEFT(I1139,3),[1]Programas!$A$2:$A$50,0)),"")</f>
        <v>Marketing Digital y Ge</v>
      </c>
      <c r="K1139" s="10" t="s">
        <v>649</v>
      </c>
    </row>
    <row r="1140" spans="1:11" x14ac:dyDescent="0.2">
      <c r="A1140" s="10">
        <v>1139</v>
      </c>
      <c r="B1140" s="10" t="s">
        <v>4405</v>
      </c>
      <c r="C1140" s="11" t="s">
        <v>4404</v>
      </c>
      <c r="D1140" s="10" t="s">
        <v>4419</v>
      </c>
      <c r="E1140" s="10" t="s">
        <v>7015</v>
      </c>
      <c r="F1140" s="11" t="s">
        <v>7016</v>
      </c>
      <c r="G1140" s="10" t="s">
        <v>13</v>
      </c>
      <c r="H1140" s="12">
        <v>46263</v>
      </c>
      <c r="I1140" s="10" t="s">
        <v>4341</v>
      </c>
      <c r="J1140" s="10" t="str">
        <f>IFERROR(INDEX([1]Programas!$B$2:$B$50,MATCH(LEFT(I1140,3),[1]Programas!$A$2:$A$50,0)),"")</f>
        <v>Marketing Digital y Ge</v>
      </c>
      <c r="K1140" s="10" t="s">
        <v>649</v>
      </c>
    </row>
    <row r="1141" spans="1:11" x14ac:dyDescent="0.2">
      <c r="A1141" s="10">
        <v>1140</v>
      </c>
      <c r="B1141" s="10" t="s">
        <v>3509</v>
      </c>
      <c r="C1141" s="11" t="s">
        <v>3508</v>
      </c>
      <c r="D1141" s="10" t="s">
        <v>4419</v>
      </c>
      <c r="E1141" s="10" t="s">
        <v>7017</v>
      </c>
      <c r="F1141" s="11" t="s">
        <v>7018</v>
      </c>
      <c r="G1141" s="10" t="s">
        <v>13</v>
      </c>
      <c r="H1141" s="12">
        <v>46262</v>
      </c>
      <c r="I1141" s="10" t="s">
        <v>3504</v>
      </c>
      <c r="J1141" s="10" t="str">
        <f>IFERROR(INDEX([1]Programas!$B$2:$B$50,MATCH(LEFT(I1141,3),[1]Programas!$A$2:$A$50,0)),"")</f>
        <v>E-Commerce, Emprendimi</v>
      </c>
      <c r="K1141" s="10" t="s">
        <v>1863</v>
      </c>
    </row>
    <row r="1142" spans="1:11" x14ac:dyDescent="0.2">
      <c r="A1142" s="10">
        <v>1141</v>
      </c>
      <c r="B1142" s="10" t="s">
        <v>3511</v>
      </c>
      <c r="C1142" s="11" t="s">
        <v>3510</v>
      </c>
      <c r="D1142" s="10" t="s">
        <v>4419</v>
      </c>
      <c r="E1142" s="10" t="s">
        <v>7019</v>
      </c>
      <c r="F1142" s="11" t="s">
        <v>7020</v>
      </c>
      <c r="G1142" s="10" t="s">
        <v>13</v>
      </c>
      <c r="H1142" s="12">
        <v>46262</v>
      </c>
      <c r="I1142" s="10" t="s">
        <v>3504</v>
      </c>
      <c r="J1142" s="10" t="str">
        <f>IFERROR(INDEX([1]Programas!$B$2:$B$50,MATCH(LEFT(I1142,3),[1]Programas!$A$2:$A$50,0)),"")</f>
        <v>E-Commerce, Emprendimi</v>
      </c>
      <c r="K1142" s="10" t="s">
        <v>1863</v>
      </c>
    </row>
    <row r="1143" spans="1:11" x14ac:dyDescent="0.2">
      <c r="A1143" s="10">
        <v>1142</v>
      </c>
      <c r="B1143" s="10" t="s">
        <v>3513</v>
      </c>
      <c r="C1143" s="11" t="s">
        <v>3512</v>
      </c>
      <c r="D1143" s="10" t="s">
        <v>4419</v>
      </c>
      <c r="E1143" s="10" t="s">
        <v>7021</v>
      </c>
      <c r="F1143" s="11" t="s">
        <v>7022</v>
      </c>
      <c r="G1143" s="10" t="s">
        <v>13</v>
      </c>
      <c r="H1143" s="12">
        <v>46262</v>
      </c>
      <c r="I1143" s="10" t="s">
        <v>3504</v>
      </c>
      <c r="J1143" s="10" t="str">
        <f>IFERROR(INDEX([1]Programas!$B$2:$B$50,MATCH(LEFT(I1143,3),[1]Programas!$A$2:$A$50,0)),"")</f>
        <v>E-Commerce, Emprendimi</v>
      </c>
      <c r="K1143" s="10" t="s">
        <v>1863</v>
      </c>
    </row>
    <row r="1144" spans="1:11" x14ac:dyDescent="0.2">
      <c r="A1144" s="10">
        <v>1143</v>
      </c>
      <c r="B1144" s="10" t="s">
        <v>7023</v>
      </c>
      <c r="C1144" s="11" t="s">
        <v>3514</v>
      </c>
      <c r="D1144" s="10" t="s">
        <v>4419</v>
      </c>
      <c r="E1144" s="10" t="s">
        <v>7024</v>
      </c>
      <c r="F1144" s="11" t="s">
        <v>7025</v>
      </c>
      <c r="G1144" s="10" t="s">
        <v>13</v>
      </c>
      <c r="H1144" s="12">
        <v>46262</v>
      </c>
      <c r="I1144" s="10" t="s">
        <v>3504</v>
      </c>
      <c r="J1144" s="10" t="str">
        <f>IFERROR(INDEX([1]Programas!$B$2:$B$50,MATCH(LEFT(I1144,3),[1]Programas!$A$2:$A$50,0)),"")</f>
        <v>E-Commerce, Emprendimi</v>
      </c>
      <c r="K1144" s="10" t="s">
        <v>1863</v>
      </c>
    </row>
    <row r="1145" spans="1:11" x14ac:dyDescent="0.2">
      <c r="A1145" s="10">
        <v>1144</v>
      </c>
      <c r="B1145" s="10" t="s">
        <v>3517</v>
      </c>
      <c r="C1145" s="11" t="s">
        <v>3516</v>
      </c>
      <c r="D1145" s="10" t="s">
        <v>4419</v>
      </c>
      <c r="E1145" s="10" t="s">
        <v>7026</v>
      </c>
      <c r="F1145" s="11" t="s">
        <v>7027</v>
      </c>
      <c r="G1145" s="10" t="s">
        <v>13</v>
      </c>
      <c r="H1145" s="12">
        <v>46262</v>
      </c>
      <c r="I1145" s="10" t="s">
        <v>3504</v>
      </c>
      <c r="J1145" s="10" t="str">
        <f>IFERROR(INDEX([1]Programas!$B$2:$B$50,MATCH(LEFT(I1145,3),[1]Programas!$A$2:$A$50,0)),"")</f>
        <v>E-Commerce, Emprendimi</v>
      </c>
      <c r="K1145" s="10" t="s">
        <v>1863</v>
      </c>
    </row>
    <row r="1146" spans="1:11" x14ac:dyDescent="0.2">
      <c r="A1146" s="10">
        <v>1145</v>
      </c>
      <c r="B1146" s="10" t="s">
        <v>3519</v>
      </c>
      <c r="C1146" s="11" t="s">
        <v>3518</v>
      </c>
      <c r="D1146" s="10" t="s">
        <v>4419</v>
      </c>
      <c r="E1146" s="10" t="s">
        <v>7028</v>
      </c>
      <c r="F1146" s="11" t="s">
        <v>7029</v>
      </c>
      <c r="G1146" s="10" t="s">
        <v>13</v>
      </c>
      <c r="H1146" s="12">
        <v>46262</v>
      </c>
      <c r="I1146" s="10" t="s">
        <v>3504</v>
      </c>
      <c r="J1146" s="10" t="str">
        <f>IFERROR(INDEX([1]Programas!$B$2:$B$50,MATCH(LEFT(I1146,3),[1]Programas!$A$2:$A$50,0)),"")</f>
        <v>E-Commerce, Emprendimi</v>
      </c>
      <c r="K1146" s="10" t="s">
        <v>1863</v>
      </c>
    </row>
    <row r="1147" spans="1:11" x14ac:dyDescent="0.2">
      <c r="A1147" s="10">
        <v>1146</v>
      </c>
      <c r="B1147" s="10" t="s">
        <v>7030</v>
      </c>
      <c r="C1147" s="11" t="s">
        <v>3520</v>
      </c>
      <c r="D1147" s="10" t="s">
        <v>4419</v>
      </c>
      <c r="E1147" s="10" t="s">
        <v>7031</v>
      </c>
      <c r="F1147" s="11" t="s">
        <v>7032</v>
      </c>
      <c r="G1147" s="10" t="s">
        <v>13</v>
      </c>
      <c r="H1147" s="12">
        <v>46262</v>
      </c>
      <c r="I1147" s="10" t="s">
        <v>3504</v>
      </c>
      <c r="J1147" s="10" t="str">
        <f>IFERROR(INDEX([1]Programas!$B$2:$B$50,MATCH(LEFT(I1147,3),[1]Programas!$A$2:$A$50,0)),"")</f>
        <v>E-Commerce, Emprendimi</v>
      </c>
      <c r="K1147" s="10" t="s">
        <v>1863</v>
      </c>
    </row>
    <row r="1148" spans="1:11" x14ac:dyDescent="0.2">
      <c r="A1148" s="10">
        <v>1147</v>
      </c>
      <c r="B1148" s="10" t="s">
        <v>3523</v>
      </c>
      <c r="C1148" s="11" t="s">
        <v>3522</v>
      </c>
      <c r="D1148" s="10" t="s">
        <v>4419</v>
      </c>
      <c r="E1148" s="10" t="s">
        <v>7033</v>
      </c>
      <c r="F1148" s="11" t="s">
        <v>7034</v>
      </c>
      <c r="G1148" s="10" t="s">
        <v>13</v>
      </c>
      <c r="H1148" s="12">
        <v>46262</v>
      </c>
      <c r="I1148" s="10" t="s">
        <v>3504</v>
      </c>
      <c r="J1148" s="10" t="str">
        <f>IFERROR(INDEX([1]Programas!$B$2:$B$50,MATCH(LEFT(I1148,3),[1]Programas!$A$2:$A$50,0)),"")</f>
        <v>E-Commerce, Emprendimi</v>
      </c>
      <c r="K1148" s="10" t="s">
        <v>1863</v>
      </c>
    </row>
    <row r="1149" spans="1:11" x14ac:dyDescent="0.2">
      <c r="A1149" s="10">
        <v>1148</v>
      </c>
      <c r="B1149" s="10" t="s">
        <v>7035</v>
      </c>
      <c r="C1149" s="11" t="s">
        <v>3524</v>
      </c>
      <c r="D1149" s="10" t="s">
        <v>4419</v>
      </c>
      <c r="E1149" s="10" t="s">
        <v>7036</v>
      </c>
      <c r="F1149" s="11" t="s">
        <v>7037</v>
      </c>
      <c r="G1149" s="10" t="s">
        <v>13</v>
      </c>
      <c r="H1149" s="12">
        <v>46262</v>
      </c>
      <c r="I1149" s="10" t="s">
        <v>3504</v>
      </c>
      <c r="J1149" s="10" t="str">
        <f>IFERROR(INDEX([1]Programas!$B$2:$B$50,MATCH(LEFT(I1149,3),[1]Programas!$A$2:$A$50,0)),"")</f>
        <v>E-Commerce, Emprendimi</v>
      </c>
      <c r="K1149" s="10" t="s">
        <v>1863</v>
      </c>
    </row>
    <row r="1150" spans="1:11" x14ac:dyDescent="0.2">
      <c r="A1150" s="10">
        <v>1149</v>
      </c>
      <c r="B1150" s="10" t="s">
        <v>3527</v>
      </c>
      <c r="C1150" s="11" t="s">
        <v>3526</v>
      </c>
      <c r="D1150" s="10" t="s">
        <v>4419</v>
      </c>
      <c r="E1150" s="10" t="s">
        <v>7038</v>
      </c>
      <c r="F1150" s="11" t="s">
        <v>7039</v>
      </c>
      <c r="G1150" s="10" t="s">
        <v>13</v>
      </c>
      <c r="H1150" s="12">
        <v>46262</v>
      </c>
      <c r="I1150" s="10" t="s">
        <v>3504</v>
      </c>
      <c r="J1150" s="10" t="str">
        <f>IFERROR(INDEX([1]Programas!$B$2:$B$50,MATCH(LEFT(I1150,3),[1]Programas!$A$2:$A$50,0)),"")</f>
        <v>E-Commerce, Emprendimi</v>
      </c>
      <c r="K1150" s="10" t="s">
        <v>1863</v>
      </c>
    </row>
    <row r="1151" spans="1:11" x14ac:dyDescent="0.2">
      <c r="A1151" s="10">
        <v>1150</v>
      </c>
      <c r="B1151" s="10" t="s">
        <v>3529</v>
      </c>
      <c r="C1151" s="11" t="s">
        <v>3528</v>
      </c>
      <c r="D1151" s="10" t="s">
        <v>4419</v>
      </c>
      <c r="E1151" s="10" t="s">
        <v>7040</v>
      </c>
      <c r="F1151" s="11" t="s">
        <v>7041</v>
      </c>
      <c r="G1151" s="10" t="s">
        <v>13</v>
      </c>
      <c r="H1151" s="12">
        <v>46262</v>
      </c>
      <c r="I1151" s="10" t="s">
        <v>3504</v>
      </c>
      <c r="J1151" s="10" t="str">
        <f>IFERROR(INDEX([1]Programas!$B$2:$B$50,MATCH(LEFT(I1151,3),[1]Programas!$A$2:$A$50,0)),"")</f>
        <v>E-Commerce, Emprendimi</v>
      </c>
      <c r="K1151" s="10" t="s">
        <v>1863</v>
      </c>
    </row>
    <row r="1152" spans="1:11" x14ac:dyDescent="0.2">
      <c r="A1152" s="10">
        <v>1151</v>
      </c>
      <c r="B1152" s="10" t="s">
        <v>3531</v>
      </c>
      <c r="C1152" s="11" t="s">
        <v>3530</v>
      </c>
      <c r="D1152" s="10" t="s">
        <v>4419</v>
      </c>
      <c r="E1152" s="10" t="s">
        <v>7042</v>
      </c>
      <c r="F1152" s="11" t="s">
        <v>7043</v>
      </c>
      <c r="G1152" s="10" t="s">
        <v>13</v>
      </c>
      <c r="H1152" s="12">
        <v>46262</v>
      </c>
      <c r="I1152" s="10" t="s">
        <v>3504</v>
      </c>
      <c r="J1152" s="10" t="str">
        <f>IFERROR(INDEX([1]Programas!$B$2:$B$50,MATCH(LEFT(I1152,3),[1]Programas!$A$2:$A$50,0)),"")</f>
        <v>E-Commerce, Emprendimi</v>
      </c>
      <c r="K1152" s="10" t="s">
        <v>1863</v>
      </c>
    </row>
    <row r="1153" spans="1:11" x14ac:dyDescent="0.2">
      <c r="A1153" s="10">
        <v>1152</v>
      </c>
      <c r="B1153" s="10" t="s">
        <v>3533</v>
      </c>
      <c r="C1153" s="11" t="s">
        <v>3532</v>
      </c>
      <c r="D1153" s="10" t="s">
        <v>4419</v>
      </c>
      <c r="E1153" s="10" t="s">
        <v>7044</v>
      </c>
      <c r="F1153" s="11" t="s">
        <v>7045</v>
      </c>
      <c r="G1153" s="10" t="s">
        <v>13</v>
      </c>
      <c r="H1153" s="12">
        <v>46262</v>
      </c>
      <c r="I1153" s="10" t="s">
        <v>3504</v>
      </c>
      <c r="J1153" s="10" t="str">
        <f>IFERROR(INDEX([1]Programas!$B$2:$B$50,MATCH(LEFT(I1153,3),[1]Programas!$A$2:$A$50,0)),"")</f>
        <v>E-Commerce, Emprendimi</v>
      </c>
      <c r="K1153" s="10" t="s">
        <v>1863</v>
      </c>
    </row>
    <row r="1154" spans="1:11" x14ac:dyDescent="0.2">
      <c r="A1154" s="10">
        <v>1153</v>
      </c>
      <c r="B1154" s="10" t="s">
        <v>7046</v>
      </c>
      <c r="C1154" s="11" t="s">
        <v>3534</v>
      </c>
      <c r="D1154" s="10" t="s">
        <v>4419</v>
      </c>
      <c r="E1154" s="10" t="s">
        <v>7047</v>
      </c>
      <c r="F1154" s="11" t="s">
        <v>7048</v>
      </c>
      <c r="G1154" s="10" t="s">
        <v>13</v>
      </c>
      <c r="H1154" s="12">
        <v>46262</v>
      </c>
      <c r="I1154" s="10" t="s">
        <v>3504</v>
      </c>
      <c r="J1154" s="10" t="str">
        <f>IFERROR(INDEX([1]Programas!$B$2:$B$50,MATCH(LEFT(I1154,3),[1]Programas!$A$2:$A$50,0)),"")</f>
        <v>E-Commerce, Emprendimi</v>
      </c>
      <c r="K1154" s="10" t="s">
        <v>1863</v>
      </c>
    </row>
    <row r="1155" spans="1:11" x14ac:dyDescent="0.2">
      <c r="A1155" s="10">
        <v>1154</v>
      </c>
      <c r="B1155" s="10" t="s">
        <v>3537</v>
      </c>
      <c r="C1155" s="11" t="s">
        <v>3536</v>
      </c>
      <c r="D1155" s="10" t="s">
        <v>4419</v>
      </c>
      <c r="E1155" s="10" t="s">
        <v>7049</v>
      </c>
      <c r="F1155" s="11" t="s">
        <v>7050</v>
      </c>
      <c r="G1155" s="10" t="s">
        <v>13</v>
      </c>
      <c r="H1155" s="12">
        <v>46262</v>
      </c>
      <c r="I1155" s="10" t="s">
        <v>3504</v>
      </c>
      <c r="J1155" s="10" t="str">
        <f>IFERROR(INDEX([1]Programas!$B$2:$B$50,MATCH(LEFT(I1155,3),[1]Programas!$A$2:$A$50,0)),"")</f>
        <v>E-Commerce, Emprendimi</v>
      </c>
      <c r="K1155" s="10" t="s">
        <v>1863</v>
      </c>
    </row>
    <row r="1156" spans="1:11" x14ac:dyDescent="0.2">
      <c r="A1156" s="10">
        <v>1155</v>
      </c>
      <c r="B1156" s="10" t="s">
        <v>3539</v>
      </c>
      <c r="C1156" s="11" t="s">
        <v>3538</v>
      </c>
      <c r="D1156" s="10" t="s">
        <v>4419</v>
      </c>
      <c r="E1156" s="10" t="s">
        <v>7051</v>
      </c>
      <c r="F1156" s="11" t="s">
        <v>7052</v>
      </c>
      <c r="G1156" s="10" t="s">
        <v>13</v>
      </c>
      <c r="H1156" s="12">
        <v>46262</v>
      </c>
      <c r="I1156" s="10" t="s">
        <v>3504</v>
      </c>
      <c r="J1156" s="10" t="str">
        <f>IFERROR(INDEX([1]Programas!$B$2:$B$50,MATCH(LEFT(I1156,3),[1]Programas!$A$2:$A$50,0)),"")</f>
        <v>E-Commerce, Emprendimi</v>
      </c>
      <c r="K1156" s="10" t="s">
        <v>1863</v>
      </c>
    </row>
    <row r="1157" spans="1:11" x14ac:dyDescent="0.2">
      <c r="A1157" s="10">
        <v>1156</v>
      </c>
      <c r="B1157" s="10" t="s">
        <v>7053</v>
      </c>
      <c r="C1157" s="11" t="s">
        <v>3540</v>
      </c>
      <c r="D1157" s="10" t="s">
        <v>4419</v>
      </c>
      <c r="E1157" s="10" t="s">
        <v>7054</v>
      </c>
      <c r="F1157" s="11" t="s">
        <v>7055</v>
      </c>
      <c r="G1157" s="10" t="s">
        <v>13</v>
      </c>
      <c r="H1157" s="12">
        <v>46262</v>
      </c>
      <c r="I1157" s="10" t="s">
        <v>3504</v>
      </c>
      <c r="J1157" s="10" t="str">
        <f>IFERROR(INDEX([1]Programas!$B$2:$B$50,MATCH(LEFT(I1157,3),[1]Programas!$A$2:$A$50,0)),"")</f>
        <v>E-Commerce, Emprendimi</v>
      </c>
      <c r="K1157" s="10" t="s">
        <v>1863</v>
      </c>
    </row>
    <row r="1158" spans="1:11" x14ac:dyDescent="0.2">
      <c r="A1158" s="10">
        <v>1157</v>
      </c>
      <c r="B1158" s="10" t="s">
        <v>3543</v>
      </c>
      <c r="C1158" s="11" t="s">
        <v>3542</v>
      </c>
      <c r="D1158" s="10" t="s">
        <v>4419</v>
      </c>
      <c r="E1158" s="10" t="s">
        <v>7056</v>
      </c>
      <c r="F1158" s="11" t="s">
        <v>7057</v>
      </c>
      <c r="G1158" s="10" t="s">
        <v>13</v>
      </c>
      <c r="H1158" s="12">
        <v>46262</v>
      </c>
      <c r="I1158" s="10" t="s">
        <v>3504</v>
      </c>
      <c r="J1158" s="10" t="str">
        <f>IFERROR(INDEX([1]Programas!$B$2:$B$50,MATCH(LEFT(I1158,3),[1]Programas!$A$2:$A$50,0)),"")</f>
        <v>E-Commerce, Emprendimi</v>
      </c>
      <c r="K1158" s="10" t="s">
        <v>1863</v>
      </c>
    </row>
    <row r="1159" spans="1:11" x14ac:dyDescent="0.2">
      <c r="A1159" s="10">
        <v>1158</v>
      </c>
      <c r="B1159" s="10" t="s">
        <v>3545</v>
      </c>
      <c r="C1159" s="11" t="s">
        <v>3544</v>
      </c>
      <c r="D1159" s="10" t="s">
        <v>4419</v>
      </c>
      <c r="E1159" s="10" t="s">
        <v>7058</v>
      </c>
      <c r="F1159" s="11" t="s">
        <v>7059</v>
      </c>
      <c r="G1159" s="10" t="s">
        <v>13</v>
      </c>
      <c r="H1159" s="12">
        <v>46262</v>
      </c>
      <c r="I1159" s="10" t="s">
        <v>3504</v>
      </c>
      <c r="J1159" s="10" t="str">
        <f>IFERROR(INDEX([1]Programas!$B$2:$B$50,MATCH(LEFT(I1159,3),[1]Programas!$A$2:$A$50,0)),"")</f>
        <v>E-Commerce, Emprendimi</v>
      </c>
      <c r="K1159" s="10" t="s">
        <v>1863</v>
      </c>
    </row>
    <row r="1160" spans="1:11" x14ac:dyDescent="0.2">
      <c r="A1160" s="10">
        <v>1159</v>
      </c>
      <c r="B1160" s="10" t="s">
        <v>7060</v>
      </c>
      <c r="C1160" s="11" t="s">
        <v>3546</v>
      </c>
      <c r="D1160" s="10" t="s">
        <v>4419</v>
      </c>
      <c r="E1160" s="10" t="s">
        <v>7061</v>
      </c>
      <c r="F1160" s="11" t="s">
        <v>7062</v>
      </c>
      <c r="G1160" s="10" t="s">
        <v>13</v>
      </c>
      <c r="H1160" s="12">
        <v>46263</v>
      </c>
      <c r="I1160" s="10" t="s">
        <v>3504</v>
      </c>
      <c r="J1160" s="10" t="str">
        <f>IFERROR(INDEX([1]Programas!$B$2:$B$50,MATCH(LEFT(I1160,3),[1]Programas!$A$2:$A$50,0)),"")</f>
        <v>E-Commerce, Emprendimi</v>
      </c>
      <c r="K1160" s="10" t="s">
        <v>1863</v>
      </c>
    </row>
    <row r="1161" spans="1:11" x14ac:dyDescent="0.2">
      <c r="A1161" s="10">
        <v>1160</v>
      </c>
      <c r="B1161" s="10" t="s">
        <v>7063</v>
      </c>
      <c r="C1161" s="11" t="s">
        <v>1625</v>
      </c>
      <c r="D1161" s="10" t="s">
        <v>4419</v>
      </c>
      <c r="E1161" s="10" t="s">
        <v>7064</v>
      </c>
      <c r="F1161" s="11" t="s">
        <v>7065</v>
      </c>
      <c r="G1161" s="10" t="s">
        <v>13</v>
      </c>
      <c r="H1161" s="12">
        <v>46268</v>
      </c>
      <c r="I1161" s="10" t="s">
        <v>3504</v>
      </c>
      <c r="J1161" s="10" t="str">
        <f>IFERROR(INDEX([1]Programas!$B$2:$B$50,MATCH(LEFT(I1161,3),[1]Programas!$A$2:$A$50,0)),"")</f>
        <v>E-Commerce, Emprendimi</v>
      </c>
      <c r="K1161" s="10" t="s">
        <v>1863</v>
      </c>
    </row>
    <row r="1162" spans="1:11" x14ac:dyDescent="0.2">
      <c r="A1162" s="10">
        <v>1161</v>
      </c>
      <c r="B1162" s="10" t="s">
        <v>3549</v>
      </c>
      <c r="C1162" s="11" t="s">
        <v>3548</v>
      </c>
      <c r="D1162" s="10" t="s">
        <v>4419</v>
      </c>
      <c r="E1162" s="10" t="s">
        <v>7066</v>
      </c>
      <c r="F1162" s="11" t="s">
        <v>7067</v>
      </c>
      <c r="G1162" s="10" t="s">
        <v>13</v>
      </c>
      <c r="H1162" s="12">
        <v>46274</v>
      </c>
      <c r="I1162" s="10" t="s">
        <v>3504</v>
      </c>
      <c r="J1162" s="10" t="str">
        <f>IFERROR(INDEX([1]Programas!$B$2:$B$50,MATCH(LEFT(I1162,3),[1]Programas!$A$2:$A$50,0)),"")</f>
        <v>E-Commerce, Emprendimi</v>
      </c>
      <c r="K1162" s="10" t="s">
        <v>1863</v>
      </c>
    </row>
    <row r="1163" spans="1:11" x14ac:dyDescent="0.2">
      <c r="A1163" s="10">
        <v>1162</v>
      </c>
      <c r="B1163" s="10" t="s">
        <v>3082</v>
      </c>
      <c r="C1163" s="11" t="s">
        <v>3081</v>
      </c>
      <c r="D1163" s="10" t="s">
        <v>4419</v>
      </c>
      <c r="E1163" s="10" t="s">
        <v>5637</v>
      </c>
      <c r="F1163" s="11" t="s">
        <v>5638</v>
      </c>
      <c r="G1163" s="10" t="s">
        <v>13</v>
      </c>
      <c r="H1163" s="12">
        <v>46260</v>
      </c>
      <c r="I1163" s="10" t="s">
        <v>3551</v>
      </c>
      <c r="J1163" s="10" t="str">
        <f>IFERROR(INDEX([1]Programas!$B$2:$B$50,MATCH(LEFT(I1163,3),[1]Programas!$A$2:$A$50,0)),"")</f>
        <v>E-Commerce, Emprendimi</v>
      </c>
      <c r="K1163" s="10" t="s">
        <v>335</v>
      </c>
    </row>
    <row r="1164" spans="1:11" x14ac:dyDescent="0.2">
      <c r="A1164" s="10">
        <v>1163</v>
      </c>
      <c r="B1164" s="10" t="s">
        <v>3553</v>
      </c>
      <c r="C1164" s="11" t="s">
        <v>3552</v>
      </c>
      <c r="D1164" s="10" t="s">
        <v>4419</v>
      </c>
      <c r="E1164" s="10" t="s">
        <v>7068</v>
      </c>
      <c r="F1164" s="11" t="s">
        <v>7069</v>
      </c>
      <c r="G1164" s="10" t="s">
        <v>13</v>
      </c>
      <c r="H1164" s="12">
        <v>46262</v>
      </c>
      <c r="I1164" s="10" t="s">
        <v>3551</v>
      </c>
      <c r="J1164" s="10" t="str">
        <f>IFERROR(INDEX([1]Programas!$B$2:$B$50,MATCH(LEFT(I1164,3),[1]Programas!$A$2:$A$50,0)),"")</f>
        <v>E-Commerce, Emprendimi</v>
      </c>
      <c r="K1164" s="10" t="s">
        <v>335</v>
      </c>
    </row>
    <row r="1165" spans="1:11" x14ac:dyDescent="0.2">
      <c r="A1165" s="10">
        <v>1164</v>
      </c>
      <c r="B1165" s="10" t="s">
        <v>7070</v>
      </c>
      <c r="C1165" s="11" t="s">
        <v>3555</v>
      </c>
      <c r="D1165" s="10" t="s">
        <v>4419</v>
      </c>
      <c r="E1165" s="10" t="s">
        <v>7071</v>
      </c>
      <c r="F1165" s="11" t="s">
        <v>7072</v>
      </c>
      <c r="G1165" s="10" t="s">
        <v>13</v>
      </c>
      <c r="H1165" s="12">
        <v>46262</v>
      </c>
      <c r="I1165" s="10" t="s">
        <v>3551</v>
      </c>
      <c r="J1165" s="10" t="str">
        <f>IFERROR(INDEX([1]Programas!$B$2:$B$50,MATCH(LEFT(I1165,3),[1]Programas!$A$2:$A$50,0)),"")</f>
        <v>E-Commerce, Emprendimi</v>
      </c>
      <c r="K1165" s="10" t="s">
        <v>335</v>
      </c>
    </row>
    <row r="1166" spans="1:11" x14ac:dyDescent="0.2">
      <c r="A1166" s="10">
        <v>1165</v>
      </c>
      <c r="B1166" s="10" t="s">
        <v>7073</v>
      </c>
      <c r="C1166" s="11" t="s">
        <v>3557</v>
      </c>
      <c r="D1166" s="10" t="s">
        <v>4419</v>
      </c>
      <c r="E1166" s="10" t="s">
        <v>7074</v>
      </c>
      <c r="F1166" s="11" t="s">
        <v>7075</v>
      </c>
      <c r="G1166" s="10" t="s">
        <v>13</v>
      </c>
      <c r="H1166" s="12">
        <v>46262</v>
      </c>
      <c r="I1166" s="10" t="s">
        <v>3551</v>
      </c>
      <c r="J1166" s="10" t="str">
        <f>IFERROR(INDEX([1]Programas!$B$2:$B$50,MATCH(LEFT(I1166,3),[1]Programas!$A$2:$A$50,0)),"")</f>
        <v>E-Commerce, Emprendimi</v>
      </c>
      <c r="K1166" s="10" t="s">
        <v>335</v>
      </c>
    </row>
    <row r="1167" spans="1:11" x14ac:dyDescent="0.2">
      <c r="A1167" s="10">
        <v>1166</v>
      </c>
      <c r="B1167" s="10" t="s">
        <v>3560</v>
      </c>
      <c r="C1167" s="11" t="s">
        <v>3559</v>
      </c>
      <c r="D1167" s="10" t="s">
        <v>4419</v>
      </c>
      <c r="E1167" s="10" t="s">
        <v>7076</v>
      </c>
      <c r="F1167" s="11" t="s">
        <v>7077</v>
      </c>
      <c r="G1167" s="10" t="s">
        <v>13</v>
      </c>
      <c r="H1167" s="12">
        <v>46262</v>
      </c>
      <c r="I1167" s="10" t="s">
        <v>3551</v>
      </c>
      <c r="J1167" s="10" t="str">
        <f>IFERROR(INDEX([1]Programas!$B$2:$B$50,MATCH(LEFT(I1167,3),[1]Programas!$A$2:$A$50,0)),"")</f>
        <v>E-Commerce, Emprendimi</v>
      </c>
      <c r="K1167" s="10" t="s">
        <v>335</v>
      </c>
    </row>
    <row r="1168" spans="1:11" x14ac:dyDescent="0.2">
      <c r="A1168" s="10">
        <v>1167</v>
      </c>
      <c r="B1168" s="10" t="s">
        <v>3562</v>
      </c>
      <c r="C1168" s="11" t="s">
        <v>3561</v>
      </c>
      <c r="D1168" s="10" t="s">
        <v>4419</v>
      </c>
      <c r="E1168" s="10" t="s">
        <v>7078</v>
      </c>
      <c r="F1168" s="11" t="s">
        <v>7079</v>
      </c>
      <c r="G1168" s="10" t="s">
        <v>13</v>
      </c>
      <c r="H1168" s="12">
        <v>46262</v>
      </c>
      <c r="I1168" s="10" t="s">
        <v>3551</v>
      </c>
      <c r="J1168" s="10" t="str">
        <f>IFERROR(INDEX([1]Programas!$B$2:$B$50,MATCH(LEFT(I1168,3),[1]Programas!$A$2:$A$50,0)),"")</f>
        <v>E-Commerce, Emprendimi</v>
      </c>
      <c r="K1168" s="10" t="s">
        <v>335</v>
      </c>
    </row>
    <row r="1169" spans="1:11" x14ac:dyDescent="0.2">
      <c r="A1169" s="10">
        <v>1168</v>
      </c>
      <c r="B1169" s="10" t="s">
        <v>3564</v>
      </c>
      <c r="C1169" s="11" t="s">
        <v>3563</v>
      </c>
      <c r="D1169" s="10" t="s">
        <v>4419</v>
      </c>
      <c r="E1169" s="10" t="s">
        <v>7080</v>
      </c>
      <c r="F1169" s="11" t="s">
        <v>7081</v>
      </c>
      <c r="G1169" s="10" t="s">
        <v>13</v>
      </c>
      <c r="H1169" s="12">
        <v>46262</v>
      </c>
      <c r="I1169" s="10" t="s">
        <v>3551</v>
      </c>
      <c r="J1169" s="10" t="str">
        <f>IFERROR(INDEX([1]Programas!$B$2:$B$50,MATCH(LEFT(I1169,3),[1]Programas!$A$2:$A$50,0)),"")</f>
        <v>E-Commerce, Emprendimi</v>
      </c>
      <c r="K1169" s="10" t="s">
        <v>335</v>
      </c>
    </row>
    <row r="1170" spans="1:11" x14ac:dyDescent="0.2">
      <c r="A1170" s="10">
        <v>1169</v>
      </c>
      <c r="B1170" s="10" t="s">
        <v>3566</v>
      </c>
      <c r="C1170" s="11" t="s">
        <v>3565</v>
      </c>
      <c r="D1170" s="10" t="s">
        <v>4419</v>
      </c>
      <c r="E1170" s="10" t="s">
        <v>7082</v>
      </c>
      <c r="F1170" s="11" t="s">
        <v>7083</v>
      </c>
      <c r="G1170" s="10" t="s">
        <v>13</v>
      </c>
      <c r="H1170" s="12">
        <v>46262</v>
      </c>
      <c r="I1170" s="10" t="s">
        <v>3551</v>
      </c>
      <c r="J1170" s="10" t="str">
        <f>IFERROR(INDEX([1]Programas!$B$2:$B$50,MATCH(LEFT(I1170,3),[1]Programas!$A$2:$A$50,0)),"")</f>
        <v>E-Commerce, Emprendimi</v>
      </c>
      <c r="K1170" s="10" t="s">
        <v>335</v>
      </c>
    </row>
    <row r="1171" spans="1:11" x14ac:dyDescent="0.2">
      <c r="A1171" s="10">
        <v>1170</v>
      </c>
      <c r="B1171" s="10" t="s">
        <v>3569</v>
      </c>
      <c r="C1171" s="11" t="s">
        <v>3568</v>
      </c>
      <c r="D1171" s="10" t="s">
        <v>4419</v>
      </c>
      <c r="E1171" s="10" t="s">
        <v>7084</v>
      </c>
      <c r="F1171" s="11" t="s">
        <v>7085</v>
      </c>
      <c r="G1171" s="10" t="s">
        <v>13</v>
      </c>
      <c r="H1171" s="12">
        <v>46262</v>
      </c>
      <c r="I1171" s="10" t="s">
        <v>3551</v>
      </c>
      <c r="J1171" s="10" t="str">
        <f>IFERROR(INDEX([1]Programas!$B$2:$B$50,MATCH(LEFT(I1171,3),[1]Programas!$A$2:$A$50,0)),"")</f>
        <v>E-Commerce, Emprendimi</v>
      </c>
      <c r="K1171" s="10" t="s">
        <v>335</v>
      </c>
    </row>
    <row r="1172" spans="1:11" x14ac:dyDescent="0.2">
      <c r="A1172" s="10">
        <v>1171</v>
      </c>
      <c r="B1172" s="10" t="s">
        <v>3571</v>
      </c>
      <c r="C1172" s="11" t="s">
        <v>3570</v>
      </c>
      <c r="D1172" s="10" t="s">
        <v>4419</v>
      </c>
      <c r="E1172" s="10" t="s">
        <v>7086</v>
      </c>
      <c r="F1172" s="11" t="s">
        <v>7087</v>
      </c>
      <c r="G1172" s="10" t="s">
        <v>13</v>
      </c>
      <c r="H1172" s="12">
        <v>46262</v>
      </c>
      <c r="I1172" s="10" t="s">
        <v>3551</v>
      </c>
      <c r="J1172" s="10" t="str">
        <f>IFERROR(INDEX([1]Programas!$B$2:$B$50,MATCH(LEFT(I1172,3),[1]Programas!$A$2:$A$50,0)),"")</f>
        <v>E-Commerce, Emprendimi</v>
      </c>
      <c r="K1172" s="10" t="s">
        <v>335</v>
      </c>
    </row>
    <row r="1173" spans="1:11" x14ac:dyDescent="0.2">
      <c r="A1173" s="10">
        <v>1172</v>
      </c>
      <c r="B1173" s="10" t="s">
        <v>3573</v>
      </c>
      <c r="C1173" s="11" t="s">
        <v>3572</v>
      </c>
      <c r="D1173" s="10" t="s">
        <v>4419</v>
      </c>
      <c r="E1173" s="10" t="s">
        <v>7088</v>
      </c>
      <c r="F1173" s="11" t="s">
        <v>7089</v>
      </c>
      <c r="G1173" s="10" t="s">
        <v>13</v>
      </c>
      <c r="H1173" s="12">
        <v>46262</v>
      </c>
      <c r="I1173" s="10" t="s">
        <v>3551</v>
      </c>
      <c r="J1173" s="10" t="str">
        <f>IFERROR(INDEX([1]Programas!$B$2:$B$50,MATCH(LEFT(I1173,3),[1]Programas!$A$2:$A$50,0)),"")</f>
        <v>E-Commerce, Emprendimi</v>
      </c>
      <c r="K1173" s="10" t="s">
        <v>335</v>
      </c>
    </row>
    <row r="1174" spans="1:11" x14ac:dyDescent="0.2">
      <c r="A1174" s="10">
        <v>1173</v>
      </c>
      <c r="B1174" s="10" t="s">
        <v>3575</v>
      </c>
      <c r="C1174" s="11" t="s">
        <v>3574</v>
      </c>
      <c r="D1174" s="10" t="s">
        <v>4419</v>
      </c>
      <c r="E1174" s="10" t="s">
        <v>7090</v>
      </c>
      <c r="F1174" s="11" t="s">
        <v>7091</v>
      </c>
      <c r="G1174" s="10" t="s">
        <v>13</v>
      </c>
      <c r="H1174" s="12">
        <v>46262</v>
      </c>
      <c r="I1174" s="10" t="s">
        <v>3551</v>
      </c>
      <c r="J1174" s="10" t="str">
        <f>IFERROR(INDEX([1]Programas!$B$2:$B$50,MATCH(LEFT(I1174,3),[1]Programas!$A$2:$A$50,0)),"")</f>
        <v>E-Commerce, Emprendimi</v>
      </c>
      <c r="K1174" s="10" t="s">
        <v>335</v>
      </c>
    </row>
    <row r="1175" spans="1:11" x14ac:dyDescent="0.2">
      <c r="A1175" s="10">
        <v>1174</v>
      </c>
      <c r="B1175" s="10" t="s">
        <v>7092</v>
      </c>
      <c r="C1175" s="11" t="s">
        <v>3576</v>
      </c>
      <c r="D1175" s="10" t="s">
        <v>4419</v>
      </c>
      <c r="E1175" s="10" t="s">
        <v>7093</v>
      </c>
      <c r="F1175" s="11" t="s">
        <v>7094</v>
      </c>
      <c r="G1175" s="10" t="s">
        <v>13</v>
      </c>
      <c r="H1175" s="12">
        <v>46262</v>
      </c>
      <c r="I1175" s="10" t="s">
        <v>3551</v>
      </c>
      <c r="J1175" s="10" t="str">
        <f>IFERROR(INDEX([1]Programas!$B$2:$B$50,MATCH(LEFT(I1175,3),[1]Programas!$A$2:$A$50,0)),"")</f>
        <v>E-Commerce, Emprendimi</v>
      </c>
      <c r="K1175" s="10" t="s">
        <v>335</v>
      </c>
    </row>
    <row r="1176" spans="1:11" x14ac:dyDescent="0.2">
      <c r="A1176" s="10">
        <v>1175</v>
      </c>
      <c r="B1176" s="10" t="s">
        <v>7095</v>
      </c>
      <c r="C1176" s="11" t="s">
        <v>3578</v>
      </c>
      <c r="D1176" s="10" t="s">
        <v>4419</v>
      </c>
      <c r="E1176" s="10" t="s">
        <v>7096</v>
      </c>
      <c r="F1176" s="11" t="s">
        <v>7097</v>
      </c>
      <c r="G1176" s="10" t="s">
        <v>13</v>
      </c>
      <c r="H1176" s="12">
        <v>46262</v>
      </c>
      <c r="I1176" s="10" t="s">
        <v>3551</v>
      </c>
      <c r="J1176" s="10" t="str">
        <f>IFERROR(INDEX([1]Programas!$B$2:$B$50,MATCH(LEFT(I1176,3),[1]Programas!$A$2:$A$50,0)),"")</f>
        <v>E-Commerce, Emprendimi</v>
      </c>
      <c r="K1176" s="10" t="s">
        <v>335</v>
      </c>
    </row>
    <row r="1177" spans="1:11" x14ac:dyDescent="0.2">
      <c r="A1177" s="10">
        <v>1176</v>
      </c>
      <c r="B1177" s="10" t="s">
        <v>7098</v>
      </c>
      <c r="C1177" s="11" t="s">
        <v>3580</v>
      </c>
      <c r="D1177" s="10" t="s">
        <v>4419</v>
      </c>
      <c r="E1177" s="10" t="s">
        <v>7099</v>
      </c>
      <c r="F1177" s="11" t="s">
        <v>7100</v>
      </c>
      <c r="G1177" s="10" t="s">
        <v>13</v>
      </c>
      <c r="H1177" s="12">
        <v>46262</v>
      </c>
      <c r="I1177" s="10" t="s">
        <v>3551</v>
      </c>
      <c r="J1177" s="10" t="str">
        <f>IFERROR(INDEX([1]Programas!$B$2:$B$50,MATCH(LEFT(I1177,3),[1]Programas!$A$2:$A$50,0)),"")</f>
        <v>E-Commerce, Emprendimi</v>
      </c>
      <c r="K1177" s="10" t="s">
        <v>335</v>
      </c>
    </row>
    <row r="1178" spans="1:11" x14ac:dyDescent="0.2">
      <c r="A1178" s="10">
        <v>1177</v>
      </c>
      <c r="B1178" s="10" t="s">
        <v>3583</v>
      </c>
      <c r="C1178" s="11" t="s">
        <v>3582</v>
      </c>
      <c r="D1178" s="10" t="s">
        <v>4419</v>
      </c>
      <c r="E1178" s="10" t="s">
        <v>7101</v>
      </c>
      <c r="F1178" s="11" t="s">
        <v>7102</v>
      </c>
      <c r="G1178" s="10" t="s">
        <v>13</v>
      </c>
      <c r="H1178" s="12">
        <v>46262</v>
      </c>
      <c r="I1178" s="10" t="s">
        <v>3551</v>
      </c>
      <c r="J1178" s="10" t="str">
        <f>IFERROR(INDEX([1]Programas!$B$2:$B$50,MATCH(LEFT(I1178,3),[1]Programas!$A$2:$A$50,0)),"")</f>
        <v>E-Commerce, Emprendimi</v>
      </c>
      <c r="K1178" s="10" t="s">
        <v>335</v>
      </c>
    </row>
    <row r="1179" spans="1:11" x14ac:dyDescent="0.2">
      <c r="A1179" s="10">
        <v>1178</v>
      </c>
      <c r="B1179" s="10" t="s">
        <v>7103</v>
      </c>
      <c r="C1179" s="11" t="s">
        <v>3584</v>
      </c>
      <c r="D1179" s="10" t="s">
        <v>4453</v>
      </c>
      <c r="E1179" s="10" t="s">
        <v>7104</v>
      </c>
      <c r="F1179" s="11" t="s">
        <v>7105</v>
      </c>
      <c r="G1179" s="10" t="s">
        <v>13</v>
      </c>
      <c r="H1179" s="12">
        <v>46262</v>
      </c>
      <c r="I1179" s="10" t="s">
        <v>3551</v>
      </c>
      <c r="J1179" s="10" t="str">
        <f>IFERROR(INDEX([1]Programas!$B$2:$B$50,MATCH(LEFT(I1179,3),[1]Programas!$A$2:$A$50,0)),"")</f>
        <v>E-Commerce, Emprendimi</v>
      </c>
      <c r="K1179" s="10" t="s">
        <v>335</v>
      </c>
    </row>
    <row r="1180" spans="1:11" x14ac:dyDescent="0.2">
      <c r="A1180" s="10">
        <v>1179</v>
      </c>
      <c r="B1180" s="10" t="s">
        <v>3587</v>
      </c>
      <c r="C1180" s="11" t="s">
        <v>3586</v>
      </c>
      <c r="D1180" s="10" t="s">
        <v>4419</v>
      </c>
      <c r="E1180" s="10" t="s">
        <v>7106</v>
      </c>
      <c r="F1180" s="11" t="s">
        <v>7107</v>
      </c>
      <c r="G1180" s="10" t="s">
        <v>13</v>
      </c>
      <c r="H1180" s="12">
        <v>46262</v>
      </c>
      <c r="I1180" s="10" t="s">
        <v>3551</v>
      </c>
      <c r="J1180" s="10" t="str">
        <f>IFERROR(INDEX([1]Programas!$B$2:$B$50,MATCH(LEFT(I1180,3),[1]Programas!$A$2:$A$50,0)),"")</f>
        <v>E-Commerce, Emprendimi</v>
      </c>
      <c r="K1180" s="10" t="s">
        <v>335</v>
      </c>
    </row>
    <row r="1181" spans="1:11" x14ac:dyDescent="0.2">
      <c r="A1181" s="10">
        <v>1180</v>
      </c>
      <c r="B1181" s="10" t="s">
        <v>7108</v>
      </c>
      <c r="C1181" s="11" t="s">
        <v>3588</v>
      </c>
      <c r="D1181" s="10" t="s">
        <v>4419</v>
      </c>
      <c r="E1181" s="10" t="s">
        <v>7109</v>
      </c>
      <c r="F1181" s="11" t="s">
        <v>7110</v>
      </c>
      <c r="G1181" s="10" t="s">
        <v>13</v>
      </c>
      <c r="H1181" s="12">
        <v>46262</v>
      </c>
      <c r="I1181" s="10" t="s">
        <v>3551</v>
      </c>
      <c r="J1181" s="10" t="str">
        <f>IFERROR(INDEX([1]Programas!$B$2:$B$50,MATCH(LEFT(I1181,3),[1]Programas!$A$2:$A$50,0)),"")</f>
        <v>E-Commerce, Emprendimi</v>
      </c>
      <c r="K1181" s="10" t="s">
        <v>335</v>
      </c>
    </row>
    <row r="1182" spans="1:11" x14ac:dyDescent="0.2">
      <c r="A1182" s="10">
        <v>1181</v>
      </c>
      <c r="B1182" s="10" t="s">
        <v>3591</v>
      </c>
      <c r="C1182" s="11" t="s">
        <v>3590</v>
      </c>
      <c r="D1182" s="10" t="s">
        <v>4419</v>
      </c>
      <c r="E1182" s="10" t="s">
        <v>7111</v>
      </c>
      <c r="F1182" s="11" t="s">
        <v>7112</v>
      </c>
      <c r="G1182" s="10" t="s">
        <v>13</v>
      </c>
      <c r="H1182" s="12">
        <v>46262</v>
      </c>
      <c r="I1182" s="10" t="s">
        <v>3551</v>
      </c>
      <c r="J1182" s="10" t="str">
        <f>IFERROR(INDEX([1]Programas!$B$2:$B$50,MATCH(LEFT(I1182,3),[1]Programas!$A$2:$A$50,0)),"")</f>
        <v>E-Commerce, Emprendimi</v>
      </c>
      <c r="K1182" s="10" t="s">
        <v>335</v>
      </c>
    </row>
    <row r="1183" spans="1:11" x14ac:dyDescent="0.2">
      <c r="A1183" s="10">
        <v>1182</v>
      </c>
      <c r="B1183" s="10" t="s">
        <v>7113</v>
      </c>
      <c r="C1183" s="11" t="s">
        <v>3592</v>
      </c>
      <c r="D1183" s="10" t="s">
        <v>4419</v>
      </c>
      <c r="E1183" s="10" t="s">
        <v>7114</v>
      </c>
      <c r="F1183" s="11" t="s">
        <v>7115</v>
      </c>
      <c r="G1183" s="10" t="s">
        <v>13</v>
      </c>
      <c r="H1183" s="12">
        <v>46262</v>
      </c>
      <c r="I1183" s="10" t="s">
        <v>3551</v>
      </c>
      <c r="J1183" s="10" t="str">
        <f>IFERROR(INDEX([1]Programas!$B$2:$B$50,MATCH(LEFT(I1183,3),[1]Programas!$A$2:$A$50,0)),"")</f>
        <v>E-Commerce, Emprendimi</v>
      </c>
      <c r="K1183" s="10" t="s">
        <v>335</v>
      </c>
    </row>
    <row r="1184" spans="1:11" x14ac:dyDescent="0.2">
      <c r="A1184" s="10">
        <v>1183</v>
      </c>
      <c r="B1184" s="10" t="s">
        <v>3595</v>
      </c>
      <c r="C1184" s="11" t="s">
        <v>3594</v>
      </c>
      <c r="D1184" s="10" t="s">
        <v>4419</v>
      </c>
      <c r="E1184" s="10" t="s">
        <v>7116</v>
      </c>
      <c r="F1184" s="11" t="s">
        <v>7117</v>
      </c>
      <c r="G1184" s="10" t="s">
        <v>13</v>
      </c>
      <c r="H1184" s="12">
        <v>46262</v>
      </c>
      <c r="I1184" s="10" t="s">
        <v>3551</v>
      </c>
      <c r="J1184" s="10" t="str">
        <f>IFERROR(INDEX([1]Programas!$B$2:$B$50,MATCH(LEFT(I1184,3),[1]Programas!$A$2:$A$50,0)),"")</f>
        <v>E-Commerce, Emprendimi</v>
      </c>
      <c r="K1184" s="10" t="s">
        <v>335</v>
      </c>
    </row>
    <row r="1185" spans="1:11" x14ac:dyDescent="0.2">
      <c r="A1185" s="10">
        <v>1184</v>
      </c>
      <c r="B1185" s="10" t="s">
        <v>7118</v>
      </c>
      <c r="C1185" s="11" t="s">
        <v>3596</v>
      </c>
      <c r="D1185" s="10" t="s">
        <v>4419</v>
      </c>
      <c r="E1185" s="10" t="s">
        <v>7119</v>
      </c>
      <c r="F1185" s="11" t="s">
        <v>7120</v>
      </c>
      <c r="G1185" s="10" t="s">
        <v>13</v>
      </c>
      <c r="H1185" s="12">
        <v>46262</v>
      </c>
      <c r="I1185" s="10" t="s">
        <v>3551</v>
      </c>
      <c r="J1185" s="10" t="str">
        <f>IFERROR(INDEX([1]Programas!$B$2:$B$50,MATCH(LEFT(I1185,3),[1]Programas!$A$2:$A$50,0)),"")</f>
        <v>E-Commerce, Emprendimi</v>
      </c>
      <c r="K1185" s="10" t="s">
        <v>335</v>
      </c>
    </row>
    <row r="1186" spans="1:11" x14ac:dyDescent="0.2">
      <c r="A1186" s="10">
        <v>1185</v>
      </c>
      <c r="B1186" s="10" t="s">
        <v>3599</v>
      </c>
      <c r="C1186" s="11" t="s">
        <v>3598</v>
      </c>
      <c r="D1186" s="10" t="s">
        <v>4419</v>
      </c>
      <c r="E1186" s="10" t="s">
        <v>7121</v>
      </c>
      <c r="F1186" s="11" t="s">
        <v>7122</v>
      </c>
      <c r="G1186" s="10" t="s">
        <v>13</v>
      </c>
      <c r="H1186" s="12">
        <v>46262</v>
      </c>
      <c r="I1186" s="10" t="s">
        <v>3551</v>
      </c>
      <c r="J1186" s="10" t="str">
        <f>IFERROR(INDEX([1]Programas!$B$2:$B$50,MATCH(LEFT(I1186,3),[1]Programas!$A$2:$A$50,0)),"")</f>
        <v>E-Commerce, Emprendimi</v>
      </c>
      <c r="K1186" s="10" t="s">
        <v>335</v>
      </c>
    </row>
    <row r="1187" spans="1:11" x14ac:dyDescent="0.2">
      <c r="A1187" s="10">
        <v>1186</v>
      </c>
      <c r="B1187" s="10" t="s">
        <v>7123</v>
      </c>
      <c r="C1187" s="11" t="s">
        <v>3600</v>
      </c>
      <c r="D1187" s="10" t="s">
        <v>4419</v>
      </c>
      <c r="E1187" s="10" t="s">
        <v>7124</v>
      </c>
      <c r="F1187" s="11" t="s">
        <v>7125</v>
      </c>
      <c r="G1187" s="10" t="s">
        <v>13</v>
      </c>
      <c r="H1187" s="12">
        <v>46262</v>
      </c>
      <c r="I1187" s="10" t="s">
        <v>3551</v>
      </c>
      <c r="J1187" s="10" t="str">
        <f>IFERROR(INDEX([1]Programas!$B$2:$B$50,MATCH(LEFT(I1187,3),[1]Programas!$A$2:$A$50,0)),"")</f>
        <v>E-Commerce, Emprendimi</v>
      </c>
      <c r="K1187" s="10" t="s">
        <v>335</v>
      </c>
    </row>
    <row r="1188" spans="1:11" x14ac:dyDescent="0.2">
      <c r="A1188" s="10">
        <v>1187</v>
      </c>
      <c r="B1188" s="10" t="s">
        <v>3603</v>
      </c>
      <c r="C1188" s="11" t="s">
        <v>3602</v>
      </c>
      <c r="D1188" s="10" t="s">
        <v>4419</v>
      </c>
      <c r="E1188" s="10" t="s">
        <v>7126</v>
      </c>
      <c r="F1188" s="11" t="s">
        <v>7127</v>
      </c>
      <c r="G1188" s="10" t="s">
        <v>13</v>
      </c>
      <c r="H1188" s="12">
        <v>46262</v>
      </c>
      <c r="I1188" s="10" t="s">
        <v>3551</v>
      </c>
      <c r="J1188" s="10" t="str">
        <f>IFERROR(INDEX([1]Programas!$B$2:$B$50,MATCH(LEFT(I1188,3),[1]Programas!$A$2:$A$50,0)),"")</f>
        <v>E-Commerce, Emprendimi</v>
      </c>
      <c r="K1188" s="10" t="s">
        <v>335</v>
      </c>
    </row>
    <row r="1189" spans="1:11" x14ac:dyDescent="0.2">
      <c r="A1189" s="10">
        <v>1188</v>
      </c>
      <c r="B1189" s="10" t="s">
        <v>7128</v>
      </c>
      <c r="C1189" s="11" t="s">
        <v>3604</v>
      </c>
      <c r="D1189" s="10" t="s">
        <v>4419</v>
      </c>
      <c r="E1189" s="10" t="s">
        <v>7129</v>
      </c>
      <c r="F1189" s="11" t="s">
        <v>7130</v>
      </c>
      <c r="G1189" s="10" t="s">
        <v>13</v>
      </c>
      <c r="H1189" s="12">
        <v>46262</v>
      </c>
      <c r="I1189" s="10" t="s">
        <v>3551</v>
      </c>
      <c r="J1189" s="10" t="str">
        <f>IFERROR(INDEX([1]Programas!$B$2:$B$50,MATCH(LEFT(I1189,3),[1]Programas!$A$2:$A$50,0)),"")</f>
        <v>E-Commerce, Emprendimi</v>
      </c>
      <c r="K1189" s="10" t="s">
        <v>335</v>
      </c>
    </row>
    <row r="1190" spans="1:11" x14ac:dyDescent="0.2">
      <c r="A1190" s="10">
        <v>1189</v>
      </c>
      <c r="B1190" s="10" t="s">
        <v>7131</v>
      </c>
      <c r="C1190" s="11" t="s">
        <v>3606</v>
      </c>
      <c r="D1190" s="10" t="s">
        <v>4419</v>
      </c>
      <c r="E1190" s="10" t="s">
        <v>7132</v>
      </c>
      <c r="F1190" s="11" t="s">
        <v>7133</v>
      </c>
      <c r="G1190" s="10" t="s">
        <v>13</v>
      </c>
      <c r="H1190" s="12">
        <v>46262</v>
      </c>
      <c r="I1190" s="10" t="s">
        <v>3551</v>
      </c>
      <c r="J1190" s="10" t="str">
        <f>IFERROR(INDEX([1]Programas!$B$2:$B$50,MATCH(LEFT(I1190,3),[1]Programas!$A$2:$A$50,0)),"")</f>
        <v>E-Commerce, Emprendimi</v>
      </c>
      <c r="K1190" s="10" t="s">
        <v>335</v>
      </c>
    </row>
    <row r="1191" spans="1:11" x14ac:dyDescent="0.2">
      <c r="A1191" s="10">
        <v>1190</v>
      </c>
      <c r="B1191" s="10" t="s">
        <v>7134</v>
      </c>
      <c r="C1191" s="11" t="s">
        <v>3608</v>
      </c>
      <c r="D1191" s="10" t="s">
        <v>4419</v>
      </c>
      <c r="E1191" s="10" t="s">
        <v>7135</v>
      </c>
      <c r="F1191" s="11" t="s">
        <v>7136</v>
      </c>
      <c r="G1191" s="10" t="s">
        <v>13</v>
      </c>
      <c r="H1191" s="12">
        <v>46262</v>
      </c>
      <c r="I1191" s="10" t="s">
        <v>3551</v>
      </c>
      <c r="J1191" s="10" t="str">
        <f>IFERROR(INDEX([1]Programas!$B$2:$B$50,MATCH(LEFT(I1191,3),[1]Programas!$A$2:$A$50,0)),"")</f>
        <v>E-Commerce, Emprendimi</v>
      </c>
      <c r="K1191" s="10" t="s">
        <v>335</v>
      </c>
    </row>
    <row r="1192" spans="1:11" x14ac:dyDescent="0.2">
      <c r="A1192" s="10">
        <v>1191</v>
      </c>
      <c r="B1192" s="10" t="s">
        <v>7137</v>
      </c>
      <c r="C1192" s="11" t="s">
        <v>3612</v>
      </c>
      <c r="D1192" s="10" t="s">
        <v>4419</v>
      </c>
      <c r="E1192" s="10" t="s">
        <v>7138</v>
      </c>
      <c r="F1192" s="11" t="s">
        <v>7139</v>
      </c>
      <c r="G1192" s="10" t="s">
        <v>13</v>
      </c>
      <c r="H1192" s="12">
        <v>46262</v>
      </c>
      <c r="I1192" s="10" t="s">
        <v>3551</v>
      </c>
      <c r="J1192" s="10" t="str">
        <f>IFERROR(INDEX([1]Programas!$B$2:$B$50,MATCH(LEFT(I1192,3),[1]Programas!$A$2:$A$50,0)),"")</f>
        <v>E-Commerce, Emprendimi</v>
      </c>
      <c r="K1192" s="10" t="s">
        <v>335</v>
      </c>
    </row>
    <row r="1193" spans="1:11" x14ac:dyDescent="0.2">
      <c r="A1193" s="10">
        <v>1192</v>
      </c>
      <c r="B1193" s="10" t="s">
        <v>7140</v>
      </c>
      <c r="C1193" s="11" t="s">
        <v>3614</v>
      </c>
      <c r="D1193" s="10" t="s">
        <v>4419</v>
      </c>
      <c r="E1193" s="10" t="s">
        <v>7141</v>
      </c>
      <c r="F1193" s="11" t="s">
        <v>7142</v>
      </c>
      <c r="G1193" s="10" t="s">
        <v>13</v>
      </c>
      <c r="H1193" s="12">
        <v>46262</v>
      </c>
      <c r="I1193" s="10" t="s">
        <v>3551</v>
      </c>
      <c r="J1193" s="10" t="str">
        <f>IFERROR(INDEX([1]Programas!$B$2:$B$50,MATCH(LEFT(I1193,3),[1]Programas!$A$2:$A$50,0)),"")</f>
        <v>E-Commerce, Emprendimi</v>
      </c>
      <c r="K1193" s="10" t="s">
        <v>335</v>
      </c>
    </row>
    <row r="1194" spans="1:11" x14ac:dyDescent="0.2">
      <c r="A1194" s="10">
        <v>1193</v>
      </c>
      <c r="B1194" s="10" t="s">
        <v>7143</v>
      </c>
      <c r="C1194" s="11" t="s">
        <v>3616</v>
      </c>
      <c r="D1194" s="10" t="s">
        <v>4419</v>
      </c>
      <c r="E1194" s="10" t="s">
        <v>7144</v>
      </c>
      <c r="F1194" s="11" t="s">
        <v>7145</v>
      </c>
      <c r="G1194" s="10" t="s">
        <v>13</v>
      </c>
      <c r="H1194" s="12">
        <v>46262</v>
      </c>
      <c r="I1194" s="10" t="s">
        <v>3551</v>
      </c>
      <c r="J1194" s="10" t="str">
        <f>IFERROR(INDEX([1]Programas!$B$2:$B$50,MATCH(LEFT(I1194,3),[1]Programas!$A$2:$A$50,0)),"")</f>
        <v>E-Commerce, Emprendimi</v>
      </c>
      <c r="K1194" s="10" t="s">
        <v>335</v>
      </c>
    </row>
    <row r="1195" spans="1:11" x14ac:dyDescent="0.2">
      <c r="A1195" s="10">
        <v>1194</v>
      </c>
      <c r="B1195" s="10" t="s">
        <v>3619</v>
      </c>
      <c r="C1195" s="11" t="s">
        <v>3618</v>
      </c>
      <c r="D1195" s="10" t="s">
        <v>4419</v>
      </c>
      <c r="E1195" s="10" t="s">
        <v>7146</v>
      </c>
      <c r="F1195" s="11" t="s">
        <v>7147</v>
      </c>
      <c r="G1195" s="10" t="s">
        <v>13</v>
      </c>
      <c r="H1195" s="12">
        <v>46262</v>
      </c>
      <c r="I1195" s="10" t="s">
        <v>3551</v>
      </c>
      <c r="J1195" s="10" t="str">
        <f>IFERROR(INDEX([1]Programas!$B$2:$B$50,MATCH(LEFT(I1195,3),[1]Programas!$A$2:$A$50,0)),"")</f>
        <v>E-Commerce, Emprendimi</v>
      </c>
      <c r="K1195" s="10" t="s">
        <v>335</v>
      </c>
    </row>
    <row r="1196" spans="1:11" x14ac:dyDescent="0.2">
      <c r="A1196" s="10">
        <v>1195</v>
      </c>
      <c r="B1196" s="10" t="s">
        <v>7148</v>
      </c>
      <c r="C1196" s="11" t="s">
        <v>3620</v>
      </c>
      <c r="D1196" s="10" t="s">
        <v>4419</v>
      </c>
      <c r="E1196" s="10" t="s">
        <v>7149</v>
      </c>
      <c r="F1196" s="11" t="s">
        <v>7150</v>
      </c>
      <c r="G1196" s="10" t="s">
        <v>13</v>
      </c>
      <c r="H1196" s="12">
        <v>46263</v>
      </c>
      <c r="I1196" s="10" t="s">
        <v>3551</v>
      </c>
      <c r="J1196" s="10" t="str">
        <f>IFERROR(INDEX([1]Programas!$B$2:$B$50,MATCH(LEFT(I1196,3),[1]Programas!$A$2:$A$50,0)),"")</f>
        <v>E-Commerce, Emprendimi</v>
      </c>
      <c r="K1196" s="10" t="s">
        <v>335</v>
      </c>
    </row>
    <row r="1197" spans="1:11" x14ac:dyDescent="0.2">
      <c r="A1197" s="10">
        <v>1196</v>
      </c>
      <c r="B1197" s="10" t="s">
        <v>7151</v>
      </c>
      <c r="C1197" s="11" t="s">
        <v>3622</v>
      </c>
      <c r="D1197" s="10" t="s">
        <v>4419</v>
      </c>
      <c r="E1197" s="10" t="s">
        <v>7152</v>
      </c>
      <c r="F1197" s="11" t="s">
        <v>7153</v>
      </c>
      <c r="G1197" s="10" t="s">
        <v>13</v>
      </c>
      <c r="H1197" s="12">
        <v>46263</v>
      </c>
      <c r="I1197" s="10" t="s">
        <v>3551</v>
      </c>
      <c r="J1197" s="10" t="str">
        <f>IFERROR(INDEX([1]Programas!$B$2:$B$50,MATCH(LEFT(I1197,3),[1]Programas!$A$2:$A$50,0)),"")</f>
        <v>E-Commerce, Emprendimi</v>
      </c>
      <c r="K1197" s="10" t="s">
        <v>335</v>
      </c>
    </row>
    <row r="1198" spans="1:11" x14ac:dyDescent="0.2">
      <c r="A1198" s="10">
        <v>1197</v>
      </c>
      <c r="B1198" s="10" t="s">
        <v>7154</v>
      </c>
      <c r="C1198" s="11" t="s">
        <v>3628</v>
      </c>
      <c r="D1198" s="10" t="s">
        <v>4419</v>
      </c>
      <c r="E1198" s="10" t="s">
        <v>7155</v>
      </c>
      <c r="F1198" s="11" t="s">
        <v>7156</v>
      </c>
      <c r="G1198" s="10" t="s">
        <v>13</v>
      </c>
      <c r="H1198" s="12">
        <v>46262</v>
      </c>
      <c r="I1198" s="10" t="s">
        <v>3627</v>
      </c>
      <c r="J1198" s="10" t="str">
        <f>IFERROR(INDEX([1]Programas!$B$2:$B$50,MATCH(LEFT(I1198,3),[1]Programas!$A$2:$A$50,0)),"")</f>
        <v>E-Commerce, Emprendimi</v>
      </c>
      <c r="K1198" s="10" t="s">
        <v>1453</v>
      </c>
    </row>
    <row r="1199" spans="1:11" x14ac:dyDescent="0.2">
      <c r="A1199" s="10">
        <v>1198</v>
      </c>
      <c r="B1199" s="10" t="s">
        <v>7157</v>
      </c>
      <c r="C1199" s="11" t="s">
        <v>3630</v>
      </c>
      <c r="D1199" s="10" t="s">
        <v>4453</v>
      </c>
      <c r="E1199" s="10" t="s">
        <v>7158</v>
      </c>
      <c r="F1199" s="11" t="s">
        <v>7159</v>
      </c>
      <c r="G1199" s="10" t="s">
        <v>13</v>
      </c>
      <c r="H1199" s="12">
        <v>46262</v>
      </c>
      <c r="I1199" s="10" t="s">
        <v>3627</v>
      </c>
      <c r="J1199" s="10" t="str">
        <f>IFERROR(INDEX([1]Programas!$B$2:$B$50,MATCH(LEFT(I1199,3),[1]Programas!$A$2:$A$50,0)),"")</f>
        <v>E-Commerce, Emprendimi</v>
      </c>
      <c r="K1199" s="10" t="s">
        <v>1453</v>
      </c>
    </row>
    <row r="1200" spans="1:11" x14ac:dyDescent="0.2">
      <c r="A1200" s="10">
        <v>1199</v>
      </c>
      <c r="B1200" s="10" t="s">
        <v>3633</v>
      </c>
      <c r="C1200" s="11" t="s">
        <v>3632</v>
      </c>
      <c r="D1200" s="10" t="s">
        <v>4419</v>
      </c>
      <c r="E1200" s="10" t="s">
        <v>7160</v>
      </c>
      <c r="F1200" s="11" t="s">
        <v>7161</v>
      </c>
      <c r="G1200" s="10" t="s">
        <v>13</v>
      </c>
      <c r="H1200" s="12">
        <v>46262</v>
      </c>
      <c r="I1200" s="10" t="s">
        <v>3627</v>
      </c>
      <c r="J1200" s="10" t="str">
        <f>IFERROR(INDEX([1]Programas!$B$2:$B$50,MATCH(LEFT(I1200,3),[1]Programas!$A$2:$A$50,0)),"")</f>
        <v>E-Commerce, Emprendimi</v>
      </c>
      <c r="K1200" s="10" t="s">
        <v>1453</v>
      </c>
    </row>
    <row r="1201" spans="1:11" x14ac:dyDescent="0.2">
      <c r="A1201" s="10">
        <v>1200</v>
      </c>
      <c r="B1201" s="10" t="s">
        <v>7162</v>
      </c>
      <c r="C1201" s="11" t="s">
        <v>3634</v>
      </c>
      <c r="D1201" s="10" t="s">
        <v>4419</v>
      </c>
      <c r="E1201" s="10" t="s">
        <v>7163</v>
      </c>
      <c r="F1201" s="11" t="s">
        <v>7164</v>
      </c>
      <c r="G1201" s="10" t="s">
        <v>13</v>
      </c>
      <c r="H1201" s="12">
        <v>46262</v>
      </c>
      <c r="I1201" s="10" t="s">
        <v>3627</v>
      </c>
      <c r="J1201" s="10" t="str">
        <f>IFERROR(INDEX([1]Programas!$B$2:$B$50,MATCH(LEFT(I1201,3),[1]Programas!$A$2:$A$50,0)),"")</f>
        <v>E-Commerce, Emprendimi</v>
      </c>
      <c r="K1201" s="10" t="s">
        <v>1453</v>
      </c>
    </row>
    <row r="1202" spans="1:11" x14ac:dyDescent="0.2">
      <c r="A1202" s="10">
        <v>1201</v>
      </c>
      <c r="B1202" s="10" t="s">
        <v>3637</v>
      </c>
      <c r="C1202" s="11" t="s">
        <v>3636</v>
      </c>
      <c r="D1202" s="10" t="s">
        <v>4419</v>
      </c>
      <c r="E1202" s="10" t="s">
        <v>7165</v>
      </c>
      <c r="F1202" s="11" t="s">
        <v>7166</v>
      </c>
      <c r="G1202" s="10" t="s">
        <v>13</v>
      </c>
      <c r="H1202" s="12">
        <v>46262</v>
      </c>
      <c r="I1202" s="10" t="s">
        <v>3627</v>
      </c>
      <c r="J1202" s="10" t="str">
        <f>IFERROR(INDEX([1]Programas!$B$2:$B$50,MATCH(LEFT(I1202,3),[1]Programas!$A$2:$A$50,0)),"")</f>
        <v>E-Commerce, Emprendimi</v>
      </c>
      <c r="K1202" s="10" t="s">
        <v>1453</v>
      </c>
    </row>
    <row r="1203" spans="1:11" x14ac:dyDescent="0.2">
      <c r="A1203" s="10">
        <v>1202</v>
      </c>
      <c r="B1203" s="10" t="s">
        <v>3639</v>
      </c>
      <c r="C1203" s="11" t="s">
        <v>3638</v>
      </c>
      <c r="D1203" s="10" t="s">
        <v>4419</v>
      </c>
      <c r="E1203" s="10" t="s">
        <v>7167</v>
      </c>
      <c r="F1203" s="11" t="s">
        <v>7168</v>
      </c>
      <c r="G1203" s="10" t="s">
        <v>13</v>
      </c>
      <c r="H1203" s="12">
        <v>46262</v>
      </c>
      <c r="I1203" s="10" t="s">
        <v>3627</v>
      </c>
      <c r="J1203" s="10" t="str">
        <f>IFERROR(INDEX([1]Programas!$B$2:$B$50,MATCH(LEFT(I1203,3),[1]Programas!$A$2:$A$50,0)),"")</f>
        <v>E-Commerce, Emprendimi</v>
      </c>
      <c r="K1203" s="10" t="s">
        <v>1453</v>
      </c>
    </row>
    <row r="1204" spans="1:11" x14ac:dyDescent="0.2">
      <c r="A1204" s="10">
        <v>1203</v>
      </c>
      <c r="B1204" s="10" t="s">
        <v>7169</v>
      </c>
      <c r="C1204" s="11" t="s">
        <v>3640</v>
      </c>
      <c r="D1204" s="10" t="s">
        <v>4419</v>
      </c>
      <c r="E1204" s="10" t="s">
        <v>7170</v>
      </c>
      <c r="F1204" s="11" t="s">
        <v>7171</v>
      </c>
      <c r="G1204" s="10" t="s">
        <v>13</v>
      </c>
      <c r="H1204" s="12">
        <v>46262</v>
      </c>
      <c r="I1204" s="10" t="s">
        <v>3627</v>
      </c>
      <c r="J1204" s="10" t="str">
        <f>IFERROR(INDEX([1]Programas!$B$2:$B$50,MATCH(LEFT(I1204,3),[1]Programas!$A$2:$A$50,0)),"")</f>
        <v>E-Commerce, Emprendimi</v>
      </c>
      <c r="K1204" s="10" t="s">
        <v>1453</v>
      </c>
    </row>
    <row r="1205" spans="1:11" x14ac:dyDescent="0.2">
      <c r="A1205" s="10">
        <v>1204</v>
      </c>
      <c r="B1205" s="10" t="s">
        <v>7172</v>
      </c>
      <c r="C1205" s="11" t="s">
        <v>3642</v>
      </c>
      <c r="D1205" s="10" t="s">
        <v>4419</v>
      </c>
      <c r="E1205" s="10" t="s">
        <v>7173</v>
      </c>
      <c r="F1205" s="11" t="s">
        <v>7174</v>
      </c>
      <c r="G1205" s="10" t="s">
        <v>13</v>
      </c>
      <c r="H1205" s="12">
        <v>46262</v>
      </c>
      <c r="I1205" s="10" t="s">
        <v>3627</v>
      </c>
      <c r="J1205" s="10" t="str">
        <f>IFERROR(INDEX([1]Programas!$B$2:$B$50,MATCH(LEFT(I1205,3),[1]Programas!$A$2:$A$50,0)),"")</f>
        <v>E-Commerce, Emprendimi</v>
      </c>
      <c r="K1205" s="10" t="s">
        <v>1453</v>
      </c>
    </row>
    <row r="1206" spans="1:11" x14ac:dyDescent="0.2">
      <c r="A1206" s="10">
        <v>1205</v>
      </c>
      <c r="B1206" s="10" t="s">
        <v>7175</v>
      </c>
      <c r="C1206" s="11" t="s">
        <v>3644</v>
      </c>
      <c r="D1206" s="10" t="s">
        <v>4419</v>
      </c>
      <c r="E1206" s="10" t="s">
        <v>7176</v>
      </c>
      <c r="F1206" s="11" t="s">
        <v>7177</v>
      </c>
      <c r="G1206" s="10" t="s">
        <v>13</v>
      </c>
      <c r="H1206" s="12">
        <v>46262</v>
      </c>
      <c r="I1206" s="10" t="s">
        <v>3627</v>
      </c>
      <c r="J1206" s="10" t="str">
        <f>IFERROR(INDEX([1]Programas!$B$2:$B$50,MATCH(LEFT(I1206,3),[1]Programas!$A$2:$A$50,0)),"")</f>
        <v>E-Commerce, Emprendimi</v>
      </c>
      <c r="K1206" s="10" t="s">
        <v>1453</v>
      </c>
    </row>
    <row r="1207" spans="1:11" x14ac:dyDescent="0.2">
      <c r="A1207" s="10">
        <v>1206</v>
      </c>
      <c r="B1207" s="10" t="s">
        <v>7178</v>
      </c>
      <c r="C1207" s="11" t="s">
        <v>3646</v>
      </c>
      <c r="D1207" s="10" t="s">
        <v>4419</v>
      </c>
      <c r="E1207" s="10" t="s">
        <v>7179</v>
      </c>
      <c r="F1207" s="11" t="s">
        <v>7180</v>
      </c>
      <c r="G1207" s="10" t="s">
        <v>13</v>
      </c>
      <c r="H1207" s="12">
        <v>46262</v>
      </c>
      <c r="I1207" s="10" t="s">
        <v>3627</v>
      </c>
      <c r="J1207" s="10" t="str">
        <f>IFERROR(INDEX([1]Programas!$B$2:$B$50,MATCH(LEFT(I1207,3),[1]Programas!$A$2:$A$50,0)),"")</f>
        <v>E-Commerce, Emprendimi</v>
      </c>
      <c r="K1207" s="10" t="s">
        <v>1453</v>
      </c>
    </row>
    <row r="1208" spans="1:11" x14ac:dyDescent="0.2">
      <c r="A1208" s="10">
        <v>1207</v>
      </c>
      <c r="B1208" s="10" t="s">
        <v>7181</v>
      </c>
      <c r="C1208" s="11" t="s">
        <v>3648</v>
      </c>
      <c r="D1208" s="10" t="s">
        <v>4419</v>
      </c>
      <c r="E1208" s="10" t="s">
        <v>7182</v>
      </c>
      <c r="F1208" s="11" t="s">
        <v>5444</v>
      </c>
      <c r="G1208" s="10" t="s">
        <v>13</v>
      </c>
      <c r="H1208" s="12">
        <v>46262</v>
      </c>
      <c r="I1208" s="10" t="s">
        <v>3627</v>
      </c>
      <c r="J1208" s="10" t="str">
        <f>IFERROR(INDEX([1]Programas!$B$2:$B$50,MATCH(LEFT(I1208,3),[1]Programas!$A$2:$A$50,0)),"")</f>
        <v>E-Commerce, Emprendimi</v>
      </c>
      <c r="K1208" s="10" t="s">
        <v>1453</v>
      </c>
    </row>
    <row r="1209" spans="1:11" x14ac:dyDescent="0.2">
      <c r="A1209" s="10">
        <v>1208</v>
      </c>
      <c r="B1209" s="10" t="s">
        <v>3651</v>
      </c>
      <c r="C1209" s="11" t="s">
        <v>3650</v>
      </c>
      <c r="D1209" s="10" t="s">
        <v>4419</v>
      </c>
      <c r="E1209" s="10" t="s">
        <v>7183</v>
      </c>
      <c r="F1209" s="11" t="s">
        <v>7184</v>
      </c>
      <c r="G1209" s="10" t="s">
        <v>13</v>
      </c>
      <c r="H1209" s="12">
        <v>46262</v>
      </c>
      <c r="I1209" s="10" t="s">
        <v>3627</v>
      </c>
      <c r="J1209" s="10" t="str">
        <f>IFERROR(INDEX([1]Programas!$B$2:$B$50,MATCH(LEFT(I1209,3),[1]Programas!$A$2:$A$50,0)),"")</f>
        <v>E-Commerce, Emprendimi</v>
      </c>
      <c r="K1209" s="10" t="s">
        <v>1453</v>
      </c>
    </row>
    <row r="1210" spans="1:11" x14ac:dyDescent="0.2">
      <c r="A1210" s="10">
        <v>1209</v>
      </c>
      <c r="B1210" s="10" t="s">
        <v>3653</v>
      </c>
      <c r="C1210" s="11" t="s">
        <v>3652</v>
      </c>
      <c r="D1210" s="10" t="s">
        <v>4419</v>
      </c>
      <c r="E1210" s="10" t="s">
        <v>7185</v>
      </c>
      <c r="F1210" s="11" t="s">
        <v>7186</v>
      </c>
      <c r="G1210" s="10" t="s">
        <v>13</v>
      </c>
      <c r="H1210" s="12">
        <v>46262</v>
      </c>
      <c r="I1210" s="10" t="s">
        <v>3627</v>
      </c>
      <c r="J1210" s="10" t="str">
        <f>IFERROR(INDEX([1]Programas!$B$2:$B$50,MATCH(LEFT(I1210,3),[1]Programas!$A$2:$A$50,0)),"")</f>
        <v>E-Commerce, Emprendimi</v>
      </c>
      <c r="K1210" s="10" t="s">
        <v>1453</v>
      </c>
    </row>
    <row r="1211" spans="1:11" x14ac:dyDescent="0.2">
      <c r="A1211" s="10">
        <v>1210</v>
      </c>
      <c r="B1211" s="10" t="s">
        <v>7187</v>
      </c>
      <c r="C1211" s="11" t="s">
        <v>3654</v>
      </c>
      <c r="D1211" s="10" t="s">
        <v>4419</v>
      </c>
      <c r="E1211" s="10" t="s">
        <v>7188</v>
      </c>
      <c r="F1211" s="11" t="s">
        <v>7189</v>
      </c>
      <c r="G1211" s="10" t="s">
        <v>13</v>
      </c>
      <c r="H1211" s="12">
        <v>46262</v>
      </c>
      <c r="I1211" s="10" t="s">
        <v>3627</v>
      </c>
      <c r="J1211" s="10" t="str">
        <f>IFERROR(INDEX([1]Programas!$B$2:$B$50,MATCH(LEFT(I1211,3),[1]Programas!$A$2:$A$50,0)),"")</f>
        <v>E-Commerce, Emprendimi</v>
      </c>
      <c r="K1211" s="10" t="s">
        <v>1453</v>
      </c>
    </row>
    <row r="1212" spans="1:11" x14ac:dyDescent="0.2">
      <c r="A1212" s="10">
        <v>1211</v>
      </c>
      <c r="B1212" s="10" t="s">
        <v>3657</v>
      </c>
      <c r="C1212" s="11" t="s">
        <v>3656</v>
      </c>
      <c r="D1212" s="10" t="s">
        <v>4419</v>
      </c>
      <c r="E1212" s="10" t="s">
        <v>7190</v>
      </c>
      <c r="F1212" s="11" t="s">
        <v>7191</v>
      </c>
      <c r="G1212" s="10" t="s">
        <v>13</v>
      </c>
      <c r="H1212" s="12">
        <v>46262</v>
      </c>
      <c r="I1212" s="10" t="s">
        <v>3627</v>
      </c>
      <c r="J1212" s="10" t="str">
        <f>IFERROR(INDEX([1]Programas!$B$2:$B$50,MATCH(LEFT(I1212,3),[1]Programas!$A$2:$A$50,0)),"")</f>
        <v>E-Commerce, Emprendimi</v>
      </c>
      <c r="K1212" s="10" t="s">
        <v>1453</v>
      </c>
    </row>
    <row r="1213" spans="1:11" x14ac:dyDescent="0.2">
      <c r="A1213" s="10">
        <v>1212</v>
      </c>
      <c r="B1213" s="10" t="s">
        <v>3659</v>
      </c>
      <c r="C1213" s="11" t="s">
        <v>3658</v>
      </c>
      <c r="D1213" s="10" t="s">
        <v>4419</v>
      </c>
      <c r="E1213" s="10" t="s">
        <v>7192</v>
      </c>
      <c r="F1213" s="11" t="s">
        <v>7193</v>
      </c>
      <c r="G1213" s="10" t="s">
        <v>13</v>
      </c>
      <c r="H1213" s="12">
        <v>46262</v>
      </c>
      <c r="I1213" s="10" t="s">
        <v>3627</v>
      </c>
      <c r="J1213" s="10" t="str">
        <f>IFERROR(INDEX([1]Programas!$B$2:$B$50,MATCH(LEFT(I1213,3),[1]Programas!$A$2:$A$50,0)),"")</f>
        <v>E-Commerce, Emprendimi</v>
      </c>
      <c r="K1213" s="10" t="s">
        <v>1453</v>
      </c>
    </row>
    <row r="1214" spans="1:11" x14ac:dyDescent="0.2">
      <c r="A1214" s="10">
        <v>1213</v>
      </c>
      <c r="B1214" s="10" t="s">
        <v>7194</v>
      </c>
      <c r="C1214" s="11" t="s">
        <v>3660</v>
      </c>
      <c r="D1214" s="10" t="s">
        <v>4419</v>
      </c>
      <c r="E1214" s="10" t="s">
        <v>7195</v>
      </c>
      <c r="F1214" s="11" t="s">
        <v>7196</v>
      </c>
      <c r="G1214" s="10" t="s">
        <v>13</v>
      </c>
      <c r="H1214" s="12">
        <v>46262</v>
      </c>
      <c r="I1214" s="10" t="s">
        <v>3627</v>
      </c>
      <c r="J1214" s="10" t="str">
        <f>IFERROR(INDEX([1]Programas!$B$2:$B$50,MATCH(LEFT(I1214,3),[1]Programas!$A$2:$A$50,0)),"")</f>
        <v>E-Commerce, Emprendimi</v>
      </c>
      <c r="K1214" s="10" t="s">
        <v>1453</v>
      </c>
    </row>
    <row r="1215" spans="1:11" x14ac:dyDescent="0.2">
      <c r="A1215" s="10">
        <v>1214</v>
      </c>
      <c r="B1215" s="10" t="s">
        <v>3663</v>
      </c>
      <c r="C1215" s="11" t="s">
        <v>3662</v>
      </c>
      <c r="D1215" s="10" t="s">
        <v>4419</v>
      </c>
      <c r="E1215" s="10" t="s">
        <v>7197</v>
      </c>
      <c r="F1215" s="11" t="s">
        <v>7198</v>
      </c>
      <c r="G1215" s="10" t="s">
        <v>13</v>
      </c>
      <c r="H1215" s="12">
        <v>46262</v>
      </c>
      <c r="I1215" s="10" t="s">
        <v>3627</v>
      </c>
      <c r="J1215" s="10" t="str">
        <f>IFERROR(INDEX([1]Programas!$B$2:$B$50,MATCH(LEFT(I1215,3),[1]Programas!$A$2:$A$50,0)),"")</f>
        <v>E-Commerce, Emprendimi</v>
      </c>
      <c r="K1215" s="10" t="s">
        <v>1453</v>
      </c>
    </row>
    <row r="1216" spans="1:11" x14ac:dyDescent="0.2">
      <c r="A1216" s="10">
        <v>1215</v>
      </c>
      <c r="B1216" s="10" t="s">
        <v>3665</v>
      </c>
      <c r="C1216" s="11" t="s">
        <v>3664</v>
      </c>
      <c r="D1216" s="10" t="s">
        <v>4419</v>
      </c>
      <c r="E1216" s="10" t="s">
        <v>7199</v>
      </c>
      <c r="F1216" s="11" t="s">
        <v>7200</v>
      </c>
      <c r="G1216" s="10" t="s">
        <v>13</v>
      </c>
      <c r="H1216" s="12">
        <v>46262</v>
      </c>
      <c r="I1216" s="10" t="s">
        <v>3627</v>
      </c>
      <c r="J1216" s="10" t="str">
        <f>IFERROR(INDEX([1]Programas!$B$2:$B$50,MATCH(LEFT(I1216,3),[1]Programas!$A$2:$A$50,0)),"")</f>
        <v>E-Commerce, Emprendimi</v>
      </c>
      <c r="K1216" s="10" t="s">
        <v>1453</v>
      </c>
    </row>
    <row r="1217" spans="1:11" x14ac:dyDescent="0.2">
      <c r="A1217" s="10">
        <v>1216</v>
      </c>
      <c r="B1217" s="10" t="s">
        <v>3667</v>
      </c>
      <c r="C1217" s="11" t="s">
        <v>3666</v>
      </c>
      <c r="D1217" s="10" t="s">
        <v>4419</v>
      </c>
      <c r="E1217" s="10" t="s">
        <v>7201</v>
      </c>
      <c r="F1217" s="11" t="s">
        <v>7202</v>
      </c>
      <c r="G1217" s="10" t="s">
        <v>13</v>
      </c>
      <c r="H1217" s="12">
        <v>46262</v>
      </c>
      <c r="I1217" s="10" t="s">
        <v>3627</v>
      </c>
      <c r="J1217" s="10" t="str">
        <f>IFERROR(INDEX([1]Programas!$B$2:$B$50,MATCH(LEFT(I1217,3),[1]Programas!$A$2:$A$50,0)),"")</f>
        <v>E-Commerce, Emprendimi</v>
      </c>
      <c r="K1217" s="10" t="s">
        <v>1453</v>
      </c>
    </row>
    <row r="1218" spans="1:11" x14ac:dyDescent="0.2">
      <c r="A1218" s="10">
        <v>1217</v>
      </c>
      <c r="B1218" s="10" t="s">
        <v>3669</v>
      </c>
      <c r="C1218" s="11" t="s">
        <v>3668</v>
      </c>
      <c r="D1218" s="10" t="s">
        <v>4419</v>
      </c>
      <c r="E1218" s="10" t="s">
        <v>7203</v>
      </c>
      <c r="F1218" s="11" t="s">
        <v>7204</v>
      </c>
      <c r="G1218" s="10" t="s">
        <v>13</v>
      </c>
      <c r="H1218" s="12">
        <v>46262</v>
      </c>
      <c r="I1218" s="10" t="s">
        <v>3627</v>
      </c>
      <c r="J1218" s="10" t="str">
        <f>IFERROR(INDEX([1]Programas!$B$2:$B$50,MATCH(LEFT(I1218,3),[1]Programas!$A$2:$A$50,0)),"")</f>
        <v>E-Commerce, Emprendimi</v>
      </c>
      <c r="K1218" s="10" t="s">
        <v>1453</v>
      </c>
    </row>
    <row r="1219" spans="1:11" x14ac:dyDescent="0.2">
      <c r="A1219" s="10">
        <v>1218</v>
      </c>
      <c r="B1219" s="10" t="s">
        <v>3671</v>
      </c>
      <c r="C1219" s="11" t="s">
        <v>3670</v>
      </c>
      <c r="D1219" s="10" t="s">
        <v>4453</v>
      </c>
      <c r="E1219" s="10" t="s">
        <v>7205</v>
      </c>
      <c r="F1219" s="11" t="s">
        <v>7206</v>
      </c>
      <c r="G1219" s="10" t="s">
        <v>13</v>
      </c>
      <c r="H1219" s="12">
        <v>46262</v>
      </c>
      <c r="I1219" s="10" t="s">
        <v>3627</v>
      </c>
      <c r="J1219" s="10" t="str">
        <f>IFERROR(INDEX([1]Programas!$B$2:$B$50,MATCH(LEFT(I1219,3),[1]Programas!$A$2:$A$50,0)),"")</f>
        <v>E-Commerce, Emprendimi</v>
      </c>
      <c r="K1219" s="10" t="s">
        <v>1453</v>
      </c>
    </row>
    <row r="1220" spans="1:11" x14ac:dyDescent="0.2">
      <c r="A1220" s="10">
        <v>1219</v>
      </c>
      <c r="B1220" s="10" t="s">
        <v>3673</v>
      </c>
      <c r="C1220" s="11" t="s">
        <v>3672</v>
      </c>
      <c r="D1220" s="10" t="s">
        <v>4419</v>
      </c>
      <c r="E1220" s="10" t="s">
        <v>7207</v>
      </c>
      <c r="F1220" s="11" t="s">
        <v>7208</v>
      </c>
      <c r="G1220" s="10" t="s">
        <v>13</v>
      </c>
      <c r="H1220" s="12">
        <v>46262</v>
      </c>
      <c r="I1220" s="10" t="s">
        <v>3627</v>
      </c>
      <c r="J1220" s="10" t="str">
        <f>IFERROR(INDEX([1]Programas!$B$2:$B$50,MATCH(LEFT(I1220,3),[1]Programas!$A$2:$A$50,0)),"")</f>
        <v>E-Commerce, Emprendimi</v>
      </c>
      <c r="K1220" s="10" t="s">
        <v>1453</v>
      </c>
    </row>
    <row r="1221" spans="1:11" x14ac:dyDescent="0.2">
      <c r="A1221" s="10">
        <v>1220</v>
      </c>
      <c r="B1221" s="10" t="s">
        <v>3675</v>
      </c>
      <c r="C1221" s="11" t="s">
        <v>3674</v>
      </c>
      <c r="D1221" s="10" t="s">
        <v>4419</v>
      </c>
      <c r="E1221" s="10" t="s">
        <v>7209</v>
      </c>
      <c r="F1221" s="11" t="s">
        <v>7210</v>
      </c>
      <c r="G1221" s="10" t="s">
        <v>13</v>
      </c>
      <c r="H1221" s="12">
        <v>46262</v>
      </c>
      <c r="I1221" s="10" t="s">
        <v>3627</v>
      </c>
      <c r="J1221" s="10" t="str">
        <f>IFERROR(INDEX([1]Programas!$B$2:$B$50,MATCH(LEFT(I1221,3),[1]Programas!$A$2:$A$50,0)),"")</f>
        <v>E-Commerce, Emprendimi</v>
      </c>
      <c r="K1221" s="10" t="s">
        <v>1453</v>
      </c>
    </row>
    <row r="1222" spans="1:11" x14ac:dyDescent="0.2">
      <c r="A1222" s="10">
        <v>1221</v>
      </c>
      <c r="B1222" s="10" t="s">
        <v>3677</v>
      </c>
      <c r="C1222" s="11" t="s">
        <v>3676</v>
      </c>
      <c r="D1222" s="10" t="s">
        <v>7211</v>
      </c>
      <c r="E1222" s="10" t="s">
        <v>7212</v>
      </c>
      <c r="F1222" s="11" t="s">
        <v>7213</v>
      </c>
      <c r="G1222" s="10" t="s">
        <v>13</v>
      </c>
      <c r="H1222" s="12">
        <v>46262</v>
      </c>
      <c r="I1222" s="10" t="s">
        <v>3627</v>
      </c>
      <c r="J1222" s="10" t="str">
        <f>IFERROR(INDEX([1]Programas!$B$2:$B$50,MATCH(LEFT(I1222,3),[1]Programas!$A$2:$A$50,0)),"")</f>
        <v>E-Commerce, Emprendimi</v>
      </c>
      <c r="K1222" s="10" t="s">
        <v>1453</v>
      </c>
    </row>
    <row r="1223" spans="1:11" x14ac:dyDescent="0.2">
      <c r="A1223" s="10">
        <v>1222</v>
      </c>
      <c r="B1223" s="10" t="s">
        <v>3679</v>
      </c>
      <c r="C1223" s="11" t="s">
        <v>3678</v>
      </c>
      <c r="D1223" s="10" t="s">
        <v>4419</v>
      </c>
      <c r="E1223" s="10" t="s">
        <v>7214</v>
      </c>
      <c r="F1223" s="11" t="s">
        <v>7215</v>
      </c>
      <c r="G1223" s="10" t="s">
        <v>13</v>
      </c>
      <c r="H1223" s="12">
        <v>46262</v>
      </c>
      <c r="I1223" s="10" t="s">
        <v>3627</v>
      </c>
      <c r="J1223" s="10" t="str">
        <f>IFERROR(INDEX([1]Programas!$B$2:$B$50,MATCH(LEFT(I1223,3),[1]Programas!$A$2:$A$50,0)),"")</f>
        <v>E-Commerce, Emprendimi</v>
      </c>
      <c r="K1223" s="10" t="s">
        <v>1453</v>
      </c>
    </row>
    <row r="1224" spans="1:11" x14ac:dyDescent="0.2">
      <c r="A1224" s="10">
        <v>1223</v>
      </c>
      <c r="B1224" s="10" t="s">
        <v>3681</v>
      </c>
      <c r="C1224" s="11" t="s">
        <v>3680</v>
      </c>
      <c r="D1224" s="10" t="s">
        <v>4419</v>
      </c>
      <c r="E1224" s="10" t="s">
        <v>7216</v>
      </c>
      <c r="F1224" s="11" t="s">
        <v>7217</v>
      </c>
      <c r="G1224" s="10" t="s">
        <v>13</v>
      </c>
      <c r="H1224" s="12">
        <v>46262</v>
      </c>
      <c r="I1224" s="10" t="s">
        <v>3627</v>
      </c>
      <c r="J1224" s="10" t="str">
        <f>IFERROR(INDEX([1]Programas!$B$2:$B$50,MATCH(LEFT(I1224,3),[1]Programas!$A$2:$A$50,0)),"")</f>
        <v>E-Commerce, Emprendimi</v>
      </c>
      <c r="K1224" s="10" t="s">
        <v>1453</v>
      </c>
    </row>
    <row r="1225" spans="1:11" x14ac:dyDescent="0.2">
      <c r="A1225" s="10">
        <v>1224</v>
      </c>
      <c r="B1225" s="10" t="s">
        <v>7218</v>
      </c>
      <c r="C1225" s="11" t="s">
        <v>3682</v>
      </c>
      <c r="D1225" s="10" t="s">
        <v>4419</v>
      </c>
      <c r="E1225" s="10" t="s">
        <v>7219</v>
      </c>
      <c r="F1225" s="11" t="s">
        <v>7220</v>
      </c>
      <c r="G1225" s="10" t="s">
        <v>13</v>
      </c>
      <c r="H1225" s="12">
        <v>46262</v>
      </c>
      <c r="I1225" s="10" t="s">
        <v>3627</v>
      </c>
      <c r="J1225" s="10" t="str">
        <f>IFERROR(INDEX([1]Programas!$B$2:$B$50,MATCH(LEFT(I1225,3),[1]Programas!$A$2:$A$50,0)),"")</f>
        <v>E-Commerce, Emprendimi</v>
      </c>
      <c r="K1225" s="10" t="s">
        <v>1453</v>
      </c>
    </row>
    <row r="1226" spans="1:11" x14ac:dyDescent="0.2">
      <c r="A1226" s="10">
        <v>1225</v>
      </c>
      <c r="B1226" s="10" t="s">
        <v>3686</v>
      </c>
      <c r="C1226" s="11" t="s">
        <v>3685</v>
      </c>
      <c r="D1226" s="10" t="s">
        <v>4453</v>
      </c>
      <c r="E1226" s="10" t="s">
        <v>7221</v>
      </c>
      <c r="F1226" s="11" t="s">
        <v>7222</v>
      </c>
      <c r="G1226" s="10" t="s">
        <v>13</v>
      </c>
      <c r="H1226" s="12">
        <v>46262</v>
      </c>
      <c r="I1226" s="10" t="s">
        <v>3627</v>
      </c>
      <c r="J1226" s="10" t="str">
        <f>IFERROR(INDEX([1]Programas!$B$2:$B$50,MATCH(LEFT(I1226,3),[1]Programas!$A$2:$A$50,0)),"")</f>
        <v>E-Commerce, Emprendimi</v>
      </c>
      <c r="K1226" s="10" t="s">
        <v>1453</v>
      </c>
    </row>
    <row r="1227" spans="1:11" x14ac:dyDescent="0.2">
      <c r="A1227" s="10">
        <v>1226</v>
      </c>
      <c r="B1227" s="10" t="s">
        <v>7223</v>
      </c>
      <c r="C1227" s="11" t="s">
        <v>3687</v>
      </c>
      <c r="D1227" s="10" t="s">
        <v>4419</v>
      </c>
      <c r="E1227" s="10" t="s">
        <v>7224</v>
      </c>
      <c r="F1227" s="11" t="s">
        <v>7225</v>
      </c>
      <c r="G1227" s="10" t="s">
        <v>13</v>
      </c>
      <c r="H1227" s="12">
        <v>46262</v>
      </c>
      <c r="I1227" s="10" t="s">
        <v>3627</v>
      </c>
      <c r="J1227" s="10" t="str">
        <f>IFERROR(INDEX([1]Programas!$B$2:$B$50,MATCH(LEFT(I1227,3),[1]Programas!$A$2:$A$50,0)),"")</f>
        <v>E-Commerce, Emprendimi</v>
      </c>
      <c r="K1227" s="10" t="s">
        <v>1453</v>
      </c>
    </row>
    <row r="1228" spans="1:11" x14ac:dyDescent="0.2">
      <c r="A1228" s="10">
        <v>1227</v>
      </c>
      <c r="B1228" s="10" t="s">
        <v>3691</v>
      </c>
      <c r="C1228" s="11" t="s">
        <v>3690</v>
      </c>
      <c r="D1228" s="10" t="s">
        <v>4419</v>
      </c>
      <c r="E1228" s="10" t="s">
        <v>7226</v>
      </c>
      <c r="F1228" s="11" t="s">
        <v>7227</v>
      </c>
      <c r="G1228" s="10" t="s">
        <v>13</v>
      </c>
      <c r="H1228" s="12">
        <v>46263</v>
      </c>
      <c r="I1228" s="10" t="s">
        <v>3627</v>
      </c>
      <c r="J1228" s="10" t="str">
        <f>IFERROR(INDEX([1]Programas!$B$2:$B$50,MATCH(LEFT(I1228,3),[1]Programas!$A$2:$A$50,0)),"")</f>
        <v>E-Commerce, Emprendimi</v>
      </c>
      <c r="K1228" s="10" t="s">
        <v>1453</v>
      </c>
    </row>
    <row r="1229" spans="1:11" x14ac:dyDescent="0.2">
      <c r="A1229" s="10">
        <v>1228</v>
      </c>
      <c r="B1229" s="10" t="s">
        <v>3693</v>
      </c>
      <c r="C1229" s="11" t="s">
        <v>3692</v>
      </c>
      <c r="D1229" s="10" t="s">
        <v>4419</v>
      </c>
      <c r="E1229" s="10" t="s">
        <v>7228</v>
      </c>
      <c r="F1229" s="11" t="s">
        <v>7229</v>
      </c>
      <c r="G1229" s="10" t="s">
        <v>13</v>
      </c>
      <c r="H1229" s="12">
        <v>46265</v>
      </c>
      <c r="I1229" s="10" t="s">
        <v>3627</v>
      </c>
      <c r="J1229" s="10" t="str">
        <f>IFERROR(INDEX([1]Programas!$B$2:$B$50,MATCH(LEFT(I1229,3),[1]Programas!$A$2:$A$50,0)),"")</f>
        <v>E-Commerce, Emprendimi</v>
      </c>
      <c r="K1229" s="10" t="s">
        <v>1453</v>
      </c>
    </row>
    <row r="1230" spans="1:11" x14ac:dyDescent="0.2">
      <c r="A1230" s="10">
        <v>1229</v>
      </c>
      <c r="B1230" s="10" t="s">
        <v>7230</v>
      </c>
      <c r="C1230" s="11" t="s">
        <v>3694</v>
      </c>
      <c r="D1230" s="10" t="s">
        <v>4419</v>
      </c>
      <c r="E1230" s="10" t="s">
        <v>7231</v>
      </c>
      <c r="F1230" s="11" t="s">
        <v>7232</v>
      </c>
      <c r="G1230" s="10" t="s">
        <v>13</v>
      </c>
      <c r="H1230" s="12">
        <v>46265</v>
      </c>
      <c r="I1230" s="10" t="s">
        <v>3627</v>
      </c>
      <c r="J1230" s="10" t="str">
        <f>IFERROR(INDEX([1]Programas!$B$2:$B$50,MATCH(LEFT(I1230,3),[1]Programas!$A$2:$A$50,0)),"")</f>
        <v>E-Commerce, Emprendimi</v>
      </c>
      <c r="K1230" s="10" t="s">
        <v>1453</v>
      </c>
    </row>
    <row r="1231" spans="1:11" x14ac:dyDescent="0.2">
      <c r="A1231" s="10">
        <v>1230</v>
      </c>
      <c r="B1231" s="10" t="s">
        <v>3231</v>
      </c>
      <c r="C1231" s="11" t="s">
        <v>3230</v>
      </c>
      <c r="D1231" s="10" t="s">
        <v>4419</v>
      </c>
      <c r="E1231" s="10" t="s">
        <v>7233</v>
      </c>
      <c r="F1231" s="11" t="s">
        <v>7234</v>
      </c>
      <c r="G1231" s="10" t="s">
        <v>13</v>
      </c>
      <c r="H1231" s="12">
        <v>46273</v>
      </c>
      <c r="I1231" s="10" t="s">
        <v>3627</v>
      </c>
      <c r="J1231" s="10" t="str">
        <f>IFERROR(INDEX([1]Programas!$B$2:$B$50,MATCH(LEFT(I1231,3),[1]Programas!$A$2:$A$50,0)),"")</f>
        <v>E-Commerce, Emprendimi</v>
      </c>
      <c r="K1231" s="10" t="s">
        <v>1453</v>
      </c>
    </row>
    <row r="1232" spans="1:11" x14ac:dyDescent="0.2">
      <c r="A1232" s="10">
        <v>1231</v>
      </c>
      <c r="B1232" s="10" t="s">
        <v>3697</v>
      </c>
      <c r="C1232" s="11" t="s">
        <v>3696</v>
      </c>
      <c r="D1232" s="10" t="s">
        <v>4453</v>
      </c>
      <c r="E1232" s="10" t="s">
        <v>7235</v>
      </c>
      <c r="F1232" s="11" t="s">
        <v>7236</v>
      </c>
      <c r="G1232" s="10" t="s">
        <v>13</v>
      </c>
      <c r="H1232" s="12">
        <v>46262</v>
      </c>
      <c r="I1232" s="10" t="s">
        <v>3699</v>
      </c>
      <c r="J1232" s="10" t="str">
        <f>IFERROR(INDEX([1]Programas!$B$2:$B$50,MATCH(LEFT(I1232,3),[1]Programas!$A$2:$A$50,0)),"")</f>
        <v>E-Commerce, Emprendimi</v>
      </c>
      <c r="K1232" s="10" t="s">
        <v>111</v>
      </c>
    </row>
    <row r="1233" spans="1:11" x14ac:dyDescent="0.2">
      <c r="A1233" s="10">
        <v>1232</v>
      </c>
      <c r="B1233" s="10" t="s">
        <v>3701</v>
      </c>
      <c r="C1233" s="11" t="s">
        <v>3700</v>
      </c>
      <c r="D1233" s="10" t="s">
        <v>4419</v>
      </c>
      <c r="E1233" s="10" t="s">
        <v>7237</v>
      </c>
      <c r="F1233" s="11" t="s">
        <v>7238</v>
      </c>
      <c r="G1233" s="10" t="s">
        <v>13</v>
      </c>
      <c r="H1233" s="12">
        <v>46262</v>
      </c>
      <c r="I1233" s="10" t="s">
        <v>3699</v>
      </c>
      <c r="J1233" s="10" t="str">
        <f>IFERROR(INDEX([1]Programas!$B$2:$B$50,MATCH(LEFT(I1233,3),[1]Programas!$A$2:$A$50,0)),"")</f>
        <v>E-Commerce, Emprendimi</v>
      </c>
      <c r="K1233" s="10" t="s">
        <v>111</v>
      </c>
    </row>
    <row r="1234" spans="1:11" x14ac:dyDescent="0.2">
      <c r="A1234" s="10">
        <v>1233</v>
      </c>
      <c r="B1234" s="10" t="s">
        <v>3703</v>
      </c>
      <c r="C1234" s="11" t="s">
        <v>3702</v>
      </c>
      <c r="D1234" s="10" t="s">
        <v>4419</v>
      </c>
      <c r="E1234" s="10" t="s">
        <v>7239</v>
      </c>
      <c r="F1234" s="11" t="s">
        <v>7240</v>
      </c>
      <c r="G1234" s="10" t="s">
        <v>13</v>
      </c>
      <c r="H1234" s="12">
        <v>46262</v>
      </c>
      <c r="I1234" s="10" t="s">
        <v>3699</v>
      </c>
      <c r="J1234" s="10" t="str">
        <f>IFERROR(INDEX([1]Programas!$B$2:$B$50,MATCH(LEFT(I1234,3),[1]Programas!$A$2:$A$50,0)),"")</f>
        <v>E-Commerce, Emprendimi</v>
      </c>
      <c r="K1234" s="10" t="s">
        <v>111</v>
      </c>
    </row>
    <row r="1235" spans="1:11" x14ac:dyDescent="0.2">
      <c r="A1235" s="10">
        <v>1234</v>
      </c>
      <c r="B1235" s="10" t="s">
        <v>3705</v>
      </c>
      <c r="C1235" s="11" t="s">
        <v>3704</v>
      </c>
      <c r="D1235" s="10" t="s">
        <v>4419</v>
      </c>
      <c r="E1235" s="10" t="s">
        <v>7241</v>
      </c>
      <c r="F1235" s="11" t="s">
        <v>7242</v>
      </c>
      <c r="G1235" s="10" t="s">
        <v>13</v>
      </c>
      <c r="H1235" s="12">
        <v>46262</v>
      </c>
      <c r="I1235" s="10" t="s">
        <v>3699</v>
      </c>
      <c r="J1235" s="10" t="str">
        <f>IFERROR(INDEX([1]Programas!$B$2:$B$50,MATCH(LEFT(I1235,3),[1]Programas!$A$2:$A$50,0)),"")</f>
        <v>E-Commerce, Emprendimi</v>
      </c>
      <c r="K1235" s="10" t="s">
        <v>111</v>
      </c>
    </row>
    <row r="1236" spans="1:11" x14ac:dyDescent="0.2">
      <c r="A1236" s="10">
        <v>1235</v>
      </c>
      <c r="B1236" s="10" t="s">
        <v>3707</v>
      </c>
      <c r="C1236" s="11" t="s">
        <v>3706</v>
      </c>
      <c r="D1236" s="10" t="s">
        <v>4419</v>
      </c>
      <c r="E1236" s="10" t="s">
        <v>7243</v>
      </c>
      <c r="F1236" s="11" t="s">
        <v>7244</v>
      </c>
      <c r="G1236" s="10" t="s">
        <v>13</v>
      </c>
      <c r="H1236" s="12">
        <v>46262</v>
      </c>
      <c r="I1236" s="10" t="s">
        <v>3699</v>
      </c>
      <c r="J1236" s="10" t="str">
        <f>IFERROR(INDEX([1]Programas!$B$2:$B$50,MATCH(LEFT(I1236,3),[1]Programas!$A$2:$A$50,0)),"")</f>
        <v>E-Commerce, Emprendimi</v>
      </c>
      <c r="K1236" s="10" t="s">
        <v>111</v>
      </c>
    </row>
    <row r="1237" spans="1:11" x14ac:dyDescent="0.2">
      <c r="A1237" s="10">
        <v>1236</v>
      </c>
      <c r="B1237" s="10" t="s">
        <v>7245</v>
      </c>
      <c r="C1237" s="11" t="s">
        <v>3708</v>
      </c>
      <c r="D1237" s="10" t="s">
        <v>4453</v>
      </c>
      <c r="E1237" s="10" t="s">
        <v>7246</v>
      </c>
      <c r="F1237" s="11" t="s">
        <v>7247</v>
      </c>
      <c r="G1237" s="10" t="s">
        <v>13</v>
      </c>
      <c r="H1237" s="12">
        <v>46262</v>
      </c>
      <c r="I1237" s="10" t="s">
        <v>3699</v>
      </c>
      <c r="J1237" s="10" t="str">
        <f>IFERROR(INDEX([1]Programas!$B$2:$B$50,MATCH(LEFT(I1237,3),[1]Programas!$A$2:$A$50,0)),"")</f>
        <v>E-Commerce, Emprendimi</v>
      </c>
      <c r="K1237" s="10" t="s">
        <v>111</v>
      </c>
    </row>
    <row r="1238" spans="1:11" x14ac:dyDescent="0.2">
      <c r="A1238" s="10">
        <v>1237</v>
      </c>
      <c r="B1238" s="10" t="s">
        <v>3711</v>
      </c>
      <c r="C1238" s="11" t="s">
        <v>3710</v>
      </c>
      <c r="D1238" s="10" t="s">
        <v>4419</v>
      </c>
      <c r="E1238" s="10" t="s">
        <v>7248</v>
      </c>
      <c r="F1238" s="11" t="s">
        <v>7249</v>
      </c>
      <c r="G1238" s="10" t="s">
        <v>13</v>
      </c>
      <c r="H1238" s="12">
        <v>46262</v>
      </c>
      <c r="I1238" s="10" t="s">
        <v>3699</v>
      </c>
      <c r="J1238" s="10" t="str">
        <f>IFERROR(INDEX([1]Programas!$B$2:$B$50,MATCH(LEFT(I1238,3),[1]Programas!$A$2:$A$50,0)),"")</f>
        <v>E-Commerce, Emprendimi</v>
      </c>
      <c r="K1238" s="10" t="s">
        <v>111</v>
      </c>
    </row>
    <row r="1239" spans="1:11" x14ac:dyDescent="0.2">
      <c r="A1239" s="10">
        <v>1238</v>
      </c>
      <c r="B1239" s="10" t="s">
        <v>3713</v>
      </c>
      <c r="C1239" s="11" t="s">
        <v>3712</v>
      </c>
      <c r="D1239" s="10" t="s">
        <v>4419</v>
      </c>
      <c r="E1239" s="10" t="s">
        <v>7250</v>
      </c>
      <c r="F1239" s="11" t="s">
        <v>7251</v>
      </c>
      <c r="G1239" s="10" t="s">
        <v>13</v>
      </c>
      <c r="H1239" s="12">
        <v>46262</v>
      </c>
      <c r="I1239" s="10" t="s">
        <v>3699</v>
      </c>
      <c r="J1239" s="10" t="str">
        <f>IFERROR(INDEX([1]Programas!$B$2:$B$50,MATCH(LEFT(I1239,3),[1]Programas!$A$2:$A$50,0)),"")</f>
        <v>E-Commerce, Emprendimi</v>
      </c>
      <c r="K1239" s="10" t="s">
        <v>111</v>
      </c>
    </row>
    <row r="1240" spans="1:11" x14ac:dyDescent="0.2">
      <c r="A1240" s="10">
        <v>1239</v>
      </c>
      <c r="B1240" s="10" t="s">
        <v>3715</v>
      </c>
      <c r="C1240" s="11" t="s">
        <v>3714</v>
      </c>
      <c r="D1240" s="10" t="s">
        <v>4419</v>
      </c>
      <c r="E1240" s="10" t="s">
        <v>7252</v>
      </c>
      <c r="F1240" s="11" t="s">
        <v>7253</v>
      </c>
      <c r="G1240" s="10" t="s">
        <v>13</v>
      </c>
      <c r="H1240" s="12">
        <v>46262</v>
      </c>
      <c r="I1240" s="10" t="s">
        <v>3699</v>
      </c>
      <c r="J1240" s="10" t="str">
        <f>IFERROR(INDEX([1]Programas!$B$2:$B$50,MATCH(LEFT(I1240,3),[1]Programas!$A$2:$A$50,0)),"")</f>
        <v>E-Commerce, Emprendimi</v>
      </c>
      <c r="K1240" s="10" t="s">
        <v>111</v>
      </c>
    </row>
    <row r="1241" spans="1:11" x14ac:dyDescent="0.2">
      <c r="A1241" s="10">
        <v>1240</v>
      </c>
      <c r="B1241" s="10" t="s">
        <v>3717</v>
      </c>
      <c r="C1241" s="11" t="s">
        <v>3716</v>
      </c>
      <c r="D1241" s="10" t="s">
        <v>4419</v>
      </c>
      <c r="E1241" s="10" t="s">
        <v>7254</v>
      </c>
      <c r="F1241" s="11" t="s">
        <v>7255</v>
      </c>
      <c r="G1241" s="10" t="s">
        <v>13</v>
      </c>
      <c r="H1241" s="12">
        <v>46262</v>
      </c>
      <c r="I1241" s="10" t="s">
        <v>3699</v>
      </c>
      <c r="J1241" s="10" t="str">
        <f>IFERROR(INDEX([1]Programas!$B$2:$B$50,MATCH(LEFT(I1241,3),[1]Programas!$A$2:$A$50,0)),"")</f>
        <v>E-Commerce, Emprendimi</v>
      </c>
      <c r="K1241" s="10" t="s">
        <v>111</v>
      </c>
    </row>
    <row r="1242" spans="1:11" x14ac:dyDescent="0.2">
      <c r="A1242" s="10">
        <v>1241</v>
      </c>
      <c r="B1242" s="10" t="s">
        <v>7256</v>
      </c>
      <c r="C1242" s="11" t="s">
        <v>3718</v>
      </c>
      <c r="D1242" s="10" t="s">
        <v>4419</v>
      </c>
      <c r="E1242" s="10" t="s">
        <v>7257</v>
      </c>
      <c r="F1242" s="11" t="s">
        <v>7258</v>
      </c>
      <c r="G1242" s="10" t="s">
        <v>13</v>
      </c>
      <c r="H1242" s="12">
        <v>46262</v>
      </c>
      <c r="I1242" s="10" t="s">
        <v>3699</v>
      </c>
      <c r="J1242" s="10" t="str">
        <f>IFERROR(INDEX([1]Programas!$B$2:$B$50,MATCH(LEFT(I1242,3),[1]Programas!$A$2:$A$50,0)),"")</f>
        <v>E-Commerce, Emprendimi</v>
      </c>
      <c r="K1242" s="10" t="s">
        <v>111</v>
      </c>
    </row>
    <row r="1243" spans="1:11" x14ac:dyDescent="0.2">
      <c r="A1243" s="10">
        <v>1242</v>
      </c>
      <c r="B1243" s="10" t="s">
        <v>3721</v>
      </c>
      <c r="C1243" s="11" t="s">
        <v>3720</v>
      </c>
      <c r="D1243" s="10" t="s">
        <v>4419</v>
      </c>
      <c r="E1243" s="10" t="s">
        <v>7259</v>
      </c>
      <c r="F1243" s="11" t="s">
        <v>7260</v>
      </c>
      <c r="G1243" s="10" t="s">
        <v>13</v>
      </c>
      <c r="H1243" s="12">
        <v>46262</v>
      </c>
      <c r="I1243" s="10" t="s">
        <v>3699</v>
      </c>
      <c r="J1243" s="10" t="str">
        <f>IFERROR(INDEX([1]Programas!$B$2:$B$50,MATCH(LEFT(I1243,3),[1]Programas!$A$2:$A$50,0)),"")</f>
        <v>E-Commerce, Emprendimi</v>
      </c>
      <c r="K1243" s="10" t="s">
        <v>111</v>
      </c>
    </row>
    <row r="1244" spans="1:11" x14ac:dyDescent="0.2">
      <c r="A1244" s="10">
        <v>1243</v>
      </c>
      <c r="B1244" s="10" t="s">
        <v>3723</v>
      </c>
      <c r="C1244" s="11" t="s">
        <v>3722</v>
      </c>
      <c r="D1244" s="10" t="s">
        <v>4419</v>
      </c>
      <c r="E1244" s="10" t="s">
        <v>7261</v>
      </c>
      <c r="F1244" s="11" t="s">
        <v>7262</v>
      </c>
      <c r="G1244" s="10" t="s">
        <v>13</v>
      </c>
      <c r="H1244" s="12">
        <v>46262</v>
      </c>
      <c r="I1244" s="10" t="s">
        <v>3699</v>
      </c>
      <c r="J1244" s="10" t="str">
        <f>IFERROR(INDEX([1]Programas!$B$2:$B$50,MATCH(LEFT(I1244,3),[1]Programas!$A$2:$A$50,0)),"")</f>
        <v>E-Commerce, Emprendimi</v>
      </c>
      <c r="K1244" s="10" t="s">
        <v>111</v>
      </c>
    </row>
    <row r="1245" spans="1:11" x14ac:dyDescent="0.2">
      <c r="A1245" s="10">
        <v>1244</v>
      </c>
      <c r="B1245" s="10" t="s">
        <v>7263</v>
      </c>
      <c r="C1245" s="11" t="s">
        <v>3724</v>
      </c>
      <c r="D1245" s="10" t="s">
        <v>4419</v>
      </c>
      <c r="E1245" s="10" t="s">
        <v>7264</v>
      </c>
      <c r="F1245" s="11" t="s">
        <v>7265</v>
      </c>
      <c r="G1245" s="10" t="s">
        <v>13</v>
      </c>
      <c r="H1245" s="12">
        <v>46262</v>
      </c>
      <c r="I1245" s="10" t="s">
        <v>3699</v>
      </c>
      <c r="J1245" s="10" t="str">
        <f>IFERROR(INDEX([1]Programas!$B$2:$B$50,MATCH(LEFT(I1245,3),[1]Programas!$A$2:$A$50,0)),"")</f>
        <v>E-Commerce, Emprendimi</v>
      </c>
      <c r="K1245" s="10" t="s">
        <v>111</v>
      </c>
    </row>
    <row r="1246" spans="1:11" x14ac:dyDescent="0.2">
      <c r="A1246" s="10">
        <v>1245</v>
      </c>
      <c r="B1246" s="10" t="s">
        <v>3727</v>
      </c>
      <c r="C1246" s="11" t="s">
        <v>3726</v>
      </c>
      <c r="D1246" s="10" t="s">
        <v>4419</v>
      </c>
      <c r="E1246" s="10" t="s">
        <v>7266</v>
      </c>
      <c r="F1246" s="11" t="s">
        <v>7267</v>
      </c>
      <c r="G1246" s="10" t="s">
        <v>13</v>
      </c>
      <c r="H1246" s="12">
        <v>46262</v>
      </c>
      <c r="I1246" s="10" t="s">
        <v>3699</v>
      </c>
      <c r="J1246" s="10" t="str">
        <f>IFERROR(INDEX([1]Programas!$B$2:$B$50,MATCH(LEFT(I1246,3),[1]Programas!$A$2:$A$50,0)),"")</f>
        <v>E-Commerce, Emprendimi</v>
      </c>
      <c r="K1246" s="10" t="s">
        <v>111</v>
      </c>
    </row>
    <row r="1247" spans="1:11" x14ac:dyDescent="0.2">
      <c r="A1247" s="10">
        <v>1246</v>
      </c>
      <c r="B1247" s="10" t="s">
        <v>7268</v>
      </c>
      <c r="C1247" s="11" t="s">
        <v>3728</v>
      </c>
      <c r="D1247" s="10" t="s">
        <v>4419</v>
      </c>
      <c r="E1247" s="10" t="s">
        <v>7269</v>
      </c>
      <c r="F1247" s="11" t="s">
        <v>7270</v>
      </c>
      <c r="G1247" s="10" t="s">
        <v>13</v>
      </c>
      <c r="H1247" s="12">
        <v>46262</v>
      </c>
      <c r="I1247" s="10" t="s">
        <v>3699</v>
      </c>
      <c r="J1247" s="10" t="str">
        <f>IFERROR(INDEX([1]Programas!$B$2:$B$50,MATCH(LEFT(I1247,3),[1]Programas!$A$2:$A$50,0)),"")</f>
        <v>E-Commerce, Emprendimi</v>
      </c>
      <c r="K1247" s="10" t="s">
        <v>111</v>
      </c>
    </row>
    <row r="1248" spans="1:11" x14ac:dyDescent="0.2">
      <c r="A1248" s="10">
        <v>1247</v>
      </c>
      <c r="B1248" s="10" t="s">
        <v>7271</v>
      </c>
      <c r="C1248" s="11" t="s">
        <v>3730</v>
      </c>
      <c r="D1248" s="10" t="s">
        <v>7211</v>
      </c>
      <c r="E1248" s="10" t="s">
        <v>7272</v>
      </c>
      <c r="F1248" s="11" t="s">
        <v>7273</v>
      </c>
      <c r="G1248" s="10" t="s">
        <v>13</v>
      </c>
      <c r="H1248" s="12">
        <v>46262</v>
      </c>
      <c r="I1248" s="10" t="s">
        <v>3699</v>
      </c>
      <c r="J1248" s="10" t="str">
        <f>IFERROR(INDEX([1]Programas!$B$2:$B$50,MATCH(LEFT(I1248,3),[1]Programas!$A$2:$A$50,0)),"")</f>
        <v>E-Commerce, Emprendimi</v>
      </c>
      <c r="K1248" s="10" t="s">
        <v>111</v>
      </c>
    </row>
    <row r="1249" spans="1:11" x14ac:dyDescent="0.2">
      <c r="A1249" s="10">
        <v>1248</v>
      </c>
      <c r="B1249" s="10" t="s">
        <v>3733</v>
      </c>
      <c r="C1249" s="11" t="s">
        <v>3732</v>
      </c>
      <c r="D1249" s="10" t="s">
        <v>4419</v>
      </c>
      <c r="E1249" s="10" t="s">
        <v>7274</v>
      </c>
      <c r="F1249" s="11" t="s">
        <v>7275</v>
      </c>
      <c r="G1249" s="10" t="s">
        <v>13</v>
      </c>
      <c r="H1249" s="12">
        <v>46262</v>
      </c>
      <c r="I1249" s="10" t="s">
        <v>3699</v>
      </c>
      <c r="J1249" s="10" t="str">
        <f>IFERROR(INDEX([1]Programas!$B$2:$B$50,MATCH(LEFT(I1249,3),[1]Programas!$A$2:$A$50,0)),"")</f>
        <v>E-Commerce, Emprendimi</v>
      </c>
      <c r="K1249" s="10" t="s">
        <v>111</v>
      </c>
    </row>
    <row r="1250" spans="1:11" x14ac:dyDescent="0.2">
      <c r="A1250" s="10">
        <v>1249</v>
      </c>
      <c r="B1250" s="10" t="s">
        <v>3735</v>
      </c>
      <c r="C1250" s="11" t="s">
        <v>3734</v>
      </c>
      <c r="D1250" s="10" t="s">
        <v>4419</v>
      </c>
      <c r="E1250" s="10" t="s">
        <v>7276</v>
      </c>
      <c r="F1250" s="11" t="s">
        <v>7277</v>
      </c>
      <c r="G1250" s="10" t="s">
        <v>13</v>
      </c>
      <c r="H1250" s="12">
        <v>46262</v>
      </c>
      <c r="I1250" s="10" t="s">
        <v>3699</v>
      </c>
      <c r="J1250" s="10" t="str">
        <f>IFERROR(INDEX([1]Programas!$B$2:$B$50,MATCH(LEFT(I1250,3),[1]Programas!$A$2:$A$50,0)),"")</f>
        <v>E-Commerce, Emprendimi</v>
      </c>
      <c r="K1250" s="10" t="s">
        <v>111</v>
      </c>
    </row>
    <row r="1251" spans="1:11" x14ac:dyDescent="0.2">
      <c r="A1251" s="10">
        <v>1250</v>
      </c>
      <c r="B1251" s="10" t="s">
        <v>3737</v>
      </c>
      <c r="C1251" s="11" t="s">
        <v>3736</v>
      </c>
      <c r="D1251" s="10" t="s">
        <v>4419</v>
      </c>
      <c r="E1251" s="10" t="s">
        <v>7278</v>
      </c>
      <c r="F1251" s="11" t="s">
        <v>7279</v>
      </c>
      <c r="G1251" s="10" t="s">
        <v>13</v>
      </c>
      <c r="H1251" s="12">
        <v>46262</v>
      </c>
      <c r="I1251" s="10" t="s">
        <v>3699</v>
      </c>
      <c r="J1251" s="10" t="str">
        <f>IFERROR(INDEX([1]Programas!$B$2:$B$50,MATCH(LEFT(I1251,3),[1]Programas!$A$2:$A$50,0)),"")</f>
        <v>E-Commerce, Emprendimi</v>
      </c>
      <c r="K1251" s="10" t="s">
        <v>111</v>
      </c>
    </row>
    <row r="1252" spans="1:11" x14ac:dyDescent="0.2">
      <c r="A1252" s="10">
        <v>1251</v>
      </c>
      <c r="B1252" s="10" t="s">
        <v>3739</v>
      </c>
      <c r="C1252" s="11" t="s">
        <v>3738</v>
      </c>
      <c r="D1252" s="10" t="s">
        <v>4419</v>
      </c>
      <c r="E1252" s="10" t="s">
        <v>7280</v>
      </c>
      <c r="F1252" s="11" t="s">
        <v>7281</v>
      </c>
      <c r="G1252" s="10" t="s">
        <v>13</v>
      </c>
      <c r="H1252" s="12">
        <v>46262</v>
      </c>
      <c r="I1252" s="10" t="s">
        <v>3699</v>
      </c>
      <c r="J1252" s="10" t="str">
        <f>IFERROR(INDEX([1]Programas!$B$2:$B$50,MATCH(LEFT(I1252,3),[1]Programas!$A$2:$A$50,0)),"")</f>
        <v>E-Commerce, Emprendimi</v>
      </c>
      <c r="K1252" s="10" t="s">
        <v>111</v>
      </c>
    </row>
    <row r="1253" spans="1:11" x14ac:dyDescent="0.2">
      <c r="A1253" s="10">
        <v>1252</v>
      </c>
      <c r="B1253" s="10" t="s">
        <v>3741</v>
      </c>
      <c r="C1253" s="11" t="s">
        <v>3740</v>
      </c>
      <c r="D1253" s="10" t="s">
        <v>4419</v>
      </c>
      <c r="E1253" s="10" t="s">
        <v>7282</v>
      </c>
      <c r="F1253" s="11" t="s">
        <v>7283</v>
      </c>
      <c r="G1253" s="10" t="s">
        <v>13</v>
      </c>
      <c r="H1253" s="12">
        <v>46262</v>
      </c>
      <c r="I1253" s="10" t="s">
        <v>3699</v>
      </c>
      <c r="J1253" s="10" t="str">
        <f>IFERROR(INDEX([1]Programas!$B$2:$B$50,MATCH(LEFT(I1253,3),[1]Programas!$A$2:$A$50,0)),"")</f>
        <v>E-Commerce, Emprendimi</v>
      </c>
      <c r="K1253" s="10" t="s">
        <v>111</v>
      </c>
    </row>
    <row r="1254" spans="1:11" x14ac:dyDescent="0.2">
      <c r="A1254" s="10">
        <v>1253</v>
      </c>
      <c r="B1254" s="10" t="s">
        <v>3743</v>
      </c>
      <c r="C1254" s="11" t="s">
        <v>3742</v>
      </c>
      <c r="D1254" s="10" t="s">
        <v>4419</v>
      </c>
      <c r="E1254" s="10" t="s">
        <v>7284</v>
      </c>
      <c r="F1254" s="11" t="s">
        <v>7285</v>
      </c>
      <c r="G1254" s="10" t="s">
        <v>13</v>
      </c>
      <c r="H1254" s="12">
        <v>46262</v>
      </c>
      <c r="I1254" s="10" t="s">
        <v>3699</v>
      </c>
      <c r="J1254" s="10" t="str">
        <f>IFERROR(INDEX([1]Programas!$B$2:$B$50,MATCH(LEFT(I1254,3),[1]Programas!$A$2:$A$50,0)),"")</f>
        <v>E-Commerce, Emprendimi</v>
      </c>
      <c r="K1254" s="10" t="s">
        <v>111</v>
      </c>
    </row>
    <row r="1255" spans="1:11" x14ac:dyDescent="0.2">
      <c r="A1255" s="10">
        <v>1254</v>
      </c>
      <c r="B1255" s="10" t="s">
        <v>7286</v>
      </c>
      <c r="C1255" s="11" t="s">
        <v>3744</v>
      </c>
      <c r="D1255" s="10" t="s">
        <v>4419</v>
      </c>
      <c r="E1255" s="10" t="s">
        <v>7287</v>
      </c>
      <c r="F1255" s="11" t="s">
        <v>7288</v>
      </c>
      <c r="G1255" s="10" t="s">
        <v>13</v>
      </c>
      <c r="H1255" s="12">
        <v>46262</v>
      </c>
      <c r="I1255" s="10" t="s">
        <v>3699</v>
      </c>
      <c r="J1255" s="10" t="str">
        <f>IFERROR(INDEX([1]Programas!$B$2:$B$50,MATCH(LEFT(I1255,3),[1]Programas!$A$2:$A$50,0)),"")</f>
        <v>E-Commerce, Emprendimi</v>
      </c>
      <c r="K1255" s="10" t="s">
        <v>111</v>
      </c>
    </row>
    <row r="1256" spans="1:11" x14ac:dyDescent="0.2">
      <c r="A1256" s="10">
        <v>1255</v>
      </c>
      <c r="B1256" s="10" t="s">
        <v>3747</v>
      </c>
      <c r="C1256" s="11" t="s">
        <v>3746</v>
      </c>
      <c r="D1256" s="10" t="s">
        <v>4419</v>
      </c>
      <c r="E1256" s="10" t="s">
        <v>7289</v>
      </c>
      <c r="F1256" s="11" t="s">
        <v>7290</v>
      </c>
      <c r="G1256" s="10" t="s">
        <v>13</v>
      </c>
      <c r="H1256" s="12">
        <v>46262</v>
      </c>
      <c r="I1256" s="10" t="s">
        <v>3699</v>
      </c>
      <c r="J1256" s="10" t="str">
        <f>IFERROR(INDEX([1]Programas!$B$2:$B$50,MATCH(LEFT(I1256,3),[1]Programas!$A$2:$A$50,0)),"")</f>
        <v>E-Commerce, Emprendimi</v>
      </c>
      <c r="K1256" s="10" t="s">
        <v>111</v>
      </c>
    </row>
    <row r="1257" spans="1:11" x14ac:dyDescent="0.2">
      <c r="A1257" s="10">
        <v>1256</v>
      </c>
      <c r="B1257" s="10" t="s">
        <v>3749</v>
      </c>
      <c r="C1257" s="11" t="s">
        <v>3748</v>
      </c>
      <c r="D1257" s="10" t="s">
        <v>4419</v>
      </c>
      <c r="E1257" s="10" t="s">
        <v>7291</v>
      </c>
      <c r="F1257" s="11" t="s">
        <v>7292</v>
      </c>
      <c r="G1257" s="10" t="s">
        <v>13</v>
      </c>
      <c r="H1257" s="12">
        <v>46262</v>
      </c>
      <c r="I1257" s="10" t="s">
        <v>3699</v>
      </c>
      <c r="J1257" s="10" t="str">
        <f>IFERROR(INDEX([1]Programas!$B$2:$B$50,MATCH(LEFT(I1257,3),[1]Programas!$A$2:$A$50,0)),"")</f>
        <v>E-Commerce, Emprendimi</v>
      </c>
      <c r="K1257" s="10" t="s">
        <v>111</v>
      </c>
    </row>
    <row r="1258" spans="1:11" x14ac:dyDescent="0.2">
      <c r="A1258" s="10">
        <v>1257</v>
      </c>
      <c r="B1258" s="10" t="s">
        <v>7293</v>
      </c>
      <c r="C1258" s="11" t="s">
        <v>3750</v>
      </c>
      <c r="D1258" s="10" t="s">
        <v>4419</v>
      </c>
      <c r="E1258" s="10" t="s">
        <v>7294</v>
      </c>
      <c r="F1258" s="11" t="s">
        <v>7295</v>
      </c>
      <c r="G1258" s="10" t="s">
        <v>13</v>
      </c>
      <c r="H1258" s="12">
        <v>46262</v>
      </c>
      <c r="I1258" s="10" t="s">
        <v>3699</v>
      </c>
      <c r="J1258" s="10" t="str">
        <f>IFERROR(INDEX([1]Programas!$B$2:$B$50,MATCH(LEFT(I1258,3),[1]Programas!$A$2:$A$50,0)),"")</f>
        <v>E-Commerce, Emprendimi</v>
      </c>
      <c r="K1258" s="10" t="s">
        <v>111</v>
      </c>
    </row>
    <row r="1259" spans="1:11" x14ac:dyDescent="0.2">
      <c r="A1259" s="10">
        <v>1258</v>
      </c>
      <c r="B1259" s="10" t="s">
        <v>7296</v>
      </c>
      <c r="C1259" s="11" t="s">
        <v>3752</v>
      </c>
      <c r="D1259" s="10" t="s">
        <v>4419</v>
      </c>
      <c r="E1259" s="10" t="s">
        <v>7297</v>
      </c>
      <c r="F1259" s="11" t="s">
        <v>7298</v>
      </c>
      <c r="G1259" s="10" t="s">
        <v>13</v>
      </c>
      <c r="H1259" s="12">
        <v>46262</v>
      </c>
      <c r="I1259" s="10" t="s">
        <v>3699</v>
      </c>
      <c r="J1259" s="10" t="str">
        <f>IFERROR(INDEX([1]Programas!$B$2:$B$50,MATCH(LEFT(I1259,3),[1]Programas!$A$2:$A$50,0)),"")</f>
        <v>E-Commerce, Emprendimi</v>
      </c>
      <c r="K1259" s="10" t="s">
        <v>111</v>
      </c>
    </row>
    <row r="1260" spans="1:11" x14ac:dyDescent="0.2">
      <c r="A1260" s="10">
        <v>1259</v>
      </c>
      <c r="B1260" s="10" t="s">
        <v>3755</v>
      </c>
      <c r="C1260" s="11" t="s">
        <v>3754</v>
      </c>
      <c r="D1260" s="10" t="s">
        <v>4419</v>
      </c>
      <c r="E1260" s="10" t="s">
        <v>7299</v>
      </c>
      <c r="F1260" s="11" t="s">
        <v>7300</v>
      </c>
      <c r="G1260" s="10" t="s">
        <v>13</v>
      </c>
      <c r="H1260" s="12">
        <v>46262</v>
      </c>
      <c r="I1260" s="10" t="s">
        <v>3699</v>
      </c>
      <c r="J1260" s="10" t="str">
        <f>IFERROR(INDEX([1]Programas!$B$2:$B$50,MATCH(LEFT(I1260,3),[1]Programas!$A$2:$A$50,0)),"")</f>
        <v>E-Commerce, Emprendimi</v>
      </c>
      <c r="K1260" s="10" t="s">
        <v>111</v>
      </c>
    </row>
    <row r="1261" spans="1:11" x14ac:dyDescent="0.2">
      <c r="A1261" s="10">
        <v>1260</v>
      </c>
      <c r="B1261" s="10" t="s">
        <v>3757</v>
      </c>
      <c r="C1261" s="11" t="s">
        <v>3756</v>
      </c>
      <c r="D1261" s="10" t="s">
        <v>4419</v>
      </c>
      <c r="E1261" s="10" t="s">
        <v>7301</v>
      </c>
      <c r="F1261" s="11" t="s">
        <v>7302</v>
      </c>
      <c r="G1261" s="10" t="s">
        <v>13</v>
      </c>
      <c r="H1261" s="12">
        <v>46262</v>
      </c>
      <c r="I1261" s="10" t="s">
        <v>3699</v>
      </c>
      <c r="J1261" s="10" t="str">
        <f>IFERROR(INDEX([1]Programas!$B$2:$B$50,MATCH(LEFT(I1261,3),[1]Programas!$A$2:$A$50,0)),"")</f>
        <v>E-Commerce, Emprendimi</v>
      </c>
      <c r="K1261" s="10" t="s">
        <v>111</v>
      </c>
    </row>
    <row r="1262" spans="1:11" x14ac:dyDescent="0.2">
      <c r="A1262" s="10">
        <v>1261</v>
      </c>
      <c r="B1262" s="10" t="s">
        <v>3759</v>
      </c>
      <c r="C1262" s="11" t="s">
        <v>3758</v>
      </c>
      <c r="D1262" s="10" t="s">
        <v>4419</v>
      </c>
      <c r="E1262" s="10" t="s">
        <v>7303</v>
      </c>
      <c r="F1262" s="11" t="s">
        <v>7304</v>
      </c>
      <c r="G1262" s="10" t="s">
        <v>13</v>
      </c>
      <c r="H1262" s="12">
        <v>46262</v>
      </c>
      <c r="I1262" s="10" t="s">
        <v>3699</v>
      </c>
      <c r="J1262" s="10" t="str">
        <f>IFERROR(INDEX([1]Programas!$B$2:$B$50,MATCH(LEFT(I1262,3),[1]Programas!$A$2:$A$50,0)),"")</f>
        <v>E-Commerce, Emprendimi</v>
      </c>
      <c r="K1262" s="10" t="s">
        <v>111</v>
      </c>
    </row>
    <row r="1263" spans="1:11" x14ac:dyDescent="0.2">
      <c r="A1263" s="10">
        <v>1262</v>
      </c>
      <c r="B1263" s="10" t="s">
        <v>3625</v>
      </c>
      <c r="C1263" s="11" t="s">
        <v>3624</v>
      </c>
      <c r="D1263" s="10" t="s">
        <v>4419</v>
      </c>
      <c r="E1263" s="10" t="s">
        <v>7305</v>
      </c>
      <c r="F1263" s="11" t="s">
        <v>7306</v>
      </c>
      <c r="G1263" s="10" t="s">
        <v>13</v>
      </c>
      <c r="H1263" s="12">
        <v>46262</v>
      </c>
      <c r="I1263" s="10" t="s">
        <v>3699</v>
      </c>
      <c r="J1263" s="10" t="str">
        <f>IFERROR(INDEX([1]Programas!$B$2:$B$50,MATCH(LEFT(I1263,3),[1]Programas!$A$2:$A$50,0)),"")</f>
        <v>E-Commerce, Emprendimi</v>
      </c>
      <c r="K1263" s="10" t="s">
        <v>111</v>
      </c>
    </row>
    <row r="1264" spans="1:11" x14ac:dyDescent="0.2">
      <c r="A1264" s="10">
        <v>1263</v>
      </c>
      <c r="B1264" s="10" t="s">
        <v>3761</v>
      </c>
      <c r="C1264" s="11" t="s">
        <v>3760</v>
      </c>
      <c r="D1264" s="10" t="s">
        <v>4419</v>
      </c>
      <c r="E1264" s="10" t="s">
        <v>7307</v>
      </c>
      <c r="F1264" s="11" t="s">
        <v>7308</v>
      </c>
      <c r="G1264" s="10" t="s">
        <v>13</v>
      </c>
      <c r="H1264" s="12">
        <v>46262</v>
      </c>
      <c r="I1264" s="10" t="s">
        <v>3699</v>
      </c>
      <c r="J1264" s="10" t="str">
        <f>IFERROR(INDEX([1]Programas!$B$2:$B$50,MATCH(LEFT(I1264,3),[1]Programas!$A$2:$A$50,0)),"")</f>
        <v>E-Commerce, Emprendimi</v>
      </c>
      <c r="K1264" s="10" t="s">
        <v>111</v>
      </c>
    </row>
    <row r="1265" spans="1:11" x14ac:dyDescent="0.2">
      <c r="A1265" s="10">
        <v>1264</v>
      </c>
      <c r="B1265" s="10" t="s">
        <v>3763</v>
      </c>
      <c r="C1265" s="11" t="s">
        <v>3762</v>
      </c>
      <c r="D1265" s="10" t="s">
        <v>4419</v>
      </c>
      <c r="E1265" s="10" t="s">
        <v>7309</v>
      </c>
      <c r="F1265" s="11" t="s">
        <v>7310</v>
      </c>
      <c r="G1265" s="10" t="s">
        <v>13</v>
      </c>
      <c r="H1265" s="12">
        <v>46262</v>
      </c>
      <c r="I1265" s="10" t="s">
        <v>3699</v>
      </c>
      <c r="J1265" s="10" t="str">
        <f>IFERROR(INDEX([1]Programas!$B$2:$B$50,MATCH(LEFT(I1265,3),[1]Programas!$A$2:$A$50,0)),"")</f>
        <v>E-Commerce, Emprendimi</v>
      </c>
      <c r="K1265" s="10" t="s">
        <v>111</v>
      </c>
    </row>
    <row r="1266" spans="1:11" x14ac:dyDescent="0.2">
      <c r="A1266" s="10">
        <v>1265</v>
      </c>
      <c r="B1266" s="10" t="s">
        <v>3765</v>
      </c>
      <c r="C1266" s="11" t="s">
        <v>3764</v>
      </c>
      <c r="D1266" s="10" t="s">
        <v>4419</v>
      </c>
      <c r="E1266" s="10" t="s">
        <v>7311</v>
      </c>
      <c r="F1266" s="11" t="s">
        <v>7312</v>
      </c>
      <c r="G1266" s="10" t="s">
        <v>13</v>
      </c>
      <c r="H1266" s="12">
        <v>46262</v>
      </c>
      <c r="I1266" s="10" t="s">
        <v>3699</v>
      </c>
      <c r="J1266" s="10" t="str">
        <f>IFERROR(INDEX([1]Programas!$B$2:$B$50,MATCH(LEFT(I1266,3),[1]Programas!$A$2:$A$50,0)),"")</f>
        <v>E-Commerce, Emprendimi</v>
      </c>
      <c r="K1266" s="10" t="s">
        <v>111</v>
      </c>
    </row>
    <row r="1267" spans="1:11" x14ac:dyDescent="0.2">
      <c r="A1267" s="10">
        <v>1266</v>
      </c>
      <c r="B1267" s="10" t="s">
        <v>3767</v>
      </c>
      <c r="C1267" s="11" t="s">
        <v>3766</v>
      </c>
      <c r="D1267" s="10" t="s">
        <v>5003</v>
      </c>
      <c r="E1267" s="10" t="s">
        <v>7313</v>
      </c>
      <c r="F1267" s="11" t="s">
        <v>7314</v>
      </c>
      <c r="G1267" s="10" t="s">
        <v>13</v>
      </c>
      <c r="H1267" s="12">
        <v>46262</v>
      </c>
      <c r="I1267" s="10" t="s">
        <v>3699</v>
      </c>
      <c r="J1267" s="10" t="str">
        <f>IFERROR(INDEX([1]Programas!$B$2:$B$50,MATCH(LEFT(I1267,3),[1]Programas!$A$2:$A$50,0)),"")</f>
        <v>E-Commerce, Emprendimi</v>
      </c>
      <c r="K1267" s="10" t="s">
        <v>111</v>
      </c>
    </row>
    <row r="1268" spans="1:11" x14ac:dyDescent="0.2">
      <c r="A1268" s="10">
        <v>1267</v>
      </c>
      <c r="B1268" s="10" t="s">
        <v>3769</v>
      </c>
      <c r="C1268" s="11" t="s">
        <v>3768</v>
      </c>
      <c r="D1268" s="10" t="s">
        <v>4419</v>
      </c>
      <c r="E1268" s="10" t="s">
        <v>7315</v>
      </c>
      <c r="F1268" s="11" t="s">
        <v>7316</v>
      </c>
      <c r="G1268" s="10" t="s">
        <v>13</v>
      </c>
      <c r="H1268" s="12">
        <v>46262</v>
      </c>
      <c r="I1268" s="10" t="s">
        <v>3699</v>
      </c>
      <c r="J1268" s="10" t="str">
        <f>IFERROR(INDEX([1]Programas!$B$2:$B$50,MATCH(LEFT(I1268,3),[1]Programas!$A$2:$A$50,0)),"")</f>
        <v>E-Commerce, Emprendimi</v>
      </c>
      <c r="K1268" s="10" t="s">
        <v>111</v>
      </c>
    </row>
    <row r="1269" spans="1:11" x14ac:dyDescent="0.2">
      <c r="A1269" s="10">
        <v>1268</v>
      </c>
      <c r="B1269" s="10" t="s">
        <v>3771</v>
      </c>
      <c r="C1269" s="11" t="s">
        <v>3770</v>
      </c>
      <c r="D1269" s="10" t="s">
        <v>4419</v>
      </c>
      <c r="E1269" s="10" t="s">
        <v>7317</v>
      </c>
      <c r="F1269" s="11" t="s">
        <v>7318</v>
      </c>
      <c r="G1269" s="10" t="s">
        <v>13</v>
      </c>
      <c r="H1269" s="12">
        <v>46262</v>
      </c>
      <c r="I1269" s="10" t="s">
        <v>3773</v>
      </c>
      <c r="J1269" s="10" t="str">
        <f>IFERROR(INDEX([1]Programas!$B$2:$B$50,MATCH(LEFT(I1269,3),[1]Programas!$A$2:$A$50,0)),"")</f>
        <v>E-Commerce, Emprendimi</v>
      </c>
      <c r="K1269" s="10" t="s">
        <v>807</v>
      </c>
    </row>
    <row r="1270" spans="1:11" x14ac:dyDescent="0.2">
      <c r="A1270" s="10">
        <v>1269</v>
      </c>
      <c r="B1270" s="10" t="s">
        <v>3776</v>
      </c>
      <c r="C1270" s="11" t="s">
        <v>3775</v>
      </c>
      <c r="D1270" s="10" t="s">
        <v>4419</v>
      </c>
      <c r="E1270" s="10" t="s">
        <v>7319</v>
      </c>
      <c r="F1270" s="11" t="s">
        <v>7320</v>
      </c>
      <c r="G1270" s="10" t="s">
        <v>13</v>
      </c>
      <c r="H1270" s="12">
        <v>46262</v>
      </c>
      <c r="I1270" s="10" t="s">
        <v>3773</v>
      </c>
      <c r="J1270" s="10" t="str">
        <f>IFERROR(INDEX([1]Programas!$B$2:$B$50,MATCH(LEFT(I1270,3),[1]Programas!$A$2:$A$50,0)),"")</f>
        <v>E-Commerce, Emprendimi</v>
      </c>
      <c r="K1270" s="10" t="s">
        <v>807</v>
      </c>
    </row>
    <row r="1271" spans="1:11" x14ac:dyDescent="0.2">
      <c r="A1271" s="10">
        <v>1270</v>
      </c>
      <c r="B1271" s="10" t="s">
        <v>3778</v>
      </c>
      <c r="C1271" s="11" t="s">
        <v>3777</v>
      </c>
      <c r="D1271" s="10" t="s">
        <v>4419</v>
      </c>
      <c r="E1271" s="10" t="s">
        <v>7321</v>
      </c>
      <c r="F1271" s="11" t="s">
        <v>7322</v>
      </c>
      <c r="G1271" s="10" t="s">
        <v>13</v>
      </c>
      <c r="H1271" s="12">
        <v>46262</v>
      </c>
      <c r="I1271" s="10" t="s">
        <v>3773</v>
      </c>
      <c r="J1271" s="10" t="str">
        <f>IFERROR(INDEX([1]Programas!$B$2:$B$50,MATCH(LEFT(I1271,3),[1]Programas!$A$2:$A$50,0)),"")</f>
        <v>E-Commerce, Emprendimi</v>
      </c>
      <c r="K1271" s="10" t="s">
        <v>807</v>
      </c>
    </row>
    <row r="1272" spans="1:11" x14ac:dyDescent="0.2">
      <c r="A1272" s="10">
        <v>1271</v>
      </c>
      <c r="B1272" s="10" t="s">
        <v>3780</v>
      </c>
      <c r="C1272" s="11" t="s">
        <v>3779</v>
      </c>
      <c r="D1272" s="10" t="s">
        <v>4419</v>
      </c>
      <c r="E1272" s="10" t="s">
        <v>7323</v>
      </c>
      <c r="F1272" s="11" t="s">
        <v>7324</v>
      </c>
      <c r="G1272" s="10" t="s">
        <v>13</v>
      </c>
      <c r="H1272" s="12">
        <v>46262</v>
      </c>
      <c r="I1272" s="10" t="s">
        <v>3773</v>
      </c>
      <c r="J1272" s="10" t="str">
        <f>IFERROR(INDEX([1]Programas!$B$2:$B$50,MATCH(LEFT(I1272,3),[1]Programas!$A$2:$A$50,0)),"")</f>
        <v>E-Commerce, Emprendimi</v>
      </c>
      <c r="K1272" s="10" t="s">
        <v>807</v>
      </c>
    </row>
    <row r="1273" spans="1:11" x14ac:dyDescent="0.2">
      <c r="A1273" s="10">
        <v>1272</v>
      </c>
      <c r="B1273" s="10" t="s">
        <v>7325</v>
      </c>
      <c r="C1273" s="11" t="s">
        <v>3781</v>
      </c>
      <c r="D1273" s="10" t="s">
        <v>4419</v>
      </c>
      <c r="E1273" s="10" t="s">
        <v>7326</v>
      </c>
      <c r="F1273" s="11" t="s">
        <v>7327</v>
      </c>
      <c r="G1273" s="10" t="s">
        <v>13</v>
      </c>
      <c r="H1273" s="12">
        <v>46262</v>
      </c>
      <c r="I1273" s="10" t="s">
        <v>3773</v>
      </c>
      <c r="J1273" s="10" t="str">
        <f>IFERROR(INDEX([1]Programas!$B$2:$B$50,MATCH(LEFT(I1273,3),[1]Programas!$A$2:$A$50,0)),"")</f>
        <v>E-Commerce, Emprendimi</v>
      </c>
      <c r="K1273" s="10" t="s">
        <v>807</v>
      </c>
    </row>
    <row r="1274" spans="1:11" x14ac:dyDescent="0.2">
      <c r="A1274" s="10">
        <v>1273</v>
      </c>
      <c r="B1274" s="10" t="s">
        <v>7328</v>
      </c>
      <c r="C1274" s="11" t="s">
        <v>3783</v>
      </c>
      <c r="D1274" s="10" t="s">
        <v>4419</v>
      </c>
      <c r="E1274" s="10" t="s">
        <v>7329</v>
      </c>
      <c r="F1274" s="11" t="s">
        <v>7330</v>
      </c>
      <c r="G1274" s="10" t="s">
        <v>13</v>
      </c>
      <c r="H1274" s="12">
        <v>46262</v>
      </c>
      <c r="I1274" s="10" t="s">
        <v>3773</v>
      </c>
      <c r="J1274" s="10" t="str">
        <f>IFERROR(INDEX([1]Programas!$B$2:$B$50,MATCH(LEFT(I1274,3),[1]Programas!$A$2:$A$50,0)),"")</f>
        <v>E-Commerce, Emprendimi</v>
      </c>
      <c r="K1274" s="10" t="s">
        <v>807</v>
      </c>
    </row>
    <row r="1275" spans="1:11" x14ac:dyDescent="0.2">
      <c r="A1275" s="10">
        <v>1274</v>
      </c>
      <c r="B1275" s="10" t="s">
        <v>3786</v>
      </c>
      <c r="C1275" s="11" t="s">
        <v>3785</v>
      </c>
      <c r="D1275" s="10" t="s">
        <v>4419</v>
      </c>
      <c r="E1275" s="10" t="s">
        <v>7331</v>
      </c>
      <c r="F1275" s="11" t="s">
        <v>7332</v>
      </c>
      <c r="G1275" s="10" t="s">
        <v>13</v>
      </c>
      <c r="H1275" s="12">
        <v>46262</v>
      </c>
      <c r="I1275" s="10" t="s">
        <v>3773</v>
      </c>
      <c r="J1275" s="10" t="str">
        <f>IFERROR(INDEX([1]Programas!$B$2:$B$50,MATCH(LEFT(I1275,3),[1]Programas!$A$2:$A$50,0)),"")</f>
        <v>E-Commerce, Emprendimi</v>
      </c>
      <c r="K1275" s="10" t="s">
        <v>807</v>
      </c>
    </row>
    <row r="1276" spans="1:11" x14ac:dyDescent="0.2">
      <c r="A1276" s="10">
        <v>1275</v>
      </c>
      <c r="B1276" s="10" t="s">
        <v>3788</v>
      </c>
      <c r="C1276" s="11" t="s">
        <v>3787</v>
      </c>
      <c r="D1276" s="10" t="s">
        <v>4419</v>
      </c>
      <c r="E1276" s="10" t="s">
        <v>7333</v>
      </c>
      <c r="F1276" s="11" t="s">
        <v>7334</v>
      </c>
      <c r="G1276" s="10" t="s">
        <v>13</v>
      </c>
      <c r="H1276" s="12">
        <v>46262</v>
      </c>
      <c r="I1276" s="10" t="s">
        <v>3773</v>
      </c>
      <c r="J1276" s="10" t="str">
        <f>IFERROR(INDEX([1]Programas!$B$2:$B$50,MATCH(LEFT(I1276,3),[1]Programas!$A$2:$A$50,0)),"")</f>
        <v>E-Commerce, Emprendimi</v>
      </c>
      <c r="K1276" s="10" t="s">
        <v>807</v>
      </c>
    </row>
    <row r="1277" spans="1:11" x14ac:dyDescent="0.2">
      <c r="A1277" s="10">
        <v>1276</v>
      </c>
      <c r="B1277" s="10" t="s">
        <v>7335</v>
      </c>
      <c r="C1277" s="11" t="s">
        <v>3789</v>
      </c>
      <c r="D1277" s="10" t="s">
        <v>4419</v>
      </c>
      <c r="E1277" s="10" t="s">
        <v>7336</v>
      </c>
      <c r="F1277" s="11" t="s">
        <v>7337</v>
      </c>
      <c r="G1277" s="10" t="s">
        <v>13</v>
      </c>
      <c r="H1277" s="12">
        <v>46262</v>
      </c>
      <c r="I1277" s="10" t="s">
        <v>3773</v>
      </c>
      <c r="J1277" s="10" t="str">
        <f>IFERROR(INDEX([1]Programas!$B$2:$B$50,MATCH(LEFT(I1277,3),[1]Programas!$A$2:$A$50,0)),"")</f>
        <v>E-Commerce, Emprendimi</v>
      </c>
      <c r="K1277" s="10" t="s">
        <v>807</v>
      </c>
    </row>
    <row r="1278" spans="1:11" x14ac:dyDescent="0.2">
      <c r="A1278" s="10">
        <v>1277</v>
      </c>
      <c r="B1278" s="10" t="s">
        <v>3792</v>
      </c>
      <c r="C1278" s="11" t="s">
        <v>3791</v>
      </c>
      <c r="D1278" s="10" t="s">
        <v>4419</v>
      </c>
      <c r="E1278" s="10" t="s">
        <v>7338</v>
      </c>
      <c r="F1278" s="11" t="s">
        <v>7339</v>
      </c>
      <c r="G1278" s="10" t="s">
        <v>13</v>
      </c>
      <c r="H1278" s="12">
        <v>46262</v>
      </c>
      <c r="I1278" s="10" t="s">
        <v>3773</v>
      </c>
      <c r="J1278" s="10" t="str">
        <f>IFERROR(INDEX([1]Programas!$B$2:$B$50,MATCH(LEFT(I1278,3),[1]Programas!$A$2:$A$50,0)),"")</f>
        <v>E-Commerce, Emprendimi</v>
      </c>
      <c r="K1278" s="10" t="s">
        <v>807</v>
      </c>
    </row>
    <row r="1279" spans="1:11" x14ac:dyDescent="0.2">
      <c r="A1279" s="10">
        <v>1278</v>
      </c>
      <c r="B1279" s="10" t="s">
        <v>7340</v>
      </c>
      <c r="C1279" s="11" t="s">
        <v>3793</v>
      </c>
      <c r="D1279" s="10" t="s">
        <v>4419</v>
      </c>
      <c r="E1279" s="10" t="s">
        <v>7341</v>
      </c>
      <c r="F1279" s="11" t="s">
        <v>7342</v>
      </c>
      <c r="G1279" s="10" t="s">
        <v>13</v>
      </c>
      <c r="H1279" s="12">
        <v>46262</v>
      </c>
      <c r="I1279" s="10" t="s">
        <v>3773</v>
      </c>
      <c r="J1279" s="10" t="str">
        <f>IFERROR(INDEX([1]Programas!$B$2:$B$50,MATCH(LEFT(I1279,3),[1]Programas!$A$2:$A$50,0)),"")</f>
        <v>E-Commerce, Emprendimi</v>
      </c>
      <c r="K1279" s="10" t="s">
        <v>807</v>
      </c>
    </row>
    <row r="1280" spans="1:11" x14ac:dyDescent="0.2">
      <c r="A1280" s="10">
        <v>1279</v>
      </c>
      <c r="B1280" s="10" t="s">
        <v>3796</v>
      </c>
      <c r="C1280" s="11" t="s">
        <v>3795</v>
      </c>
      <c r="D1280" s="10" t="s">
        <v>4419</v>
      </c>
      <c r="E1280" s="10" t="s">
        <v>7343</v>
      </c>
      <c r="F1280" s="11" t="s">
        <v>7344</v>
      </c>
      <c r="G1280" s="10" t="s">
        <v>13</v>
      </c>
      <c r="H1280" s="12">
        <v>46262</v>
      </c>
      <c r="I1280" s="10" t="s">
        <v>3773</v>
      </c>
      <c r="J1280" s="10" t="str">
        <f>IFERROR(INDEX([1]Programas!$B$2:$B$50,MATCH(LEFT(I1280,3),[1]Programas!$A$2:$A$50,0)),"")</f>
        <v>E-Commerce, Emprendimi</v>
      </c>
      <c r="K1280" s="10" t="s">
        <v>807</v>
      </c>
    </row>
    <row r="1281" spans="1:11" x14ac:dyDescent="0.2">
      <c r="A1281" s="10">
        <v>1280</v>
      </c>
      <c r="B1281" s="10" t="s">
        <v>3798</v>
      </c>
      <c r="C1281" s="11" t="s">
        <v>3797</v>
      </c>
      <c r="D1281" s="10" t="s">
        <v>4419</v>
      </c>
      <c r="E1281" s="10" t="s">
        <v>7345</v>
      </c>
      <c r="F1281" s="11" t="s">
        <v>7346</v>
      </c>
      <c r="G1281" s="10" t="s">
        <v>13</v>
      </c>
      <c r="H1281" s="12">
        <v>46262</v>
      </c>
      <c r="I1281" s="10" t="s">
        <v>3773</v>
      </c>
      <c r="J1281" s="10" t="str">
        <f>IFERROR(INDEX([1]Programas!$B$2:$B$50,MATCH(LEFT(I1281,3),[1]Programas!$A$2:$A$50,0)),"")</f>
        <v>E-Commerce, Emprendimi</v>
      </c>
      <c r="K1281" s="10" t="s">
        <v>807</v>
      </c>
    </row>
    <row r="1282" spans="1:11" x14ac:dyDescent="0.2">
      <c r="A1282" s="10">
        <v>1281</v>
      </c>
      <c r="B1282" s="10" t="s">
        <v>7347</v>
      </c>
      <c r="C1282" s="11" t="s">
        <v>3799</v>
      </c>
      <c r="D1282" s="10" t="s">
        <v>4419</v>
      </c>
      <c r="E1282" s="10" t="s">
        <v>7348</v>
      </c>
      <c r="F1282" s="11" t="s">
        <v>7349</v>
      </c>
      <c r="G1282" s="10" t="s">
        <v>13</v>
      </c>
      <c r="H1282" s="12">
        <v>46262</v>
      </c>
      <c r="I1282" s="10" t="s">
        <v>3773</v>
      </c>
      <c r="J1282" s="10" t="str">
        <f>IFERROR(INDEX([1]Programas!$B$2:$B$50,MATCH(LEFT(I1282,3),[1]Programas!$A$2:$A$50,0)),"")</f>
        <v>E-Commerce, Emprendimi</v>
      </c>
      <c r="K1282" s="10" t="s">
        <v>807</v>
      </c>
    </row>
    <row r="1283" spans="1:11" x14ac:dyDescent="0.2">
      <c r="A1283" s="10">
        <v>1282</v>
      </c>
      <c r="B1283" s="10" t="s">
        <v>3802</v>
      </c>
      <c r="C1283" s="11" t="s">
        <v>3801</v>
      </c>
      <c r="D1283" s="10" t="s">
        <v>4419</v>
      </c>
      <c r="E1283" s="10" t="s">
        <v>7350</v>
      </c>
      <c r="F1283" s="11" t="s">
        <v>7351</v>
      </c>
      <c r="G1283" s="10" t="s">
        <v>13</v>
      </c>
      <c r="H1283" s="12">
        <v>46262</v>
      </c>
      <c r="I1283" s="10" t="s">
        <v>3773</v>
      </c>
      <c r="J1283" s="10" t="str">
        <f>IFERROR(INDEX([1]Programas!$B$2:$B$50,MATCH(LEFT(I1283,3),[1]Programas!$A$2:$A$50,0)),"")</f>
        <v>E-Commerce, Emprendimi</v>
      </c>
      <c r="K1283" s="10" t="s">
        <v>807</v>
      </c>
    </row>
    <row r="1284" spans="1:11" x14ac:dyDescent="0.2">
      <c r="A1284" s="10">
        <v>1283</v>
      </c>
      <c r="B1284" s="10" t="s">
        <v>7352</v>
      </c>
      <c r="C1284" s="11" t="s">
        <v>3803</v>
      </c>
      <c r="D1284" s="10" t="s">
        <v>4419</v>
      </c>
      <c r="E1284" s="10" t="s">
        <v>7353</v>
      </c>
      <c r="F1284" s="11" t="s">
        <v>7354</v>
      </c>
      <c r="G1284" s="10" t="s">
        <v>13</v>
      </c>
      <c r="H1284" s="12">
        <v>46262</v>
      </c>
      <c r="I1284" s="10" t="s">
        <v>3773</v>
      </c>
      <c r="J1284" s="10" t="str">
        <f>IFERROR(INDEX([1]Programas!$B$2:$B$50,MATCH(LEFT(I1284,3),[1]Programas!$A$2:$A$50,0)),"")</f>
        <v>E-Commerce, Emprendimi</v>
      </c>
      <c r="K1284" s="10" t="s">
        <v>807</v>
      </c>
    </row>
    <row r="1285" spans="1:11" x14ac:dyDescent="0.2">
      <c r="A1285" s="10">
        <v>1284</v>
      </c>
      <c r="B1285" s="10" t="s">
        <v>3806</v>
      </c>
      <c r="C1285" s="11" t="s">
        <v>3805</v>
      </c>
      <c r="D1285" s="10" t="s">
        <v>4419</v>
      </c>
      <c r="E1285" s="10" t="s">
        <v>7355</v>
      </c>
      <c r="F1285" s="11" t="s">
        <v>7356</v>
      </c>
      <c r="G1285" s="10" t="s">
        <v>13</v>
      </c>
      <c r="H1285" s="12">
        <v>46262</v>
      </c>
      <c r="I1285" s="10" t="s">
        <v>3773</v>
      </c>
      <c r="J1285" s="10" t="str">
        <f>IFERROR(INDEX([1]Programas!$B$2:$B$50,MATCH(LEFT(I1285,3),[1]Programas!$A$2:$A$50,0)),"")</f>
        <v>E-Commerce, Emprendimi</v>
      </c>
      <c r="K1285" s="10" t="s">
        <v>807</v>
      </c>
    </row>
    <row r="1286" spans="1:11" x14ac:dyDescent="0.2">
      <c r="A1286" s="10">
        <v>1285</v>
      </c>
      <c r="B1286" s="10" t="s">
        <v>3808</v>
      </c>
      <c r="C1286" s="11" t="s">
        <v>3807</v>
      </c>
      <c r="D1286" s="10" t="s">
        <v>4419</v>
      </c>
      <c r="E1286" s="10" t="s">
        <v>7357</v>
      </c>
      <c r="F1286" s="11" t="s">
        <v>7358</v>
      </c>
      <c r="G1286" s="10" t="s">
        <v>13</v>
      </c>
      <c r="H1286" s="12">
        <v>46262</v>
      </c>
      <c r="I1286" s="10" t="s">
        <v>3773</v>
      </c>
      <c r="J1286" s="10" t="str">
        <f>IFERROR(INDEX([1]Programas!$B$2:$B$50,MATCH(LEFT(I1286,3),[1]Programas!$A$2:$A$50,0)),"")</f>
        <v>E-Commerce, Emprendimi</v>
      </c>
      <c r="K1286" s="10" t="s">
        <v>807</v>
      </c>
    </row>
    <row r="1287" spans="1:11" x14ac:dyDescent="0.2">
      <c r="A1287" s="10">
        <v>1286</v>
      </c>
      <c r="B1287" s="10" t="s">
        <v>3810</v>
      </c>
      <c r="C1287" s="11" t="s">
        <v>3809</v>
      </c>
      <c r="D1287" s="10" t="s">
        <v>4419</v>
      </c>
      <c r="E1287" s="10" t="s">
        <v>7359</v>
      </c>
      <c r="F1287" s="11" t="s">
        <v>7360</v>
      </c>
      <c r="G1287" s="10" t="s">
        <v>13</v>
      </c>
      <c r="H1287" s="12">
        <v>46262</v>
      </c>
      <c r="I1287" s="10" t="s">
        <v>3773</v>
      </c>
      <c r="J1287" s="10" t="str">
        <f>IFERROR(INDEX([1]Programas!$B$2:$B$50,MATCH(LEFT(I1287,3),[1]Programas!$A$2:$A$50,0)),"")</f>
        <v>E-Commerce, Emprendimi</v>
      </c>
      <c r="K1287" s="10" t="s">
        <v>807</v>
      </c>
    </row>
    <row r="1288" spans="1:11" x14ac:dyDescent="0.2">
      <c r="A1288" s="10">
        <v>1287</v>
      </c>
      <c r="B1288" s="10" t="s">
        <v>3812</v>
      </c>
      <c r="C1288" s="11" t="s">
        <v>3811</v>
      </c>
      <c r="D1288" s="10" t="s">
        <v>4419</v>
      </c>
      <c r="E1288" s="10" t="s">
        <v>7361</v>
      </c>
      <c r="F1288" s="11" t="s">
        <v>7362</v>
      </c>
      <c r="G1288" s="10" t="s">
        <v>13</v>
      </c>
      <c r="H1288" s="12">
        <v>46262</v>
      </c>
      <c r="I1288" s="10" t="s">
        <v>3773</v>
      </c>
      <c r="J1288" s="10" t="str">
        <f>IFERROR(INDEX([1]Programas!$B$2:$B$50,MATCH(LEFT(I1288,3),[1]Programas!$A$2:$A$50,0)),"")</f>
        <v>E-Commerce, Emprendimi</v>
      </c>
      <c r="K1288" s="10" t="s">
        <v>807</v>
      </c>
    </row>
    <row r="1289" spans="1:11" x14ac:dyDescent="0.2">
      <c r="A1289" s="10">
        <v>1288</v>
      </c>
      <c r="B1289" s="10" t="s">
        <v>3814</v>
      </c>
      <c r="C1289" s="11" t="s">
        <v>3813</v>
      </c>
      <c r="D1289" s="10" t="s">
        <v>4419</v>
      </c>
      <c r="E1289" s="10" t="s">
        <v>7363</v>
      </c>
      <c r="F1289" s="11" t="s">
        <v>7364</v>
      </c>
      <c r="G1289" s="10" t="s">
        <v>13</v>
      </c>
      <c r="H1289" s="12">
        <v>46262</v>
      </c>
      <c r="I1289" s="10" t="s">
        <v>3773</v>
      </c>
      <c r="J1289" s="10" t="str">
        <f>IFERROR(INDEX([1]Programas!$B$2:$B$50,MATCH(LEFT(I1289,3),[1]Programas!$A$2:$A$50,0)),"")</f>
        <v>E-Commerce, Emprendimi</v>
      </c>
      <c r="K1289" s="10" t="s">
        <v>807</v>
      </c>
    </row>
    <row r="1290" spans="1:11" x14ac:dyDescent="0.2">
      <c r="A1290" s="10">
        <v>1289</v>
      </c>
      <c r="B1290" s="10" t="s">
        <v>3816</v>
      </c>
      <c r="C1290" s="11" t="s">
        <v>3815</v>
      </c>
      <c r="D1290" s="10" t="s">
        <v>4419</v>
      </c>
      <c r="E1290" s="10" t="s">
        <v>7365</v>
      </c>
      <c r="F1290" s="11" t="s">
        <v>7366</v>
      </c>
      <c r="G1290" s="10" t="s">
        <v>13</v>
      </c>
      <c r="H1290" s="12">
        <v>46262</v>
      </c>
      <c r="I1290" s="10" t="s">
        <v>3773</v>
      </c>
      <c r="J1290" s="10" t="str">
        <f>IFERROR(INDEX([1]Programas!$B$2:$B$50,MATCH(LEFT(I1290,3),[1]Programas!$A$2:$A$50,0)),"")</f>
        <v>E-Commerce, Emprendimi</v>
      </c>
      <c r="K1290" s="10" t="s">
        <v>807</v>
      </c>
    </row>
    <row r="1291" spans="1:11" x14ac:dyDescent="0.2">
      <c r="A1291" s="10">
        <v>1290</v>
      </c>
      <c r="B1291" s="10" t="s">
        <v>3818</v>
      </c>
      <c r="C1291" s="11" t="s">
        <v>3817</v>
      </c>
      <c r="D1291" s="10" t="s">
        <v>4419</v>
      </c>
      <c r="E1291" s="10" t="s">
        <v>7367</v>
      </c>
      <c r="F1291" s="11" t="s">
        <v>7368</v>
      </c>
      <c r="G1291" s="10" t="s">
        <v>13</v>
      </c>
      <c r="H1291" s="12">
        <v>46262</v>
      </c>
      <c r="I1291" s="10" t="s">
        <v>3773</v>
      </c>
      <c r="J1291" s="10" t="str">
        <f>IFERROR(INDEX([1]Programas!$B$2:$B$50,MATCH(LEFT(I1291,3),[1]Programas!$A$2:$A$50,0)),"")</f>
        <v>E-Commerce, Emprendimi</v>
      </c>
      <c r="K1291" s="10" t="s">
        <v>807</v>
      </c>
    </row>
    <row r="1292" spans="1:11" x14ac:dyDescent="0.2">
      <c r="A1292" s="10">
        <v>1291</v>
      </c>
      <c r="B1292" s="10" t="s">
        <v>3820</v>
      </c>
      <c r="C1292" s="11" t="s">
        <v>3819</v>
      </c>
      <c r="D1292" s="10" t="s">
        <v>4419</v>
      </c>
      <c r="E1292" s="10" t="s">
        <v>7369</v>
      </c>
      <c r="F1292" s="11" t="s">
        <v>7370</v>
      </c>
      <c r="G1292" s="10" t="s">
        <v>13</v>
      </c>
      <c r="H1292" s="12">
        <v>46262</v>
      </c>
      <c r="I1292" s="10" t="s">
        <v>3773</v>
      </c>
      <c r="J1292" s="10" t="str">
        <f>IFERROR(INDEX([1]Programas!$B$2:$B$50,MATCH(LEFT(I1292,3),[1]Programas!$A$2:$A$50,0)),"")</f>
        <v>E-Commerce, Emprendimi</v>
      </c>
      <c r="K1292" s="10" t="s">
        <v>807</v>
      </c>
    </row>
    <row r="1293" spans="1:11" x14ac:dyDescent="0.2">
      <c r="A1293" s="10">
        <v>1292</v>
      </c>
      <c r="B1293" s="10" t="s">
        <v>3822</v>
      </c>
      <c r="C1293" s="11" t="s">
        <v>3821</v>
      </c>
      <c r="D1293" s="10" t="s">
        <v>4419</v>
      </c>
      <c r="E1293" s="10" t="s">
        <v>7371</v>
      </c>
      <c r="F1293" s="11" t="s">
        <v>7372</v>
      </c>
      <c r="G1293" s="10" t="s">
        <v>13</v>
      </c>
      <c r="H1293" s="12">
        <v>46262</v>
      </c>
      <c r="I1293" s="10" t="s">
        <v>3773</v>
      </c>
      <c r="J1293" s="10" t="str">
        <f>IFERROR(INDEX([1]Programas!$B$2:$B$50,MATCH(LEFT(I1293,3),[1]Programas!$A$2:$A$50,0)),"")</f>
        <v>E-Commerce, Emprendimi</v>
      </c>
      <c r="K1293" s="10" t="s">
        <v>807</v>
      </c>
    </row>
    <row r="1294" spans="1:11" x14ac:dyDescent="0.2">
      <c r="A1294" s="10">
        <v>1293</v>
      </c>
      <c r="B1294" s="10" t="s">
        <v>3824</v>
      </c>
      <c r="C1294" s="11" t="s">
        <v>3823</v>
      </c>
      <c r="D1294" s="10" t="s">
        <v>4419</v>
      </c>
      <c r="E1294" s="10" t="s">
        <v>7373</v>
      </c>
      <c r="F1294" s="11" t="s">
        <v>7374</v>
      </c>
      <c r="G1294" s="10" t="s">
        <v>13</v>
      </c>
      <c r="H1294" s="12">
        <v>46263</v>
      </c>
      <c r="I1294" s="10" t="s">
        <v>3773</v>
      </c>
      <c r="J1294" s="10" t="str">
        <f>IFERROR(INDEX([1]Programas!$B$2:$B$50,MATCH(LEFT(I1294,3),[1]Programas!$A$2:$A$50,0)),"")</f>
        <v>E-Commerce, Emprendimi</v>
      </c>
      <c r="K1294" s="10" t="s">
        <v>807</v>
      </c>
    </row>
    <row r="1295" spans="1:11" x14ac:dyDescent="0.2">
      <c r="A1295" s="10">
        <v>1294</v>
      </c>
      <c r="B1295" s="10" t="s">
        <v>3826</v>
      </c>
      <c r="C1295" s="11" t="s">
        <v>3825</v>
      </c>
      <c r="D1295" s="10" t="s">
        <v>4419</v>
      </c>
      <c r="E1295" s="10" t="s">
        <v>7375</v>
      </c>
      <c r="F1295" s="11" t="s">
        <v>7376</v>
      </c>
      <c r="G1295" s="10" t="s">
        <v>13</v>
      </c>
      <c r="H1295" s="12">
        <v>46265</v>
      </c>
      <c r="I1295" s="10" t="s">
        <v>3773</v>
      </c>
      <c r="J1295" s="10" t="str">
        <f>IFERROR(INDEX([1]Programas!$B$2:$B$50,MATCH(LEFT(I1295,3),[1]Programas!$A$2:$A$50,0)),"")</f>
        <v>E-Commerce, Emprendimi</v>
      </c>
      <c r="K1295" s="10" t="s">
        <v>807</v>
      </c>
    </row>
    <row r="1296" spans="1:11" x14ac:dyDescent="0.2">
      <c r="A1296" s="10">
        <v>1295</v>
      </c>
      <c r="B1296" s="10" t="s">
        <v>3828</v>
      </c>
      <c r="C1296" s="11" t="s">
        <v>3827</v>
      </c>
      <c r="D1296" s="10" t="s">
        <v>4419</v>
      </c>
      <c r="E1296" s="10" t="s">
        <v>7377</v>
      </c>
      <c r="F1296" s="11" t="s">
        <v>7378</v>
      </c>
      <c r="G1296" s="10" t="s">
        <v>13</v>
      </c>
      <c r="H1296" s="12">
        <v>46265</v>
      </c>
      <c r="I1296" s="10" t="s">
        <v>3773</v>
      </c>
      <c r="J1296" s="10" t="str">
        <f>IFERROR(INDEX([1]Programas!$B$2:$B$50,MATCH(LEFT(I1296,3),[1]Programas!$A$2:$A$50,0)),"")</f>
        <v>E-Commerce, Emprendimi</v>
      </c>
      <c r="K1296" s="10" t="s">
        <v>807</v>
      </c>
    </row>
    <row r="1297" spans="1:11" x14ac:dyDescent="0.2">
      <c r="A1297" s="10">
        <v>1296</v>
      </c>
      <c r="B1297" s="10" t="s">
        <v>1577</v>
      </c>
      <c r="C1297" s="11" t="s">
        <v>1576</v>
      </c>
      <c r="D1297" s="10" t="s">
        <v>4419</v>
      </c>
      <c r="E1297" s="10" t="s">
        <v>7379</v>
      </c>
      <c r="F1297" s="11" t="s">
        <v>7380</v>
      </c>
      <c r="G1297" s="10" t="s">
        <v>13</v>
      </c>
      <c r="H1297" s="12">
        <v>46263</v>
      </c>
      <c r="I1297" s="10" t="s">
        <v>1579</v>
      </c>
      <c r="J1297" s="10" t="str">
        <f>IFERROR(INDEX([1]Programas!$B$2:$B$50,MATCH(LEFT(I1297,3),[1]Programas!$A$2:$A$50,0)),"")</f>
        <v>IA Aplicada y Automati</v>
      </c>
      <c r="K1297" s="10" t="s">
        <v>16</v>
      </c>
    </row>
    <row r="1298" spans="1:11" x14ac:dyDescent="0.2">
      <c r="A1298" s="10">
        <v>1297</v>
      </c>
      <c r="B1298" s="10" t="s">
        <v>1584</v>
      </c>
      <c r="C1298" s="11" t="s">
        <v>1583</v>
      </c>
      <c r="D1298" s="10" t="s">
        <v>4419</v>
      </c>
      <c r="E1298" s="10" t="s">
        <v>7381</v>
      </c>
      <c r="F1298" s="11" t="s">
        <v>7382</v>
      </c>
      <c r="G1298" s="10" t="s">
        <v>13</v>
      </c>
      <c r="H1298" s="12">
        <v>46263</v>
      </c>
      <c r="I1298" s="10" t="s">
        <v>1579</v>
      </c>
      <c r="J1298" s="10" t="str">
        <f>IFERROR(INDEX([1]Programas!$B$2:$B$50,MATCH(LEFT(I1298,3),[1]Programas!$A$2:$A$50,0)),"")</f>
        <v>IA Aplicada y Automati</v>
      </c>
      <c r="K1298" s="10" t="s">
        <v>16</v>
      </c>
    </row>
    <row r="1299" spans="1:11" x14ac:dyDescent="0.2">
      <c r="A1299" s="10">
        <v>1298</v>
      </c>
      <c r="B1299" s="10" t="s">
        <v>1587</v>
      </c>
      <c r="C1299" s="11" t="s">
        <v>1586</v>
      </c>
      <c r="D1299" s="10" t="s">
        <v>4419</v>
      </c>
      <c r="E1299" s="10" t="s">
        <v>7383</v>
      </c>
      <c r="F1299" s="11" t="s">
        <v>7384</v>
      </c>
      <c r="G1299" s="10" t="s">
        <v>13</v>
      </c>
      <c r="H1299" s="12">
        <v>46263</v>
      </c>
      <c r="I1299" s="10" t="s">
        <v>1579</v>
      </c>
      <c r="J1299" s="10" t="str">
        <f>IFERROR(INDEX([1]Programas!$B$2:$B$50,MATCH(LEFT(I1299,3),[1]Programas!$A$2:$A$50,0)),"")</f>
        <v>IA Aplicada y Automati</v>
      </c>
      <c r="K1299" s="10" t="s">
        <v>16</v>
      </c>
    </row>
    <row r="1300" spans="1:11" x14ac:dyDescent="0.2">
      <c r="A1300" s="10">
        <v>1299</v>
      </c>
      <c r="B1300" s="10" t="s">
        <v>1589</v>
      </c>
      <c r="C1300" s="11" t="s">
        <v>1588</v>
      </c>
      <c r="D1300" s="10" t="s">
        <v>4419</v>
      </c>
      <c r="E1300" s="10" t="s">
        <v>7385</v>
      </c>
      <c r="F1300" s="11" t="s">
        <v>7386</v>
      </c>
      <c r="G1300" s="10" t="s">
        <v>13</v>
      </c>
      <c r="H1300" s="12">
        <v>46263</v>
      </c>
      <c r="I1300" s="10" t="s">
        <v>1579</v>
      </c>
      <c r="J1300" s="10" t="str">
        <f>IFERROR(INDEX([1]Programas!$B$2:$B$50,MATCH(LEFT(I1300,3),[1]Programas!$A$2:$A$50,0)),"")</f>
        <v>IA Aplicada y Automati</v>
      </c>
      <c r="K1300" s="10" t="s">
        <v>16</v>
      </c>
    </row>
    <row r="1301" spans="1:11" x14ac:dyDescent="0.2">
      <c r="A1301" s="10">
        <v>1300</v>
      </c>
      <c r="B1301" s="10" t="s">
        <v>7387</v>
      </c>
      <c r="C1301" s="11" t="s">
        <v>1591</v>
      </c>
      <c r="D1301" s="10" t="s">
        <v>4419</v>
      </c>
      <c r="E1301" s="10" t="s">
        <v>7388</v>
      </c>
      <c r="F1301" s="11" t="s">
        <v>7389</v>
      </c>
      <c r="G1301" s="10" t="s">
        <v>13</v>
      </c>
      <c r="H1301" s="12">
        <v>46263</v>
      </c>
      <c r="I1301" s="10" t="s">
        <v>1579</v>
      </c>
      <c r="J1301" s="10" t="str">
        <f>IFERROR(INDEX([1]Programas!$B$2:$B$50,MATCH(LEFT(I1301,3),[1]Programas!$A$2:$A$50,0)),"")</f>
        <v>IA Aplicada y Automati</v>
      </c>
      <c r="K1301" s="10" t="s">
        <v>16</v>
      </c>
    </row>
    <row r="1302" spans="1:11" x14ac:dyDescent="0.2">
      <c r="A1302" s="10">
        <v>1301</v>
      </c>
      <c r="B1302" s="10" t="s">
        <v>1594</v>
      </c>
      <c r="C1302" s="11" t="s">
        <v>1593</v>
      </c>
      <c r="D1302" s="10" t="s">
        <v>4419</v>
      </c>
      <c r="E1302" s="10" t="s">
        <v>7390</v>
      </c>
      <c r="F1302" s="11" t="s">
        <v>7391</v>
      </c>
      <c r="G1302" s="10" t="s">
        <v>13</v>
      </c>
      <c r="H1302" s="12">
        <v>46263</v>
      </c>
      <c r="I1302" s="10" t="s">
        <v>1579</v>
      </c>
      <c r="J1302" s="10" t="str">
        <f>IFERROR(INDEX([1]Programas!$B$2:$B$50,MATCH(LEFT(I1302,3),[1]Programas!$A$2:$A$50,0)),"")</f>
        <v>IA Aplicada y Automati</v>
      </c>
      <c r="K1302" s="10" t="s">
        <v>16</v>
      </c>
    </row>
    <row r="1303" spans="1:11" x14ac:dyDescent="0.2">
      <c r="A1303" s="10">
        <v>1302</v>
      </c>
      <c r="B1303" s="10" t="s">
        <v>1596</v>
      </c>
      <c r="C1303" s="11" t="s">
        <v>1595</v>
      </c>
      <c r="D1303" s="10" t="s">
        <v>4419</v>
      </c>
      <c r="E1303" s="10" t="s">
        <v>7392</v>
      </c>
      <c r="F1303" s="11" t="s">
        <v>7393</v>
      </c>
      <c r="G1303" s="10" t="s">
        <v>13</v>
      </c>
      <c r="H1303" s="12">
        <v>46263</v>
      </c>
      <c r="I1303" s="10" t="s">
        <v>1579</v>
      </c>
      <c r="J1303" s="10" t="str">
        <f>IFERROR(INDEX([1]Programas!$B$2:$B$50,MATCH(LEFT(I1303,3),[1]Programas!$A$2:$A$50,0)),"")</f>
        <v>IA Aplicada y Automati</v>
      </c>
      <c r="K1303" s="10" t="s">
        <v>16</v>
      </c>
    </row>
    <row r="1304" spans="1:11" x14ac:dyDescent="0.2">
      <c r="A1304" s="10">
        <v>1303</v>
      </c>
      <c r="B1304" s="10" t="s">
        <v>1598</v>
      </c>
      <c r="C1304" s="11" t="s">
        <v>1597</v>
      </c>
      <c r="D1304" s="10" t="s">
        <v>4419</v>
      </c>
      <c r="E1304" s="10" t="s">
        <v>7394</v>
      </c>
      <c r="F1304" s="11" t="s">
        <v>7395</v>
      </c>
      <c r="G1304" s="10" t="s">
        <v>13</v>
      </c>
      <c r="H1304" s="12">
        <v>46263</v>
      </c>
      <c r="I1304" s="10" t="s">
        <v>1579</v>
      </c>
      <c r="J1304" s="10" t="str">
        <f>IFERROR(INDEX([1]Programas!$B$2:$B$50,MATCH(LEFT(I1304,3),[1]Programas!$A$2:$A$50,0)),"")</f>
        <v>IA Aplicada y Automati</v>
      </c>
      <c r="K1304" s="10" t="s">
        <v>16</v>
      </c>
    </row>
    <row r="1305" spans="1:11" x14ac:dyDescent="0.2">
      <c r="A1305" s="10">
        <v>1304</v>
      </c>
      <c r="B1305" s="10" t="s">
        <v>1600</v>
      </c>
      <c r="C1305" s="11" t="s">
        <v>1599</v>
      </c>
      <c r="D1305" s="10" t="s">
        <v>4419</v>
      </c>
      <c r="E1305" s="10" t="s">
        <v>7396</v>
      </c>
      <c r="F1305" s="11" t="s">
        <v>7397</v>
      </c>
      <c r="G1305" s="10" t="s">
        <v>13</v>
      </c>
      <c r="H1305" s="12">
        <v>46263</v>
      </c>
      <c r="I1305" s="10" t="s">
        <v>1579</v>
      </c>
      <c r="J1305" s="10" t="str">
        <f>IFERROR(INDEX([1]Programas!$B$2:$B$50,MATCH(LEFT(I1305,3),[1]Programas!$A$2:$A$50,0)),"")</f>
        <v>IA Aplicada y Automati</v>
      </c>
      <c r="K1305" s="10" t="s">
        <v>16</v>
      </c>
    </row>
    <row r="1306" spans="1:11" x14ac:dyDescent="0.2">
      <c r="A1306" s="10">
        <v>1305</v>
      </c>
      <c r="B1306" s="10" t="s">
        <v>1602</v>
      </c>
      <c r="C1306" s="11" t="s">
        <v>1601</v>
      </c>
      <c r="D1306" s="10" t="s">
        <v>4419</v>
      </c>
      <c r="E1306" s="10" t="s">
        <v>7398</v>
      </c>
      <c r="F1306" s="11" t="s">
        <v>7399</v>
      </c>
      <c r="G1306" s="10" t="s">
        <v>13</v>
      </c>
      <c r="H1306" s="12">
        <v>46263</v>
      </c>
      <c r="I1306" s="10" t="s">
        <v>1579</v>
      </c>
      <c r="J1306" s="10" t="str">
        <f>IFERROR(INDEX([1]Programas!$B$2:$B$50,MATCH(LEFT(I1306,3),[1]Programas!$A$2:$A$50,0)),"")</f>
        <v>IA Aplicada y Automati</v>
      </c>
      <c r="K1306" s="10" t="s">
        <v>16</v>
      </c>
    </row>
    <row r="1307" spans="1:11" x14ac:dyDescent="0.2">
      <c r="A1307" s="10">
        <v>1306</v>
      </c>
      <c r="B1307" s="10" t="s">
        <v>1604</v>
      </c>
      <c r="C1307" s="11" t="s">
        <v>1603</v>
      </c>
      <c r="D1307" s="10" t="s">
        <v>4419</v>
      </c>
      <c r="E1307" s="10" t="s">
        <v>7400</v>
      </c>
      <c r="F1307" s="11" t="s">
        <v>7401</v>
      </c>
      <c r="G1307" s="10" t="s">
        <v>13</v>
      </c>
      <c r="H1307" s="12">
        <v>46263</v>
      </c>
      <c r="I1307" s="10" t="s">
        <v>1579</v>
      </c>
      <c r="J1307" s="10" t="str">
        <f>IFERROR(INDEX([1]Programas!$B$2:$B$50,MATCH(LEFT(I1307,3),[1]Programas!$A$2:$A$50,0)),"")</f>
        <v>IA Aplicada y Automati</v>
      </c>
      <c r="K1307" s="10" t="s">
        <v>16</v>
      </c>
    </row>
    <row r="1308" spans="1:11" x14ac:dyDescent="0.2">
      <c r="A1308" s="10">
        <v>1307</v>
      </c>
      <c r="B1308" s="10" t="s">
        <v>7402</v>
      </c>
      <c r="C1308" s="11" t="s">
        <v>1605</v>
      </c>
      <c r="D1308" s="10" t="s">
        <v>4419</v>
      </c>
      <c r="E1308" s="10" t="s">
        <v>7403</v>
      </c>
      <c r="F1308" s="11" t="s">
        <v>7404</v>
      </c>
      <c r="G1308" s="10" t="s">
        <v>13</v>
      </c>
      <c r="H1308" s="12">
        <v>46263</v>
      </c>
      <c r="I1308" s="10" t="s">
        <v>1579</v>
      </c>
      <c r="J1308" s="10" t="str">
        <f>IFERROR(INDEX([1]Programas!$B$2:$B$50,MATCH(LEFT(I1308,3),[1]Programas!$A$2:$A$50,0)),"")</f>
        <v>IA Aplicada y Automati</v>
      </c>
      <c r="K1308" s="10" t="s">
        <v>16</v>
      </c>
    </row>
    <row r="1309" spans="1:11" x14ac:dyDescent="0.2">
      <c r="A1309" s="10">
        <v>1308</v>
      </c>
      <c r="B1309" s="10" t="s">
        <v>1608</v>
      </c>
      <c r="C1309" s="11" t="s">
        <v>1607</v>
      </c>
      <c r="D1309" s="10" t="s">
        <v>4419</v>
      </c>
      <c r="E1309" s="10" t="s">
        <v>7405</v>
      </c>
      <c r="F1309" s="11" t="s">
        <v>7406</v>
      </c>
      <c r="G1309" s="10" t="s">
        <v>13</v>
      </c>
      <c r="H1309" s="12">
        <v>46263</v>
      </c>
      <c r="I1309" s="10" t="s">
        <v>1579</v>
      </c>
      <c r="J1309" s="10" t="str">
        <f>IFERROR(INDEX([1]Programas!$B$2:$B$50,MATCH(LEFT(I1309,3),[1]Programas!$A$2:$A$50,0)),"")</f>
        <v>IA Aplicada y Automati</v>
      </c>
      <c r="K1309" s="10" t="s">
        <v>16</v>
      </c>
    </row>
    <row r="1310" spans="1:11" x14ac:dyDescent="0.2">
      <c r="A1310" s="10">
        <v>1309</v>
      </c>
      <c r="B1310" s="10" t="s">
        <v>7407</v>
      </c>
      <c r="C1310" s="11" t="s">
        <v>1609</v>
      </c>
      <c r="D1310" s="10" t="s">
        <v>4419</v>
      </c>
      <c r="E1310" s="10" t="s">
        <v>7408</v>
      </c>
      <c r="F1310" s="11" t="s">
        <v>7409</v>
      </c>
      <c r="G1310" s="10" t="s">
        <v>13</v>
      </c>
      <c r="H1310" s="12">
        <v>46263</v>
      </c>
      <c r="I1310" s="10" t="s">
        <v>1579</v>
      </c>
      <c r="J1310" s="10" t="str">
        <f>IFERROR(INDEX([1]Programas!$B$2:$B$50,MATCH(LEFT(I1310,3),[1]Programas!$A$2:$A$50,0)),"")</f>
        <v>IA Aplicada y Automati</v>
      </c>
      <c r="K1310" s="10" t="s">
        <v>16</v>
      </c>
    </row>
    <row r="1311" spans="1:11" x14ac:dyDescent="0.2">
      <c r="A1311" s="10">
        <v>1310</v>
      </c>
      <c r="B1311" s="10" t="s">
        <v>7410</v>
      </c>
      <c r="C1311" s="11" t="s">
        <v>1611</v>
      </c>
      <c r="D1311" s="10" t="s">
        <v>4419</v>
      </c>
      <c r="E1311" s="10" t="s">
        <v>7411</v>
      </c>
      <c r="F1311" s="11" t="s">
        <v>7412</v>
      </c>
      <c r="G1311" s="10" t="s">
        <v>13</v>
      </c>
      <c r="H1311" s="12">
        <v>46263</v>
      </c>
      <c r="I1311" s="10" t="s">
        <v>1579</v>
      </c>
      <c r="J1311" s="10" t="str">
        <f>IFERROR(INDEX([1]Programas!$B$2:$B$50,MATCH(LEFT(I1311,3),[1]Programas!$A$2:$A$50,0)),"")</f>
        <v>IA Aplicada y Automati</v>
      </c>
      <c r="K1311" s="10" t="s">
        <v>16</v>
      </c>
    </row>
    <row r="1312" spans="1:11" x14ac:dyDescent="0.2">
      <c r="A1312" s="10">
        <v>1311</v>
      </c>
      <c r="B1312" s="10" t="s">
        <v>7413</v>
      </c>
      <c r="C1312" s="11" t="s">
        <v>1613</v>
      </c>
      <c r="D1312" s="10" t="s">
        <v>4419</v>
      </c>
      <c r="E1312" s="10" t="s">
        <v>7414</v>
      </c>
      <c r="F1312" s="11" t="s">
        <v>7415</v>
      </c>
      <c r="G1312" s="10" t="s">
        <v>13</v>
      </c>
      <c r="H1312" s="12">
        <v>46263</v>
      </c>
      <c r="I1312" s="10" t="s">
        <v>1579</v>
      </c>
      <c r="J1312" s="10" t="str">
        <f>IFERROR(INDEX([1]Programas!$B$2:$B$50,MATCH(LEFT(I1312,3),[1]Programas!$A$2:$A$50,0)),"")</f>
        <v>IA Aplicada y Automati</v>
      </c>
      <c r="K1312" s="10" t="s">
        <v>16</v>
      </c>
    </row>
    <row r="1313" spans="1:11" x14ac:dyDescent="0.2">
      <c r="A1313" s="10">
        <v>1312</v>
      </c>
      <c r="B1313" s="10" t="s">
        <v>7416</v>
      </c>
      <c r="C1313" s="11" t="s">
        <v>1615</v>
      </c>
      <c r="D1313" s="10" t="s">
        <v>4419</v>
      </c>
      <c r="E1313" s="10" t="s">
        <v>7417</v>
      </c>
      <c r="F1313" s="11" t="s">
        <v>7418</v>
      </c>
      <c r="G1313" s="10" t="s">
        <v>13</v>
      </c>
      <c r="H1313" s="12">
        <v>46263</v>
      </c>
      <c r="I1313" s="10" t="s">
        <v>1579</v>
      </c>
      <c r="J1313" s="10" t="str">
        <f>IFERROR(INDEX([1]Programas!$B$2:$B$50,MATCH(LEFT(I1313,3),[1]Programas!$A$2:$A$50,0)),"")</f>
        <v>IA Aplicada y Automati</v>
      </c>
      <c r="K1313" s="10" t="s">
        <v>16</v>
      </c>
    </row>
    <row r="1314" spans="1:11" x14ac:dyDescent="0.2">
      <c r="A1314" s="10">
        <v>1313</v>
      </c>
      <c r="B1314" s="10" t="s">
        <v>1618</v>
      </c>
      <c r="C1314" s="11" t="s">
        <v>1617</v>
      </c>
      <c r="D1314" s="10" t="s">
        <v>4419</v>
      </c>
      <c r="E1314" s="10" t="s">
        <v>7419</v>
      </c>
      <c r="F1314" s="11" t="s">
        <v>7420</v>
      </c>
      <c r="G1314" s="10" t="s">
        <v>13</v>
      </c>
      <c r="H1314" s="12">
        <v>46263</v>
      </c>
      <c r="I1314" s="10" t="s">
        <v>1579</v>
      </c>
      <c r="J1314" s="10" t="str">
        <f>IFERROR(INDEX([1]Programas!$B$2:$B$50,MATCH(LEFT(I1314,3),[1]Programas!$A$2:$A$50,0)),"")</f>
        <v>IA Aplicada y Automati</v>
      </c>
      <c r="K1314" s="10" t="s">
        <v>16</v>
      </c>
    </row>
    <row r="1315" spans="1:11" x14ac:dyDescent="0.2">
      <c r="A1315" s="10">
        <v>1314</v>
      </c>
      <c r="B1315" s="10" t="s">
        <v>1620</v>
      </c>
      <c r="C1315" s="11" t="s">
        <v>1619</v>
      </c>
      <c r="D1315" s="10" t="s">
        <v>4419</v>
      </c>
      <c r="E1315" s="10" t="s">
        <v>7421</v>
      </c>
      <c r="F1315" s="11" t="s">
        <v>7422</v>
      </c>
      <c r="G1315" s="10" t="s">
        <v>13</v>
      </c>
      <c r="H1315" s="12">
        <v>46263</v>
      </c>
      <c r="I1315" s="10" t="s">
        <v>1579</v>
      </c>
      <c r="J1315" s="10" t="str">
        <f>IFERROR(INDEX([1]Programas!$B$2:$B$50,MATCH(LEFT(I1315,3),[1]Programas!$A$2:$A$50,0)),"")</f>
        <v>IA Aplicada y Automati</v>
      </c>
      <c r="K1315" s="10" t="s">
        <v>16</v>
      </c>
    </row>
    <row r="1316" spans="1:11" x14ac:dyDescent="0.2">
      <c r="A1316" s="10">
        <v>1315</v>
      </c>
      <c r="B1316" s="10" t="s">
        <v>1622</v>
      </c>
      <c r="C1316" s="11" t="s">
        <v>1621</v>
      </c>
      <c r="D1316" s="10" t="s">
        <v>4419</v>
      </c>
      <c r="E1316" s="10" t="s">
        <v>7423</v>
      </c>
      <c r="F1316" s="11" t="s">
        <v>7424</v>
      </c>
      <c r="G1316" s="10" t="s">
        <v>13</v>
      </c>
      <c r="H1316" s="12">
        <v>46263</v>
      </c>
      <c r="I1316" s="10" t="s">
        <v>1579</v>
      </c>
      <c r="J1316" s="10" t="str">
        <f>IFERROR(INDEX([1]Programas!$B$2:$B$50,MATCH(LEFT(I1316,3),[1]Programas!$A$2:$A$50,0)),"")</f>
        <v>IA Aplicada y Automati</v>
      </c>
      <c r="K1316" s="10" t="s">
        <v>16</v>
      </c>
    </row>
    <row r="1317" spans="1:11" x14ac:dyDescent="0.2">
      <c r="A1317" s="10">
        <v>1316</v>
      </c>
      <c r="B1317" s="10" t="s">
        <v>7425</v>
      </c>
      <c r="C1317" s="11" t="s">
        <v>1623</v>
      </c>
      <c r="D1317" s="10" t="s">
        <v>4419</v>
      </c>
      <c r="E1317" s="10" t="s">
        <v>7426</v>
      </c>
      <c r="F1317" s="11" t="s">
        <v>7427</v>
      </c>
      <c r="G1317" s="10" t="s">
        <v>13</v>
      </c>
      <c r="H1317" s="12">
        <v>46263</v>
      </c>
      <c r="I1317" s="10" t="s">
        <v>1579</v>
      </c>
      <c r="J1317" s="10" t="str">
        <f>IFERROR(INDEX([1]Programas!$B$2:$B$50,MATCH(LEFT(I1317,3),[1]Programas!$A$2:$A$50,0)),"")</f>
        <v>IA Aplicada y Automati</v>
      </c>
      <c r="K1317" s="10" t="s">
        <v>16</v>
      </c>
    </row>
    <row r="1318" spans="1:11" x14ac:dyDescent="0.2">
      <c r="A1318" s="10">
        <v>1317</v>
      </c>
      <c r="B1318" s="10" t="s">
        <v>1628</v>
      </c>
      <c r="C1318" s="11" t="s">
        <v>1627</v>
      </c>
      <c r="D1318" s="10" t="s">
        <v>4419</v>
      </c>
      <c r="E1318" s="10" t="s">
        <v>7428</v>
      </c>
      <c r="F1318" s="11" t="s">
        <v>7429</v>
      </c>
      <c r="G1318" s="10" t="s">
        <v>13</v>
      </c>
      <c r="H1318" s="12">
        <v>46263</v>
      </c>
      <c r="I1318" s="10" t="s">
        <v>1579</v>
      </c>
      <c r="J1318" s="10" t="str">
        <f>IFERROR(INDEX([1]Programas!$B$2:$B$50,MATCH(LEFT(I1318,3),[1]Programas!$A$2:$A$50,0)),"")</f>
        <v>IA Aplicada y Automati</v>
      </c>
      <c r="K1318" s="10" t="s">
        <v>16</v>
      </c>
    </row>
    <row r="1319" spans="1:11" x14ac:dyDescent="0.2">
      <c r="A1319" s="10">
        <v>1318</v>
      </c>
      <c r="B1319" s="10" t="s">
        <v>1630</v>
      </c>
      <c r="C1319" s="11" t="s">
        <v>1629</v>
      </c>
      <c r="D1319" s="10" t="s">
        <v>4419</v>
      </c>
      <c r="E1319" s="10" t="s">
        <v>7430</v>
      </c>
      <c r="F1319" s="11" t="s">
        <v>7431</v>
      </c>
      <c r="G1319" s="10" t="s">
        <v>13</v>
      </c>
      <c r="H1319" s="12">
        <v>46263</v>
      </c>
      <c r="I1319" s="10" t="s">
        <v>1579</v>
      </c>
      <c r="J1319" s="10" t="str">
        <f>IFERROR(INDEX([1]Programas!$B$2:$B$50,MATCH(LEFT(I1319,3),[1]Programas!$A$2:$A$50,0)),"")</f>
        <v>IA Aplicada y Automati</v>
      </c>
      <c r="K1319" s="10" t="s">
        <v>16</v>
      </c>
    </row>
    <row r="1320" spans="1:11" x14ac:dyDescent="0.2">
      <c r="A1320" s="10">
        <v>1319</v>
      </c>
      <c r="B1320" s="10" t="s">
        <v>1632</v>
      </c>
      <c r="C1320" s="11" t="s">
        <v>1631</v>
      </c>
      <c r="D1320" s="10" t="s">
        <v>4419</v>
      </c>
      <c r="E1320" s="10" t="s">
        <v>7432</v>
      </c>
      <c r="F1320" s="11" t="s">
        <v>7433</v>
      </c>
      <c r="G1320" s="10" t="s">
        <v>13</v>
      </c>
      <c r="H1320" s="12">
        <v>46263</v>
      </c>
      <c r="I1320" s="10" t="s">
        <v>1579</v>
      </c>
      <c r="J1320" s="10" t="str">
        <f>IFERROR(INDEX([1]Programas!$B$2:$B$50,MATCH(LEFT(I1320,3),[1]Programas!$A$2:$A$50,0)),"")</f>
        <v>IA Aplicada y Automati</v>
      </c>
      <c r="K1320" s="10" t="s">
        <v>16</v>
      </c>
    </row>
    <row r="1321" spans="1:11" x14ac:dyDescent="0.2">
      <c r="A1321" s="10">
        <v>1320</v>
      </c>
      <c r="B1321" s="10" t="s">
        <v>7434</v>
      </c>
      <c r="C1321" s="11" t="s">
        <v>1633</v>
      </c>
      <c r="D1321" s="10" t="s">
        <v>4419</v>
      </c>
      <c r="E1321" s="10" t="s">
        <v>7435</v>
      </c>
      <c r="F1321" s="11" t="s">
        <v>7436</v>
      </c>
      <c r="G1321" s="10" t="s">
        <v>13</v>
      </c>
      <c r="H1321" s="12">
        <v>46263</v>
      </c>
      <c r="I1321" s="10" t="s">
        <v>1579</v>
      </c>
      <c r="J1321" s="10" t="str">
        <f>IFERROR(INDEX([1]Programas!$B$2:$B$50,MATCH(LEFT(I1321,3),[1]Programas!$A$2:$A$50,0)),"")</f>
        <v>IA Aplicada y Automati</v>
      </c>
      <c r="K1321" s="10" t="s">
        <v>16</v>
      </c>
    </row>
    <row r="1322" spans="1:11" x14ac:dyDescent="0.2">
      <c r="A1322" s="10">
        <v>1321</v>
      </c>
      <c r="B1322" s="10" t="s">
        <v>1636</v>
      </c>
      <c r="C1322" s="11" t="s">
        <v>1635</v>
      </c>
      <c r="D1322" s="10" t="s">
        <v>4419</v>
      </c>
      <c r="E1322" s="10" t="s">
        <v>7437</v>
      </c>
      <c r="F1322" s="11" t="s">
        <v>7438</v>
      </c>
      <c r="G1322" s="10" t="s">
        <v>13</v>
      </c>
      <c r="H1322" s="12">
        <v>46263</v>
      </c>
      <c r="I1322" s="10" t="s">
        <v>1579</v>
      </c>
      <c r="J1322" s="10" t="str">
        <f>IFERROR(INDEX([1]Programas!$B$2:$B$50,MATCH(LEFT(I1322,3),[1]Programas!$A$2:$A$50,0)),"")</f>
        <v>IA Aplicada y Automati</v>
      </c>
      <c r="K1322" s="10" t="s">
        <v>16</v>
      </c>
    </row>
    <row r="1323" spans="1:11" x14ac:dyDescent="0.2">
      <c r="A1323" s="10">
        <v>1322</v>
      </c>
      <c r="B1323" s="10" t="s">
        <v>1638</v>
      </c>
      <c r="C1323" s="11" t="s">
        <v>1637</v>
      </c>
      <c r="D1323" s="10" t="s">
        <v>4419</v>
      </c>
      <c r="E1323" s="10" t="s">
        <v>7439</v>
      </c>
      <c r="F1323" s="11" t="s">
        <v>7440</v>
      </c>
      <c r="G1323" s="10" t="s">
        <v>13</v>
      </c>
      <c r="H1323" s="12">
        <v>46263</v>
      </c>
      <c r="I1323" s="10" t="s">
        <v>1579</v>
      </c>
      <c r="J1323" s="10" t="str">
        <f>IFERROR(INDEX([1]Programas!$B$2:$B$50,MATCH(LEFT(I1323,3),[1]Programas!$A$2:$A$50,0)),"")</f>
        <v>IA Aplicada y Automati</v>
      </c>
      <c r="K1323" s="10" t="s">
        <v>16</v>
      </c>
    </row>
    <row r="1324" spans="1:11" x14ac:dyDescent="0.2">
      <c r="A1324" s="10">
        <v>1323</v>
      </c>
      <c r="B1324" s="10" t="s">
        <v>1640</v>
      </c>
      <c r="C1324" s="11" t="s">
        <v>1639</v>
      </c>
      <c r="D1324" s="10" t="s">
        <v>4419</v>
      </c>
      <c r="E1324" s="10" t="s">
        <v>7441</v>
      </c>
      <c r="F1324" s="11" t="s">
        <v>7442</v>
      </c>
      <c r="G1324" s="10" t="s">
        <v>13</v>
      </c>
      <c r="H1324" s="12">
        <v>46263</v>
      </c>
      <c r="I1324" s="10" t="s">
        <v>1579</v>
      </c>
      <c r="J1324" s="10" t="str">
        <f>IFERROR(INDEX([1]Programas!$B$2:$B$50,MATCH(LEFT(I1324,3),[1]Programas!$A$2:$A$50,0)),"")</f>
        <v>IA Aplicada y Automati</v>
      </c>
      <c r="K1324" s="10" t="s">
        <v>16</v>
      </c>
    </row>
    <row r="1325" spans="1:11" x14ac:dyDescent="0.2">
      <c r="A1325" s="10">
        <v>1324</v>
      </c>
      <c r="B1325" s="10" t="s">
        <v>1642</v>
      </c>
      <c r="C1325" s="11" t="s">
        <v>1641</v>
      </c>
      <c r="D1325" s="10" t="s">
        <v>4419</v>
      </c>
      <c r="E1325" s="10" t="s">
        <v>7443</v>
      </c>
      <c r="F1325" s="11" t="s">
        <v>7444</v>
      </c>
      <c r="G1325" s="10" t="s">
        <v>13</v>
      </c>
      <c r="H1325" s="12">
        <v>46263</v>
      </c>
      <c r="I1325" s="10" t="s">
        <v>1579</v>
      </c>
      <c r="J1325" s="10" t="str">
        <f>IFERROR(INDEX([1]Programas!$B$2:$B$50,MATCH(LEFT(I1325,3),[1]Programas!$A$2:$A$50,0)),"")</f>
        <v>IA Aplicada y Automati</v>
      </c>
      <c r="K1325" s="10" t="s">
        <v>16</v>
      </c>
    </row>
    <row r="1326" spans="1:11" x14ac:dyDescent="0.2">
      <c r="A1326" s="10">
        <v>1325</v>
      </c>
      <c r="B1326" s="10" t="s">
        <v>1644</v>
      </c>
      <c r="C1326" s="11" t="s">
        <v>1643</v>
      </c>
      <c r="D1326" s="10" t="s">
        <v>4419</v>
      </c>
      <c r="E1326" s="10" t="s">
        <v>7445</v>
      </c>
      <c r="F1326" s="11" t="s">
        <v>7446</v>
      </c>
      <c r="G1326" s="10" t="s">
        <v>13</v>
      </c>
      <c r="H1326" s="12">
        <v>46263</v>
      </c>
      <c r="I1326" s="10" t="s">
        <v>1579</v>
      </c>
      <c r="J1326" s="10" t="str">
        <f>IFERROR(INDEX([1]Programas!$B$2:$B$50,MATCH(LEFT(I1326,3),[1]Programas!$A$2:$A$50,0)),"")</f>
        <v>IA Aplicada y Automati</v>
      </c>
      <c r="K1326" s="10" t="s">
        <v>16</v>
      </c>
    </row>
    <row r="1327" spans="1:11" x14ac:dyDescent="0.2">
      <c r="A1327" s="10">
        <v>1326</v>
      </c>
      <c r="B1327" s="10" t="s">
        <v>1646</v>
      </c>
      <c r="C1327" s="11" t="s">
        <v>1645</v>
      </c>
      <c r="D1327" s="10" t="s">
        <v>4419</v>
      </c>
      <c r="E1327" s="10" t="s">
        <v>7447</v>
      </c>
      <c r="F1327" s="11" t="s">
        <v>7448</v>
      </c>
      <c r="G1327" s="10" t="s">
        <v>13</v>
      </c>
      <c r="H1327" s="12">
        <v>46263</v>
      </c>
      <c r="I1327" s="10" t="s">
        <v>1579</v>
      </c>
      <c r="J1327" s="10" t="str">
        <f>IFERROR(INDEX([1]Programas!$B$2:$B$50,MATCH(LEFT(I1327,3),[1]Programas!$A$2:$A$50,0)),"")</f>
        <v>IA Aplicada y Automati</v>
      </c>
      <c r="K1327" s="10" t="s">
        <v>16</v>
      </c>
    </row>
    <row r="1328" spans="1:11" x14ac:dyDescent="0.2">
      <c r="A1328" s="10">
        <v>1327</v>
      </c>
      <c r="B1328" s="10" t="s">
        <v>1159</v>
      </c>
      <c r="C1328" s="11" t="s">
        <v>1158</v>
      </c>
      <c r="D1328" s="10" t="s">
        <v>4419</v>
      </c>
      <c r="E1328" s="10" t="s">
        <v>7449</v>
      </c>
      <c r="F1328" s="11" t="s">
        <v>7450</v>
      </c>
      <c r="G1328" s="10" t="s">
        <v>13</v>
      </c>
      <c r="H1328" s="12">
        <v>46271</v>
      </c>
      <c r="I1328" s="10" t="s">
        <v>1579</v>
      </c>
      <c r="J1328" s="10" t="str">
        <f>IFERROR(INDEX([1]Programas!$B$2:$B$50,MATCH(LEFT(I1328,3),[1]Programas!$A$2:$A$50,0)),"")</f>
        <v>IA Aplicada y Automati</v>
      </c>
      <c r="K1328" s="10" t="s">
        <v>16</v>
      </c>
    </row>
    <row r="1329" spans="1:11" x14ac:dyDescent="0.2">
      <c r="A1329" s="10">
        <v>1328</v>
      </c>
      <c r="B1329" s="10" t="s">
        <v>48</v>
      </c>
      <c r="C1329" s="11" t="s">
        <v>47</v>
      </c>
      <c r="D1329" s="10" t="s">
        <v>4419</v>
      </c>
      <c r="E1329" s="10" t="s">
        <v>7451</v>
      </c>
      <c r="F1329" s="11" t="s">
        <v>7452</v>
      </c>
      <c r="G1329" s="10" t="s">
        <v>13</v>
      </c>
      <c r="H1329" s="12">
        <v>46274</v>
      </c>
      <c r="I1329" s="10" t="s">
        <v>1579</v>
      </c>
      <c r="J1329" s="10" t="str">
        <f>IFERROR(INDEX([1]Programas!$B$2:$B$50,MATCH(LEFT(I1329,3),[1]Programas!$A$2:$A$50,0)),"")</f>
        <v>IA Aplicada y Automati</v>
      </c>
      <c r="K1329" s="10" t="s">
        <v>16</v>
      </c>
    </row>
    <row r="1330" spans="1:11" x14ac:dyDescent="0.2">
      <c r="A1330" s="10">
        <v>1329</v>
      </c>
      <c r="B1330" s="10" t="s">
        <v>1651</v>
      </c>
      <c r="C1330" s="11" t="s">
        <v>1650</v>
      </c>
      <c r="D1330" s="10" t="s">
        <v>4419</v>
      </c>
      <c r="E1330" s="10" t="s">
        <v>7453</v>
      </c>
      <c r="F1330" s="11" t="s">
        <v>7454</v>
      </c>
      <c r="G1330" s="10" t="s">
        <v>13</v>
      </c>
      <c r="H1330" s="12">
        <v>46263</v>
      </c>
      <c r="I1330" s="10" t="s">
        <v>1653</v>
      </c>
      <c r="J1330" s="10" t="str">
        <f>IFERROR(INDEX([1]Programas!$B$2:$B$50,MATCH(LEFT(I1330,3),[1]Programas!$A$2:$A$50,0)),"")</f>
        <v>IA Aplicada y Automati</v>
      </c>
      <c r="K1330" s="10" t="s">
        <v>16</v>
      </c>
    </row>
    <row r="1331" spans="1:11" x14ac:dyDescent="0.2">
      <c r="A1331" s="10">
        <v>1330</v>
      </c>
      <c r="B1331" s="10" t="s">
        <v>7455</v>
      </c>
      <c r="C1331" s="11" t="s">
        <v>1656</v>
      </c>
      <c r="D1331" s="10" t="s">
        <v>4419</v>
      </c>
      <c r="E1331" s="10" t="s">
        <v>7456</v>
      </c>
      <c r="F1331" s="11" t="s">
        <v>7457</v>
      </c>
      <c r="G1331" s="10" t="s">
        <v>13</v>
      </c>
      <c r="H1331" s="12">
        <v>46263</v>
      </c>
      <c r="I1331" s="10" t="s">
        <v>1653</v>
      </c>
      <c r="J1331" s="10" t="str">
        <f>IFERROR(INDEX([1]Programas!$B$2:$B$50,MATCH(LEFT(I1331,3),[1]Programas!$A$2:$A$50,0)),"")</f>
        <v>IA Aplicada y Automati</v>
      </c>
      <c r="K1331" s="10" t="s">
        <v>16</v>
      </c>
    </row>
    <row r="1332" spans="1:11" x14ac:dyDescent="0.2">
      <c r="A1332" s="10">
        <v>1331</v>
      </c>
      <c r="B1332" s="10" t="s">
        <v>1659</v>
      </c>
      <c r="C1332" s="11" t="s">
        <v>1658</v>
      </c>
      <c r="D1332" s="10" t="s">
        <v>4419</v>
      </c>
      <c r="E1332" s="10" t="s">
        <v>7458</v>
      </c>
      <c r="F1332" s="11" t="s">
        <v>7459</v>
      </c>
      <c r="G1332" s="10" t="s">
        <v>13</v>
      </c>
      <c r="H1332" s="12">
        <v>46263</v>
      </c>
      <c r="I1332" s="10" t="s">
        <v>1653</v>
      </c>
      <c r="J1332" s="10" t="str">
        <f>IFERROR(INDEX([1]Programas!$B$2:$B$50,MATCH(LEFT(I1332,3),[1]Programas!$A$2:$A$50,0)),"")</f>
        <v>IA Aplicada y Automati</v>
      </c>
      <c r="K1332" s="10" t="s">
        <v>16</v>
      </c>
    </row>
    <row r="1333" spans="1:11" x14ac:dyDescent="0.2">
      <c r="A1333" s="10">
        <v>1332</v>
      </c>
      <c r="B1333" s="10" t="s">
        <v>1661</v>
      </c>
      <c r="C1333" s="11" t="s">
        <v>1660</v>
      </c>
      <c r="D1333" s="10" t="s">
        <v>4419</v>
      </c>
      <c r="E1333" s="10" t="s">
        <v>7460</v>
      </c>
      <c r="F1333" s="11" t="s">
        <v>7461</v>
      </c>
      <c r="G1333" s="10" t="s">
        <v>13</v>
      </c>
      <c r="H1333" s="12">
        <v>46263</v>
      </c>
      <c r="I1333" s="10" t="s">
        <v>1653</v>
      </c>
      <c r="J1333" s="10" t="str">
        <f>IFERROR(INDEX([1]Programas!$B$2:$B$50,MATCH(LEFT(I1333,3),[1]Programas!$A$2:$A$50,0)),"")</f>
        <v>IA Aplicada y Automati</v>
      </c>
      <c r="K1333" s="10" t="s">
        <v>16</v>
      </c>
    </row>
    <row r="1334" spans="1:11" x14ac:dyDescent="0.2">
      <c r="A1334" s="10">
        <v>1333</v>
      </c>
      <c r="B1334" s="10" t="s">
        <v>7462</v>
      </c>
      <c r="C1334" s="11" t="s">
        <v>1662</v>
      </c>
      <c r="D1334" s="10" t="s">
        <v>4419</v>
      </c>
      <c r="E1334" s="10" t="s">
        <v>7463</v>
      </c>
      <c r="F1334" s="11" t="s">
        <v>7464</v>
      </c>
      <c r="G1334" s="10" t="s">
        <v>13</v>
      </c>
      <c r="H1334" s="12">
        <v>46263</v>
      </c>
      <c r="I1334" s="10" t="s">
        <v>1653</v>
      </c>
      <c r="J1334" s="10" t="str">
        <f>IFERROR(INDEX([1]Programas!$B$2:$B$50,MATCH(LEFT(I1334,3),[1]Programas!$A$2:$A$50,0)),"")</f>
        <v>IA Aplicada y Automati</v>
      </c>
      <c r="K1334" s="10" t="s">
        <v>16</v>
      </c>
    </row>
    <row r="1335" spans="1:11" x14ac:dyDescent="0.2">
      <c r="A1335" s="10">
        <v>1334</v>
      </c>
      <c r="B1335" s="10" t="s">
        <v>1665</v>
      </c>
      <c r="C1335" s="11" t="s">
        <v>1664</v>
      </c>
      <c r="D1335" s="10" t="s">
        <v>4419</v>
      </c>
      <c r="E1335" s="10" t="s">
        <v>7465</v>
      </c>
      <c r="F1335" s="11" t="s">
        <v>7466</v>
      </c>
      <c r="G1335" s="10" t="s">
        <v>13</v>
      </c>
      <c r="H1335" s="12">
        <v>46263</v>
      </c>
      <c r="I1335" s="10" t="s">
        <v>1653</v>
      </c>
      <c r="J1335" s="10" t="str">
        <f>IFERROR(INDEX([1]Programas!$B$2:$B$50,MATCH(LEFT(I1335,3),[1]Programas!$A$2:$A$50,0)),"")</f>
        <v>IA Aplicada y Automati</v>
      </c>
      <c r="K1335" s="10" t="s">
        <v>16</v>
      </c>
    </row>
    <row r="1336" spans="1:11" x14ac:dyDescent="0.2">
      <c r="A1336" s="10">
        <v>1335</v>
      </c>
      <c r="B1336" s="10" t="s">
        <v>1667</v>
      </c>
      <c r="C1336" s="11" t="s">
        <v>1666</v>
      </c>
      <c r="D1336" s="10" t="s">
        <v>4419</v>
      </c>
      <c r="E1336" s="10" t="s">
        <v>7467</v>
      </c>
      <c r="F1336" s="11" t="s">
        <v>7468</v>
      </c>
      <c r="G1336" s="10" t="s">
        <v>13</v>
      </c>
      <c r="H1336" s="12">
        <v>46263</v>
      </c>
      <c r="I1336" s="10" t="s">
        <v>1653</v>
      </c>
      <c r="J1336" s="10" t="str">
        <f>IFERROR(INDEX([1]Programas!$B$2:$B$50,MATCH(LEFT(I1336,3),[1]Programas!$A$2:$A$50,0)),"")</f>
        <v>IA Aplicada y Automati</v>
      </c>
      <c r="K1336" s="10" t="s">
        <v>16</v>
      </c>
    </row>
    <row r="1337" spans="1:11" x14ac:dyDescent="0.2">
      <c r="A1337" s="10">
        <v>1336</v>
      </c>
      <c r="B1337" s="10" t="s">
        <v>1669</v>
      </c>
      <c r="C1337" s="11" t="s">
        <v>1668</v>
      </c>
      <c r="D1337" s="10" t="s">
        <v>4419</v>
      </c>
      <c r="E1337" s="10" t="s">
        <v>7469</v>
      </c>
      <c r="F1337" s="11" t="s">
        <v>7470</v>
      </c>
      <c r="G1337" s="10" t="s">
        <v>13</v>
      </c>
      <c r="H1337" s="12">
        <v>46263</v>
      </c>
      <c r="I1337" s="10" t="s">
        <v>1653</v>
      </c>
      <c r="J1337" s="10" t="str">
        <f>IFERROR(INDEX([1]Programas!$B$2:$B$50,MATCH(LEFT(I1337,3),[1]Programas!$A$2:$A$50,0)),"")</f>
        <v>IA Aplicada y Automati</v>
      </c>
      <c r="K1337" s="10" t="s">
        <v>16</v>
      </c>
    </row>
    <row r="1338" spans="1:11" x14ac:dyDescent="0.2">
      <c r="A1338" s="10">
        <v>1337</v>
      </c>
      <c r="B1338" s="10" t="s">
        <v>1673</v>
      </c>
      <c r="C1338" s="11" t="s">
        <v>1672</v>
      </c>
      <c r="D1338" s="10" t="s">
        <v>4419</v>
      </c>
      <c r="E1338" s="10" t="s">
        <v>7471</v>
      </c>
      <c r="F1338" s="11" t="s">
        <v>7472</v>
      </c>
      <c r="G1338" s="10" t="s">
        <v>13</v>
      </c>
      <c r="H1338" s="12">
        <v>46263</v>
      </c>
      <c r="I1338" s="10" t="s">
        <v>1653</v>
      </c>
      <c r="J1338" s="10" t="str">
        <f>IFERROR(INDEX([1]Programas!$B$2:$B$50,MATCH(LEFT(I1338,3),[1]Programas!$A$2:$A$50,0)),"")</f>
        <v>IA Aplicada y Automati</v>
      </c>
      <c r="K1338" s="10" t="s">
        <v>16</v>
      </c>
    </row>
    <row r="1339" spans="1:11" x14ac:dyDescent="0.2">
      <c r="A1339" s="10">
        <v>1338</v>
      </c>
      <c r="B1339" s="10" t="s">
        <v>1675</v>
      </c>
      <c r="C1339" s="11" t="s">
        <v>1674</v>
      </c>
      <c r="D1339" s="10" t="s">
        <v>4419</v>
      </c>
      <c r="E1339" s="10" t="s">
        <v>7473</v>
      </c>
      <c r="F1339" s="11" t="s">
        <v>7474</v>
      </c>
      <c r="G1339" s="10" t="s">
        <v>13</v>
      </c>
      <c r="H1339" s="12">
        <v>46263</v>
      </c>
      <c r="I1339" s="10" t="s">
        <v>1653</v>
      </c>
      <c r="J1339" s="10" t="str">
        <f>IFERROR(INDEX([1]Programas!$B$2:$B$50,MATCH(LEFT(I1339,3),[1]Programas!$A$2:$A$50,0)),"")</f>
        <v>IA Aplicada y Automati</v>
      </c>
      <c r="K1339" s="10" t="s">
        <v>16</v>
      </c>
    </row>
    <row r="1340" spans="1:11" x14ac:dyDescent="0.2">
      <c r="A1340" s="10">
        <v>1339</v>
      </c>
      <c r="B1340" s="10" t="s">
        <v>1677</v>
      </c>
      <c r="C1340" s="11" t="s">
        <v>1676</v>
      </c>
      <c r="D1340" s="10" t="s">
        <v>4419</v>
      </c>
      <c r="E1340" s="10" t="s">
        <v>7475</v>
      </c>
      <c r="F1340" s="11" t="s">
        <v>7476</v>
      </c>
      <c r="G1340" s="10" t="s">
        <v>13</v>
      </c>
      <c r="H1340" s="12">
        <v>46263</v>
      </c>
      <c r="I1340" s="10" t="s">
        <v>1653</v>
      </c>
      <c r="J1340" s="10" t="str">
        <f>IFERROR(INDEX([1]Programas!$B$2:$B$50,MATCH(LEFT(I1340,3),[1]Programas!$A$2:$A$50,0)),"")</f>
        <v>IA Aplicada y Automati</v>
      </c>
      <c r="K1340" s="10" t="s">
        <v>16</v>
      </c>
    </row>
    <row r="1341" spans="1:11" x14ac:dyDescent="0.2">
      <c r="A1341" s="10">
        <v>1340</v>
      </c>
      <c r="B1341" s="10" t="s">
        <v>7477</v>
      </c>
      <c r="C1341" s="11" t="s">
        <v>1678</v>
      </c>
      <c r="D1341" s="10" t="s">
        <v>4419</v>
      </c>
      <c r="E1341" s="10" t="s">
        <v>7478</v>
      </c>
      <c r="F1341" s="11" t="s">
        <v>7479</v>
      </c>
      <c r="G1341" s="10" t="s">
        <v>13</v>
      </c>
      <c r="H1341" s="12">
        <v>46263</v>
      </c>
      <c r="I1341" s="10" t="s">
        <v>1653</v>
      </c>
      <c r="J1341" s="10" t="str">
        <f>IFERROR(INDEX([1]Programas!$B$2:$B$50,MATCH(LEFT(I1341,3),[1]Programas!$A$2:$A$50,0)),"")</f>
        <v>IA Aplicada y Automati</v>
      </c>
      <c r="K1341" s="10" t="s">
        <v>16</v>
      </c>
    </row>
    <row r="1342" spans="1:11" x14ac:dyDescent="0.2">
      <c r="A1342" s="10">
        <v>1341</v>
      </c>
      <c r="B1342" s="10" t="s">
        <v>1681</v>
      </c>
      <c r="C1342" s="11" t="s">
        <v>1680</v>
      </c>
      <c r="D1342" s="10" t="s">
        <v>4419</v>
      </c>
      <c r="E1342" s="10" t="s">
        <v>7480</v>
      </c>
      <c r="F1342" s="11" t="s">
        <v>7481</v>
      </c>
      <c r="G1342" s="10" t="s">
        <v>13</v>
      </c>
      <c r="H1342" s="12">
        <v>46263</v>
      </c>
      <c r="I1342" s="10" t="s">
        <v>1653</v>
      </c>
      <c r="J1342" s="10" t="str">
        <f>IFERROR(INDEX([1]Programas!$B$2:$B$50,MATCH(LEFT(I1342,3),[1]Programas!$A$2:$A$50,0)),"")</f>
        <v>IA Aplicada y Automati</v>
      </c>
      <c r="K1342" s="10" t="s">
        <v>16</v>
      </c>
    </row>
    <row r="1343" spans="1:11" x14ac:dyDescent="0.2">
      <c r="A1343" s="10">
        <v>1342</v>
      </c>
      <c r="B1343" s="10" t="s">
        <v>1683</v>
      </c>
      <c r="C1343" s="11" t="s">
        <v>1682</v>
      </c>
      <c r="D1343" s="10" t="s">
        <v>4419</v>
      </c>
      <c r="E1343" s="10" t="s">
        <v>7482</v>
      </c>
      <c r="F1343" s="11" t="s">
        <v>7483</v>
      </c>
      <c r="G1343" s="10" t="s">
        <v>13</v>
      </c>
      <c r="H1343" s="12">
        <v>46263</v>
      </c>
      <c r="I1343" s="10" t="s">
        <v>1653</v>
      </c>
      <c r="J1343" s="10" t="str">
        <f>IFERROR(INDEX([1]Programas!$B$2:$B$50,MATCH(LEFT(I1343,3),[1]Programas!$A$2:$A$50,0)),"")</f>
        <v>IA Aplicada y Automati</v>
      </c>
      <c r="K1343" s="10" t="s">
        <v>16</v>
      </c>
    </row>
    <row r="1344" spans="1:11" x14ac:dyDescent="0.2">
      <c r="A1344" s="10">
        <v>1343</v>
      </c>
      <c r="B1344" s="10" t="s">
        <v>7484</v>
      </c>
      <c r="C1344" s="11" t="s">
        <v>1684</v>
      </c>
      <c r="D1344" s="10" t="s">
        <v>4419</v>
      </c>
      <c r="E1344" s="10" t="s">
        <v>7485</v>
      </c>
      <c r="F1344" s="11" t="s">
        <v>7486</v>
      </c>
      <c r="G1344" s="10" t="s">
        <v>13</v>
      </c>
      <c r="H1344" s="12">
        <v>46263</v>
      </c>
      <c r="I1344" s="10" t="s">
        <v>1653</v>
      </c>
      <c r="J1344" s="10" t="str">
        <f>IFERROR(INDEX([1]Programas!$B$2:$B$50,MATCH(LEFT(I1344,3),[1]Programas!$A$2:$A$50,0)),"")</f>
        <v>IA Aplicada y Automati</v>
      </c>
      <c r="K1344" s="10" t="s">
        <v>16</v>
      </c>
    </row>
    <row r="1345" spans="1:11" x14ac:dyDescent="0.2">
      <c r="A1345" s="10">
        <v>1344</v>
      </c>
      <c r="B1345" s="10" t="s">
        <v>1687</v>
      </c>
      <c r="C1345" s="11" t="s">
        <v>1686</v>
      </c>
      <c r="D1345" s="10" t="s">
        <v>4419</v>
      </c>
      <c r="E1345" s="10" t="s">
        <v>7487</v>
      </c>
      <c r="F1345" s="11" t="s">
        <v>7488</v>
      </c>
      <c r="G1345" s="10" t="s">
        <v>13</v>
      </c>
      <c r="H1345" s="12">
        <v>46263</v>
      </c>
      <c r="I1345" s="10" t="s">
        <v>1653</v>
      </c>
      <c r="J1345" s="10" t="str">
        <f>IFERROR(INDEX([1]Programas!$B$2:$B$50,MATCH(LEFT(I1345,3),[1]Programas!$A$2:$A$50,0)),"")</f>
        <v>IA Aplicada y Automati</v>
      </c>
      <c r="K1345" s="10" t="s">
        <v>16</v>
      </c>
    </row>
    <row r="1346" spans="1:11" x14ac:dyDescent="0.2">
      <c r="A1346" s="10">
        <v>1345</v>
      </c>
      <c r="B1346" s="10" t="s">
        <v>1689</v>
      </c>
      <c r="C1346" s="11" t="s">
        <v>1688</v>
      </c>
      <c r="D1346" s="10" t="s">
        <v>4419</v>
      </c>
      <c r="E1346" s="10" t="s">
        <v>7489</v>
      </c>
      <c r="F1346" s="11" t="s">
        <v>7490</v>
      </c>
      <c r="G1346" s="10" t="s">
        <v>13</v>
      </c>
      <c r="H1346" s="12">
        <v>46263</v>
      </c>
      <c r="I1346" s="10" t="s">
        <v>1653</v>
      </c>
      <c r="J1346" s="10" t="str">
        <f>IFERROR(INDEX([1]Programas!$B$2:$B$50,MATCH(LEFT(I1346,3),[1]Programas!$A$2:$A$50,0)),"")</f>
        <v>IA Aplicada y Automati</v>
      </c>
      <c r="K1346" s="10" t="s">
        <v>16</v>
      </c>
    </row>
    <row r="1347" spans="1:11" x14ac:dyDescent="0.2">
      <c r="A1347" s="10">
        <v>1346</v>
      </c>
      <c r="B1347" s="10" t="s">
        <v>7491</v>
      </c>
      <c r="C1347" s="11" t="s">
        <v>1690</v>
      </c>
      <c r="D1347" s="10" t="s">
        <v>4419</v>
      </c>
      <c r="E1347" s="10" t="s">
        <v>7492</v>
      </c>
      <c r="F1347" s="11" t="s">
        <v>7493</v>
      </c>
      <c r="G1347" s="10" t="s">
        <v>13</v>
      </c>
      <c r="H1347" s="12">
        <v>46263</v>
      </c>
      <c r="I1347" s="10" t="s">
        <v>1653</v>
      </c>
      <c r="J1347" s="10" t="str">
        <f>IFERROR(INDEX([1]Programas!$B$2:$B$50,MATCH(LEFT(I1347,3),[1]Programas!$A$2:$A$50,0)),"")</f>
        <v>IA Aplicada y Automati</v>
      </c>
      <c r="K1347" s="10" t="s">
        <v>16</v>
      </c>
    </row>
    <row r="1348" spans="1:11" x14ac:dyDescent="0.2">
      <c r="A1348" s="10">
        <v>1347</v>
      </c>
      <c r="B1348" s="10" t="s">
        <v>1693</v>
      </c>
      <c r="C1348" s="11" t="s">
        <v>1692</v>
      </c>
      <c r="D1348" s="10" t="s">
        <v>4419</v>
      </c>
      <c r="E1348" s="10" t="s">
        <v>7494</v>
      </c>
      <c r="F1348" s="11" t="s">
        <v>7495</v>
      </c>
      <c r="G1348" s="10" t="s">
        <v>13</v>
      </c>
      <c r="H1348" s="12">
        <v>46263</v>
      </c>
      <c r="I1348" s="10" t="s">
        <v>1653</v>
      </c>
      <c r="J1348" s="10" t="str">
        <f>IFERROR(INDEX([1]Programas!$B$2:$B$50,MATCH(LEFT(I1348,3),[1]Programas!$A$2:$A$50,0)),"")</f>
        <v>IA Aplicada y Automati</v>
      </c>
      <c r="K1348" s="10" t="s">
        <v>16</v>
      </c>
    </row>
    <row r="1349" spans="1:11" x14ac:dyDescent="0.2">
      <c r="A1349" s="10">
        <v>1348</v>
      </c>
      <c r="B1349" s="10" t="s">
        <v>1695</v>
      </c>
      <c r="C1349" s="11" t="s">
        <v>1694</v>
      </c>
      <c r="D1349" s="10" t="s">
        <v>4419</v>
      </c>
      <c r="E1349" s="10" t="s">
        <v>7496</v>
      </c>
      <c r="F1349" s="11" t="s">
        <v>7497</v>
      </c>
      <c r="G1349" s="10" t="s">
        <v>13</v>
      </c>
      <c r="H1349" s="12">
        <v>46263</v>
      </c>
      <c r="I1349" s="10" t="s">
        <v>1653</v>
      </c>
      <c r="J1349" s="10" t="str">
        <f>IFERROR(INDEX([1]Programas!$B$2:$B$50,MATCH(LEFT(I1349,3),[1]Programas!$A$2:$A$50,0)),"")</f>
        <v>IA Aplicada y Automati</v>
      </c>
      <c r="K1349" s="10" t="s">
        <v>16</v>
      </c>
    </row>
    <row r="1350" spans="1:11" x14ac:dyDescent="0.2">
      <c r="A1350" s="10">
        <v>1349</v>
      </c>
      <c r="B1350" s="10" t="s">
        <v>1697</v>
      </c>
      <c r="C1350" s="11" t="s">
        <v>1696</v>
      </c>
      <c r="D1350" s="10" t="s">
        <v>4419</v>
      </c>
      <c r="E1350" s="10" t="s">
        <v>7498</v>
      </c>
      <c r="F1350" s="11" t="s">
        <v>7499</v>
      </c>
      <c r="G1350" s="10" t="s">
        <v>13</v>
      </c>
      <c r="H1350" s="12">
        <v>46263</v>
      </c>
      <c r="I1350" s="10" t="s">
        <v>1653</v>
      </c>
      <c r="J1350" s="10" t="str">
        <f>IFERROR(INDEX([1]Programas!$B$2:$B$50,MATCH(LEFT(I1350,3),[1]Programas!$A$2:$A$50,0)),"")</f>
        <v>IA Aplicada y Automati</v>
      </c>
      <c r="K1350" s="10" t="s">
        <v>16</v>
      </c>
    </row>
    <row r="1351" spans="1:11" x14ac:dyDescent="0.2">
      <c r="A1351" s="10">
        <v>1350</v>
      </c>
      <c r="B1351" s="10" t="s">
        <v>1699</v>
      </c>
      <c r="C1351" s="11" t="s">
        <v>1698</v>
      </c>
      <c r="D1351" s="10" t="s">
        <v>4419</v>
      </c>
      <c r="E1351" s="10" t="s">
        <v>7500</v>
      </c>
      <c r="F1351" s="11" t="s">
        <v>7501</v>
      </c>
      <c r="G1351" s="10" t="s">
        <v>13</v>
      </c>
      <c r="H1351" s="12">
        <v>46263</v>
      </c>
      <c r="I1351" s="10" t="s">
        <v>1653</v>
      </c>
      <c r="J1351" s="10" t="str">
        <f>IFERROR(INDEX([1]Programas!$B$2:$B$50,MATCH(LEFT(I1351,3),[1]Programas!$A$2:$A$50,0)),"")</f>
        <v>IA Aplicada y Automati</v>
      </c>
      <c r="K1351" s="10" t="s">
        <v>16</v>
      </c>
    </row>
    <row r="1352" spans="1:11" x14ac:dyDescent="0.2">
      <c r="A1352" s="10">
        <v>1351</v>
      </c>
      <c r="B1352" s="10" t="s">
        <v>7502</v>
      </c>
      <c r="C1352" s="11" t="s">
        <v>1700</v>
      </c>
      <c r="D1352" s="10" t="s">
        <v>4419</v>
      </c>
      <c r="E1352" s="10" t="s">
        <v>7503</v>
      </c>
      <c r="F1352" s="11" t="s">
        <v>7504</v>
      </c>
      <c r="G1352" s="10" t="s">
        <v>13</v>
      </c>
      <c r="H1352" s="12">
        <v>46263</v>
      </c>
      <c r="I1352" s="10" t="s">
        <v>1653</v>
      </c>
      <c r="J1352" s="10" t="str">
        <f>IFERROR(INDEX([1]Programas!$B$2:$B$50,MATCH(LEFT(I1352,3),[1]Programas!$A$2:$A$50,0)),"")</f>
        <v>IA Aplicada y Automati</v>
      </c>
      <c r="K1352" s="10" t="s">
        <v>16</v>
      </c>
    </row>
    <row r="1353" spans="1:11" x14ac:dyDescent="0.2">
      <c r="A1353" s="10">
        <v>1352</v>
      </c>
      <c r="B1353" s="10" t="s">
        <v>7505</v>
      </c>
      <c r="C1353" s="11" t="s">
        <v>1702</v>
      </c>
      <c r="D1353" s="10" t="s">
        <v>4419</v>
      </c>
      <c r="E1353" s="10" t="s">
        <v>7506</v>
      </c>
      <c r="F1353" s="11" t="s">
        <v>7507</v>
      </c>
      <c r="G1353" s="10" t="s">
        <v>13</v>
      </c>
      <c r="H1353" s="12">
        <v>46263</v>
      </c>
      <c r="I1353" s="10" t="s">
        <v>1653</v>
      </c>
      <c r="J1353" s="10" t="str">
        <f>IFERROR(INDEX([1]Programas!$B$2:$B$50,MATCH(LEFT(I1353,3),[1]Programas!$A$2:$A$50,0)),"")</f>
        <v>IA Aplicada y Automati</v>
      </c>
      <c r="K1353" s="10" t="s">
        <v>16</v>
      </c>
    </row>
    <row r="1354" spans="1:11" x14ac:dyDescent="0.2">
      <c r="A1354" s="10">
        <v>1353</v>
      </c>
      <c r="B1354" s="10" t="s">
        <v>1705</v>
      </c>
      <c r="C1354" s="11" t="s">
        <v>1704</v>
      </c>
      <c r="D1354" s="10" t="s">
        <v>4419</v>
      </c>
      <c r="E1354" s="10" t="s">
        <v>7508</v>
      </c>
      <c r="F1354" s="11" t="s">
        <v>7509</v>
      </c>
      <c r="G1354" s="10" t="s">
        <v>13</v>
      </c>
      <c r="H1354" s="12">
        <v>46263</v>
      </c>
      <c r="I1354" s="10" t="s">
        <v>1653</v>
      </c>
      <c r="J1354" s="10" t="str">
        <f>IFERROR(INDEX([1]Programas!$B$2:$B$50,MATCH(LEFT(I1354,3),[1]Programas!$A$2:$A$50,0)),"")</f>
        <v>IA Aplicada y Automati</v>
      </c>
      <c r="K1354" s="10" t="s">
        <v>16</v>
      </c>
    </row>
    <row r="1355" spans="1:11" x14ac:dyDescent="0.2">
      <c r="A1355" s="10">
        <v>1354</v>
      </c>
      <c r="B1355" s="10" t="s">
        <v>1707</v>
      </c>
      <c r="C1355" s="11" t="s">
        <v>1706</v>
      </c>
      <c r="D1355" s="10" t="s">
        <v>4419</v>
      </c>
      <c r="E1355" s="10" t="s">
        <v>7510</v>
      </c>
      <c r="F1355" s="11" t="s">
        <v>7511</v>
      </c>
      <c r="G1355" s="10" t="s">
        <v>13</v>
      </c>
      <c r="H1355" s="12">
        <v>46263</v>
      </c>
      <c r="I1355" s="10" t="s">
        <v>1653</v>
      </c>
      <c r="J1355" s="10" t="str">
        <f>IFERROR(INDEX([1]Programas!$B$2:$B$50,MATCH(LEFT(I1355,3),[1]Programas!$A$2:$A$50,0)),"")</f>
        <v>IA Aplicada y Automati</v>
      </c>
      <c r="K1355" s="10" t="s">
        <v>16</v>
      </c>
    </row>
    <row r="1356" spans="1:11" x14ac:dyDescent="0.2">
      <c r="A1356" s="10">
        <v>1355</v>
      </c>
      <c r="B1356" s="10" t="s">
        <v>1709</v>
      </c>
      <c r="C1356" s="11" t="s">
        <v>1708</v>
      </c>
      <c r="D1356" s="10" t="s">
        <v>4419</v>
      </c>
      <c r="E1356" s="10" t="s">
        <v>7512</v>
      </c>
      <c r="F1356" s="11" t="s">
        <v>7513</v>
      </c>
      <c r="G1356" s="10" t="s">
        <v>13</v>
      </c>
      <c r="H1356" s="12">
        <v>46263</v>
      </c>
      <c r="I1356" s="10" t="s">
        <v>1653</v>
      </c>
      <c r="J1356" s="10" t="str">
        <f>IFERROR(INDEX([1]Programas!$B$2:$B$50,MATCH(LEFT(I1356,3),[1]Programas!$A$2:$A$50,0)),"")</f>
        <v>IA Aplicada y Automati</v>
      </c>
      <c r="K1356" s="10" t="s">
        <v>16</v>
      </c>
    </row>
    <row r="1357" spans="1:11" x14ac:dyDescent="0.2">
      <c r="A1357" s="10">
        <v>1356</v>
      </c>
      <c r="B1357" s="10" t="s">
        <v>1712</v>
      </c>
      <c r="C1357" s="11" t="s">
        <v>1711</v>
      </c>
      <c r="D1357" s="10" t="s">
        <v>4419</v>
      </c>
      <c r="E1357" s="10" t="s">
        <v>7514</v>
      </c>
      <c r="F1357" s="11" t="s">
        <v>7515</v>
      </c>
      <c r="G1357" s="10" t="s">
        <v>13</v>
      </c>
      <c r="H1357" s="12">
        <v>46263</v>
      </c>
      <c r="I1357" s="10" t="s">
        <v>1714</v>
      </c>
      <c r="J1357" s="10" t="str">
        <f>IFERROR(INDEX([1]Programas!$B$2:$B$50,MATCH(LEFT(I1357,3),[1]Programas!$A$2:$A$50,0)),"")</f>
        <v>IA Aplicada y Automati</v>
      </c>
      <c r="K1357" s="10" t="s">
        <v>1453</v>
      </c>
    </row>
    <row r="1358" spans="1:11" x14ac:dyDescent="0.2">
      <c r="A1358" s="10">
        <v>1357</v>
      </c>
      <c r="B1358" s="10" t="s">
        <v>7516</v>
      </c>
      <c r="C1358" s="11" t="s">
        <v>1716</v>
      </c>
      <c r="D1358" s="10" t="s">
        <v>4419</v>
      </c>
      <c r="E1358" s="10" t="s">
        <v>7517</v>
      </c>
      <c r="F1358" s="11" t="s">
        <v>7518</v>
      </c>
      <c r="G1358" s="10" t="s">
        <v>13</v>
      </c>
      <c r="H1358" s="12">
        <v>46263</v>
      </c>
      <c r="I1358" s="10" t="s">
        <v>1714</v>
      </c>
      <c r="J1358" s="10" t="str">
        <f>IFERROR(INDEX([1]Programas!$B$2:$B$50,MATCH(LEFT(I1358,3),[1]Programas!$A$2:$A$50,0)),"")</f>
        <v>IA Aplicada y Automati</v>
      </c>
      <c r="K1358" s="10" t="s">
        <v>1453</v>
      </c>
    </row>
    <row r="1359" spans="1:11" x14ac:dyDescent="0.2">
      <c r="A1359" s="10">
        <v>1358</v>
      </c>
      <c r="B1359" s="10" t="s">
        <v>1719</v>
      </c>
      <c r="C1359" s="11" t="s">
        <v>1718</v>
      </c>
      <c r="D1359" s="10" t="s">
        <v>4419</v>
      </c>
      <c r="E1359" s="10" t="s">
        <v>7519</v>
      </c>
      <c r="F1359" s="11" t="s">
        <v>7520</v>
      </c>
      <c r="G1359" s="10" t="s">
        <v>13</v>
      </c>
      <c r="H1359" s="12">
        <v>46263</v>
      </c>
      <c r="I1359" s="10" t="s">
        <v>1714</v>
      </c>
      <c r="J1359" s="10" t="str">
        <f>IFERROR(INDEX([1]Programas!$B$2:$B$50,MATCH(LEFT(I1359,3),[1]Programas!$A$2:$A$50,0)),"")</f>
        <v>IA Aplicada y Automati</v>
      </c>
      <c r="K1359" s="10" t="s">
        <v>1453</v>
      </c>
    </row>
    <row r="1360" spans="1:11" x14ac:dyDescent="0.2">
      <c r="A1360" s="10">
        <v>1359</v>
      </c>
      <c r="B1360" s="10" t="s">
        <v>1721</v>
      </c>
      <c r="C1360" s="11" t="s">
        <v>1720</v>
      </c>
      <c r="D1360" s="10" t="s">
        <v>4419</v>
      </c>
      <c r="E1360" s="10" t="s">
        <v>7521</v>
      </c>
      <c r="F1360" s="11" t="s">
        <v>7522</v>
      </c>
      <c r="G1360" s="10" t="s">
        <v>13</v>
      </c>
      <c r="H1360" s="12">
        <v>46263</v>
      </c>
      <c r="I1360" s="10" t="s">
        <v>1714</v>
      </c>
      <c r="J1360" s="10" t="str">
        <f>IFERROR(INDEX([1]Programas!$B$2:$B$50,MATCH(LEFT(I1360,3),[1]Programas!$A$2:$A$50,0)),"")</f>
        <v>IA Aplicada y Automati</v>
      </c>
      <c r="K1360" s="10" t="s">
        <v>1453</v>
      </c>
    </row>
    <row r="1361" spans="1:11" x14ac:dyDescent="0.2">
      <c r="A1361" s="10">
        <v>1360</v>
      </c>
      <c r="B1361" s="10" t="s">
        <v>1723</v>
      </c>
      <c r="C1361" s="11" t="s">
        <v>1722</v>
      </c>
      <c r="D1361" s="10" t="s">
        <v>4419</v>
      </c>
      <c r="E1361" s="10" t="s">
        <v>7523</v>
      </c>
      <c r="F1361" s="11" t="s">
        <v>7524</v>
      </c>
      <c r="G1361" s="10" t="s">
        <v>13</v>
      </c>
      <c r="H1361" s="12">
        <v>46263</v>
      </c>
      <c r="I1361" s="10" t="s">
        <v>1714</v>
      </c>
      <c r="J1361" s="10" t="str">
        <f>IFERROR(INDEX([1]Programas!$B$2:$B$50,MATCH(LEFT(I1361,3),[1]Programas!$A$2:$A$50,0)),"")</f>
        <v>IA Aplicada y Automati</v>
      </c>
      <c r="K1361" s="10" t="s">
        <v>1453</v>
      </c>
    </row>
    <row r="1362" spans="1:11" x14ac:dyDescent="0.2">
      <c r="A1362" s="10">
        <v>1361</v>
      </c>
      <c r="B1362" s="10" t="s">
        <v>7525</v>
      </c>
      <c r="C1362" s="11" t="s">
        <v>1724</v>
      </c>
      <c r="D1362" s="10" t="s">
        <v>4419</v>
      </c>
      <c r="E1362" s="10" t="s">
        <v>7526</v>
      </c>
      <c r="F1362" s="11" t="s">
        <v>7527</v>
      </c>
      <c r="G1362" s="10" t="s">
        <v>13</v>
      </c>
      <c r="H1362" s="12">
        <v>46263</v>
      </c>
      <c r="I1362" s="10" t="s">
        <v>1714</v>
      </c>
      <c r="J1362" s="10" t="str">
        <f>IFERROR(INDEX([1]Programas!$B$2:$B$50,MATCH(LEFT(I1362,3),[1]Programas!$A$2:$A$50,0)),"")</f>
        <v>IA Aplicada y Automati</v>
      </c>
      <c r="K1362" s="10" t="s">
        <v>1453</v>
      </c>
    </row>
    <row r="1363" spans="1:11" x14ac:dyDescent="0.2">
      <c r="A1363" s="10">
        <v>1362</v>
      </c>
      <c r="B1363" s="10" t="s">
        <v>1727</v>
      </c>
      <c r="C1363" s="11" t="s">
        <v>1726</v>
      </c>
      <c r="D1363" s="10" t="s">
        <v>4419</v>
      </c>
      <c r="E1363" s="10" t="s">
        <v>7528</v>
      </c>
      <c r="F1363" s="11" t="s">
        <v>7529</v>
      </c>
      <c r="G1363" s="10" t="s">
        <v>13</v>
      </c>
      <c r="H1363" s="12">
        <v>46263</v>
      </c>
      <c r="I1363" s="10" t="s">
        <v>1714</v>
      </c>
      <c r="J1363" s="10" t="str">
        <f>IFERROR(INDEX([1]Programas!$B$2:$B$50,MATCH(LEFT(I1363,3),[1]Programas!$A$2:$A$50,0)),"")</f>
        <v>IA Aplicada y Automati</v>
      </c>
      <c r="K1363" s="10" t="s">
        <v>1453</v>
      </c>
    </row>
    <row r="1364" spans="1:11" x14ac:dyDescent="0.2">
      <c r="A1364" s="10">
        <v>1363</v>
      </c>
      <c r="B1364" s="10" t="s">
        <v>1729</v>
      </c>
      <c r="C1364" s="11" t="s">
        <v>1728</v>
      </c>
      <c r="D1364" s="10" t="s">
        <v>4419</v>
      </c>
      <c r="E1364" s="10" t="s">
        <v>7530</v>
      </c>
      <c r="F1364" s="11" t="s">
        <v>7531</v>
      </c>
      <c r="G1364" s="10" t="s">
        <v>13</v>
      </c>
      <c r="H1364" s="12">
        <v>46263</v>
      </c>
      <c r="I1364" s="10" t="s">
        <v>1714</v>
      </c>
      <c r="J1364" s="10" t="str">
        <f>IFERROR(INDEX([1]Programas!$B$2:$B$50,MATCH(LEFT(I1364,3),[1]Programas!$A$2:$A$50,0)),"")</f>
        <v>IA Aplicada y Automati</v>
      </c>
      <c r="K1364" s="10" t="s">
        <v>1453</v>
      </c>
    </row>
    <row r="1365" spans="1:11" x14ac:dyDescent="0.2">
      <c r="A1365" s="10">
        <v>1364</v>
      </c>
      <c r="B1365" s="10" t="s">
        <v>7532</v>
      </c>
      <c r="C1365" s="11" t="s">
        <v>1730</v>
      </c>
      <c r="D1365" s="10" t="s">
        <v>4419</v>
      </c>
      <c r="E1365" s="10" t="s">
        <v>7533</v>
      </c>
      <c r="F1365" s="11" t="s">
        <v>7534</v>
      </c>
      <c r="G1365" s="10" t="s">
        <v>13</v>
      </c>
      <c r="H1365" s="12">
        <v>46263</v>
      </c>
      <c r="I1365" s="10" t="s">
        <v>1714</v>
      </c>
      <c r="J1365" s="10" t="str">
        <f>IFERROR(INDEX([1]Programas!$B$2:$B$50,MATCH(LEFT(I1365,3),[1]Programas!$A$2:$A$50,0)),"")</f>
        <v>IA Aplicada y Automati</v>
      </c>
      <c r="K1365" s="10" t="s">
        <v>1453</v>
      </c>
    </row>
    <row r="1366" spans="1:11" x14ac:dyDescent="0.2">
      <c r="A1366" s="10">
        <v>1365</v>
      </c>
      <c r="B1366" s="10" t="s">
        <v>7535</v>
      </c>
      <c r="C1366" s="11" t="s">
        <v>1732</v>
      </c>
      <c r="D1366" s="10" t="s">
        <v>4419</v>
      </c>
      <c r="E1366" s="10" t="s">
        <v>7536</v>
      </c>
      <c r="F1366" s="11" t="s">
        <v>7537</v>
      </c>
      <c r="G1366" s="10" t="s">
        <v>13</v>
      </c>
      <c r="H1366" s="12">
        <v>46263</v>
      </c>
      <c r="I1366" s="10" t="s">
        <v>1714</v>
      </c>
      <c r="J1366" s="10" t="str">
        <f>IFERROR(INDEX([1]Programas!$B$2:$B$50,MATCH(LEFT(I1366,3),[1]Programas!$A$2:$A$50,0)),"")</f>
        <v>IA Aplicada y Automati</v>
      </c>
      <c r="K1366" s="10" t="s">
        <v>1453</v>
      </c>
    </row>
    <row r="1367" spans="1:11" x14ac:dyDescent="0.2">
      <c r="A1367" s="10">
        <v>1366</v>
      </c>
      <c r="B1367" s="10" t="s">
        <v>7538</v>
      </c>
      <c r="C1367" s="11" t="s">
        <v>1734</v>
      </c>
      <c r="D1367" s="10" t="s">
        <v>4419</v>
      </c>
      <c r="E1367" s="10" t="s">
        <v>7539</v>
      </c>
      <c r="F1367" s="11" t="s">
        <v>7540</v>
      </c>
      <c r="G1367" s="10" t="s">
        <v>13</v>
      </c>
      <c r="H1367" s="12">
        <v>46263</v>
      </c>
      <c r="I1367" s="10" t="s">
        <v>1714</v>
      </c>
      <c r="J1367" s="10" t="str">
        <f>IFERROR(INDEX([1]Programas!$B$2:$B$50,MATCH(LEFT(I1367,3),[1]Programas!$A$2:$A$50,0)),"")</f>
        <v>IA Aplicada y Automati</v>
      </c>
      <c r="K1367" s="10" t="s">
        <v>1453</v>
      </c>
    </row>
    <row r="1368" spans="1:11" x14ac:dyDescent="0.2">
      <c r="A1368" s="10">
        <v>1367</v>
      </c>
      <c r="B1368" s="10" t="s">
        <v>1737</v>
      </c>
      <c r="C1368" s="11" t="s">
        <v>1736</v>
      </c>
      <c r="D1368" s="10" t="s">
        <v>4419</v>
      </c>
      <c r="E1368" s="10" t="s">
        <v>7541</v>
      </c>
      <c r="F1368" s="11" t="s">
        <v>7542</v>
      </c>
      <c r="G1368" s="10" t="s">
        <v>13</v>
      </c>
      <c r="H1368" s="12">
        <v>46263</v>
      </c>
      <c r="I1368" s="10" t="s">
        <v>1714</v>
      </c>
      <c r="J1368" s="10" t="str">
        <f>IFERROR(INDEX([1]Programas!$B$2:$B$50,MATCH(LEFT(I1368,3),[1]Programas!$A$2:$A$50,0)),"")</f>
        <v>IA Aplicada y Automati</v>
      </c>
      <c r="K1368" s="10" t="s">
        <v>1453</v>
      </c>
    </row>
    <row r="1369" spans="1:11" x14ac:dyDescent="0.2">
      <c r="A1369" s="10">
        <v>1368</v>
      </c>
      <c r="B1369" s="10" t="s">
        <v>7543</v>
      </c>
      <c r="C1369" s="11" t="s">
        <v>1738</v>
      </c>
      <c r="D1369" s="10" t="s">
        <v>4419</v>
      </c>
      <c r="E1369" s="10" t="s">
        <v>7544</v>
      </c>
      <c r="F1369" s="11" t="s">
        <v>7545</v>
      </c>
      <c r="G1369" s="10" t="s">
        <v>13</v>
      </c>
      <c r="H1369" s="12">
        <v>46263</v>
      </c>
      <c r="I1369" s="10" t="s">
        <v>1714</v>
      </c>
      <c r="J1369" s="10" t="str">
        <f>IFERROR(INDEX([1]Programas!$B$2:$B$50,MATCH(LEFT(I1369,3),[1]Programas!$A$2:$A$50,0)),"")</f>
        <v>IA Aplicada y Automati</v>
      </c>
      <c r="K1369" s="10" t="s">
        <v>1453</v>
      </c>
    </row>
    <row r="1370" spans="1:11" x14ac:dyDescent="0.2">
      <c r="A1370" s="10">
        <v>1369</v>
      </c>
      <c r="B1370" s="10" t="s">
        <v>1741</v>
      </c>
      <c r="C1370" s="11" t="s">
        <v>1740</v>
      </c>
      <c r="D1370" s="10" t="s">
        <v>4419</v>
      </c>
      <c r="E1370" s="10" t="s">
        <v>7546</v>
      </c>
      <c r="F1370" s="11" t="s">
        <v>7547</v>
      </c>
      <c r="G1370" s="10" t="s">
        <v>13</v>
      </c>
      <c r="H1370" s="12">
        <v>46263</v>
      </c>
      <c r="I1370" s="10" t="s">
        <v>1714</v>
      </c>
      <c r="J1370" s="10" t="str">
        <f>IFERROR(INDEX([1]Programas!$B$2:$B$50,MATCH(LEFT(I1370,3),[1]Programas!$A$2:$A$50,0)),"")</f>
        <v>IA Aplicada y Automati</v>
      </c>
      <c r="K1370" s="10" t="s">
        <v>1453</v>
      </c>
    </row>
    <row r="1371" spans="1:11" x14ac:dyDescent="0.2">
      <c r="A1371" s="10">
        <v>1370</v>
      </c>
      <c r="B1371" s="10" t="s">
        <v>7548</v>
      </c>
      <c r="C1371" s="11" t="s">
        <v>1742</v>
      </c>
      <c r="D1371" s="10" t="s">
        <v>4419</v>
      </c>
      <c r="E1371" s="10" t="s">
        <v>7549</v>
      </c>
      <c r="F1371" s="11" t="s">
        <v>7550</v>
      </c>
      <c r="G1371" s="10" t="s">
        <v>13</v>
      </c>
      <c r="H1371" s="12">
        <v>46263</v>
      </c>
      <c r="I1371" s="10" t="s">
        <v>1714</v>
      </c>
      <c r="J1371" s="10" t="str">
        <f>IFERROR(INDEX([1]Programas!$B$2:$B$50,MATCH(LEFT(I1371,3),[1]Programas!$A$2:$A$50,0)),"")</f>
        <v>IA Aplicada y Automati</v>
      </c>
      <c r="K1371" s="10" t="s">
        <v>1453</v>
      </c>
    </row>
    <row r="1372" spans="1:11" x14ac:dyDescent="0.2">
      <c r="A1372" s="10">
        <v>1371</v>
      </c>
      <c r="B1372" s="10" t="s">
        <v>7551</v>
      </c>
      <c r="C1372" s="11" t="s">
        <v>1744</v>
      </c>
      <c r="D1372" s="10" t="s">
        <v>4453</v>
      </c>
      <c r="E1372" s="10" t="s">
        <v>7552</v>
      </c>
      <c r="F1372" s="11" t="s">
        <v>7553</v>
      </c>
      <c r="G1372" s="10" t="s">
        <v>13</v>
      </c>
      <c r="H1372" s="12">
        <v>46263</v>
      </c>
      <c r="I1372" s="10" t="s">
        <v>1714</v>
      </c>
      <c r="J1372" s="10" t="str">
        <f>IFERROR(INDEX([1]Programas!$B$2:$B$50,MATCH(LEFT(I1372,3),[1]Programas!$A$2:$A$50,0)),"")</f>
        <v>IA Aplicada y Automati</v>
      </c>
      <c r="K1372" s="10" t="s">
        <v>1453</v>
      </c>
    </row>
    <row r="1373" spans="1:11" x14ac:dyDescent="0.2">
      <c r="A1373" s="10">
        <v>1372</v>
      </c>
      <c r="B1373" s="10" t="s">
        <v>1747</v>
      </c>
      <c r="C1373" s="11" t="s">
        <v>1746</v>
      </c>
      <c r="D1373" s="10" t="s">
        <v>4419</v>
      </c>
      <c r="E1373" s="10" t="s">
        <v>7554</v>
      </c>
      <c r="F1373" s="11" t="s">
        <v>7555</v>
      </c>
      <c r="G1373" s="10" t="s">
        <v>13</v>
      </c>
      <c r="H1373" s="12">
        <v>46263</v>
      </c>
      <c r="I1373" s="10" t="s">
        <v>1714</v>
      </c>
      <c r="J1373" s="10" t="str">
        <f>IFERROR(INDEX([1]Programas!$B$2:$B$50,MATCH(LEFT(I1373,3),[1]Programas!$A$2:$A$50,0)),"")</f>
        <v>IA Aplicada y Automati</v>
      </c>
      <c r="K1373" s="10" t="s">
        <v>1453</v>
      </c>
    </row>
    <row r="1374" spans="1:11" x14ac:dyDescent="0.2">
      <c r="A1374" s="10">
        <v>1373</v>
      </c>
      <c r="B1374" s="10" t="s">
        <v>1752</v>
      </c>
      <c r="C1374" s="11" t="s">
        <v>1751</v>
      </c>
      <c r="D1374" s="10" t="s">
        <v>4419</v>
      </c>
      <c r="E1374" s="10" t="s">
        <v>7556</v>
      </c>
      <c r="F1374" s="11" t="s">
        <v>7557</v>
      </c>
      <c r="G1374" s="10" t="s">
        <v>13</v>
      </c>
      <c r="H1374" s="12">
        <v>46263</v>
      </c>
      <c r="I1374" s="10" t="s">
        <v>1714</v>
      </c>
      <c r="J1374" s="10" t="str">
        <f>IFERROR(INDEX([1]Programas!$B$2:$B$50,MATCH(LEFT(I1374,3),[1]Programas!$A$2:$A$50,0)),"")</f>
        <v>IA Aplicada y Automati</v>
      </c>
      <c r="K1374" s="10" t="s">
        <v>1453</v>
      </c>
    </row>
    <row r="1375" spans="1:11" x14ac:dyDescent="0.2">
      <c r="A1375" s="10">
        <v>1374</v>
      </c>
      <c r="B1375" s="10" t="s">
        <v>1754</v>
      </c>
      <c r="C1375" s="11" t="s">
        <v>1753</v>
      </c>
      <c r="D1375" s="10" t="s">
        <v>4419</v>
      </c>
      <c r="E1375" s="10" t="s">
        <v>7558</v>
      </c>
      <c r="F1375" s="11" t="s">
        <v>7559</v>
      </c>
      <c r="G1375" s="10" t="s">
        <v>13</v>
      </c>
      <c r="H1375" s="12">
        <v>46263</v>
      </c>
      <c r="I1375" s="10" t="s">
        <v>1714</v>
      </c>
      <c r="J1375" s="10" t="str">
        <f>IFERROR(INDEX([1]Programas!$B$2:$B$50,MATCH(LEFT(I1375,3),[1]Programas!$A$2:$A$50,0)),"")</f>
        <v>IA Aplicada y Automati</v>
      </c>
      <c r="K1375" s="10" t="s">
        <v>1453</v>
      </c>
    </row>
    <row r="1376" spans="1:11" x14ac:dyDescent="0.2">
      <c r="A1376" s="10">
        <v>1375</v>
      </c>
      <c r="B1376" s="10" t="s">
        <v>1756</v>
      </c>
      <c r="C1376" s="11" t="s">
        <v>1755</v>
      </c>
      <c r="D1376" s="10" t="s">
        <v>4453</v>
      </c>
      <c r="E1376" s="10" t="s">
        <v>7560</v>
      </c>
      <c r="F1376" s="11" t="s">
        <v>7561</v>
      </c>
      <c r="G1376" s="10" t="s">
        <v>13</v>
      </c>
      <c r="H1376" s="12">
        <v>46263</v>
      </c>
      <c r="I1376" s="10" t="s">
        <v>1714</v>
      </c>
      <c r="J1376" s="10" t="str">
        <f>IFERROR(INDEX([1]Programas!$B$2:$B$50,MATCH(LEFT(I1376,3),[1]Programas!$A$2:$A$50,0)),"")</f>
        <v>IA Aplicada y Automati</v>
      </c>
      <c r="K1376" s="10" t="s">
        <v>1453</v>
      </c>
    </row>
    <row r="1377" spans="1:11" x14ac:dyDescent="0.2">
      <c r="A1377" s="10">
        <v>1376</v>
      </c>
      <c r="B1377" s="10" t="s">
        <v>7562</v>
      </c>
      <c r="C1377" s="11" t="s">
        <v>1757</v>
      </c>
      <c r="D1377" s="10" t="s">
        <v>4419</v>
      </c>
      <c r="E1377" s="10" t="s">
        <v>7563</v>
      </c>
      <c r="F1377" s="11" t="s">
        <v>7564</v>
      </c>
      <c r="G1377" s="10" t="s">
        <v>13</v>
      </c>
      <c r="H1377" s="12">
        <v>46263</v>
      </c>
      <c r="I1377" s="10" t="s">
        <v>1714</v>
      </c>
      <c r="J1377" s="10" t="str">
        <f>IFERROR(INDEX([1]Programas!$B$2:$B$50,MATCH(LEFT(I1377,3),[1]Programas!$A$2:$A$50,0)),"")</f>
        <v>IA Aplicada y Automati</v>
      </c>
      <c r="K1377" s="10" t="s">
        <v>1453</v>
      </c>
    </row>
    <row r="1378" spans="1:11" x14ac:dyDescent="0.2">
      <c r="A1378" s="10">
        <v>1377</v>
      </c>
      <c r="B1378" s="10" t="s">
        <v>1760</v>
      </c>
      <c r="C1378" s="11" t="s">
        <v>1759</v>
      </c>
      <c r="D1378" s="10" t="s">
        <v>4419</v>
      </c>
      <c r="E1378" s="10" t="s">
        <v>7565</v>
      </c>
      <c r="F1378" s="11" t="s">
        <v>7566</v>
      </c>
      <c r="G1378" s="10" t="s">
        <v>13</v>
      </c>
      <c r="H1378" s="12">
        <v>46263</v>
      </c>
      <c r="I1378" s="10" t="s">
        <v>1714</v>
      </c>
      <c r="J1378" s="10" t="str">
        <f>IFERROR(INDEX([1]Programas!$B$2:$B$50,MATCH(LEFT(I1378,3),[1]Programas!$A$2:$A$50,0)),"")</f>
        <v>IA Aplicada y Automati</v>
      </c>
      <c r="K1378" s="10" t="s">
        <v>1453</v>
      </c>
    </row>
    <row r="1379" spans="1:11" x14ac:dyDescent="0.2">
      <c r="A1379" s="10">
        <v>1378</v>
      </c>
      <c r="B1379" s="10" t="s">
        <v>1762</v>
      </c>
      <c r="C1379" s="11" t="s">
        <v>1761</v>
      </c>
      <c r="D1379" s="10" t="s">
        <v>4419</v>
      </c>
      <c r="E1379" s="10" t="s">
        <v>7567</v>
      </c>
      <c r="F1379" s="11" t="s">
        <v>7568</v>
      </c>
      <c r="G1379" s="10" t="s">
        <v>13</v>
      </c>
      <c r="H1379" s="12">
        <v>46263</v>
      </c>
      <c r="I1379" s="10" t="s">
        <v>1714</v>
      </c>
      <c r="J1379" s="10" t="str">
        <f>IFERROR(INDEX([1]Programas!$B$2:$B$50,MATCH(LEFT(I1379,3),[1]Programas!$A$2:$A$50,0)),"")</f>
        <v>IA Aplicada y Automati</v>
      </c>
      <c r="K1379" s="10" t="s">
        <v>1453</v>
      </c>
    </row>
    <row r="1380" spans="1:11" x14ac:dyDescent="0.2">
      <c r="A1380" s="10">
        <v>1379</v>
      </c>
      <c r="B1380" s="10" t="s">
        <v>1764</v>
      </c>
      <c r="C1380" s="11" t="s">
        <v>1763</v>
      </c>
      <c r="D1380" s="10" t="s">
        <v>4419</v>
      </c>
      <c r="E1380" s="10" t="s">
        <v>7569</v>
      </c>
      <c r="F1380" s="11" t="s">
        <v>7570</v>
      </c>
      <c r="G1380" s="10" t="s">
        <v>13</v>
      </c>
      <c r="H1380" s="12">
        <v>46263</v>
      </c>
      <c r="I1380" s="10" t="s">
        <v>1714</v>
      </c>
      <c r="J1380" s="10" t="str">
        <f>IFERROR(INDEX([1]Programas!$B$2:$B$50,MATCH(LEFT(I1380,3),[1]Programas!$A$2:$A$50,0)),"")</f>
        <v>IA Aplicada y Automati</v>
      </c>
      <c r="K1380" s="10" t="s">
        <v>1453</v>
      </c>
    </row>
    <row r="1381" spans="1:11" x14ac:dyDescent="0.2">
      <c r="A1381" s="10">
        <v>1380</v>
      </c>
      <c r="B1381" s="10" t="s">
        <v>7571</v>
      </c>
      <c r="C1381" s="11" t="s">
        <v>1765</v>
      </c>
      <c r="D1381" s="10" t="s">
        <v>4419</v>
      </c>
      <c r="E1381" s="10" t="s">
        <v>7572</v>
      </c>
      <c r="F1381" s="11" t="s">
        <v>7573</v>
      </c>
      <c r="G1381" s="10" t="s">
        <v>13</v>
      </c>
      <c r="H1381" s="12">
        <v>46263</v>
      </c>
      <c r="I1381" s="10" t="s">
        <v>1714</v>
      </c>
      <c r="J1381" s="10" t="str">
        <f>IFERROR(INDEX([1]Programas!$B$2:$B$50,MATCH(LEFT(I1381,3),[1]Programas!$A$2:$A$50,0)),"")</f>
        <v>IA Aplicada y Automati</v>
      </c>
      <c r="K1381" s="10" t="s">
        <v>1453</v>
      </c>
    </row>
    <row r="1382" spans="1:11" x14ac:dyDescent="0.2">
      <c r="A1382" s="10">
        <v>1381</v>
      </c>
      <c r="B1382" s="10" t="s">
        <v>1768</v>
      </c>
      <c r="C1382" s="11" t="s">
        <v>1767</v>
      </c>
      <c r="D1382" s="10" t="s">
        <v>4419</v>
      </c>
      <c r="E1382" s="10" t="s">
        <v>7574</v>
      </c>
      <c r="F1382" s="11" t="s">
        <v>7575</v>
      </c>
      <c r="G1382" s="10" t="s">
        <v>13</v>
      </c>
      <c r="H1382" s="12">
        <v>46263</v>
      </c>
      <c r="I1382" s="10" t="s">
        <v>1714</v>
      </c>
      <c r="J1382" s="10" t="str">
        <f>IFERROR(INDEX([1]Programas!$B$2:$B$50,MATCH(LEFT(I1382,3),[1]Programas!$A$2:$A$50,0)),"")</f>
        <v>IA Aplicada y Automati</v>
      </c>
      <c r="K1382" s="10" t="s">
        <v>1453</v>
      </c>
    </row>
    <row r="1383" spans="1:11" x14ac:dyDescent="0.2">
      <c r="A1383" s="10">
        <v>1382</v>
      </c>
      <c r="B1383" s="10" t="s">
        <v>1770</v>
      </c>
      <c r="C1383" s="11" t="s">
        <v>1769</v>
      </c>
      <c r="D1383" s="10" t="s">
        <v>4419</v>
      </c>
      <c r="E1383" s="10" t="s">
        <v>7576</v>
      </c>
      <c r="F1383" s="11" t="s">
        <v>7577</v>
      </c>
      <c r="G1383" s="10" t="s">
        <v>13</v>
      </c>
      <c r="H1383" s="12">
        <v>46263</v>
      </c>
      <c r="I1383" s="10" t="s">
        <v>1714</v>
      </c>
      <c r="J1383" s="10" t="str">
        <f>IFERROR(INDEX([1]Programas!$B$2:$B$50,MATCH(LEFT(I1383,3),[1]Programas!$A$2:$A$50,0)),"")</f>
        <v>IA Aplicada y Automati</v>
      </c>
      <c r="K1383" s="10" t="s">
        <v>1453</v>
      </c>
    </row>
    <row r="1384" spans="1:11" x14ac:dyDescent="0.2">
      <c r="A1384" s="10">
        <v>1383</v>
      </c>
      <c r="B1384" s="10" t="s">
        <v>1772</v>
      </c>
      <c r="C1384" s="11" t="s">
        <v>1771</v>
      </c>
      <c r="D1384" s="10" t="s">
        <v>4419</v>
      </c>
      <c r="E1384" s="10" t="s">
        <v>7578</v>
      </c>
      <c r="F1384" s="11" t="s">
        <v>7579</v>
      </c>
      <c r="G1384" s="10" t="s">
        <v>13</v>
      </c>
      <c r="H1384" s="12">
        <v>46281</v>
      </c>
      <c r="I1384" s="10" t="s">
        <v>1714</v>
      </c>
      <c r="J1384" s="10" t="str">
        <f>IFERROR(INDEX([1]Programas!$B$2:$B$50,MATCH(LEFT(I1384,3),[1]Programas!$A$2:$A$50,0)),"")</f>
        <v>IA Aplicada y Automati</v>
      </c>
      <c r="K1384" s="10" t="s">
        <v>1453</v>
      </c>
    </row>
    <row r="1385" spans="1:11" x14ac:dyDescent="0.2">
      <c r="A1385" s="10">
        <v>1384</v>
      </c>
      <c r="B1385" s="10" t="s">
        <v>7580</v>
      </c>
      <c r="C1385" s="11" t="s">
        <v>1773</v>
      </c>
      <c r="D1385" s="10" t="s">
        <v>4419</v>
      </c>
      <c r="E1385" s="10" t="s">
        <v>7581</v>
      </c>
      <c r="F1385" s="11" t="s">
        <v>7582</v>
      </c>
      <c r="G1385" s="10" t="s">
        <v>13</v>
      </c>
      <c r="H1385" s="12">
        <v>46263</v>
      </c>
      <c r="I1385" s="10" t="s">
        <v>1776</v>
      </c>
      <c r="J1385" s="10" t="str">
        <f>IFERROR(INDEX([1]Programas!$B$2:$B$50,MATCH(LEFT(I1385,3),[1]Programas!$A$2:$A$50,0)),"")</f>
        <v>IA Aplicada y Automati</v>
      </c>
      <c r="K1385" s="10" t="s">
        <v>1453</v>
      </c>
    </row>
    <row r="1386" spans="1:11" x14ac:dyDescent="0.2">
      <c r="A1386" s="10">
        <v>1385</v>
      </c>
      <c r="B1386" s="10" t="s">
        <v>1780</v>
      </c>
      <c r="C1386" s="11" t="s">
        <v>1779</v>
      </c>
      <c r="D1386" s="10" t="s">
        <v>4419</v>
      </c>
      <c r="E1386" s="10" t="s">
        <v>7583</v>
      </c>
      <c r="F1386" s="11" t="s">
        <v>7584</v>
      </c>
      <c r="G1386" s="10" t="s">
        <v>13</v>
      </c>
      <c r="H1386" s="12">
        <v>46263</v>
      </c>
      <c r="I1386" s="10" t="s">
        <v>1776</v>
      </c>
      <c r="J1386" s="10" t="str">
        <f>IFERROR(INDEX([1]Programas!$B$2:$B$50,MATCH(LEFT(I1386,3),[1]Programas!$A$2:$A$50,0)),"")</f>
        <v>IA Aplicada y Automati</v>
      </c>
      <c r="K1386" s="10" t="s">
        <v>1453</v>
      </c>
    </row>
    <row r="1387" spans="1:11" x14ac:dyDescent="0.2">
      <c r="A1387" s="10">
        <v>1386</v>
      </c>
      <c r="B1387" s="10" t="s">
        <v>1783</v>
      </c>
      <c r="C1387" s="11" t="s">
        <v>1782</v>
      </c>
      <c r="D1387" s="10" t="s">
        <v>4419</v>
      </c>
      <c r="E1387" s="10" t="s">
        <v>7585</v>
      </c>
      <c r="F1387" s="11" t="s">
        <v>7586</v>
      </c>
      <c r="G1387" s="10" t="s">
        <v>13</v>
      </c>
      <c r="H1387" s="12">
        <v>46263</v>
      </c>
      <c r="I1387" s="10" t="s">
        <v>1776</v>
      </c>
      <c r="J1387" s="10" t="str">
        <f>IFERROR(INDEX([1]Programas!$B$2:$B$50,MATCH(LEFT(I1387,3),[1]Programas!$A$2:$A$50,0)),"")</f>
        <v>IA Aplicada y Automati</v>
      </c>
      <c r="K1387" s="10" t="s">
        <v>1453</v>
      </c>
    </row>
    <row r="1388" spans="1:11" x14ac:dyDescent="0.2">
      <c r="A1388" s="10">
        <v>1387</v>
      </c>
      <c r="B1388" s="10" t="s">
        <v>7587</v>
      </c>
      <c r="C1388" s="11" t="s">
        <v>1784</v>
      </c>
      <c r="D1388" s="10" t="s">
        <v>4419</v>
      </c>
      <c r="E1388" s="10" t="s">
        <v>7588</v>
      </c>
      <c r="F1388" s="11" t="s">
        <v>7589</v>
      </c>
      <c r="G1388" s="10" t="s">
        <v>13</v>
      </c>
      <c r="H1388" s="12">
        <v>46263</v>
      </c>
      <c r="I1388" s="10" t="s">
        <v>1776</v>
      </c>
      <c r="J1388" s="10" t="str">
        <f>IFERROR(INDEX([1]Programas!$B$2:$B$50,MATCH(LEFT(I1388,3),[1]Programas!$A$2:$A$50,0)),"")</f>
        <v>IA Aplicada y Automati</v>
      </c>
      <c r="K1388" s="10" t="s">
        <v>1453</v>
      </c>
    </row>
    <row r="1389" spans="1:11" x14ac:dyDescent="0.2">
      <c r="A1389" s="10">
        <v>1388</v>
      </c>
      <c r="B1389" s="10" t="s">
        <v>1790</v>
      </c>
      <c r="C1389" s="11" t="s">
        <v>1789</v>
      </c>
      <c r="D1389" s="10" t="s">
        <v>4453</v>
      </c>
      <c r="E1389" s="10" t="s">
        <v>7590</v>
      </c>
      <c r="F1389" s="11" t="s">
        <v>7591</v>
      </c>
      <c r="G1389" s="10" t="s">
        <v>13</v>
      </c>
      <c r="H1389" s="12">
        <v>46263</v>
      </c>
      <c r="I1389" s="10" t="s">
        <v>1776</v>
      </c>
      <c r="J1389" s="10" t="str">
        <f>IFERROR(INDEX([1]Programas!$B$2:$B$50,MATCH(LEFT(I1389,3),[1]Programas!$A$2:$A$50,0)),"")</f>
        <v>IA Aplicada y Automati</v>
      </c>
      <c r="K1389" s="10" t="s">
        <v>1453</v>
      </c>
    </row>
    <row r="1390" spans="1:11" x14ac:dyDescent="0.2">
      <c r="A1390" s="10">
        <v>1389</v>
      </c>
      <c r="B1390" s="10" t="s">
        <v>1792</v>
      </c>
      <c r="C1390" s="11" t="s">
        <v>1791</v>
      </c>
      <c r="D1390" s="10" t="s">
        <v>4419</v>
      </c>
      <c r="E1390" s="10" t="s">
        <v>7592</v>
      </c>
      <c r="F1390" s="11" t="s">
        <v>7593</v>
      </c>
      <c r="G1390" s="10" t="s">
        <v>13</v>
      </c>
      <c r="H1390" s="12">
        <v>46263</v>
      </c>
      <c r="I1390" s="10" t="s">
        <v>1776</v>
      </c>
      <c r="J1390" s="10" t="str">
        <f>IFERROR(INDEX([1]Programas!$B$2:$B$50,MATCH(LEFT(I1390,3),[1]Programas!$A$2:$A$50,0)),"")</f>
        <v>IA Aplicada y Automati</v>
      </c>
      <c r="K1390" s="10" t="s">
        <v>1453</v>
      </c>
    </row>
    <row r="1391" spans="1:11" x14ac:dyDescent="0.2">
      <c r="A1391" s="10">
        <v>1390</v>
      </c>
      <c r="B1391" s="10" t="s">
        <v>1794</v>
      </c>
      <c r="C1391" s="11" t="s">
        <v>1793</v>
      </c>
      <c r="D1391" s="10" t="s">
        <v>4419</v>
      </c>
      <c r="E1391" s="10" t="s">
        <v>7594</v>
      </c>
      <c r="F1391" s="11" t="s">
        <v>7595</v>
      </c>
      <c r="G1391" s="10" t="s">
        <v>13</v>
      </c>
      <c r="H1391" s="12">
        <v>46263</v>
      </c>
      <c r="I1391" s="10" t="s">
        <v>1776</v>
      </c>
      <c r="J1391" s="10" t="str">
        <f>IFERROR(INDEX([1]Programas!$B$2:$B$50,MATCH(LEFT(I1391,3),[1]Programas!$A$2:$A$50,0)),"")</f>
        <v>IA Aplicada y Automati</v>
      </c>
      <c r="K1391" s="10" t="s">
        <v>1453</v>
      </c>
    </row>
    <row r="1392" spans="1:11" x14ac:dyDescent="0.2">
      <c r="A1392" s="10">
        <v>1391</v>
      </c>
      <c r="B1392" s="10" t="s">
        <v>7596</v>
      </c>
      <c r="C1392" s="11" t="s">
        <v>1795</v>
      </c>
      <c r="D1392" s="10" t="s">
        <v>4453</v>
      </c>
      <c r="E1392" s="10" t="s">
        <v>7597</v>
      </c>
      <c r="F1392" s="11" t="s">
        <v>7598</v>
      </c>
      <c r="G1392" s="10" t="s">
        <v>13</v>
      </c>
      <c r="H1392" s="12">
        <v>46263</v>
      </c>
      <c r="I1392" s="10" t="s">
        <v>1776</v>
      </c>
      <c r="J1392" s="10" t="str">
        <f>IFERROR(INDEX([1]Programas!$B$2:$B$50,MATCH(LEFT(I1392,3),[1]Programas!$A$2:$A$50,0)),"")</f>
        <v>IA Aplicada y Automati</v>
      </c>
      <c r="K1392" s="10" t="s">
        <v>1453</v>
      </c>
    </row>
    <row r="1393" spans="1:11" x14ac:dyDescent="0.2">
      <c r="A1393" s="10">
        <v>1392</v>
      </c>
      <c r="B1393" s="10" t="s">
        <v>1798</v>
      </c>
      <c r="C1393" s="11" t="s">
        <v>1797</v>
      </c>
      <c r="D1393" s="10" t="s">
        <v>4419</v>
      </c>
      <c r="E1393" s="10" t="s">
        <v>7599</v>
      </c>
      <c r="F1393" s="11" t="s">
        <v>7600</v>
      </c>
      <c r="G1393" s="10" t="s">
        <v>13</v>
      </c>
      <c r="H1393" s="12">
        <v>46263</v>
      </c>
      <c r="I1393" s="10" t="s">
        <v>1776</v>
      </c>
      <c r="J1393" s="10" t="str">
        <f>IFERROR(INDEX([1]Programas!$B$2:$B$50,MATCH(LEFT(I1393,3),[1]Programas!$A$2:$A$50,0)),"")</f>
        <v>IA Aplicada y Automati</v>
      </c>
      <c r="K1393" s="10" t="s">
        <v>1453</v>
      </c>
    </row>
    <row r="1394" spans="1:11" x14ac:dyDescent="0.2">
      <c r="A1394" s="10">
        <v>1393</v>
      </c>
      <c r="B1394" s="10" t="s">
        <v>7601</v>
      </c>
      <c r="C1394" s="11" t="s">
        <v>1801</v>
      </c>
      <c r="D1394" s="10" t="s">
        <v>4419</v>
      </c>
      <c r="E1394" s="10" t="s">
        <v>7602</v>
      </c>
      <c r="F1394" s="11" t="s">
        <v>7603</v>
      </c>
      <c r="G1394" s="10" t="s">
        <v>13</v>
      </c>
      <c r="H1394" s="12">
        <v>46263</v>
      </c>
      <c r="I1394" s="10" t="s">
        <v>1776</v>
      </c>
      <c r="J1394" s="10" t="str">
        <f>IFERROR(INDEX([1]Programas!$B$2:$B$50,MATCH(LEFT(I1394,3),[1]Programas!$A$2:$A$50,0)),"")</f>
        <v>IA Aplicada y Automati</v>
      </c>
      <c r="K1394" s="10" t="s">
        <v>1453</v>
      </c>
    </row>
    <row r="1395" spans="1:11" x14ac:dyDescent="0.2">
      <c r="A1395" s="10">
        <v>1394</v>
      </c>
      <c r="B1395" s="10" t="s">
        <v>1804</v>
      </c>
      <c r="C1395" s="11" t="s">
        <v>1803</v>
      </c>
      <c r="D1395" s="10" t="s">
        <v>4419</v>
      </c>
      <c r="E1395" s="10" t="s">
        <v>7604</v>
      </c>
      <c r="F1395" s="11" t="s">
        <v>7605</v>
      </c>
      <c r="G1395" s="10" t="s">
        <v>13</v>
      </c>
      <c r="H1395" s="12">
        <v>46263</v>
      </c>
      <c r="I1395" s="10" t="s">
        <v>1776</v>
      </c>
      <c r="J1395" s="10" t="str">
        <f>IFERROR(INDEX([1]Programas!$B$2:$B$50,MATCH(LEFT(I1395,3),[1]Programas!$A$2:$A$50,0)),"")</f>
        <v>IA Aplicada y Automati</v>
      </c>
      <c r="K1395" s="10" t="s">
        <v>1453</v>
      </c>
    </row>
    <row r="1396" spans="1:11" x14ac:dyDescent="0.2">
      <c r="A1396" s="10">
        <v>1395</v>
      </c>
      <c r="B1396" s="10" t="s">
        <v>1806</v>
      </c>
      <c r="C1396" s="11" t="s">
        <v>1805</v>
      </c>
      <c r="D1396" s="10" t="s">
        <v>4419</v>
      </c>
      <c r="E1396" s="10" t="s">
        <v>7606</v>
      </c>
      <c r="F1396" s="11" t="s">
        <v>7607</v>
      </c>
      <c r="G1396" s="10" t="s">
        <v>13</v>
      </c>
      <c r="H1396" s="12">
        <v>46263</v>
      </c>
      <c r="I1396" s="10" t="s">
        <v>1776</v>
      </c>
      <c r="J1396" s="10" t="str">
        <f>IFERROR(INDEX([1]Programas!$B$2:$B$50,MATCH(LEFT(I1396,3),[1]Programas!$A$2:$A$50,0)),"")</f>
        <v>IA Aplicada y Automati</v>
      </c>
      <c r="K1396" s="10" t="s">
        <v>1453</v>
      </c>
    </row>
    <row r="1397" spans="1:11" x14ac:dyDescent="0.2">
      <c r="A1397" s="10">
        <v>1396</v>
      </c>
      <c r="B1397" s="10" t="s">
        <v>1808</v>
      </c>
      <c r="C1397" s="11" t="s">
        <v>1807</v>
      </c>
      <c r="D1397" s="10" t="s">
        <v>4419</v>
      </c>
      <c r="E1397" s="10" t="s">
        <v>7608</v>
      </c>
      <c r="F1397" s="11" t="s">
        <v>7609</v>
      </c>
      <c r="G1397" s="10" t="s">
        <v>13</v>
      </c>
      <c r="H1397" s="12">
        <v>46263</v>
      </c>
      <c r="I1397" s="10" t="s">
        <v>1776</v>
      </c>
      <c r="J1397" s="10" t="str">
        <f>IFERROR(INDEX([1]Programas!$B$2:$B$50,MATCH(LEFT(I1397,3),[1]Programas!$A$2:$A$50,0)),"")</f>
        <v>IA Aplicada y Automati</v>
      </c>
      <c r="K1397" s="10" t="s">
        <v>1453</v>
      </c>
    </row>
    <row r="1398" spans="1:11" x14ac:dyDescent="0.2">
      <c r="A1398" s="10">
        <v>1397</v>
      </c>
      <c r="B1398" s="10" t="s">
        <v>1810</v>
      </c>
      <c r="C1398" s="11" t="s">
        <v>1809</v>
      </c>
      <c r="D1398" s="10" t="s">
        <v>4419</v>
      </c>
      <c r="E1398" s="10" t="s">
        <v>7610</v>
      </c>
      <c r="F1398" s="11" t="s">
        <v>7611</v>
      </c>
      <c r="G1398" s="10" t="s">
        <v>13</v>
      </c>
      <c r="H1398" s="12">
        <v>46263</v>
      </c>
      <c r="I1398" s="10" t="s">
        <v>1776</v>
      </c>
      <c r="J1398" s="10" t="str">
        <f>IFERROR(INDEX([1]Programas!$B$2:$B$50,MATCH(LEFT(I1398,3),[1]Programas!$A$2:$A$50,0)),"")</f>
        <v>IA Aplicada y Automati</v>
      </c>
      <c r="K1398" s="10" t="s">
        <v>1453</v>
      </c>
    </row>
    <row r="1399" spans="1:11" x14ac:dyDescent="0.2">
      <c r="A1399" s="10">
        <v>1398</v>
      </c>
      <c r="B1399" s="10" t="s">
        <v>1812</v>
      </c>
      <c r="C1399" s="11" t="s">
        <v>1811</v>
      </c>
      <c r="D1399" s="10" t="s">
        <v>4419</v>
      </c>
      <c r="E1399" s="10" t="s">
        <v>7612</v>
      </c>
      <c r="F1399" s="11" t="s">
        <v>7613</v>
      </c>
      <c r="G1399" s="10" t="s">
        <v>13</v>
      </c>
      <c r="H1399" s="12">
        <v>46263</v>
      </c>
      <c r="I1399" s="10" t="s">
        <v>1776</v>
      </c>
      <c r="J1399" s="10" t="str">
        <f>IFERROR(INDEX([1]Programas!$B$2:$B$50,MATCH(LEFT(I1399,3),[1]Programas!$A$2:$A$50,0)),"")</f>
        <v>IA Aplicada y Automati</v>
      </c>
      <c r="K1399" s="10" t="s">
        <v>1453</v>
      </c>
    </row>
    <row r="1400" spans="1:11" x14ac:dyDescent="0.2">
      <c r="A1400" s="10">
        <v>1399</v>
      </c>
      <c r="B1400" s="10" t="s">
        <v>1814</v>
      </c>
      <c r="C1400" s="11" t="s">
        <v>1813</v>
      </c>
      <c r="D1400" s="10" t="s">
        <v>4419</v>
      </c>
      <c r="E1400" s="10" t="s">
        <v>7614</v>
      </c>
      <c r="F1400" s="11" t="s">
        <v>7615</v>
      </c>
      <c r="G1400" s="10" t="s">
        <v>13</v>
      </c>
      <c r="H1400" s="12">
        <v>46263</v>
      </c>
      <c r="I1400" s="10" t="s">
        <v>1776</v>
      </c>
      <c r="J1400" s="10" t="str">
        <f>IFERROR(INDEX([1]Programas!$B$2:$B$50,MATCH(LEFT(I1400,3),[1]Programas!$A$2:$A$50,0)),"")</f>
        <v>IA Aplicada y Automati</v>
      </c>
      <c r="K1400" s="10" t="s">
        <v>1453</v>
      </c>
    </row>
    <row r="1401" spans="1:11" x14ac:dyDescent="0.2">
      <c r="A1401" s="10">
        <v>1400</v>
      </c>
      <c r="B1401" s="10" t="s">
        <v>1816</v>
      </c>
      <c r="C1401" s="11" t="s">
        <v>1815</v>
      </c>
      <c r="D1401" s="10" t="s">
        <v>4419</v>
      </c>
      <c r="E1401" s="10" t="s">
        <v>7616</v>
      </c>
      <c r="F1401" s="11" t="s">
        <v>7617</v>
      </c>
      <c r="G1401" s="10" t="s">
        <v>13</v>
      </c>
      <c r="H1401" s="12">
        <v>46263</v>
      </c>
      <c r="I1401" s="10" t="s">
        <v>1776</v>
      </c>
      <c r="J1401" s="10" t="str">
        <f>IFERROR(INDEX([1]Programas!$B$2:$B$50,MATCH(LEFT(I1401,3),[1]Programas!$A$2:$A$50,0)),"")</f>
        <v>IA Aplicada y Automati</v>
      </c>
      <c r="K1401" s="10" t="s">
        <v>1453</v>
      </c>
    </row>
    <row r="1402" spans="1:11" x14ac:dyDescent="0.2">
      <c r="A1402" s="10">
        <v>1401</v>
      </c>
      <c r="B1402" s="10" t="s">
        <v>1818</v>
      </c>
      <c r="C1402" s="11" t="s">
        <v>1817</v>
      </c>
      <c r="D1402" s="10" t="s">
        <v>4419</v>
      </c>
      <c r="E1402" s="10" t="s">
        <v>7618</v>
      </c>
      <c r="F1402" s="11" t="s">
        <v>7619</v>
      </c>
      <c r="G1402" s="10" t="s">
        <v>13</v>
      </c>
      <c r="H1402" s="12">
        <v>46263</v>
      </c>
      <c r="I1402" s="10" t="s">
        <v>1776</v>
      </c>
      <c r="J1402" s="10" t="str">
        <f>IFERROR(INDEX([1]Programas!$B$2:$B$50,MATCH(LEFT(I1402,3),[1]Programas!$A$2:$A$50,0)),"")</f>
        <v>IA Aplicada y Automati</v>
      </c>
      <c r="K1402" s="10" t="s">
        <v>1453</v>
      </c>
    </row>
    <row r="1403" spans="1:11" x14ac:dyDescent="0.2">
      <c r="A1403" s="10">
        <v>1402</v>
      </c>
      <c r="B1403" s="10" t="s">
        <v>1820</v>
      </c>
      <c r="C1403" s="11" t="s">
        <v>1819</v>
      </c>
      <c r="D1403" s="10" t="s">
        <v>4419</v>
      </c>
      <c r="E1403" s="10" t="s">
        <v>7620</v>
      </c>
      <c r="F1403" s="11" t="s">
        <v>7621</v>
      </c>
      <c r="G1403" s="10" t="s">
        <v>13</v>
      </c>
      <c r="H1403" s="12">
        <v>46263</v>
      </c>
      <c r="I1403" s="10" t="s">
        <v>1776</v>
      </c>
      <c r="J1403" s="10" t="str">
        <f>IFERROR(INDEX([1]Programas!$B$2:$B$50,MATCH(LEFT(I1403,3),[1]Programas!$A$2:$A$50,0)),"")</f>
        <v>IA Aplicada y Automati</v>
      </c>
      <c r="K1403" s="10" t="s">
        <v>1453</v>
      </c>
    </row>
    <row r="1404" spans="1:11" x14ac:dyDescent="0.2">
      <c r="A1404" s="10">
        <v>1403</v>
      </c>
      <c r="B1404" s="10" t="s">
        <v>1822</v>
      </c>
      <c r="C1404" s="11" t="s">
        <v>1821</v>
      </c>
      <c r="D1404" s="10" t="s">
        <v>4419</v>
      </c>
      <c r="E1404" s="10" t="s">
        <v>7622</v>
      </c>
      <c r="F1404" s="11" t="s">
        <v>7623</v>
      </c>
      <c r="G1404" s="10" t="s">
        <v>13</v>
      </c>
      <c r="H1404" s="12">
        <v>46263</v>
      </c>
      <c r="I1404" s="10" t="s">
        <v>1776</v>
      </c>
      <c r="J1404" s="10" t="str">
        <f>IFERROR(INDEX([1]Programas!$B$2:$B$50,MATCH(LEFT(I1404,3),[1]Programas!$A$2:$A$50,0)),"")</f>
        <v>IA Aplicada y Automati</v>
      </c>
      <c r="K1404" s="10" t="s">
        <v>1453</v>
      </c>
    </row>
    <row r="1405" spans="1:11" x14ac:dyDescent="0.2">
      <c r="A1405" s="10">
        <v>1404</v>
      </c>
      <c r="B1405" s="10" t="s">
        <v>7624</v>
      </c>
      <c r="C1405" s="11" t="s">
        <v>1823</v>
      </c>
      <c r="D1405" s="10" t="s">
        <v>4419</v>
      </c>
      <c r="E1405" s="10" t="s">
        <v>7625</v>
      </c>
      <c r="F1405" s="11" t="s">
        <v>7626</v>
      </c>
      <c r="G1405" s="10" t="s">
        <v>13</v>
      </c>
      <c r="H1405" s="12">
        <v>46263</v>
      </c>
      <c r="I1405" s="10" t="s">
        <v>1776</v>
      </c>
      <c r="J1405" s="10" t="str">
        <f>IFERROR(INDEX([1]Programas!$B$2:$B$50,MATCH(LEFT(I1405,3),[1]Programas!$A$2:$A$50,0)),"")</f>
        <v>IA Aplicada y Automati</v>
      </c>
      <c r="K1405" s="10" t="s">
        <v>1453</v>
      </c>
    </row>
    <row r="1406" spans="1:11" x14ac:dyDescent="0.2">
      <c r="A1406" s="10">
        <v>1405</v>
      </c>
      <c r="B1406" s="10" t="s">
        <v>7627</v>
      </c>
      <c r="C1406" s="11" t="s">
        <v>1825</v>
      </c>
      <c r="D1406" s="10" t="s">
        <v>4419</v>
      </c>
      <c r="E1406" s="10" t="s">
        <v>7628</v>
      </c>
      <c r="F1406" s="11" t="s">
        <v>7629</v>
      </c>
      <c r="G1406" s="10" t="s">
        <v>13</v>
      </c>
      <c r="H1406" s="12">
        <v>46263</v>
      </c>
      <c r="I1406" s="10" t="s">
        <v>1776</v>
      </c>
      <c r="J1406" s="10" t="str">
        <f>IFERROR(INDEX([1]Programas!$B$2:$B$50,MATCH(LEFT(I1406,3),[1]Programas!$A$2:$A$50,0)),"")</f>
        <v>IA Aplicada y Automati</v>
      </c>
      <c r="K1406" s="10" t="s">
        <v>1453</v>
      </c>
    </row>
    <row r="1407" spans="1:11" x14ac:dyDescent="0.2">
      <c r="A1407" s="10">
        <v>1406</v>
      </c>
      <c r="B1407" s="10" t="s">
        <v>7630</v>
      </c>
      <c r="C1407" s="11" t="s">
        <v>1827</v>
      </c>
      <c r="D1407" s="10" t="s">
        <v>4419</v>
      </c>
      <c r="E1407" s="10" t="s">
        <v>7631</v>
      </c>
      <c r="F1407" s="11" t="s">
        <v>7632</v>
      </c>
      <c r="G1407" s="10" t="s">
        <v>13</v>
      </c>
      <c r="H1407" s="12">
        <v>46263</v>
      </c>
      <c r="I1407" s="10" t="s">
        <v>1776</v>
      </c>
      <c r="J1407" s="10" t="str">
        <f>IFERROR(INDEX([1]Programas!$B$2:$B$50,MATCH(LEFT(I1407,3),[1]Programas!$A$2:$A$50,0)),"")</f>
        <v>IA Aplicada y Automati</v>
      </c>
      <c r="K1407" s="10" t="s">
        <v>1453</v>
      </c>
    </row>
    <row r="1408" spans="1:11" x14ac:dyDescent="0.2">
      <c r="A1408" s="10">
        <v>1407</v>
      </c>
      <c r="B1408" s="10" t="s">
        <v>1830</v>
      </c>
      <c r="C1408" s="11" t="s">
        <v>1829</v>
      </c>
      <c r="D1408" s="10" t="s">
        <v>4419</v>
      </c>
      <c r="E1408" s="10" t="s">
        <v>7633</v>
      </c>
      <c r="F1408" s="11" t="s">
        <v>7634</v>
      </c>
      <c r="G1408" s="10" t="s">
        <v>13</v>
      </c>
      <c r="H1408" s="12">
        <v>46263</v>
      </c>
      <c r="I1408" s="10" t="s">
        <v>1776</v>
      </c>
      <c r="J1408" s="10" t="str">
        <f>IFERROR(INDEX([1]Programas!$B$2:$B$50,MATCH(LEFT(I1408,3),[1]Programas!$A$2:$A$50,0)),"")</f>
        <v>IA Aplicada y Automati</v>
      </c>
      <c r="K1408" s="10" t="s">
        <v>1453</v>
      </c>
    </row>
    <row r="1409" spans="1:11" x14ac:dyDescent="0.2">
      <c r="A1409" s="10">
        <v>1408</v>
      </c>
      <c r="B1409" s="10" t="s">
        <v>1832</v>
      </c>
      <c r="C1409" s="11" t="s">
        <v>1831</v>
      </c>
      <c r="D1409" s="10" t="s">
        <v>4419</v>
      </c>
      <c r="E1409" s="10" t="s">
        <v>7635</v>
      </c>
      <c r="F1409" s="11" t="s">
        <v>7636</v>
      </c>
      <c r="G1409" s="10" t="s">
        <v>13</v>
      </c>
      <c r="H1409" s="12">
        <v>46263</v>
      </c>
      <c r="I1409" s="10" t="s">
        <v>1776</v>
      </c>
      <c r="J1409" s="10" t="str">
        <f>IFERROR(INDEX([1]Programas!$B$2:$B$50,MATCH(LEFT(I1409,3),[1]Programas!$A$2:$A$50,0)),"")</f>
        <v>IA Aplicada y Automati</v>
      </c>
      <c r="K1409" s="10" t="s">
        <v>1453</v>
      </c>
    </row>
    <row r="1410" spans="1:11" x14ac:dyDescent="0.2">
      <c r="A1410" s="10">
        <v>1409</v>
      </c>
      <c r="B1410" s="10" t="s">
        <v>1834</v>
      </c>
      <c r="C1410" s="11" t="s">
        <v>1833</v>
      </c>
      <c r="D1410" s="10" t="s">
        <v>4419</v>
      </c>
      <c r="E1410" s="10" t="s">
        <v>7637</v>
      </c>
      <c r="F1410" s="11" t="s">
        <v>7638</v>
      </c>
      <c r="G1410" s="10" t="s">
        <v>13</v>
      </c>
      <c r="H1410" s="12">
        <v>46263</v>
      </c>
      <c r="I1410" s="10" t="s">
        <v>1776</v>
      </c>
      <c r="J1410" s="10" t="str">
        <f>IFERROR(INDEX([1]Programas!$B$2:$B$50,MATCH(LEFT(I1410,3),[1]Programas!$A$2:$A$50,0)),"")</f>
        <v>IA Aplicada y Automati</v>
      </c>
      <c r="K1410" s="10" t="s">
        <v>1453</v>
      </c>
    </row>
    <row r="1411" spans="1:11" x14ac:dyDescent="0.2">
      <c r="A1411" s="10">
        <v>1410</v>
      </c>
      <c r="B1411" s="10" t="s">
        <v>7639</v>
      </c>
      <c r="C1411" s="11" t="s">
        <v>1835</v>
      </c>
      <c r="D1411" s="10" t="s">
        <v>4419</v>
      </c>
      <c r="E1411" s="10" t="s">
        <v>7640</v>
      </c>
      <c r="F1411" s="11" t="s">
        <v>7641</v>
      </c>
      <c r="G1411" s="10" t="s">
        <v>13</v>
      </c>
      <c r="H1411" s="12">
        <v>46263</v>
      </c>
      <c r="I1411" s="10" t="s">
        <v>1776</v>
      </c>
      <c r="J1411" s="10" t="str">
        <f>IFERROR(INDEX([1]Programas!$B$2:$B$50,MATCH(LEFT(I1411,3),[1]Programas!$A$2:$A$50,0)),"")</f>
        <v>IA Aplicada y Automati</v>
      </c>
      <c r="K1411" s="10" t="s">
        <v>1453</v>
      </c>
    </row>
    <row r="1412" spans="1:11" x14ac:dyDescent="0.2">
      <c r="A1412" s="10">
        <v>1411</v>
      </c>
      <c r="B1412" s="10" t="s">
        <v>1838</v>
      </c>
      <c r="C1412" s="11" t="s">
        <v>1837</v>
      </c>
      <c r="D1412" s="10" t="s">
        <v>4419</v>
      </c>
      <c r="E1412" s="10" t="s">
        <v>7642</v>
      </c>
      <c r="F1412" s="11" t="s">
        <v>7643</v>
      </c>
      <c r="G1412" s="10" t="s">
        <v>13</v>
      </c>
      <c r="H1412" s="12">
        <v>46263</v>
      </c>
      <c r="I1412" s="10" t="s">
        <v>1776</v>
      </c>
      <c r="J1412" s="10" t="str">
        <f>IFERROR(INDEX([1]Programas!$B$2:$B$50,MATCH(LEFT(I1412,3),[1]Programas!$A$2:$A$50,0)),"")</f>
        <v>IA Aplicada y Automati</v>
      </c>
      <c r="K1412" s="10" t="s">
        <v>1453</v>
      </c>
    </row>
    <row r="1413" spans="1:11" x14ac:dyDescent="0.2">
      <c r="A1413" s="10">
        <v>1412</v>
      </c>
      <c r="B1413" s="10" t="s">
        <v>1840</v>
      </c>
      <c r="C1413" s="11" t="s">
        <v>1839</v>
      </c>
      <c r="D1413" s="10" t="s">
        <v>4419</v>
      </c>
      <c r="E1413" s="10" t="s">
        <v>7644</v>
      </c>
      <c r="F1413" s="11" t="s">
        <v>7645</v>
      </c>
      <c r="G1413" s="10" t="s">
        <v>13</v>
      </c>
      <c r="H1413" s="12">
        <v>46263</v>
      </c>
      <c r="I1413" s="10" t="s">
        <v>1776</v>
      </c>
      <c r="J1413" s="10" t="str">
        <f>IFERROR(INDEX([1]Programas!$B$2:$B$50,MATCH(LEFT(I1413,3),[1]Programas!$A$2:$A$50,0)),"")</f>
        <v>IA Aplicada y Automati</v>
      </c>
      <c r="K1413" s="10" t="s">
        <v>1453</v>
      </c>
    </row>
    <row r="1414" spans="1:11" x14ac:dyDescent="0.2">
      <c r="A1414" s="10">
        <v>1413</v>
      </c>
      <c r="B1414" s="10" t="s">
        <v>1842</v>
      </c>
      <c r="C1414" s="11" t="s">
        <v>1841</v>
      </c>
      <c r="D1414" s="10" t="s">
        <v>4419</v>
      </c>
      <c r="E1414" s="10" t="s">
        <v>7646</v>
      </c>
      <c r="F1414" s="11" t="s">
        <v>7647</v>
      </c>
      <c r="G1414" s="10" t="s">
        <v>13</v>
      </c>
      <c r="H1414" s="12">
        <v>46263</v>
      </c>
      <c r="I1414" s="10" t="s">
        <v>1776</v>
      </c>
      <c r="J1414" s="10" t="str">
        <f>IFERROR(INDEX([1]Programas!$B$2:$B$50,MATCH(LEFT(I1414,3),[1]Programas!$A$2:$A$50,0)),"")</f>
        <v>IA Aplicada y Automati</v>
      </c>
      <c r="K1414" s="10" t="s">
        <v>1453</v>
      </c>
    </row>
    <row r="1415" spans="1:11" x14ac:dyDescent="0.2">
      <c r="A1415" s="10">
        <v>1414</v>
      </c>
      <c r="B1415" s="10" t="s">
        <v>1844</v>
      </c>
      <c r="C1415" s="11" t="s">
        <v>1843</v>
      </c>
      <c r="D1415" s="10" t="s">
        <v>4419</v>
      </c>
      <c r="E1415" s="10" t="s">
        <v>7648</v>
      </c>
      <c r="F1415" s="11" t="s">
        <v>7649</v>
      </c>
      <c r="G1415" s="10" t="s">
        <v>13</v>
      </c>
      <c r="H1415" s="12">
        <v>46263</v>
      </c>
      <c r="I1415" s="10" t="s">
        <v>1776</v>
      </c>
      <c r="J1415" s="10" t="str">
        <f>IFERROR(INDEX([1]Programas!$B$2:$B$50,MATCH(LEFT(I1415,3),[1]Programas!$A$2:$A$50,0)),"")</f>
        <v>IA Aplicada y Automati</v>
      </c>
      <c r="K1415" s="10" t="s">
        <v>1453</v>
      </c>
    </row>
    <row r="1416" spans="1:11" x14ac:dyDescent="0.2">
      <c r="A1416" s="10">
        <v>1415</v>
      </c>
      <c r="B1416" s="10" t="s">
        <v>1846</v>
      </c>
      <c r="C1416" s="11" t="s">
        <v>1845</v>
      </c>
      <c r="D1416" s="10" t="s">
        <v>4419</v>
      </c>
      <c r="E1416" s="10" t="s">
        <v>7650</v>
      </c>
      <c r="F1416" s="11" t="s">
        <v>7651</v>
      </c>
      <c r="G1416" s="10" t="s">
        <v>13</v>
      </c>
      <c r="H1416" s="12">
        <v>46263</v>
      </c>
      <c r="I1416" s="10" t="s">
        <v>1776</v>
      </c>
      <c r="J1416" s="10" t="str">
        <f>IFERROR(INDEX([1]Programas!$B$2:$B$50,MATCH(LEFT(I1416,3),[1]Programas!$A$2:$A$50,0)),"")</f>
        <v>IA Aplicada y Automati</v>
      </c>
      <c r="K1416" s="10" t="s">
        <v>1453</v>
      </c>
    </row>
    <row r="1417" spans="1:11" x14ac:dyDescent="0.2">
      <c r="A1417" s="10">
        <v>1416</v>
      </c>
      <c r="B1417" s="10" t="s">
        <v>7652</v>
      </c>
      <c r="C1417" s="11" t="s">
        <v>1847</v>
      </c>
      <c r="D1417" s="10" t="s">
        <v>4419</v>
      </c>
      <c r="E1417" s="10" t="s">
        <v>7653</v>
      </c>
      <c r="F1417" s="11" t="s">
        <v>7654</v>
      </c>
      <c r="G1417" s="10" t="s">
        <v>13</v>
      </c>
      <c r="H1417" s="12">
        <v>46263</v>
      </c>
      <c r="I1417" s="10" t="s">
        <v>1776</v>
      </c>
      <c r="J1417" s="10" t="str">
        <f>IFERROR(INDEX([1]Programas!$B$2:$B$50,MATCH(LEFT(I1417,3),[1]Programas!$A$2:$A$50,0)),"")</f>
        <v>IA Aplicada y Automati</v>
      </c>
      <c r="K1417" s="10" t="s">
        <v>1453</v>
      </c>
    </row>
    <row r="1418" spans="1:11" x14ac:dyDescent="0.2">
      <c r="A1418" s="10">
        <v>1417</v>
      </c>
      <c r="B1418" s="10" t="s">
        <v>1852</v>
      </c>
      <c r="C1418" s="11" t="s">
        <v>1851</v>
      </c>
      <c r="D1418" s="10" t="s">
        <v>4419</v>
      </c>
      <c r="E1418" s="10" t="s">
        <v>7655</v>
      </c>
      <c r="F1418" s="11" t="s">
        <v>7656</v>
      </c>
      <c r="G1418" s="10" t="s">
        <v>13</v>
      </c>
      <c r="H1418" s="12">
        <v>46263</v>
      </c>
      <c r="I1418" s="10" t="s">
        <v>1776</v>
      </c>
      <c r="J1418" s="10" t="str">
        <f>IFERROR(INDEX([1]Programas!$B$2:$B$50,MATCH(LEFT(I1418,3),[1]Programas!$A$2:$A$50,0)),"")</f>
        <v>IA Aplicada y Automati</v>
      </c>
      <c r="K1418" s="10" t="s">
        <v>1453</v>
      </c>
    </row>
    <row r="1419" spans="1:11" x14ac:dyDescent="0.2">
      <c r="A1419" s="10">
        <v>1418</v>
      </c>
      <c r="B1419" s="10" t="s">
        <v>1854</v>
      </c>
      <c r="C1419" s="11" t="s">
        <v>1853</v>
      </c>
      <c r="D1419" s="10" t="s">
        <v>4453</v>
      </c>
      <c r="E1419" s="10" t="s">
        <v>7657</v>
      </c>
      <c r="F1419" s="11" t="s">
        <v>7658</v>
      </c>
      <c r="G1419" s="10" t="s">
        <v>13</v>
      </c>
      <c r="H1419" s="12">
        <v>46263</v>
      </c>
      <c r="I1419" s="10" t="s">
        <v>1776</v>
      </c>
      <c r="J1419" s="10" t="str">
        <f>IFERROR(INDEX([1]Programas!$B$2:$B$50,MATCH(LEFT(I1419,3),[1]Programas!$A$2:$A$50,0)),"")</f>
        <v>IA Aplicada y Automati</v>
      </c>
      <c r="K1419" s="10" t="s">
        <v>1453</v>
      </c>
    </row>
    <row r="1420" spans="1:11" x14ac:dyDescent="0.2">
      <c r="A1420" s="10">
        <v>1419</v>
      </c>
      <c r="B1420" s="10" t="s">
        <v>1856</v>
      </c>
      <c r="C1420" s="11" t="s">
        <v>1855</v>
      </c>
      <c r="D1420" s="10" t="s">
        <v>4419</v>
      </c>
      <c r="E1420" s="10" t="s">
        <v>7659</v>
      </c>
      <c r="F1420" s="11" t="s">
        <v>7660</v>
      </c>
      <c r="G1420" s="10" t="s">
        <v>13</v>
      </c>
      <c r="H1420" s="12">
        <v>46263</v>
      </c>
      <c r="I1420" s="10" t="s">
        <v>1776</v>
      </c>
      <c r="J1420" s="10" t="str">
        <f>IFERROR(INDEX([1]Programas!$B$2:$B$50,MATCH(LEFT(I1420,3),[1]Programas!$A$2:$A$50,0)),"")</f>
        <v>IA Aplicada y Automati</v>
      </c>
      <c r="K1420" s="10" t="s">
        <v>1453</v>
      </c>
    </row>
    <row r="1421" spans="1:11" x14ac:dyDescent="0.2">
      <c r="A1421" s="10">
        <v>1420</v>
      </c>
      <c r="B1421" s="10" t="s">
        <v>1858</v>
      </c>
      <c r="C1421" s="11" t="s">
        <v>1857</v>
      </c>
      <c r="D1421" s="10" t="s">
        <v>4419</v>
      </c>
      <c r="E1421" s="10" t="s">
        <v>7661</v>
      </c>
      <c r="F1421" s="11" t="s">
        <v>7662</v>
      </c>
      <c r="G1421" s="10" t="s">
        <v>13</v>
      </c>
      <c r="H1421" s="12">
        <v>46263</v>
      </c>
      <c r="I1421" s="10" t="s">
        <v>1776</v>
      </c>
      <c r="J1421" s="10" t="str">
        <f>IFERROR(INDEX([1]Programas!$B$2:$B$50,MATCH(LEFT(I1421,3),[1]Programas!$A$2:$A$50,0)),"")</f>
        <v>IA Aplicada y Automati</v>
      </c>
      <c r="K1421" s="10" t="s">
        <v>1453</v>
      </c>
    </row>
    <row r="1422" spans="1:11" x14ac:dyDescent="0.2">
      <c r="A1422" s="10">
        <v>1421</v>
      </c>
      <c r="B1422" s="10" t="s">
        <v>1749</v>
      </c>
      <c r="C1422" s="11" t="s">
        <v>1748</v>
      </c>
      <c r="D1422" s="10" t="s">
        <v>4419</v>
      </c>
      <c r="E1422" s="10" t="s">
        <v>7663</v>
      </c>
      <c r="F1422" s="11" t="s">
        <v>7664</v>
      </c>
      <c r="G1422" s="10" t="s">
        <v>13</v>
      </c>
      <c r="H1422" s="12">
        <v>46275</v>
      </c>
      <c r="I1422" s="10" t="s">
        <v>1776</v>
      </c>
      <c r="J1422" s="10" t="str">
        <f>IFERROR(INDEX([1]Programas!$B$2:$B$50,MATCH(LEFT(I1422,3),[1]Programas!$A$2:$A$50,0)),"")</f>
        <v>IA Aplicada y Automati</v>
      </c>
      <c r="K1422" s="10" t="s">
        <v>1453</v>
      </c>
    </row>
    <row r="1423" spans="1:11" x14ac:dyDescent="0.2">
      <c r="A1423" s="10">
        <v>1422</v>
      </c>
      <c r="B1423" s="10" t="s">
        <v>1860</v>
      </c>
      <c r="C1423" s="11" t="s">
        <v>1859</v>
      </c>
      <c r="D1423" s="10" t="s">
        <v>4419</v>
      </c>
      <c r="E1423" s="10" t="s">
        <v>7665</v>
      </c>
      <c r="F1423" s="11" t="s">
        <v>7666</v>
      </c>
      <c r="G1423" s="10" t="s">
        <v>13</v>
      </c>
      <c r="H1423" s="12">
        <v>46263</v>
      </c>
      <c r="I1423" s="10" t="s">
        <v>1862</v>
      </c>
      <c r="J1423" s="10" t="str">
        <f>IFERROR(INDEX([1]Programas!$B$2:$B$50,MATCH(LEFT(I1423,3),[1]Programas!$A$2:$A$50,0)),"")</f>
        <v>IA Aplicada y Automati</v>
      </c>
      <c r="K1423" s="10" t="s">
        <v>1863</v>
      </c>
    </row>
    <row r="1424" spans="1:11" x14ac:dyDescent="0.2">
      <c r="A1424" s="10">
        <v>1423</v>
      </c>
      <c r="B1424" s="10" t="s">
        <v>7667</v>
      </c>
      <c r="C1424" s="11" t="s">
        <v>1865</v>
      </c>
      <c r="D1424" s="10" t="s">
        <v>4419</v>
      </c>
      <c r="E1424" s="10" t="s">
        <v>7668</v>
      </c>
      <c r="F1424" s="11" t="s">
        <v>7669</v>
      </c>
      <c r="G1424" s="10" t="s">
        <v>13</v>
      </c>
      <c r="H1424" s="12">
        <v>46263</v>
      </c>
      <c r="I1424" s="10" t="s">
        <v>1862</v>
      </c>
      <c r="J1424" s="10" t="str">
        <f>IFERROR(INDEX([1]Programas!$B$2:$B$50,MATCH(LEFT(I1424,3),[1]Programas!$A$2:$A$50,0)),"")</f>
        <v>IA Aplicada y Automati</v>
      </c>
      <c r="K1424" s="10" t="s">
        <v>1863</v>
      </c>
    </row>
    <row r="1425" spans="1:11" x14ac:dyDescent="0.2">
      <c r="A1425" s="10">
        <v>1424</v>
      </c>
      <c r="B1425" s="10" t="s">
        <v>1870</v>
      </c>
      <c r="C1425" s="11" t="s">
        <v>1869</v>
      </c>
      <c r="D1425" s="10" t="s">
        <v>4419</v>
      </c>
      <c r="E1425" s="10" t="s">
        <v>7670</v>
      </c>
      <c r="F1425" s="11" t="s">
        <v>7671</v>
      </c>
      <c r="G1425" s="10" t="s">
        <v>13</v>
      </c>
      <c r="H1425" s="12">
        <v>46263</v>
      </c>
      <c r="I1425" s="10" t="s">
        <v>1862</v>
      </c>
      <c r="J1425" s="10" t="str">
        <f>IFERROR(INDEX([1]Programas!$B$2:$B$50,MATCH(LEFT(I1425,3),[1]Programas!$A$2:$A$50,0)),"")</f>
        <v>IA Aplicada y Automati</v>
      </c>
      <c r="K1425" s="10" t="s">
        <v>1863</v>
      </c>
    </row>
    <row r="1426" spans="1:11" x14ac:dyDescent="0.2">
      <c r="A1426" s="10">
        <v>1425</v>
      </c>
      <c r="B1426" s="10" t="s">
        <v>1872</v>
      </c>
      <c r="C1426" s="11" t="s">
        <v>1871</v>
      </c>
      <c r="D1426" s="10" t="s">
        <v>4419</v>
      </c>
      <c r="E1426" s="10" t="s">
        <v>7672</v>
      </c>
      <c r="F1426" s="11" t="s">
        <v>7673</v>
      </c>
      <c r="G1426" s="10" t="s">
        <v>13</v>
      </c>
      <c r="H1426" s="12">
        <v>46263</v>
      </c>
      <c r="I1426" s="10" t="s">
        <v>1862</v>
      </c>
      <c r="J1426" s="10" t="str">
        <f>IFERROR(INDEX([1]Programas!$B$2:$B$50,MATCH(LEFT(I1426,3),[1]Programas!$A$2:$A$50,0)),"")</f>
        <v>IA Aplicada y Automati</v>
      </c>
      <c r="K1426" s="10" t="s">
        <v>1863</v>
      </c>
    </row>
    <row r="1427" spans="1:11" x14ac:dyDescent="0.2">
      <c r="A1427" s="10">
        <v>1426</v>
      </c>
      <c r="B1427" s="10" t="s">
        <v>1874</v>
      </c>
      <c r="C1427" s="11" t="s">
        <v>1873</v>
      </c>
      <c r="D1427" s="10" t="s">
        <v>4419</v>
      </c>
      <c r="E1427" s="10" t="s">
        <v>7674</v>
      </c>
      <c r="F1427" s="11" t="s">
        <v>7675</v>
      </c>
      <c r="G1427" s="10" t="s">
        <v>13</v>
      </c>
      <c r="H1427" s="12">
        <v>46263</v>
      </c>
      <c r="I1427" s="10" t="s">
        <v>1862</v>
      </c>
      <c r="J1427" s="10" t="str">
        <f>IFERROR(INDEX([1]Programas!$B$2:$B$50,MATCH(LEFT(I1427,3),[1]Programas!$A$2:$A$50,0)),"")</f>
        <v>IA Aplicada y Automati</v>
      </c>
      <c r="K1427" s="10" t="s">
        <v>1863</v>
      </c>
    </row>
    <row r="1428" spans="1:11" x14ac:dyDescent="0.2">
      <c r="A1428" s="10">
        <v>1427</v>
      </c>
      <c r="B1428" s="10" t="s">
        <v>7676</v>
      </c>
      <c r="C1428" s="11" t="s">
        <v>1875</v>
      </c>
      <c r="D1428" s="10" t="s">
        <v>4419</v>
      </c>
      <c r="E1428" s="10" t="s">
        <v>7677</v>
      </c>
      <c r="F1428" s="11" t="s">
        <v>7678</v>
      </c>
      <c r="G1428" s="10" t="s">
        <v>13</v>
      </c>
      <c r="H1428" s="12">
        <v>46263</v>
      </c>
      <c r="I1428" s="10" t="s">
        <v>1862</v>
      </c>
      <c r="J1428" s="10" t="str">
        <f>IFERROR(INDEX([1]Programas!$B$2:$B$50,MATCH(LEFT(I1428,3),[1]Programas!$A$2:$A$50,0)),"")</f>
        <v>IA Aplicada y Automati</v>
      </c>
      <c r="K1428" s="10" t="s">
        <v>1863</v>
      </c>
    </row>
    <row r="1429" spans="1:11" x14ac:dyDescent="0.2">
      <c r="A1429" s="10">
        <v>1428</v>
      </c>
      <c r="B1429" s="10" t="s">
        <v>1878</v>
      </c>
      <c r="C1429" s="11" t="s">
        <v>1877</v>
      </c>
      <c r="D1429" s="10" t="s">
        <v>4419</v>
      </c>
      <c r="E1429" s="10" t="s">
        <v>7679</v>
      </c>
      <c r="F1429" s="11" t="s">
        <v>7680</v>
      </c>
      <c r="G1429" s="10" t="s">
        <v>13</v>
      </c>
      <c r="H1429" s="12">
        <v>46263</v>
      </c>
      <c r="I1429" s="10" t="s">
        <v>1862</v>
      </c>
      <c r="J1429" s="10" t="str">
        <f>IFERROR(INDEX([1]Programas!$B$2:$B$50,MATCH(LEFT(I1429,3),[1]Programas!$A$2:$A$50,0)),"")</f>
        <v>IA Aplicada y Automati</v>
      </c>
      <c r="K1429" s="10" t="s">
        <v>1863</v>
      </c>
    </row>
    <row r="1430" spans="1:11" x14ac:dyDescent="0.2">
      <c r="A1430" s="10">
        <v>1429</v>
      </c>
      <c r="B1430" s="10" t="s">
        <v>1880</v>
      </c>
      <c r="C1430" s="11" t="s">
        <v>1879</v>
      </c>
      <c r="D1430" s="10" t="s">
        <v>4419</v>
      </c>
      <c r="E1430" s="10" t="s">
        <v>7681</v>
      </c>
      <c r="F1430" s="11" t="s">
        <v>7682</v>
      </c>
      <c r="G1430" s="10" t="s">
        <v>13</v>
      </c>
      <c r="H1430" s="12">
        <v>46263</v>
      </c>
      <c r="I1430" s="10" t="s">
        <v>1862</v>
      </c>
      <c r="J1430" s="10" t="str">
        <f>IFERROR(INDEX([1]Programas!$B$2:$B$50,MATCH(LEFT(I1430,3),[1]Programas!$A$2:$A$50,0)),"")</f>
        <v>IA Aplicada y Automati</v>
      </c>
      <c r="K1430" s="10" t="s">
        <v>1863</v>
      </c>
    </row>
    <row r="1431" spans="1:11" x14ac:dyDescent="0.2">
      <c r="A1431" s="10">
        <v>1430</v>
      </c>
      <c r="B1431" s="10" t="s">
        <v>7683</v>
      </c>
      <c r="C1431" s="11" t="s">
        <v>1881</v>
      </c>
      <c r="D1431" s="10" t="s">
        <v>4419</v>
      </c>
      <c r="E1431" s="10" t="s">
        <v>7684</v>
      </c>
      <c r="F1431" s="11" t="s">
        <v>7685</v>
      </c>
      <c r="G1431" s="10" t="s">
        <v>13</v>
      </c>
      <c r="H1431" s="12">
        <v>46263</v>
      </c>
      <c r="I1431" s="10" t="s">
        <v>1862</v>
      </c>
      <c r="J1431" s="10" t="str">
        <f>IFERROR(INDEX([1]Programas!$B$2:$B$50,MATCH(LEFT(I1431,3),[1]Programas!$A$2:$A$50,0)),"")</f>
        <v>IA Aplicada y Automati</v>
      </c>
      <c r="K1431" s="10" t="s">
        <v>1863</v>
      </c>
    </row>
    <row r="1432" spans="1:11" x14ac:dyDescent="0.2">
      <c r="A1432" s="10">
        <v>1431</v>
      </c>
      <c r="B1432" s="10" t="s">
        <v>1884</v>
      </c>
      <c r="C1432" s="11" t="s">
        <v>1883</v>
      </c>
      <c r="D1432" s="10" t="s">
        <v>4419</v>
      </c>
      <c r="E1432" s="10" t="s">
        <v>7686</v>
      </c>
      <c r="F1432" s="11" t="s">
        <v>7687</v>
      </c>
      <c r="G1432" s="10" t="s">
        <v>13</v>
      </c>
      <c r="H1432" s="12">
        <v>46263</v>
      </c>
      <c r="I1432" s="10" t="s">
        <v>1862</v>
      </c>
      <c r="J1432" s="10" t="str">
        <f>IFERROR(INDEX([1]Programas!$B$2:$B$50,MATCH(LEFT(I1432,3),[1]Programas!$A$2:$A$50,0)),"")</f>
        <v>IA Aplicada y Automati</v>
      </c>
      <c r="K1432" s="10" t="s">
        <v>1863</v>
      </c>
    </row>
    <row r="1433" spans="1:11" x14ac:dyDescent="0.2">
      <c r="A1433" s="10">
        <v>1432</v>
      </c>
      <c r="B1433" s="10" t="s">
        <v>1886</v>
      </c>
      <c r="C1433" s="11" t="s">
        <v>1885</v>
      </c>
      <c r="D1433" s="10" t="s">
        <v>4419</v>
      </c>
      <c r="E1433" s="10" t="s">
        <v>7688</v>
      </c>
      <c r="F1433" s="11" t="s">
        <v>7689</v>
      </c>
      <c r="G1433" s="10" t="s">
        <v>13</v>
      </c>
      <c r="H1433" s="12">
        <v>46263</v>
      </c>
      <c r="I1433" s="10" t="s">
        <v>1862</v>
      </c>
      <c r="J1433" s="10" t="str">
        <f>IFERROR(INDEX([1]Programas!$B$2:$B$50,MATCH(LEFT(I1433,3),[1]Programas!$A$2:$A$50,0)),"")</f>
        <v>IA Aplicada y Automati</v>
      </c>
      <c r="K1433" s="10" t="s">
        <v>1863</v>
      </c>
    </row>
    <row r="1434" spans="1:11" x14ac:dyDescent="0.2">
      <c r="A1434" s="10">
        <v>1433</v>
      </c>
      <c r="B1434" s="10" t="s">
        <v>1888</v>
      </c>
      <c r="C1434" s="11" t="s">
        <v>1887</v>
      </c>
      <c r="D1434" s="10" t="s">
        <v>4419</v>
      </c>
      <c r="E1434" s="10" t="s">
        <v>7690</v>
      </c>
      <c r="F1434" s="11" t="s">
        <v>7691</v>
      </c>
      <c r="G1434" s="10" t="s">
        <v>13</v>
      </c>
      <c r="H1434" s="12">
        <v>46263</v>
      </c>
      <c r="I1434" s="10" t="s">
        <v>1862</v>
      </c>
      <c r="J1434" s="10" t="str">
        <f>IFERROR(INDEX([1]Programas!$B$2:$B$50,MATCH(LEFT(I1434,3),[1]Programas!$A$2:$A$50,0)),"")</f>
        <v>IA Aplicada y Automati</v>
      </c>
      <c r="K1434" s="10" t="s">
        <v>1863</v>
      </c>
    </row>
    <row r="1435" spans="1:11" x14ac:dyDescent="0.2">
      <c r="A1435" s="10">
        <v>1434</v>
      </c>
      <c r="B1435" s="10" t="s">
        <v>1890</v>
      </c>
      <c r="C1435" s="11" t="s">
        <v>1889</v>
      </c>
      <c r="D1435" s="10" t="s">
        <v>4419</v>
      </c>
      <c r="E1435" s="10" t="s">
        <v>7692</v>
      </c>
      <c r="F1435" s="11" t="s">
        <v>7693</v>
      </c>
      <c r="G1435" s="10" t="s">
        <v>13</v>
      </c>
      <c r="H1435" s="12">
        <v>46263</v>
      </c>
      <c r="I1435" s="10" t="s">
        <v>1862</v>
      </c>
      <c r="J1435" s="10" t="str">
        <f>IFERROR(INDEX([1]Programas!$B$2:$B$50,MATCH(LEFT(I1435,3),[1]Programas!$A$2:$A$50,0)),"")</f>
        <v>IA Aplicada y Automati</v>
      </c>
      <c r="K1435" s="10" t="s">
        <v>1863</v>
      </c>
    </row>
    <row r="1436" spans="1:11" x14ac:dyDescent="0.2">
      <c r="A1436" s="10">
        <v>1435</v>
      </c>
      <c r="B1436" s="10" t="s">
        <v>1892</v>
      </c>
      <c r="C1436" s="11" t="s">
        <v>1891</v>
      </c>
      <c r="D1436" s="10" t="s">
        <v>4419</v>
      </c>
      <c r="E1436" s="10" t="s">
        <v>7694</v>
      </c>
      <c r="F1436" s="11" t="s">
        <v>7695</v>
      </c>
      <c r="G1436" s="10" t="s">
        <v>13</v>
      </c>
      <c r="H1436" s="12">
        <v>46263</v>
      </c>
      <c r="I1436" s="10" t="s">
        <v>1862</v>
      </c>
      <c r="J1436" s="10" t="str">
        <f>IFERROR(INDEX([1]Programas!$B$2:$B$50,MATCH(LEFT(I1436,3),[1]Programas!$A$2:$A$50,0)),"")</f>
        <v>IA Aplicada y Automati</v>
      </c>
      <c r="K1436" s="10" t="s">
        <v>1863</v>
      </c>
    </row>
    <row r="1437" spans="1:11" x14ac:dyDescent="0.2">
      <c r="A1437" s="10">
        <v>1436</v>
      </c>
      <c r="B1437" s="10" t="s">
        <v>1894</v>
      </c>
      <c r="C1437" s="11" t="s">
        <v>1893</v>
      </c>
      <c r="D1437" s="10" t="s">
        <v>4419</v>
      </c>
      <c r="E1437" s="10" t="s">
        <v>7696</v>
      </c>
      <c r="F1437" s="11" t="s">
        <v>7697</v>
      </c>
      <c r="G1437" s="10" t="s">
        <v>13</v>
      </c>
      <c r="H1437" s="12">
        <v>46263</v>
      </c>
      <c r="I1437" s="10" t="s">
        <v>1862</v>
      </c>
      <c r="J1437" s="10" t="str">
        <f>IFERROR(INDEX([1]Programas!$B$2:$B$50,MATCH(LEFT(I1437,3),[1]Programas!$A$2:$A$50,0)),"")</f>
        <v>IA Aplicada y Automati</v>
      </c>
      <c r="K1437" s="10" t="s">
        <v>1863</v>
      </c>
    </row>
    <row r="1438" spans="1:11" x14ac:dyDescent="0.2">
      <c r="A1438" s="10">
        <v>1437</v>
      </c>
      <c r="B1438" s="10" t="s">
        <v>1896</v>
      </c>
      <c r="C1438" s="11" t="s">
        <v>1895</v>
      </c>
      <c r="D1438" s="10" t="s">
        <v>4419</v>
      </c>
      <c r="E1438" s="10" t="s">
        <v>7698</v>
      </c>
      <c r="F1438" s="11" t="s">
        <v>7699</v>
      </c>
      <c r="G1438" s="10" t="s">
        <v>13</v>
      </c>
      <c r="H1438" s="12">
        <v>46263</v>
      </c>
      <c r="I1438" s="10" t="s">
        <v>1862</v>
      </c>
      <c r="J1438" s="10" t="str">
        <f>IFERROR(INDEX([1]Programas!$B$2:$B$50,MATCH(LEFT(I1438,3),[1]Programas!$A$2:$A$50,0)),"")</f>
        <v>IA Aplicada y Automati</v>
      </c>
      <c r="K1438" s="10" t="s">
        <v>1863</v>
      </c>
    </row>
    <row r="1439" spans="1:11" x14ac:dyDescent="0.2">
      <c r="A1439" s="10">
        <v>1438</v>
      </c>
      <c r="B1439" s="10" t="s">
        <v>1898</v>
      </c>
      <c r="C1439" s="11" t="s">
        <v>1897</v>
      </c>
      <c r="D1439" s="10" t="s">
        <v>4419</v>
      </c>
      <c r="E1439" s="10" t="s">
        <v>7700</v>
      </c>
      <c r="F1439" s="11" t="s">
        <v>7701</v>
      </c>
      <c r="G1439" s="10" t="s">
        <v>13</v>
      </c>
      <c r="H1439" s="12">
        <v>46263</v>
      </c>
      <c r="I1439" s="10" t="s">
        <v>1862</v>
      </c>
      <c r="J1439" s="10" t="str">
        <f>IFERROR(INDEX([1]Programas!$B$2:$B$50,MATCH(LEFT(I1439,3),[1]Programas!$A$2:$A$50,0)),"")</f>
        <v>IA Aplicada y Automati</v>
      </c>
      <c r="K1439" s="10" t="s">
        <v>1863</v>
      </c>
    </row>
    <row r="1440" spans="1:11" x14ac:dyDescent="0.2">
      <c r="A1440" s="10">
        <v>1439</v>
      </c>
      <c r="B1440" s="10" t="s">
        <v>1900</v>
      </c>
      <c r="C1440" s="11" t="s">
        <v>1899</v>
      </c>
      <c r="D1440" s="10" t="s">
        <v>4419</v>
      </c>
      <c r="E1440" s="10" t="s">
        <v>7702</v>
      </c>
      <c r="F1440" s="11" t="s">
        <v>7703</v>
      </c>
      <c r="G1440" s="10" t="s">
        <v>13</v>
      </c>
      <c r="H1440" s="12">
        <v>46263</v>
      </c>
      <c r="I1440" s="10" t="s">
        <v>1862</v>
      </c>
      <c r="J1440" s="10" t="str">
        <f>IFERROR(INDEX([1]Programas!$B$2:$B$50,MATCH(LEFT(I1440,3),[1]Programas!$A$2:$A$50,0)),"")</f>
        <v>IA Aplicada y Automati</v>
      </c>
      <c r="K1440" s="10" t="s">
        <v>1863</v>
      </c>
    </row>
    <row r="1441" spans="1:11" x14ac:dyDescent="0.2">
      <c r="A1441" s="10">
        <v>1440</v>
      </c>
      <c r="B1441" s="10" t="s">
        <v>7704</v>
      </c>
      <c r="C1441" s="11" t="s">
        <v>1901</v>
      </c>
      <c r="D1441" s="10" t="s">
        <v>4419</v>
      </c>
      <c r="E1441" s="10" t="s">
        <v>7705</v>
      </c>
      <c r="F1441" s="11" t="s">
        <v>7706</v>
      </c>
      <c r="G1441" s="10" t="s">
        <v>13</v>
      </c>
      <c r="H1441" s="12">
        <v>46263</v>
      </c>
      <c r="I1441" s="10" t="s">
        <v>1862</v>
      </c>
      <c r="J1441" s="10" t="str">
        <f>IFERROR(INDEX([1]Programas!$B$2:$B$50,MATCH(LEFT(I1441,3),[1]Programas!$A$2:$A$50,0)),"")</f>
        <v>IA Aplicada y Automati</v>
      </c>
      <c r="K1441" s="10" t="s">
        <v>1863</v>
      </c>
    </row>
    <row r="1442" spans="1:11" x14ac:dyDescent="0.2">
      <c r="A1442" s="10">
        <v>1441</v>
      </c>
      <c r="B1442" s="10" t="s">
        <v>7707</v>
      </c>
      <c r="C1442" s="11" t="s">
        <v>1903</v>
      </c>
      <c r="D1442" s="10" t="s">
        <v>4419</v>
      </c>
      <c r="E1442" s="10" t="s">
        <v>7708</v>
      </c>
      <c r="F1442" s="11" t="s">
        <v>7709</v>
      </c>
      <c r="G1442" s="10" t="s">
        <v>13</v>
      </c>
      <c r="H1442" s="12">
        <v>46263</v>
      </c>
      <c r="I1442" s="10" t="s">
        <v>1862</v>
      </c>
      <c r="J1442" s="10" t="str">
        <f>IFERROR(INDEX([1]Programas!$B$2:$B$50,MATCH(LEFT(I1442,3),[1]Programas!$A$2:$A$50,0)),"")</f>
        <v>IA Aplicada y Automati</v>
      </c>
      <c r="K1442" s="10" t="s">
        <v>1863</v>
      </c>
    </row>
    <row r="1443" spans="1:11" x14ac:dyDescent="0.2">
      <c r="A1443" s="10">
        <v>1442</v>
      </c>
      <c r="B1443" s="10" t="s">
        <v>1906</v>
      </c>
      <c r="C1443" s="11" t="s">
        <v>1905</v>
      </c>
      <c r="D1443" s="10" t="s">
        <v>4419</v>
      </c>
      <c r="E1443" s="10" t="s">
        <v>7710</v>
      </c>
      <c r="F1443" s="11" t="s">
        <v>7711</v>
      </c>
      <c r="G1443" s="10" t="s">
        <v>13</v>
      </c>
      <c r="H1443" s="12">
        <v>46263</v>
      </c>
      <c r="I1443" s="10" t="s">
        <v>1862</v>
      </c>
      <c r="J1443" s="10" t="str">
        <f>IFERROR(INDEX([1]Programas!$B$2:$B$50,MATCH(LEFT(I1443,3),[1]Programas!$A$2:$A$50,0)),"")</f>
        <v>IA Aplicada y Automati</v>
      </c>
      <c r="K1443" s="10" t="s">
        <v>1863</v>
      </c>
    </row>
    <row r="1444" spans="1:11" x14ac:dyDescent="0.2">
      <c r="A1444" s="10">
        <v>1443</v>
      </c>
      <c r="B1444" s="10" t="s">
        <v>1908</v>
      </c>
      <c r="C1444" s="11" t="s">
        <v>1907</v>
      </c>
      <c r="D1444" s="10" t="s">
        <v>4419</v>
      </c>
      <c r="E1444" s="10" t="s">
        <v>7712</v>
      </c>
      <c r="F1444" s="11" t="s">
        <v>7713</v>
      </c>
      <c r="G1444" s="10" t="s">
        <v>13</v>
      </c>
      <c r="H1444" s="12">
        <v>46263</v>
      </c>
      <c r="I1444" s="10" t="s">
        <v>1862</v>
      </c>
      <c r="J1444" s="10" t="str">
        <f>IFERROR(INDEX([1]Programas!$B$2:$B$50,MATCH(LEFT(I1444,3),[1]Programas!$A$2:$A$50,0)),"")</f>
        <v>IA Aplicada y Automati</v>
      </c>
      <c r="K1444" s="10" t="s">
        <v>1863</v>
      </c>
    </row>
    <row r="1445" spans="1:11" x14ac:dyDescent="0.2">
      <c r="A1445" s="10">
        <v>1444</v>
      </c>
      <c r="B1445" s="10" t="s">
        <v>1910</v>
      </c>
      <c r="C1445" s="11" t="s">
        <v>1909</v>
      </c>
      <c r="D1445" s="10" t="s">
        <v>4419</v>
      </c>
      <c r="E1445" s="10" t="s">
        <v>7714</v>
      </c>
      <c r="F1445" s="11" t="s">
        <v>7715</v>
      </c>
      <c r="G1445" s="10" t="s">
        <v>13</v>
      </c>
      <c r="H1445" s="12">
        <v>46263</v>
      </c>
      <c r="I1445" s="10" t="s">
        <v>1862</v>
      </c>
      <c r="J1445" s="10" t="str">
        <f>IFERROR(INDEX([1]Programas!$B$2:$B$50,MATCH(LEFT(I1445,3),[1]Programas!$A$2:$A$50,0)),"")</f>
        <v>IA Aplicada y Automati</v>
      </c>
      <c r="K1445" s="10" t="s">
        <v>1863</v>
      </c>
    </row>
    <row r="1446" spans="1:11" x14ac:dyDescent="0.2">
      <c r="A1446" s="10">
        <v>1445</v>
      </c>
      <c r="B1446" s="10" t="s">
        <v>7716</v>
      </c>
      <c r="C1446" s="11" t="s">
        <v>1911</v>
      </c>
      <c r="D1446" s="10" t="s">
        <v>4419</v>
      </c>
      <c r="E1446" s="10" t="s">
        <v>7717</v>
      </c>
      <c r="F1446" s="11" t="s">
        <v>7718</v>
      </c>
      <c r="G1446" s="10" t="s">
        <v>13</v>
      </c>
      <c r="H1446" s="12">
        <v>46263</v>
      </c>
      <c r="I1446" s="10" t="s">
        <v>1862</v>
      </c>
      <c r="J1446" s="10" t="str">
        <f>IFERROR(INDEX([1]Programas!$B$2:$B$50,MATCH(LEFT(I1446,3),[1]Programas!$A$2:$A$50,0)),"")</f>
        <v>IA Aplicada y Automati</v>
      </c>
      <c r="K1446" s="10" t="s">
        <v>1863</v>
      </c>
    </row>
    <row r="1447" spans="1:11" x14ac:dyDescent="0.2">
      <c r="A1447" s="10">
        <v>1446</v>
      </c>
      <c r="B1447" s="10" t="s">
        <v>1914</v>
      </c>
      <c r="C1447" s="11" t="s">
        <v>1913</v>
      </c>
      <c r="D1447" s="10" t="s">
        <v>4419</v>
      </c>
      <c r="E1447" s="10" t="s">
        <v>7719</v>
      </c>
      <c r="F1447" s="11" t="s">
        <v>7720</v>
      </c>
      <c r="G1447" s="10" t="s">
        <v>13</v>
      </c>
      <c r="H1447" s="12">
        <v>46263</v>
      </c>
      <c r="I1447" s="10" t="s">
        <v>1862</v>
      </c>
      <c r="J1447" s="10" t="str">
        <f>IFERROR(INDEX([1]Programas!$B$2:$B$50,MATCH(LEFT(I1447,3),[1]Programas!$A$2:$A$50,0)),"")</f>
        <v>IA Aplicada y Automati</v>
      </c>
      <c r="K1447" s="10" t="s">
        <v>1863</v>
      </c>
    </row>
    <row r="1448" spans="1:11" x14ac:dyDescent="0.2">
      <c r="A1448" s="10">
        <v>1447</v>
      </c>
      <c r="B1448" s="10" t="s">
        <v>1916</v>
      </c>
      <c r="C1448" s="11" t="s">
        <v>1915</v>
      </c>
      <c r="D1448" s="10" t="s">
        <v>4419</v>
      </c>
      <c r="E1448" s="10" t="s">
        <v>7721</v>
      </c>
      <c r="F1448" s="11" t="s">
        <v>7722</v>
      </c>
      <c r="G1448" s="10" t="s">
        <v>13</v>
      </c>
      <c r="H1448" s="12">
        <v>46263</v>
      </c>
      <c r="I1448" s="10" t="s">
        <v>1862</v>
      </c>
      <c r="J1448" s="10" t="str">
        <f>IFERROR(INDEX([1]Programas!$B$2:$B$50,MATCH(LEFT(I1448,3),[1]Programas!$A$2:$A$50,0)),"")</f>
        <v>IA Aplicada y Automati</v>
      </c>
      <c r="K1448" s="10" t="s">
        <v>1863</v>
      </c>
    </row>
    <row r="1449" spans="1:11" x14ac:dyDescent="0.2">
      <c r="A1449" s="10">
        <v>1448</v>
      </c>
      <c r="B1449" s="10" t="s">
        <v>1918</v>
      </c>
      <c r="C1449" s="11" t="s">
        <v>1917</v>
      </c>
      <c r="D1449" s="10" t="s">
        <v>4419</v>
      </c>
      <c r="E1449" s="10" t="s">
        <v>7723</v>
      </c>
      <c r="F1449" s="11" t="s">
        <v>7724</v>
      </c>
      <c r="G1449" s="10" t="s">
        <v>13</v>
      </c>
      <c r="H1449" s="12">
        <v>46282</v>
      </c>
      <c r="I1449" s="10" t="s">
        <v>1862</v>
      </c>
      <c r="J1449" s="10" t="str">
        <f>IFERROR(INDEX([1]Programas!$B$2:$B$50,MATCH(LEFT(I1449,3),[1]Programas!$A$2:$A$50,0)),"")</f>
        <v>IA Aplicada y Automati</v>
      </c>
      <c r="K1449" s="10" t="s">
        <v>1863</v>
      </c>
    </row>
    <row r="1450" spans="1:11" x14ac:dyDescent="0.2">
      <c r="A1450" s="10">
        <v>1449</v>
      </c>
      <c r="B1450" s="10" t="s">
        <v>1920</v>
      </c>
      <c r="C1450" s="11" t="s">
        <v>1919</v>
      </c>
      <c r="D1450" s="10" t="s">
        <v>4419</v>
      </c>
      <c r="E1450" s="10" t="s">
        <v>7725</v>
      </c>
      <c r="F1450" s="11" t="s">
        <v>7726</v>
      </c>
      <c r="G1450" s="10" t="s">
        <v>13</v>
      </c>
      <c r="H1450" s="12">
        <v>46263</v>
      </c>
      <c r="I1450" s="10" t="s">
        <v>1922</v>
      </c>
      <c r="J1450" s="10" t="str">
        <f>IFERROR(INDEX([1]Programas!$B$2:$B$50,MATCH(LEFT(I1450,3),[1]Programas!$A$2:$A$50,0)),"")</f>
        <v>IA Aplicada y Automati</v>
      </c>
      <c r="K1450" s="10" t="s">
        <v>1863</v>
      </c>
    </row>
    <row r="1451" spans="1:11" x14ac:dyDescent="0.2">
      <c r="A1451" s="10">
        <v>1450</v>
      </c>
      <c r="B1451" s="10" t="s">
        <v>1924</v>
      </c>
      <c r="C1451" s="11" t="s">
        <v>1923</v>
      </c>
      <c r="D1451" s="10" t="s">
        <v>4419</v>
      </c>
      <c r="E1451" s="10" t="s">
        <v>7727</v>
      </c>
      <c r="F1451" s="11" t="s">
        <v>7728</v>
      </c>
      <c r="G1451" s="10" t="s">
        <v>13</v>
      </c>
      <c r="H1451" s="12">
        <v>46263</v>
      </c>
      <c r="I1451" s="10" t="s">
        <v>1922</v>
      </c>
      <c r="J1451" s="10" t="str">
        <f>IFERROR(INDEX([1]Programas!$B$2:$B$50,MATCH(LEFT(I1451,3),[1]Programas!$A$2:$A$50,0)),"")</f>
        <v>IA Aplicada y Automati</v>
      </c>
      <c r="K1451" s="10" t="s">
        <v>1863</v>
      </c>
    </row>
    <row r="1452" spans="1:11" x14ac:dyDescent="0.2">
      <c r="A1452" s="10">
        <v>1451</v>
      </c>
      <c r="B1452" s="10" t="s">
        <v>7729</v>
      </c>
      <c r="C1452" s="11" t="s">
        <v>1925</v>
      </c>
      <c r="D1452" s="10" t="s">
        <v>4419</v>
      </c>
      <c r="E1452" s="10" t="s">
        <v>7730</v>
      </c>
      <c r="F1452" s="11" t="s">
        <v>7731</v>
      </c>
      <c r="G1452" s="10" t="s">
        <v>13</v>
      </c>
      <c r="H1452" s="12">
        <v>46263</v>
      </c>
      <c r="I1452" s="10" t="s">
        <v>1922</v>
      </c>
      <c r="J1452" s="10" t="str">
        <f>IFERROR(INDEX([1]Programas!$B$2:$B$50,MATCH(LEFT(I1452,3),[1]Programas!$A$2:$A$50,0)),"")</f>
        <v>IA Aplicada y Automati</v>
      </c>
      <c r="K1452" s="10" t="s">
        <v>1863</v>
      </c>
    </row>
    <row r="1453" spans="1:11" x14ac:dyDescent="0.2">
      <c r="A1453" s="10">
        <v>1452</v>
      </c>
      <c r="B1453" s="10" t="s">
        <v>1928</v>
      </c>
      <c r="C1453" s="11" t="s">
        <v>1927</v>
      </c>
      <c r="D1453" s="10" t="s">
        <v>4419</v>
      </c>
      <c r="E1453" s="10" t="s">
        <v>7732</v>
      </c>
      <c r="F1453" s="11" t="s">
        <v>7733</v>
      </c>
      <c r="G1453" s="10" t="s">
        <v>13</v>
      </c>
      <c r="H1453" s="12">
        <v>46263</v>
      </c>
      <c r="I1453" s="10" t="s">
        <v>1922</v>
      </c>
      <c r="J1453" s="10" t="str">
        <f>IFERROR(INDEX([1]Programas!$B$2:$B$50,MATCH(LEFT(I1453,3),[1]Programas!$A$2:$A$50,0)),"")</f>
        <v>IA Aplicada y Automati</v>
      </c>
      <c r="K1453" s="10" t="s">
        <v>1863</v>
      </c>
    </row>
    <row r="1454" spans="1:11" x14ac:dyDescent="0.2">
      <c r="A1454" s="10">
        <v>1453</v>
      </c>
      <c r="B1454" s="10" t="s">
        <v>7734</v>
      </c>
      <c r="C1454" s="11" t="s">
        <v>1929</v>
      </c>
      <c r="D1454" s="10" t="s">
        <v>4419</v>
      </c>
      <c r="E1454" s="10" t="s">
        <v>7735</v>
      </c>
      <c r="F1454" s="11" t="s">
        <v>7736</v>
      </c>
      <c r="G1454" s="10" t="s">
        <v>13</v>
      </c>
      <c r="H1454" s="12">
        <v>46263</v>
      </c>
      <c r="I1454" s="10" t="s">
        <v>1922</v>
      </c>
      <c r="J1454" s="10" t="str">
        <f>IFERROR(INDEX([1]Programas!$B$2:$B$50,MATCH(LEFT(I1454,3),[1]Programas!$A$2:$A$50,0)),"")</f>
        <v>IA Aplicada y Automati</v>
      </c>
      <c r="K1454" s="10" t="s">
        <v>1863</v>
      </c>
    </row>
    <row r="1455" spans="1:11" x14ac:dyDescent="0.2">
      <c r="A1455" s="10">
        <v>1454</v>
      </c>
      <c r="B1455" s="10" t="s">
        <v>7737</v>
      </c>
      <c r="C1455" s="11" t="s">
        <v>1931</v>
      </c>
      <c r="D1455" s="10" t="s">
        <v>4419</v>
      </c>
      <c r="E1455" s="10" t="s">
        <v>7738</v>
      </c>
      <c r="F1455" s="11" t="s">
        <v>7739</v>
      </c>
      <c r="G1455" s="10" t="s">
        <v>13</v>
      </c>
      <c r="H1455" s="12">
        <v>46263</v>
      </c>
      <c r="I1455" s="10" t="s">
        <v>1922</v>
      </c>
      <c r="J1455" s="10" t="str">
        <f>IFERROR(INDEX([1]Programas!$B$2:$B$50,MATCH(LEFT(I1455,3),[1]Programas!$A$2:$A$50,0)),"")</f>
        <v>IA Aplicada y Automati</v>
      </c>
      <c r="K1455" s="10" t="s">
        <v>1863</v>
      </c>
    </row>
    <row r="1456" spans="1:11" x14ac:dyDescent="0.2">
      <c r="A1456" s="10">
        <v>1455</v>
      </c>
      <c r="B1456" s="10" t="s">
        <v>1934</v>
      </c>
      <c r="C1456" s="11" t="s">
        <v>1933</v>
      </c>
      <c r="D1456" s="10" t="s">
        <v>4419</v>
      </c>
      <c r="E1456" s="10" t="s">
        <v>7740</v>
      </c>
      <c r="F1456" s="11" t="s">
        <v>7741</v>
      </c>
      <c r="G1456" s="10" t="s">
        <v>13</v>
      </c>
      <c r="H1456" s="12">
        <v>46263</v>
      </c>
      <c r="I1456" s="10" t="s">
        <v>1922</v>
      </c>
      <c r="J1456" s="10" t="str">
        <f>IFERROR(INDEX([1]Programas!$B$2:$B$50,MATCH(LEFT(I1456,3),[1]Programas!$A$2:$A$50,0)),"")</f>
        <v>IA Aplicada y Automati</v>
      </c>
      <c r="K1456" s="10" t="s">
        <v>1863</v>
      </c>
    </row>
    <row r="1457" spans="1:11" x14ac:dyDescent="0.2">
      <c r="A1457" s="10">
        <v>1456</v>
      </c>
      <c r="B1457" s="10" t="s">
        <v>1936</v>
      </c>
      <c r="C1457" s="11" t="s">
        <v>1935</v>
      </c>
      <c r="D1457" s="10" t="s">
        <v>4419</v>
      </c>
      <c r="E1457" s="10" t="s">
        <v>7742</v>
      </c>
      <c r="F1457" s="11" t="s">
        <v>7743</v>
      </c>
      <c r="G1457" s="10" t="s">
        <v>13</v>
      </c>
      <c r="H1457" s="12">
        <v>46263</v>
      </c>
      <c r="I1457" s="10" t="s">
        <v>1922</v>
      </c>
      <c r="J1457" s="10" t="str">
        <f>IFERROR(INDEX([1]Programas!$B$2:$B$50,MATCH(LEFT(I1457,3),[1]Programas!$A$2:$A$50,0)),"")</f>
        <v>IA Aplicada y Automati</v>
      </c>
      <c r="K1457" s="10" t="s">
        <v>1863</v>
      </c>
    </row>
    <row r="1458" spans="1:11" x14ac:dyDescent="0.2">
      <c r="A1458" s="10">
        <v>1457</v>
      </c>
      <c r="B1458" s="10" t="s">
        <v>1938</v>
      </c>
      <c r="C1458" s="11" t="s">
        <v>1937</v>
      </c>
      <c r="D1458" s="10" t="s">
        <v>4419</v>
      </c>
      <c r="E1458" s="10" t="s">
        <v>7744</v>
      </c>
      <c r="F1458" s="11" t="s">
        <v>7745</v>
      </c>
      <c r="G1458" s="10" t="s">
        <v>13</v>
      </c>
      <c r="H1458" s="12">
        <v>46263</v>
      </c>
      <c r="I1458" s="10" t="s">
        <v>1922</v>
      </c>
      <c r="J1458" s="10" t="str">
        <f>IFERROR(INDEX([1]Programas!$B$2:$B$50,MATCH(LEFT(I1458,3),[1]Programas!$A$2:$A$50,0)),"")</f>
        <v>IA Aplicada y Automati</v>
      </c>
      <c r="K1458" s="10" t="s">
        <v>1863</v>
      </c>
    </row>
    <row r="1459" spans="1:11" x14ac:dyDescent="0.2">
      <c r="A1459" s="10">
        <v>1458</v>
      </c>
      <c r="B1459" s="10" t="s">
        <v>7746</v>
      </c>
      <c r="C1459" s="11" t="s">
        <v>1939</v>
      </c>
      <c r="D1459" s="10" t="s">
        <v>4419</v>
      </c>
      <c r="E1459" s="10" t="s">
        <v>7747</v>
      </c>
      <c r="F1459" s="11" t="s">
        <v>7748</v>
      </c>
      <c r="G1459" s="10" t="s">
        <v>13</v>
      </c>
      <c r="H1459" s="12">
        <v>46263</v>
      </c>
      <c r="I1459" s="10" t="s">
        <v>1922</v>
      </c>
      <c r="J1459" s="10" t="str">
        <f>IFERROR(INDEX([1]Programas!$B$2:$B$50,MATCH(LEFT(I1459,3),[1]Programas!$A$2:$A$50,0)),"")</f>
        <v>IA Aplicada y Automati</v>
      </c>
      <c r="K1459" s="10" t="s">
        <v>1863</v>
      </c>
    </row>
    <row r="1460" spans="1:11" x14ac:dyDescent="0.2">
      <c r="A1460" s="10">
        <v>1459</v>
      </c>
      <c r="B1460" s="10" t="s">
        <v>1942</v>
      </c>
      <c r="C1460" s="11" t="s">
        <v>1941</v>
      </c>
      <c r="D1460" s="10" t="s">
        <v>4419</v>
      </c>
      <c r="E1460" s="10" t="s">
        <v>7749</v>
      </c>
      <c r="F1460" s="11" t="s">
        <v>7750</v>
      </c>
      <c r="G1460" s="10" t="s">
        <v>13</v>
      </c>
      <c r="H1460" s="12">
        <v>46263</v>
      </c>
      <c r="I1460" s="10" t="s">
        <v>1922</v>
      </c>
      <c r="J1460" s="10" t="str">
        <f>IFERROR(INDEX([1]Programas!$B$2:$B$50,MATCH(LEFT(I1460,3),[1]Programas!$A$2:$A$50,0)),"")</f>
        <v>IA Aplicada y Automati</v>
      </c>
      <c r="K1460" s="10" t="s">
        <v>1863</v>
      </c>
    </row>
    <row r="1461" spans="1:11" x14ac:dyDescent="0.2">
      <c r="A1461" s="10">
        <v>1460</v>
      </c>
      <c r="B1461" s="10" t="s">
        <v>1944</v>
      </c>
      <c r="C1461" s="11" t="s">
        <v>1943</v>
      </c>
      <c r="D1461" s="10" t="s">
        <v>4419</v>
      </c>
      <c r="E1461" s="10" t="s">
        <v>7751</v>
      </c>
      <c r="F1461" s="11" t="s">
        <v>7752</v>
      </c>
      <c r="G1461" s="10" t="s">
        <v>13</v>
      </c>
      <c r="H1461" s="12">
        <v>46263</v>
      </c>
      <c r="I1461" s="10" t="s">
        <v>1922</v>
      </c>
      <c r="J1461" s="10" t="str">
        <f>IFERROR(INDEX([1]Programas!$B$2:$B$50,MATCH(LEFT(I1461,3),[1]Programas!$A$2:$A$50,0)),"")</f>
        <v>IA Aplicada y Automati</v>
      </c>
      <c r="K1461" s="10" t="s">
        <v>1863</v>
      </c>
    </row>
    <row r="1462" spans="1:11" x14ac:dyDescent="0.2">
      <c r="A1462" s="10">
        <v>1461</v>
      </c>
      <c r="B1462" s="10" t="s">
        <v>1946</v>
      </c>
      <c r="C1462" s="11" t="s">
        <v>1945</v>
      </c>
      <c r="D1462" s="10" t="s">
        <v>4419</v>
      </c>
      <c r="E1462" s="10" t="s">
        <v>7753</v>
      </c>
      <c r="F1462" s="11" t="s">
        <v>7754</v>
      </c>
      <c r="G1462" s="10" t="s">
        <v>13</v>
      </c>
      <c r="H1462" s="12">
        <v>46263</v>
      </c>
      <c r="I1462" s="10" t="s">
        <v>1922</v>
      </c>
      <c r="J1462" s="10" t="str">
        <f>IFERROR(INDEX([1]Programas!$B$2:$B$50,MATCH(LEFT(I1462,3),[1]Programas!$A$2:$A$50,0)),"")</f>
        <v>IA Aplicada y Automati</v>
      </c>
      <c r="K1462" s="10" t="s">
        <v>1863</v>
      </c>
    </row>
    <row r="1463" spans="1:11" x14ac:dyDescent="0.2">
      <c r="A1463" s="10">
        <v>1462</v>
      </c>
      <c r="B1463" s="10" t="s">
        <v>1948</v>
      </c>
      <c r="C1463" s="11" t="s">
        <v>1947</v>
      </c>
      <c r="D1463" s="10" t="s">
        <v>4419</v>
      </c>
      <c r="E1463" s="10" t="s">
        <v>7755</v>
      </c>
      <c r="F1463" s="11" t="s">
        <v>7756</v>
      </c>
      <c r="G1463" s="10" t="s">
        <v>13</v>
      </c>
      <c r="H1463" s="12">
        <v>46263</v>
      </c>
      <c r="I1463" s="10" t="s">
        <v>1922</v>
      </c>
      <c r="J1463" s="10" t="str">
        <f>IFERROR(INDEX([1]Programas!$B$2:$B$50,MATCH(LEFT(I1463,3),[1]Programas!$A$2:$A$50,0)),"")</f>
        <v>IA Aplicada y Automati</v>
      </c>
      <c r="K1463" s="10" t="s">
        <v>1863</v>
      </c>
    </row>
    <row r="1464" spans="1:11" x14ac:dyDescent="0.2">
      <c r="A1464" s="10">
        <v>1463</v>
      </c>
      <c r="B1464" s="10" t="s">
        <v>1950</v>
      </c>
      <c r="C1464" s="11" t="s">
        <v>1949</v>
      </c>
      <c r="D1464" s="10" t="s">
        <v>4419</v>
      </c>
      <c r="E1464" s="10" t="s">
        <v>7757</v>
      </c>
      <c r="F1464" s="11" t="s">
        <v>7758</v>
      </c>
      <c r="G1464" s="10" t="s">
        <v>13</v>
      </c>
      <c r="H1464" s="12">
        <v>46263</v>
      </c>
      <c r="I1464" s="10" t="s">
        <v>1922</v>
      </c>
      <c r="J1464" s="10" t="str">
        <f>IFERROR(INDEX([1]Programas!$B$2:$B$50,MATCH(LEFT(I1464,3),[1]Programas!$A$2:$A$50,0)),"")</f>
        <v>IA Aplicada y Automati</v>
      </c>
      <c r="K1464" s="10" t="s">
        <v>1863</v>
      </c>
    </row>
    <row r="1465" spans="1:11" x14ac:dyDescent="0.2">
      <c r="A1465" s="10">
        <v>1464</v>
      </c>
      <c r="B1465" s="10" t="s">
        <v>1952</v>
      </c>
      <c r="C1465" s="11" t="s">
        <v>1951</v>
      </c>
      <c r="D1465" s="10" t="s">
        <v>4419</v>
      </c>
      <c r="E1465" s="10" t="s">
        <v>7759</v>
      </c>
      <c r="F1465" s="11" t="s">
        <v>7760</v>
      </c>
      <c r="G1465" s="10" t="s">
        <v>13</v>
      </c>
      <c r="H1465" s="12">
        <v>46263</v>
      </c>
      <c r="I1465" s="10" t="s">
        <v>1922</v>
      </c>
      <c r="J1465" s="10" t="str">
        <f>IFERROR(INDEX([1]Programas!$B$2:$B$50,MATCH(LEFT(I1465,3),[1]Programas!$A$2:$A$50,0)),"")</f>
        <v>IA Aplicada y Automati</v>
      </c>
      <c r="K1465" s="10" t="s">
        <v>1863</v>
      </c>
    </row>
    <row r="1466" spans="1:11" x14ac:dyDescent="0.2">
      <c r="A1466" s="10">
        <v>1465</v>
      </c>
      <c r="B1466" s="10" t="s">
        <v>1954</v>
      </c>
      <c r="C1466" s="11" t="s">
        <v>1953</v>
      </c>
      <c r="D1466" s="10" t="s">
        <v>4419</v>
      </c>
      <c r="E1466" s="10" t="s">
        <v>7761</v>
      </c>
      <c r="F1466" s="11" t="s">
        <v>7762</v>
      </c>
      <c r="G1466" s="10" t="s">
        <v>13</v>
      </c>
      <c r="H1466" s="12">
        <v>46263</v>
      </c>
      <c r="I1466" s="10" t="s">
        <v>1922</v>
      </c>
      <c r="J1466" s="10" t="str">
        <f>IFERROR(INDEX([1]Programas!$B$2:$B$50,MATCH(LEFT(I1466,3),[1]Programas!$A$2:$A$50,0)),"")</f>
        <v>IA Aplicada y Automati</v>
      </c>
      <c r="K1466" s="10" t="s">
        <v>1863</v>
      </c>
    </row>
    <row r="1467" spans="1:11" x14ac:dyDescent="0.2">
      <c r="A1467" s="10">
        <v>1466</v>
      </c>
      <c r="B1467" s="10" t="s">
        <v>1956</v>
      </c>
      <c r="C1467" s="11" t="s">
        <v>1955</v>
      </c>
      <c r="D1467" s="10" t="s">
        <v>4419</v>
      </c>
      <c r="E1467" s="10" t="s">
        <v>7763</v>
      </c>
      <c r="F1467" s="11" t="s">
        <v>7764</v>
      </c>
      <c r="G1467" s="10" t="s">
        <v>13</v>
      </c>
      <c r="H1467" s="12">
        <v>46263</v>
      </c>
      <c r="I1467" s="10" t="s">
        <v>1922</v>
      </c>
      <c r="J1467" s="10" t="str">
        <f>IFERROR(INDEX([1]Programas!$B$2:$B$50,MATCH(LEFT(I1467,3),[1]Programas!$A$2:$A$50,0)),"")</f>
        <v>IA Aplicada y Automati</v>
      </c>
      <c r="K1467" s="10" t="s">
        <v>1863</v>
      </c>
    </row>
    <row r="1468" spans="1:11" x14ac:dyDescent="0.2">
      <c r="A1468" s="10">
        <v>1467</v>
      </c>
      <c r="B1468" s="10" t="s">
        <v>1958</v>
      </c>
      <c r="C1468" s="11" t="s">
        <v>1957</v>
      </c>
      <c r="D1468" s="10" t="s">
        <v>4419</v>
      </c>
      <c r="E1468" s="10" t="s">
        <v>7765</v>
      </c>
      <c r="F1468" s="11" t="s">
        <v>7766</v>
      </c>
      <c r="G1468" s="10" t="s">
        <v>13</v>
      </c>
      <c r="H1468" s="12">
        <v>46263</v>
      </c>
      <c r="I1468" s="10" t="s">
        <v>1922</v>
      </c>
      <c r="J1468" s="10" t="str">
        <f>IFERROR(INDEX([1]Programas!$B$2:$B$50,MATCH(LEFT(I1468,3),[1]Programas!$A$2:$A$50,0)),"")</f>
        <v>IA Aplicada y Automati</v>
      </c>
      <c r="K1468" s="10" t="s">
        <v>1863</v>
      </c>
    </row>
    <row r="1469" spans="1:11" x14ac:dyDescent="0.2">
      <c r="A1469" s="10">
        <v>1468</v>
      </c>
      <c r="B1469" s="10" t="s">
        <v>1960</v>
      </c>
      <c r="C1469" s="11" t="s">
        <v>1959</v>
      </c>
      <c r="D1469" s="10" t="s">
        <v>4419</v>
      </c>
      <c r="E1469" s="10" t="s">
        <v>7767</v>
      </c>
      <c r="F1469" s="11" t="s">
        <v>7768</v>
      </c>
      <c r="G1469" s="10" t="s">
        <v>13</v>
      </c>
      <c r="H1469" s="12">
        <v>46263</v>
      </c>
      <c r="I1469" s="10" t="s">
        <v>1922</v>
      </c>
      <c r="J1469" s="10" t="str">
        <f>IFERROR(INDEX([1]Programas!$B$2:$B$50,MATCH(LEFT(I1469,3),[1]Programas!$A$2:$A$50,0)),"")</f>
        <v>IA Aplicada y Automati</v>
      </c>
      <c r="K1469" s="10" t="s">
        <v>1863</v>
      </c>
    </row>
    <row r="1470" spans="1:11" x14ac:dyDescent="0.2">
      <c r="A1470" s="10">
        <v>1469</v>
      </c>
      <c r="B1470" s="10" t="s">
        <v>7769</v>
      </c>
      <c r="C1470" s="11" t="s">
        <v>1961</v>
      </c>
      <c r="D1470" s="10" t="s">
        <v>4419</v>
      </c>
      <c r="E1470" s="10" t="s">
        <v>7770</v>
      </c>
      <c r="F1470" s="11" t="s">
        <v>7771</v>
      </c>
      <c r="G1470" s="10" t="s">
        <v>13</v>
      </c>
      <c r="H1470" s="12">
        <v>46263</v>
      </c>
      <c r="I1470" s="10" t="s">
        <v>1922</v>
      </c>
      <c r="J1470" s="10" t="str">
        <f>IFERROR(INDEX([1]Programas!$B$2:$B$50,MATCH(LEFT(I1470,3),[1]Programas!$A$2:$A$50,0)),"")</f>
        <v>IA Aplicada y Automati</v>
      </c>
      <c r="K1470" s="10" t="s">
        <v>1863</v>
      </c>
    </row>
    <row r="1471" spans="1:11" x14ac:dyDescent="0.2">
      <c r="A1471" s="10">
        <v>1470</v>
      </c>
      <c r="B1471" s="10" t="s">
        <v>1569</v>
      </c>
      <c r="C1471" s="11" t="s">
        <v>1568</v>
      </c>
      <c r="D1471" s="10" t="s">
        <v>4419</v>
      </c>
      <c r="E1471" s="10" t="s">
        <v>7772</v>
      </c>
      <c r="F1471" s="11" t="s">
        <v>7773</v>
      </c>
      <c r="G1471" s="10" t="s">
        <v>13</v>
      </c>
      <c r="H1471" s="12">
        <v>46274</v>
      </c>
      <c r="I1471" s="10" t="s">
        <v>1922</v>
      </c>
      <c r="J1471" s="10" t="str">
        <f>IFERROR(INDEX([1]Programas!$B$2:$B$50,MATCH(LEFT(I1471,3),[1]Programas!$A$2:$A$50,0)),"")</f>
        <v>IA Aplicada y Automati</v>
      </c>
      <c r="K1471" s="10" t="s">
        <v>1863</v>
      </c>
    </row>
    <row r="1472" spans="1:11" x14ac:dyDescent="0.2">
      <c r="A1472" s="10">
        <v>1471</v>
      </c>
      <c r="B1472" s="10" t="s">
        <v>1964</v>
      </c>
      <c r="C1472" s="11" t="s">
        <v>1963</v>
      </c>
      <c r="D1472" s="10" t="s">
        <v>4419</v>
      </c>
      <c r="E1472" s="10" t="s">
        <v>7774</v>
      </c>
      <c r="F1472" s="11" t="s">
        <v>7775</v>
      </c>
      <c r="G1472" s="10" t="s">
        <v>13</v>
      </c>
      <c r="H1472" s="12">
        <v>46263</v>
      </c>
      <c r="I1472" s="10" t="s">
        <v>1966</v>
      </c>
      <c r="J1472" s="10" t="str">
        <f>IFERROR(INDEX([1]Programas!$B$2:$B$50,MATCH(LEFT(I1472,3),[1]Programas!$A$2:$A$50,0)),"")</f>
        <v>IA Aplicada y Automati</v>
      </c>
      <c r="K1472" s="10" t="s">
        <v>111</v>
      </c>
    </row>
    <row r="1473" spans="1:11" x14ac:dyDescent="0.2">
      <c r="A1473" s="10">
        <v>1472</v>
      </c>
      <c r="B1473" s="10" t="s">
        <v>1969</v>
      </c>
      <c r="C1473" s="11" t="s">
        <v>1968</v>
      </c>
      <c r="D1473" s="10" t="s">
        <v>4419</v>
      </c>
      <c r="E1473" s="10" t="s">
        <v>7776</v>
      </c>
      <c r="F1473" s="11" t="s">
        <v>7777</v>
      </c>
      <c r="G1473" s="10" t="s">
        <v>13</v>
      </c>
      <c r="H1473" s="12">
        <v>46263</v>
      </c>
      <c r="I1473" s="10" t="s">
        <v>1966</v>
      </c>
      <c r="J1473" s="10" t="str">
        <f>IFERROR(INDEX([1]Programas!$B$2:$B$50,MATCH(LEFT(I1473,3),[1]Programas!$A$2:$A$50,0)),"")</f>
        <v>IA Aplicada y Automati</v>
      </c>
      <c r="K1473" s="10" t="s">
        <v>111</v>
      </c>
    </row>
    <row r="1474" spans="1:11" x14ac:dyDescent="0.2">
      <c r="A1474" s="10">
        <v>1473</v>
      </c>
      <c r="B1474" s="10" t="s">
        <v>1971</v>
      </c>
      <c r="C1474" s="11" t="s">
        <v>1970</v>
      </c>
      <c r="D1474" s="10" t="s">
        <v>4419</v>
      </c>
      <c r="E1474" s="10" t="s">
        <v>7778</v>
      </c>
      <c r="F1474" s="11" t="s">
        <v>7779</v>
      </c>
      <c r="G1474" s="10" t="s">
        <v>13</v>
      </c>
      <c r="H1474" s="12">
        <v>46263</v>
      </c>
      <c r="I1474" s="10" t="s">
        <v>1966</v>
      </c>
      <c r="J1474" s="10" t="str">
        <f>IFERROR(INDEX([1]Programas!$B$2:$B$50,MATCH(LEFT(I1474,3),[1]Programas!$A$2:$A$50,0)),"")</f>
        <v>IA Aplicada y Automati</v>
      </c>
      <c r="K1474" s="10" t="s">
        <v>111</v>
      </c>
    </row>
    <row r="1475" spans="1:11" x14ac:dyDescent="0.2">
      <c r="A1475" s="10">
        <v>1474</v>
      </c>
      <c r="B1475" s="10" t="s">
        <v>1973</v>
      </c>
      <c r="C1475" s="11" t="s">
        <v>1972</v>
      </c>
      <c r="D1475" s="10" t="s">
        <v>4419</v>
      </c>
      <c r="E1475" s="10" t="s">
        <v>7780</v>
      </c>
      <c r="F1475" s="11" t="s">
        <v>7781</v>
      </c>
      <c r="G1475" s="10" t="s">
        <v>13</v>
      </c>
      <c r="H1475" s="12">
        <v>46263</v>
      </c>
      <c r="I1475" s="10" t="s">
        <v>1966</v>
      </c>
      <c r="J1475" s="10" t="str">
        <f>IFERROR(INDEX([1]Programas!$B$2:$B$50,MATCH(LEFT(I1475,3),[1]Programas!$A$2:$A$50,0)),"")</f>
        <v>IA Aplicada y Automati</v>
      </c>
      <c r="K1475" s="10" t="s">
        <v>111</v>
      </c>
    </row>
    <row r="1476" spans="1:11" x14ac:dyDescent="0.2">
      <c r="A1476" s="10">
        <v>1475</v>
      </c>
      <c r="B1476" s="10" t="s">
        <v>1975</v>
      </c>
      <c r="C1476" s="11" t="s">
        <v>1974</v>
      </c>
      <c r="D1476" s="10" t="s">
        <v>4419</v>
      </c>
      <c r="E1476" s="10" t="s">
        <v>7782</v>
      </c>
      <c r="F1476" s="11" t="s">
        <v>7783</v>
      </c>
      <c r="G1476" s="10" t="s">
        <v>13</v>
      </c>
      <c r="H1476" s="12">
        <v>46263</v>
      </c>
      <c r="I1476" s="10" t="s">
        <v>1966</v>
      </c>
      <c r="J1476" s="10" t="str">
        <f>IFERROR(INDEX([1]Programas!$B$2:$B$50,MATCH(LEFT(I1476,3),[1]Programas!$A$2:$A$50,0)),"")</f>
        <v>IA Aplicada y Automati</v>
      </c>
      <c r="K1476" s="10" t="s">
        <v>111</v>
      </c>
    </row>
    <row r="1477" spans="1:11" x14ac:dyDescent="0.2">
      <c r="A1477" s="10">
        <v>1476</v>
      </c>
      <c r="B1477" s="10" t="s">
        <v>1977</v>
      </c>
      <c r="C1477" s="11" t="s">
        <v>1976</v>
      </c>
      <c r="D1477" s="10" t="s">
        <v>4419</v>
      </c>
      <c r="E1477" s="10" t="s">
        <v>7784</v>
      </c>
      <c r="F1477" s="11" t="s">
        <v>7785</v>
      </c>
      <c r="G1477" s="10" t="s">
        <v>13</v>
      </c>
      <c r="H1477" s="12">
        <v>46263</v>
      </c>
      <c r="I1477" s="10" t="s">
        <v>1966</v>
      </c>
      <c r="J1477" s="10" t="str">
        <f>IFERROR(INDEX([1]Programas!$B$2:$B$50,MATCH(LEFT(I1477,3),[1]Programas!$A$2:$A$50,0)),"")</f>
        <v>IA Aplicada y Automati</v>
      </c>
      <c r="K1477" s="10" t="s">
        <v>111</v>
      </c>
    </row>
    <row r="1478" spans="1:11" x14ac:dyDescent="0.2">
      <c r="A1478" s="10">
        <v>1477</v>
      </c>
      <c r="B1478" s="10" t="s">
        <v>1979</v>
      </c>
      <c r="C1478" s="11" t="s">
        <v>1978</v>
      </c>
      <c r="D1478" s="10" t="s">
        <v>4419</v>
      </c>
      <c r="E1478" s="10" t="s">
        <v>7786</v>
      </c>
      <c r="F1478" s="11" t="s">
        <v>7787</v>
      </c>
      <c r="G1478" s="10" t="s">
        <v>13</v>
      </c>
      <c r="H1478" s="12">
        <v>46263</v>
      </c>
      <c r="I1478" s="10" t="s">
        <v>1966</v>
      </c>
      <c r="J1478" s="10" t="str">
        <f>IFERROR(INDEX([1]Programas!$B$2:$B$50,MATCH(LEFT(I1478,3),[1]Programas!$A$2:$A$50,0)),"")</f>
        <v>IA Aplicada y Automati</v>
      </c>
      <c r="K1478" s="10" t="s">
        <v>111</v>
      </c>
    </row>
    <row r="1479" spans="1:11" x14ac:dyDescent="0.2">
      <c r="A1479" s="10">
        <v>1478</v>
      </c>
      <c r="B1479" s="10" t="s">
        <v>1983</v>
      </c>
      <c r="C1479" s="11" t="s">
        <v>1982</v>
      </c>
      <c r="D1479" s="10" t="s">
        <v>4419</v>
      </c>
      <c r="E1479" s="10" t="s">
        <v>7788</v>
      </c>
      <c r="F1479" s="11" t="s">
        <v>7789</v>
      </c>
      <c r="G1479" s="10" t="s">
        <v>13</v>
      </c>
      <c r="H1479" s="12">
        <v>46263</v>
      </c>
      <c r="I1479" s="10" t="s">
        <v>1966</v>
      </c>
      <c r="J1479" s="10" t="str">
        <f>IFERROR(INDEX([1]Programas!$B$2:$B$50,MATCH(LEFT(I1479,3),[1]Programas!$A$2:$A$50,0)),"")</f>
        <v>IA Aplicada y Automati</v>
      </c>
      <c r="K1479" s="10" t="s">
        <v>111</v>
      </c>
    </row>
    <row r="1480" spans="1:11" x14ac:dyDescent="0.2">
      <c r="A1480" s="10">
        <v>1479</v>
      </c>
      <c r="B1480" s="10" t="s">
        <v>7790</v>
      </c>
      <c r="C1480" s="11" t="s">
        <v>1984</v>
      </c>
      <c r="D1480" s="10" t="s">
        <v>4419</v>
      </c>
      <c r="E1480" s="10" t="s">
        <v>7791</v>
      </c>
      <c r="F1480" s="11" t="s">
        <v>7792</v>
      </c>
      <c r="G1480" s="10" t="s">
        <v>13</v>
      </c>
      <c r="H1480" s="12">
        <v>46263</v>
      </c>
      <c r="I1480" s="10" t="s">
        <v>1966</v>
      </c>
      <c r="J1480" s="10" t="str">
        <f>IFERROR(INDEX([1]Programas!$B$2:$B$50,MATCH(LEFT(I1480,3),[1]Programas!$A$2:$A$50,0)),"")</f>
        <v>IA Aplicada y Automati</v>
      </c>
      <c r="K1480" s="10" t="s">
        <v>111</v>
      </c>
    </row>
    <row r="1481" spans="1:11" x14ac:dyDescent="0.2">
      <c r="A1481" s="10">
        <v>1480</v>
      </c>
      <c r="B1481" s="10" t="s">
        <v>1988</v>
      </c>
      <c r="C1481" s="11" t="s">
        <v>1987</v>
      </c>
      <c r="D1481" s="10" t="s">
        <v>4419</v>
      </c>
      <c r="E1481" s="10" t="s">
        <v>7793</v>
      </c>
      <c r="F1481" s="11" t="s">
        <v>7794</v>
      </c>
      <c r="G1481" s="10" t="s">
        <v>13</v>
      </c>
      <c r="H1481" s="12">
        <v>46263</v>
      </c>
      <c r="I1481" s="10" t="s">
        <v>1966</v>
      </c>
      <c r="J1481" s="10" t="str">
        <f>IFERROR(INDEX([1]Programas!$B$2:$B$50,MATCH(LEFT(I1481,3),[1]Programas!$A$2:$A$50,0)),"")</f>
        <v>IA Aplicada y Automati</v>
      </c>
      <c r="K1481" s="10" t="s">
        <v>111</v>
      </c>
    </row>
    <row r="1482" spans="1:11" x14ac:dyDescent="0.2">
      <c r="A1482" s="10">
        <v>1481</v>
      </c>
      <c r="B1482" s="10" t="s">
        <v>1991</v>
      </c>
      <c r="C1482" s="11" t="s">
        <v>1990</v>
      </c>
      <c r="D1482" s="10" t="s">
        <v>4419</v>
      </c>
      <c r="E1482" s="10" t="s">
        <v>7795</v>
      </c>
      <c r="F1482" s="11" t="s">
        <v>7796</v>
      </c>
      <c r="G1482" s="10" t="s">
        <v>13</v>
      </c>
      <c r="H1482" s="12">
        <v>46263</v>
      </c>
      <c r="I1482" s="10" t="s">
        <v>1966</v>
      </c>
      <c r="J1482" s="10" t="str">
        <f>IFERROR(INDEX([1]Programas!$B$2:$B$50,MATCH(LEFT(I1482,3),[1]Programas!$A$2:$A$50,0)),"")</f>
        <v>IA Aplicada y Automati</v>
      </c>
      <c r="K1482" s="10" t="s">
        <v>111</v>
      </c>
    </row>
    <row r="1483" spans="1:11" x14ac:dyDescent="0.2">
      <c r="A1483" s="10">
        <v>1482</v>
      </c>
      <c r="B1483" s="10" t="s">
        <v>7797</v>
      </c>
      <c r="C1483" s="11" t="s">
        <v>1993</v>
      </c>
      <c r="D1483" s="10" t="s">
        <v>4419</v>
      </c>
      <c r="E1483" s="10" t="s">
        <v>7798</v>
      </c>
      <c r="F1483" s="11" t="s">
        <v>7799</v>
      </c>
      <c r="G1483" s="10" t="s">
        <v>13</v>
      </c>
      <c r="H1483" s="12">
        <v>46263</v>
      </c>
      <c r="I1483" s="10" t="s">
        <v>1966</v>
      </c>
      <c r="J1483" s="10" t="str">
        <f>IFERROR(INDEX([1]Programas!$B$2:$B$50,MATCH(LEFT(I1483,3),[1]Programas!$A$2:$A$50,0)),"")</f>
        <v>IA Aplicada y Automati</v>
      </c>
      <c r="K1483" s="10" t="s">
        <v>111</v>
      </c>
    </row>
    <row r="1484" spans="1:11" x14ac:dyDescent="0.2">
      <c r="A1484" s="10">
        <v>1483</v>
      </c>
      <c r="B1484" s="10" t="s">
        <v>1996</v>
      </c>
      <c r="C1484" s="11" t="s">
        <v>1995</v>
      </c>
      <c r="D1484" s="10" t="s">
        <v>4419</v>
      </c>
      <c r="E1484" s="10" t="s">
        <v>7800</v>
      </c>
      <c r="F1484" s="11" t="s">
        <v>7801</v>
      </c>
      <c r="G1484" s="10" t="s">
        <v>13</v>
      </c>
      <c r="H1484" s="12">
        <v>46263</v>
      </c>
      <c r="I1484" s="10" t="s">
        <v>1966</v>
      </c>
      <c r="J1484" s="10" t="str">
        <f>IFERROR(INDEX([1]Programas!$B$2:$B$50,MATCH(LEFT(I1484,3),[1]Programas!$A$2:$A$50,0)),"")</f>
        <v>IA Aplicada y Automati</v>
      </c>
      <c r="K1484" s="10" t="s">
        <v>111</v>
      </c>
    </row>
    <row r="1485" spans="1:11" x14ac:dyDescent="0.2">
      <c r="A1485" s="10">
        <v>1484</v>
      </c>
      <c r="B1485" s="10" t="s">
        <v>1998</v>
      </c>
      <c r="C1485" s="11" t="s">
        <v>1997</v>
      </c>
      <c r="D1485" s="10" t="s">
        <v>4419</v>
      </c>
      <c r="E1485" s="10" t="s">
        <v>7802</v>
      </c>
      <c r="F1485" s="11" t="s">
        <v>7803</v>
      </c>
      <c r="G1485" s="10" t="s">
        <v>13</v>
      </c>
      <c r="H1485" s="12">
        <v>46263</v>
      </c>
      <c r="I1485" s="10" t="s">
        <v>1966</v>
      </c>
      <c r="J1485" s="10" t="str">
        <f>IFERROR(INDEX([1]Programas!$B$2:$B$50,MATCH(LEFT(I1485,3),[1]Programas!$A$2:$A$50,0)),"")</f>
        <v>IA Aplicada y Automati</v>
      </c>
      <c r="K1485" s="10" t="s">
        <v>111</v>
      </c>
    </row>
    <row r="1486" spans="1:11" x14ac:dyDescent="0.2">
      <c r="A1486" s="10">
        <v>1485</v>
      </c>
      <c r="B1486" s="10" t="s">
        <v>2001</v>
      </c>
      <c r="C1486" s="11" t="s">
        <v>2000</v>
      </c>
      <c r="D1486" s="10" t="s">
        <v>4419</v>
      </c>
      <c r="E1486" s="10" t="s">
        <v>7804</v>
      </c>
      <c r="F1486" s="11" t="s">
        <v>7805</v>
      </c>
      <c r="G1486" s="10" t="s">
        <v>13</v>
      </c>
      <c r="H1486" s="12">
        <v>46263</v>
      </c>
      <c r="I1486" s="10" t="s">
        <v>1966</v>
      </c>
      <c r="J1486" s="10" t="str">
        <f>IFERROR(INDEX([1]Programas!$B$2:$B$50,MATCH(LEFT(I1486,3),[1]Programas!$A$2:$A$50,0)),"")</f>
        <v>IA Aplicada y Automati</v>
      </c>
      <c r="K1486" s="10" t="s">
        <v>111</v>
      </c>
    </row>
    <row r="1487" spans="1:11" x14ac:dyDescent="0.2">
      <c r="A1487" s="10">
        <v>1486</v>
      </c>
      <c r="B1487" s="10" t="s">
        <v>2003</v>
      </c>
      <c r="C1487" s="11" t="s">
        <v>2002</v>
      </c>
      <c r="D1487" s="10" t="s">
        <v>4419</v>
      </c>
      <c r="E1487" s="10" t="s">
        <v>7806</v>
      </c>
      <c r="F1487" s="11" t="s">
        <v>7807</v>
      </c>
      <c r="G1487" s="10" t="s">
        <v>13</v>
      </c>
      <c r="H1487" s="12">
        <v>46263</v>
      </c>
      <c r="I1487" s="10" t="s">
        <v>1966</v>
      </c>
      <c r="J1487" s="10" t="str">
        <f>IFERROR(INDEX([1]Programas!$B$2:$B$50,MATCH(LEFT(I1487,3),[1]Programas!$A$2:$A$50,0)),"")</f>
        <v>IA Aplicada y Automati</v>
      </c>
      <c r="K1487" s="10" t="s">
        <v>111</v>
      </c>
    </row>
    <row r="1488" spans="1:11" x14ac:dyDescent="0.2">
      <c r="A1488" s="10">
        <v>1487</v>
      </c>
      <c r="B1488" s="10" t="s">
        <v>2005</v>
      </c>
      <c r="C1488" s="11" t="s">
        <v>2004</v>
      </c>
      <c r="D1488" s="10" t="s">
        <v>4419</v>
      </c>
      <c r="E1488" s="10" t="s">
        <v>7808</v>
      </c>
      <c r="F1488" s="11" t="s">
        <v>7809</v>
      </c>
      <c r="G1488" s="10" t="s">
        <v>13</v>
      </c>
      <c r="H1488" s="12">
        <v>46263</v>
      </c>
      <c r="I1488" s="10" t="s">
        <v>1966</v>
      </c>
      <c r="J1488" s="10" t="str">
        <f>IFERROR(INDEX([1]Programas!$B$2:$B$50,MATCH(LEFT(I1488,3),[1]Programas!$A$2:$A$50,0)),"")</f>
        <v>IA Aplicada y Automati</v>
      </c>
      <c r="K1488" s="10" t="s">
        <v>111</v>
      </c>
    </row>
    <row r="1489" spans="1:11" x14ac:dyDescent="0.2">
      <c r="A1489" s="10">
        <v>1488</v>
      </c>
      <c r="B1489" s="10" t="s">
        <v>2007</v>
      </c>
      <c r="C1489" s="11" t="s">
        <v>2006</v>
      </c>
      <c r="D1489" s="10" t="s">
        <v>4419</v>
      </c>
      <c r="E1489" s="10" t="s">
        <v>7810</v>
      </c>
      <c r="F1489" s="11" t="s">
        <v>7811</v>
      </c>
      <c r="G1489" s="10" t="s">
        <v>13</v>
      </c>
      <c r="H1489" s="12">
        <v>46263</v>
      </c>
      <c r="I1489" s="10" t="s">
        <v>1966</v>
      </c>
      <c r="J1489" s="10" t="str">
        <f>IFERROR(INDEX([1]Programas!$B$2:$B$50,MATCH(LEFT(I1489,3),[1]Programas!$A$2:$A$50,0)),"")</f>
        <v>IA Aplicada y Automati</v>
      </c>
      <c r="K1489" s="10" t="s">
        <v>111</v>
      </c>
    </row>
    <row r="1490" spans="1:11" x14ac:dyDescent="0.2">
      <c r="A1490" s="10">
        <v>1489</v>
      </c>
      <c r="B1490" s="10" t="s">
        <v>7812</v>
      </c>
      <c r="C1490" s="11" t="s">
        <v>2008</v>
      </c>
      <c r="D1490" s="10" t="s">
        <v>4419</v>
      </c>
      <c r="E1490" s="10" t="s">
        <v>7813</v>
      </c>
      <c r="F1490" s="11" t="s">
        <v>7814</v>
      </c>
      <c r="G1490" s="10" t="s">
        <v>13</v>
      </c>
      <c r="H1490" s="12">
        <v>46263</v>
      </c>
      <c r="I1490" s="10" t="s">
        <v>1966</v>
      </c>
      <c r="J1490" s="10" t="str">
        <f>IFERROR(INDEX([1]Programas!$B$2:$B$50,MATCH(LEFT(I1490,3),[1]Programas!$A$2:$A$50,0)),"")</f>
        <v>IA Aplicada y Automati</v>
      </c>
      <c r="K1490" s="10" t="s">
        <v>111</v>
      </c>
    </row>
    <row r="1491" spans="1:11" x14ac:dyDescent="0.2">
      <c r="A1491" s="10">
        <v>1490</v>
      </c>
      <c r="B1491" s="10" t="s">
        <v>2011</v>
      </c>
      <c r="C1491" s="11" t="s">
        <v>2010</v>
      </c>
      <c r="D1491" s="10" t="s">
        <v>4419</v>
      </c>
      <c r="E1491" s="10" t="s">
        <v>7815</v>
      </c>
      <c r="F1491" s="11" t="s">
        <v>7816</v>
      </c>
      <c r="G1491" s="10" t="s">
        <v>13</v>
      </c>
      <c r="H1491" s="12">
        <v>46263</v>
      </c>
      <c r="I1491" s="10" t="s">
        <v>1966</v>
      </c>
      <c r="J1491" s="10" t="str">
        <f>IFERROR(INDEX([1]Programas!$B$2:$B$50,MATCH(LEFT(I1491,3),[1]Programas!$A$2:$A$50,0)),"")</f>
        <v>IA Aplicada y Automati</v>
      </c>
      <c r="K1491" s="10" t="s">
        <v>111</v>
      </c>
    </row>
    <row r="1492" spans="1:11" x14ac:dyDescent="0.2">
      <c r="A1492" s="10">
        <v>1491</v>
      </c>
      <c r="B1492" s="10" t="s">
        <v>7817</v>
      </c>
      <c r="C1492" s="11" t="s">
        <v>2012</v>
      </c>
      <c r="D1492" s="10" t="s">
        <v>4419</v>
      </c>
      <c r="E1492" s="10" t="s">
        <v>7818</v>
      </c>
      <c r="F1492" s="11" t="s">
        <v>7819</v>
      </c>
      <c r="G1492" s="10" t="s">
        <v>13</v>
      </c>
      <c r="H1492" s="12">
        <v>46263</v>
      </c>
      <c r="I1492" s="10" t="s">
        <v>1966</v>
      </c>
      <c r="J1492" s="10" t="str">
        <f>IFERROR(INDEX([1]Programas!$B$2:$B$50,MATCH(LEFT(I1492,3),[1]Programas!$A$2:$A$50,0)),"")</f>
        <v>IA Aplicada y Automati</v>
      </c>
      <c r="K1492" s="10" t="s">
        <v>111</v>
      </c>
    </row>
    <row r="1493" spans="1:11" x14ac:dyDescent="0.2">
      <c r="A1493" s="10">
        <v>1492</v>
      </c>
      <c r="B1493" s="10" t="s">
        <v>7820</v>
      </c>
      <c r="C1493" s="11" t="s">
        <v>2014</v>
      </c>
      <c r="D1493" s="10" t="s">
        <v>4419</v>
      </c>
      <c r="E1493" s="10" t="s">
        <v>7821</v>
      </c>
      <c r="F1493" s="11" t="s">
        <v>7822</v>
      </c>
      <c r="G1493" s="10" t="s">
        <v>13</v>
      </c>
      <c r="H1493" s="12">
        <v>46263</v>
      </c>
      <c r="I1493" s="10" t="s">
        <v>1966</v>
      </c>
      <c r="J1493" s="10" t="str">
        <f>IFERROR(INDEX([1]Programas!$B$2:$B$50,MATCH(LEFT(I1493,3),[1]Programas!$A$2:$A$50,0)),"")</f>
        <v>IA Aplicada y Automati</v>
      </c>
      <c r="K1493" s="10" t="s">
        <v>111</v>
      </c>
    </row>
    <row r="1494" spans="1:11" x14ac:dyDescent="0.2">
      <c r="A1494" s="10">
        <v>1493</v>
      </c>
      <c r="B1494" s="10" t="s">
        <v>2017</v>
      </c>
      <c r="C1494" s="11" t="s">
        <v>2016</v>
      </c>
      <c r="D1494" s="10" t="s">
        <v>4419</v>
      </c>
      <c r="E1494" s="10" t="s">
        <v>7823</v>
      </c>
      <c r="F1494" s="11" t="s">
        <v>7824</v>
      </c>
      <c r="G1494" s="10" t="s">
        <v>13</v>
      </c>
      <c r="H1494" s="12">
        <v>46263</v>
      </c>
      <c r="I1494" s="10" t="s">
        <v>1966</v>
      </c>
      <c r="J1494" s="10" t="str">
        <f>IFERROR(INDEX([1]Programas!$B$2:$B$50,MATCH(LEFT(I1494,3),[1]Programas!$A$2:$A$50,0)),"")</f>
        <v>IA Aplicada y Automati</v>
      </c>
      <c r="K1494" s="10" t="s">
        <v>111</v>
      </c>
    </row>
    <row r="1495" spans="1:11" x14ac:dyDescent="0.2">
      <c r="A1495" s="10">
        <v>1494</v>
      </c>
      <c r="B1495" s="10" t="s">
        <v>7825</v>
      </c>
      <c r="C1495" s="11" t="s">
        <v>2018</v>
      </c>
      <c r="D1495" s="10" t="s">
        <v>4419</v>
      </c>
      <c r="E1495" s="10" t="s">
        <v>7826</v>
      </c>
      <c r="F1495" s="11" t="s">
        <v>7827</v>
      </c>
      <c r="G1495" s="10" t="s">
        <v>13</v>
      </c>
      <c r="H1495" s="12">
        <v>46263</v>
      </c>
      <c r="I1495" s="10" t="s">
        <v>1966</v>
      </c>
      <c r="J1495" s="10" t="str">
        <f>IFERROR(INDEX([1]Programas!$B$2:$B$50,MATCH(LEFT(I1495,3),[1]Programas!$A$2:$A$50,0)),"")</f>
        <v>IA Aplicada y Automati</v>
      </c>
      <c r="K1495" s="10" t="s">
        <v>111</v>
      </c>
    </row>
    <row r="1496" spans="1:11" x14ac:dyDescent="0.2">
      <c r="A1496" s="10">
        <v>1495</v>
      </c>
      <c r="B1496" s="10" t="s">
        <v>2021</v>
      </c>
      <c r="C1496" s="11" t="s">
        <v>2020</v>
      </c>
      <c r="D1496" s="10" t="s">
        <v>4419</v>
      </c>
      <c r="E1496" s="10" t="s">
        <v>7828</v>
      </c>
      <c r="F1496" s="11" t="s">
        <v>7829</v>
      </c>
      <c r="G1496" s="10" t="s">
        <v>13</v>
      </c>
      <c r="H1496" s="12">
        <v>46263</v>
      </c>
      <c r="I1496" s="10" t="s">
        <v>1966</v>
      </c>
      <c r="J1496" s="10" t="str">
        <f>IFERROR(INDEX([1]Programas!$B$2:$B$50,MATCH(LEFT(I1496,3),[1]Programas!$A$2:$A$50,0)),"")</f>
        <v>IA Aplicada y Automati</v>
      </c>
      <c r="K1496" s="10" t="s">
        <v>111</v>
      </c>
    </row>
    <row r="1497" spans="1:11" x14ac:dyDescent="0.2">
      <c r="A1497" s="10">
        <v>1496</v>
      </c>
      <c r="B1497" s="10" t="s">
        <v>7830</v>
      </c>
      <c r="C1497" s="11" t="s">
        <v>2022</v>
      </c>
      <c r="D1497" s="10" t="s">
        <v>4419</v>
      </c>
      <c r="E1497" s="10" t="s">
        <v>7831</v>
      </c>
      <c r="F1497" s="11" t="s">
        <v>7832</v>
      </c>
      <c r="G1497" s="10" t="s">
        <v>13</v>
      </c>
      <c r="H1497" s="12">
        <v>46263</v>
      </c>
      <c r="I1497" s="10" t="s">
        <v>1966</v>
      </c>
      <c r="J1497" s="10" t="str">
        <f>IFERROR(INDEX([1]Programas!$B$2:$B$50,MATCH(LEFT(I1497,3),[1]Programas!$A$2:$A$50,0)),"")</f>
        <v>IA Aplicada y Automati</v>
      </c>
      <c r="K1497" s="10" t="s">
        <v>111</v>
      </c>
    </row>
    <row r="1498" spans="1:11" x14ac:dyDescent="0.2">
      <c r="A1498" s="10">
        <v>1497</v>
      </c>
      <c r="B1498" s="10" t="s">
        <v>2025</v>
      </c>
      <c r="C1498" s="11" t="s">
        <v>2024</v>
      </c>
      <c r="D1498" s="10" t="s">
        <v>4419</v>
      </c>
      <c r="E1498" s="10" t="s">
        <v>7833</v>
      </c>
      <c r="F1498" s="11" t="s">
        <v>7834</v>
      </c>
      <c r="G1498" s="10" t="s">
        <v>13</v>
      </c>
      <c r="H1498" s="12">
        <v>46263</v>
      </c>
      <c r="I1498" s="10" t="s">
        <v>1966</v>
      </c>
      <c r="J1498" s="10" t="str">
        <f>IFERROR(INDEX([1]Programas!$B$2:$B$50,MATCH(LEFT(I1498,3),[1]Programas!$A$2:$A$50,0)),"")</f>
        <v>IA Aplicada y Automati</v>
      </c>
      <c r="K1498" s="10" t="s">
        <v>111</v>
      </c>
    </row>
    <row r="1499" spans="1:11" x14ac:dyDescent="0.2">
      <c r="A1499" s="10">
        <v>1498</v>
      </c>
      <c r="B1499" s="10" t="s">
        <v>2027</v>
      </c>
      <c r="C1499" s="11" t="s">
        <v>2026</v>
      </c>
      <c r="D1499" s="10" t="s">
        <v>4419</v>
      </c>
      <c r="E1499" s="10" t="s">
        <v>7835</v>
      </c>
      <c r="F1499" s="11" t="s">
        <v>7836</v>
      </c>
      <c r="G1499" s="10" t="s">
        <v>13</v>
      </c>
      <c r="H1499" s="12">
        <v>46263</v>
      </c>
      <c r="I1499" s="10" t="s">
        <v>1966</v>
      </c>
      <c r="J1499" s="10" t="str">
        <f>IFERROR(INDEX([1]Programas!$B$2:$B$50,MATCH(LEFT(I1499,3),[1]Programas!$A$2:$A$50,0)),"")</f>
        <v>IA Aplicada y Automati</v>
      </c>
      <c r="K1499" s="10" t="s">
        <v>111</v>
      </c>
    </row>
    <row r="1500" spans="1:11" x14ac:dyDescent="0.2">
      <c r="A1500" s="10">
        <v>1499</v>
      </c>
      <c r="B1500" s="10" t="s">
        <v>2029</v>
      </c>
      <c r="C1500" s="11" t="s">
        <v>2028</v>
      </c>
      <c r="D1500" s="10" t="s">
        <v>4419</v>
      </c>
      <c r="E1500" s="10" t="s">
        <v>7837</v>
      </c>
      <c r="F1500" s="11" t="s">
        <v>7838</v>
      </c>
      <c r="G1500" s="10" t="s">
        <v>13</v>
      </c>
      <c r="H1500" s="12">
        <v>46263</v>
      </c>
      <c r="I1500" s="10" t="s">
        <v>1966</v>
      </c>
      <c r="J1500" s="10" t="str">
        <f>IFERROR(INDEX([1]Programas!$B$2:$B$50,MATCH(LEFT(I1500,3),[1]Programas!$A$2:$A$50,0)),"")</f>
        <v>IA Aplicada y Automati</v>
      </c>
      <c r="K1500" s="10" t="s">
        <v>111</v>
      </c>
    </row>
    <row r="1501" spans="1:11" x14ac:dyDescent="0.2">
      <c r="A1501" s="10">
        <v>1500</v>
      </c>
      <c r="B1501" s="10" t="s">
        <v>2031</v>
      </c>
      <c r="C1501" s="11" t="s">
        <v>2030</v>
      </c>
      <c r="D1501" s="10" t="s">
        <v>4419</v>
      </c>
      <c r="E1501" s="10" t="s">
        <v>7839</v>
      </c>
      <c r="F1501" s="11" t="s">
        <v>7840</v>
      </c>
      <c r="G1501" s="10" t="s">
        <v>13</v>
      </c>
      <c r="H1501" s="12">
        <v>46263</v>
      </c>
      <c r="I1501" s="10" t="s">
        <v>1966</v>
      </c>
      <c r="J1501" s="10" t="str">
        <f>IFERROR(INDEX([1]Programas!$B$2:$B$50,MATCH(LEFT(I1501,3),[1]Programas!$A$2:$A$50,0)),"")</f>
        <v>IA Aplicada y Automati</v>
      </c>
      <c r="K1501" s="10" t="s">
        <v>111</v>
      </c>
    </row>
    <row r="1502" spans="1:11" x14ac:dyDescent="0.2">
      <c r="A1502" s="10">
        <v>1501</v>
      </c>
      <c r="B1502" s="10" t="s">
        <v>2033</v>
      </c>
      <c r="C1502" s="11" t="s">
        <v>2032</v>
      </c>
      <c r="D1502" s="10" t="s">
        <v>4419</v>
      </c>
      <c r="E1502" s="10" t="s">
        <v>7841</v>
      </c>
      <c r="F1502" s="11" t="s">
        <v>7842</v>
      </c>
      <c r="G1502" s="10" t="s">
        <v>13</v>
      </c>
      <c r="H1502" s="12">
        <v>46263</v>
      </c>
      <c r="I1502" s="10" t="s">
        <v>1966</v>
      </c>
      <c r="J1502" s="10" t="str">
        <f>IFERROR(INDEX([1]Programas!$B$2:$B$50,MATCH(LEFT(I1502,3),[1]Programas!$A$2:$A$50,0)),"")</f>
        <v>IA Aplicada y Automati</v>
      </c>
      <c r="K1502" s="10" t="s">
        <v>111</v>
      </c>
    </row>
    <row r="1503" spans="1:11" x14ac:dyDescent="0.2">
      <c r="A1503" s="10">
        <v>1502</v>
      </c>
      <c r="B1503" s="10" t="s">
        <v>2035</v>
      </c>
      <c r="C1503" s="11" t="s">
        <v>2034</v>
      </c>
      <c r="D1503" s="10" t="s">
        <v>4419</v>
      </c>
      <c r="E1503" s="10" t="s">
        <v>7843</v>
      </c>
      <c r="F1503" s="11" t="s">
        <v>7844</v>
      </c>
      <c r="G1503" s="10" t="s">
        <v>13</v>
      </c>
      <c r="H1503" s="12">
        <v>46263</v>
      </c>
      <c r="I1503" s="10" t="s">
        <v>1966</v>
      </c>
      <c r="J1503" s="10" t="str">
        <f>IFERROR(INDEX([1]Programas!$B$2:$B$50,MATCH(LEFT(I1503,3),[1]Programas!$A$2:$A$50,0)),"")</f>
        <v>IA Aplicada y Automati</v>
      </c>
      <c r="K1503" s="10" t="s">
        <v>111</v>
      </c>
    </row>
    <row r="1504" spans="1:11" x14ac:dyDescent="0.2">
      <c r="A1504" s="10">
        <v>1503</v>
      </c>
      <c r="B1504" s="10" t="s">
        <v>2037</v>
      </c>
      <c r="C1504" s="11" t="s">
        <v>2036</v>
      </c>
      <c r="D1504" s="10" t="s">
        <v>4419</v>
      </c>
      <c r="E1504" s="10" t="s">
        <v>7845</v>
      </c>
      <c r="F1504" s="11" t="s">
        <v>7846</v>
      </c>
      <c r="G1504" s="10" t="s">
        <v>13</v>
      </c>
      <c r="H1504" s="12">
        <v>46263</v>
      </c>
      <c r="I1504" s="10" t="s">
        <v>1966</v>
      </c>
      <c r="J1504" s="10" t="str">
        <f>IFERROR(INDEX([1]Programas!$B$2:$B$50,MATCH(LEFT(I1504,3),[1]Programas!$A$2:$A$50,0)),"")</f>
        <v>IA Aplicada y Automati</v>
      </c>
      <c r="K1504" s="10" t="s">
        <v>111</v>
      </c>
    </row>
    <row r="1505" spans="1:11" x14ac:dyDescent="0.2">
      <c r="A1505" s="10">
        <v>1504</v>
      </c>
      <c r="B1505" s="10" t="s">
        <v>2039</v>
      </c>
      <c r="C1505" s="11" t="s">
        <v>2038</v>
      </c>
      <c r="D1505" s="10" t="s">
        <v>4419</v>
      </c>
      <c r="E1505" s="10" t="s">
        <v>7847</v>
      </c>
      <c r="F1505" s="11" t="s">
        <v>7848</v>
      </c>
      <c r="G1505" s="10" t="s">
        <v>13</v>
      </c>
      <c r="H1505" s="12">
        <v>46263</v>
      </c>
      <c r="I1505" s="10" t="s">
        <v>1966</v>
      </c>
      <c r="J1505" s="10" t="str">
        <f>IFERROR(INDEX([1]Programas!$B$2:$B$50,MATCH(LEFT(I1505,3),[1]Programas!$A$2:$A$50,0)),"")</f>
        <v>IA Aplicada y Automati</v>
      </c>
      <c r="K1505" s="10" t="s">
        <v>111</v>
      </c>
    </row>
    <row r="1506" spans="1:11" x14ac:dyDescent="0.2">
      <c r="A1506" s="10">
        <v>1505</v>
      </c>
      <c r="B1506" s="10" t="s">
        <v>2041</v>
      </c>
      <c r="C1506" s="11" t="s">
        <v>2040</v>
      </c>
      <c r="D1506" s="10" t="s">
        <v>4419</v>
      </c>
      <c r="E1506" s="10" t="s">
        <v>7849</v>
      </c>
      <c r="F1506" s="11" t="s">
        <v>7850</v>
      </c>
      <c r="G1506" s="10" t="s">
        <v>13</v>
      </c>
      <c r="H1506" s="12">
        <v>46263</v>
      </c>
      <c r="I1506" s="10" t="s">
        <v>1966</v>
      </c>
      <c r="J1506" s="10" t="str">
        <f>IFERROR(INDEX([1]Programas!$B$2:$B$50,MATCH(LEFT(I1506,3),[1]Programas!$A$2:$A$50,0)),"")</f>
        <v>IA Aplicada y Automati</v>
      </c>
      <c r="K1506" s="10" t="s">
        <v>111</v>
      </c>
    </row>
    <row r="1507" spans="1:11" x14ac:dyDescent="0.2">
      <c r="A1507" s="10">
        <v>1506</v>
      </c>
      <c r="B1507" s="10" t="s">
        <v>2043</v>
      </c>
      <c r="C1507" s="11" t="s">
        <v>2042</v>
      </c>
      <c r="D1507" s="10" t="s">
        <v>4419</v>
      </c>
      <c r="E1507" s="10" t="s">
        <v>7851</v>
      </c>
      <c r="F1507" s="11" t="s">
        <v>7852</v>
      </c>
      <c r="G1507" s="10" t="s">
        <v>13</v>
      </c>
      <c r="H1507" s="12">
        <v>46263</v>
      </c>
      <c r="I1507" s="10" t="s">
        <v>1966</v>
      </c>
      <c r="J1507" s="10" t="str">
        <f>IFERROR(INDEX([1]Programas!$B$2:$B$50,MATCH(LEFT(I1507,3),[1]Programas!$A$2:$A$50,0)),"")</f>
        <v>IA Aplicada y Automati</v>
      </c>
      <c r="K1507" s="10" t="s">
        <v>111</v>
      </c>
    </row>
    <row r="1508" spans="1:11" x14ac:dyDescent="0.2">
      <c r="A1508" s="10">
        <v>1507</v>
      </c>
      <c r="B1508" s="10" t="s">
        <v>2045</v>
      </c>
      <c r="C1508" s="11" t="s">
        <v>2044</v>
      </c>
      <c r="D1508" s="10" t="s">
        <v>4419</v>
      </c>
      <c r="E1508" s="10" t="s">
        <v>7853</v>
      </c>
      <c r="F1508" s="11" t="s">
        <v>7854</v>
      </c>
      <c r="G1508" s="10" t="s">
        <v>13</v>
      </c>
      <c r="H1508" s="12">
        <v>46263</v>
      </c>
      <c r="I1508" s="10" t="s">
        <v>1966</v>
      </c>
      <c r="J1508" s="10" t="str">
        <f>IFERROR(INDEX([1]Programas!$B$2:$B$50,MATCH(LEFT(I1508,3),[1]Programas!$A$2:$A$50,0)),"")</f>
        <v>IA Aplicada y Automati</v>
      </c>
      <c r="K1508" s="10" t="s">
        <v>111</v>
      </c>
    </row>
    <row r="1509" spans="1:11" x14ac:dyDescent="0.2">
      <c r="A1509" s="10">
        <v>1508</v>
      </c>
      <c r="B1509" s="10" t="s">
        <v>7855</v>
      </c>
      <c r="C1509" s="11" t="s">
        <v>2046</v>
      </c>
      <c r="D1509" s="10" t="s">
        <v>4419</v>
      </c>
      <c r="E1509" s="10" t="s">
        <v>7856</v>
      </c>
      <c r="F1509" s="11" t="s">
        <v>7857</v>
      </c>
      <c r="G1509" s="10" t="s">
        <v>13</v>
      </c>
      <c r="H1509" s="12">
        <v>46263</v>
      </c>
      <c r="I1509" s="10" t="s">
        <v>1966</v>
      </c>
      <c r="J1509" s="10" t="str">
        <f>IFERROR(INDEX([1]Programas!$B$2:$B$50,MATCH(LEFT(I1509,3),[1]Programas!$A$2:$A$50,0)),"")</f>
        <v>IA Aplicada y Automati</v>
      </c>
      <c r="K1509" s="10" t="s">
        <v>111</v>
      </c>
    </row>
    <row r="1510" spans="1:11" x14ac:dyDescent="0.2">
      <c r="A1510" s="10">
        <v>1509</v>
      </c>
      <c r="B1510" s="10" t="s">
        <v>2049</v>
      </c>
      <c r="C1510" s="11" t="s">
        <v>2048</v>
      </c>
      <c r="D1510" s="10" t="s">
        <v>4419</v>
      </c>
      <c r="E1510" s="10" t="s">
        <v>7858</v>
      </c>
      <c r="F1510" s="11" t="s">
        <v>7859</v>
      </c>
      <c r="G1510" s="10" t="s">
        <v>13</v>
      </c>
      <c r="H1510" s="12">
        <v>46263</v>
      </c>
      <c r="I1510" s="10" t="s">
        <v>1966</v>
      </c>
      <c r="J1510" s="10" t="str">
        <f>IFERROR(INDEX([1]Programas!$B$2:$B$50,MATCH(LEFT(I1510,3),[1]Programas!$A$2:$A$50,0)),"")</f>
        <v>IA Aplicada y Automati</v>
      </c>
      <c r="K1510" s="10" t="s">
        <v>111</v>
      </c>
    </row>
    <row r="1511" spans="1:11" x14ac:dyDescent="0.2">
      <c r="A1511" s="10">
        <v>1510</v>
      </c>
      <c r="B1511" s="10" t="s">
        <v>2051</v>
      </c>
      <c r="C1511" s="11" t="s">
        <v>2050</v>
      </c>
      <c r="D1511" s="10" t="s">
        <v>4419</v>
      </c>
      <c r="E1511" s="10" t="s">
        <v>7860</v>
      </c>
      <c r="F1511" s="11" t="s">
        <v>7861</v>
      </c>
      <c r="G1511" s="10" t="s">
        <v>13</v>
      </c>
      <c r="H1511" s="12">
        <v>46263</v>
      </c>
      <c r="I1511" s="10" t="s">
        <v>1966</v>
      </c>
      <c r="J1511" s="10" t="str">
        <f>IFERROR(INDEX([1]Programas!$B$2:$B$50,MATCH(LEFT(I1511,3),[1]Programas!$A$2:$A$50,0)),"")</f>
        <v>IA Aplicada y Automati</v>
      </c>
      <c r="K1511" s="10" t="s">
        <v>111</v>
      </c>
    </row>
    <row r="1512" spans="1:11" x14ac:dyDescent="0.2">
      <c r="A1512" s="10">
        <v>1511</v>
      </c>
      <c r="B1512" s="10" t="s">
        <v>7862</v>
      </c>
      <c r="C1512" s="11" t="s">
        <v>2052</v>
      </c>
      <c r="D1512" s="10" t="s">
        <v>4419</v>
      </c>
      <c r="E1512" s="10" t="s">
        <v>7863</v>
      </c>
      <c r="F1512" s="11" t="s">
        <v>7864</v>
      </c>
      <c r="G1512" s="10" t="s">
        <v>13</v>
      </c>
      <c r="H1512" s="12">
        <v>46263</v>
      </c>
      <c r="I1512" s="10" t="s">
        <v>1966</v>
      </c>
      <c r="J1512" s="10" t="str">
        <f>IFERROR(INDEX([1]Programas!$B$2:$B$50,MATCH(LEFT(I1512,3),[1]Programas!$A$2:$A$50,0)),"")</f>
        <v>IA Aplicada y Automati</v>
      </c>
      <c r="K1512" s="10" t="s">
        <v>111</v>
      </c>
    </row>
    <row r="1513" spans="1:11" x14ac:dyDescent="0.2">
      <c r="A1513" s="10">
        <v>1512</v>
      </c>
      <c r="B1513" s="10" t="s">
        <v>2055</v>
      </c>
      <c r="C1513" s="11" t="s">
        <v>2054</v>
      </c>
      <c r="D1513" s="10" t="s">
        <v>4419</v>
      </c>
      <c r="E1513" s="10" t="s">
        <v>7865</v>
      </c>
      <c r="F1513" s="11" t="s">
        <v>7866</v>
      </c>
      <c r="G1513" s="10" t="s">
        <v>13</v>
      </c>
      <c r="H1513" s="12">
        <v>46263</v>
      </c>
      <c r="I1513" s="10" t="s">
        <v>1966</v>
      </c>
      <c r="J1513" s="10" t="str">
        <f>IFERROR(INDEX([1]Programas!$B$2:$B$50,MATCH(LEFT(I1513,3),[1]Programas!$A$2:$A$50,0)),"")</f>
        <v>IA Aplicada y Automati</v>
      </c>
      <c r="K1513" s="10" t="s">
        <v>111</v>
      </c>
    </row>
    <row r="1514" spans="1:11" x14ac:dyDescent="0.2">
      <c r="A1514" s="10">
        <v>1513</v>
      </c>
      <c r="B1514" s="10" t="s">
        <v>2057</v>
      </c>
      <c r="C1514" s="11" t="s">
        <v>2056</v>
      </c>
      <c r="D1514" s="10" t="s">
        <v>4419</v>
      </c>
      <c r="E1514" s="10" t="s">
        <v>7867</v>
      </c>
      <c r="F1514" s="11" t="s">
        <v>7868</v>
      </c>
      <c r="G1514" s="10" t="s">
        <v>13</v>
      </c>
      <c r="H1514" s="12">
        <v>46263</v>
      </c>
      <c r="I1514" s="10" t="s">
        <v>1966</v>
      </c>
      <c r="J1514" s="10" t="str">
        <f>IFERROR(INDEX([1]Programas!$B$2:$B$50,MATCH(LEFT(I1514,3),[1]Programas!$A$2:$A$50,0)),"")</f>
        <v>IA Aplicada y Automati</v>
      </c>
      <c r="K1514" s="10" t="s">
        <v>111</v>
      </c>
    </row>
    <row r="1515" spans="1:11" x14ac:dyDescent="0.2">
      <c r="A1515" s="10">
        <v>1514</v>
      </c>
      <c r="B1515" s="10" t="s">
        <v>7869</v>
      </c>
      <c r="C1515" s="11" t="s">
        <v>2058</v>
      </c>
      <c r="D1515" s="10" t="s">
        <v>4419</v>
      </c>
      <c r="E1515" s="10" t="s">
        <v>7870</v>
      </c>
      <c r="F1515" s="11" t="s">
        <v>7871</v>
      </c>
      <c r="G1515" s="10" t="s">
        <v>13</v>
      </c>
      <c r="H1515" s="12">
        <v>46263</v>
      </c>
      <c r="I1515" s="10" t="s">
        <v>1966</v>
      </c>
      <c r="J1515" s="10" t="str">
        <f>IFERROR(INDEX([1]Programas!$B$2:$B$50,MATCH(LEFT(I1515,3),[1]Programas!$A$2:$A$50,0)),"")</f>
        <v>IA Aplicada y Automati</v>
      </c>
      <c r="K1515" s="10" t="s">
        <v>111</v>
      </c>
    </row>
    <row r="1516" spans="1:11" x14ac:dyDescent="0.2">
      <c r="A1516" s="10">
        <v>1515</v>
      </c>
      <c r="B1516" s="10" t="s">
        <v>2061</v>
      </c>
      <c r="C1516" s="11" t="s">
        <v>2060</v>
      </c>
      <c r="D1516" s="10" t="s">
        <v>4419</v>
      </c>
      <c r="E1516" s="10" t="s">
        <v>7872</v>
      </c>
      <c r="F1516" s="11" t="s">
        <v>7873</v>
      </c>
      <c r="G1516" s="10" t="s">
        <v>13</v>
      </c>
      <c r="H1516" s="12">
        <v>46263</v>
      </c>
      <c r="I1516" s="10" t="s">
        <v>1966</v>
      </c>
      <c r="J1516" s="10" t="str">
        <f>IFERROR(INDEX([1]Programas!$B$2:$B$50,MATCH(LEFT(I1516,3),[1]Programas!$A$2:$A$50,0)),"")</f>
        <v>IA Aplicada y Automati</v>
      </c>
      <c r="K1516" s="10" t="s">
        <v>111</v>
      </c>
    </row>
    <row r="1517" spans="1:11" x14ac:dyDescent="0.2">
      <c r="A1517" s="10">
        <v>1516</v>
      </c>
      <c r="B1517" s="10" t="s">
        <v>2063</v>
      </c>
      <c r="C1517" s="11" t="s">
        <v>2062</v>
      </c>
      <c r="D1517" s="10" t="s">
        <v>4419</v>
      </c>
      <c r="E1517" s="10" t="s">
        <v>7874</v>
      </c>
      <c r="F1517" s="11" t="s">
        <v>7875</v>
      </c>
      <c r="G1517" s="10" t="s">
        <v>13</v>
      </c>
      <c r="H1517" s="12">
        <v>46263</v>
      </c>
      <c r="I1517" s="10" t="s">
        <v>1966</v>
      </c>
      <c r="J1517" s="10" t="str">
        <f>IFERROR(INDEX([1]Programas!$B$2:$B$50,MATCH(LEFT(I1517,3),[1]Programas!$A$2:$A$50,0)),"")</f>
        <v>IA Aplicada y Automati</v>
      </c>
      <c r="K1517" s="10" t="s">
        <v>111</v>
      </c>
    </row>
    <row r="1518" spans="1:11" x14ac:dyDescent="0.2">
      <c r="A1518" s="10">
        <v>1517</v>
      </c>
      <c r="B1518" s="10" t="s">
        <v>2065</v>
      </c>
      <c r="C1518" s="11" t="s">
        <v>2064</v>
      </c>
      <c r="D1518" s="10" t="s">
        <v>4419</v>
      </c>
      <c r="E1518" s="10" t="s">
        <v>7876</v>
      </c>
      <c r="F1518" s="11" t="s">
        <v>7877</v>
      </c>
      <c r="G1518" s="10" t="s">
        <v>13</v>
      </c>
      <c r="H1518" s="12">
        <v>46263</v>
      </c>
      <c r="I1518" s="10" t="s">
        <v>1966</v>
      </c>
      <c r="J1518" s="10" t="str">
        <f>IFERROR(INDEX([1]Programas!$B$2:$B$50,MATCH(LEFT(I1518,3),[1]Programas!$A$2:$A$50,0)),"")</f>
        <v>IA Aplicada y Automati</v>
      </c>
      <c r="K1518" s="10" t="s">
        <v>111</v>
      </c>
    </row>
    <row r="1519" spans="1:11" x14ac:dyDescent="0.2">
      <c r="A1519" s="10">
        <v>1518</v>
      </c>
      <c r="B1519" s="10" t="s">
        <v>7878</v>
      </c>
      <c r="C1519" s="11" t="s">
        <v>2066</v>
      </c>
      <c r="D1519" s="10" t="s">
        <v>4419</v>
      </c>
      <c r="E1519" s="10" t="s">
        <v>7879</v>
      </c>
      <c r="F1519" s="11" t="s">
        <v>7880</v>
      </c>
      <c r="G1519" s="10" t="s">
        <v>13</v>
      </c>
      <c r="H1519" s="12">
        <v>46263</v>
      </c>
      <c r="I1519" s="10" t="s">
        <v>1966</v>
      </c>
      <c r="J1519" s="10" t="str">
        <f>IFERROR(INDEX([1]Programas!$B$2:$B$50,MATCH(LEFT(I1519,3),[1]Programas!$A$2:$A$50,0)),"")</f>
        <v>IA Aplicada y Automati</v>
      </c>
      <c r="K1519" s="10" t="s">
        <v>111</v>
      </c>
    </row>
    <row r="1520" spans="1:11" x14ac:dyDescent="0.2">
      <c r="A1520" s="10">
        <v>1519</v>
      </c>
      <c r="B1520" s="10" t="s">
        <v>2069</v>
      </c>
      <c r="C1520" s="11" t="s">
        <v>2068</v>
      </c>
      <c r="D1520" s="10" t="s">
        <v>4419</v>
      </c>
      <c r="E1520" s="10" t="s">
        <v>7881</v>
      </c>
      <c r="F1520" s="11" t="s">
        <v>7882</v>
      </c>
      <c r="G1520" s="10" t="s">
        <v>13</v>
      </c>
      <c r="H1520" s="12">
        <v>46268</v>
      </c>
      <c r="I1520" s="10" t="s">
        <v>1966</v>
      </c>
      <c r="J1520" s="10" t="str">
        <f>IFERROR(INDEX([1]Programas!$B$2:$B$50,MATCH(LEFT(I1520,3),[1]Programas!$A$2:$A$50,0)),"")</f>
        <v>IA Aplicada y Automati</v>
      </c>
      <c r="K1520" s="10" t="s">
        <v>111</v>
      </c>
    </row>
    <row r="1521" spans="1:11" x14ac:dyDescent="0.2">
      <c r="A1521" s="10">
        <v>1520</v>
      </c>
      <c r="B1521" s="10" t="s">
        <v>1787</v>
      </c>
      <c r="C1521" s="11" t="s">
        <v>1786</v>
      </c>
      <c r="D1521" s="10" t="s">
        <v>4419</v>
      </c>
      <c r="E1521" s="10" t="s">
        <v>7883</v>
      </c>
      <c r="F1521" s="11" t="s">
        <v>7884</v>
      </c>
      <c r="G1521" s="10" t="s">
        <v>13</v>
      </c>
      <c r="H1521" s="12">
        <v>46268</v>
      </c>
      <c r="I1521" s="10" t="s">
        <v>1966</v>
      </c>
      <c r="J1521" s="10" t="str">
        <f>IFERROR(INDEX([1]Programas!$B$2:$B$50,MATCH(LEFT(I1521,3),[1]Programas!$A$2:$A$50,0)),"")</f>
        <v>IA Aplicada y Automati</v>
      </c>
      <c r="K1521" s="10" t="s">
        <v>111</v>
      </c>
    </row>
    <row r="1522" spans="1:11" x14ac:dyDescent="0.2">
      <c r="A1522" s="10">
        <v>1521</v>
      </c>
      <c r="B1522" s="10" t="s">
        <v>2071</v>
      </c>
      <c r="C1522" s="11" t="s">
        <v>2070</v>
      </c>
      <c r="D1522" s="10" t="s">
        <v>4419</v>
      </c>
      <c r="E1522" s="10" t="s">
        <v>7885</v>
      </c>
      <c r="F1522" s="11" t="s">
        <v>7886</v>
      </c>
      <c r="G1522" s="10" t="s">
        <v>13</v>
      </c>
      <c r="H1522" s="12">
        <v>46273</v>
      </c>
      <c r="I1522" s="10" t="s">
        <v>1966</v>
      </c>
      <c r="J1522" s="10" t="str">
        <f>IFERROR(INDEX([1]Programas!$B$2:$B$50,MATCH(LEFT(I1522,3),[1]Programas!$A$2:$A$50,0)),"")</f>
        <v>IA Aplicada y Automati</v>
      </c>
      <c r="K1522" s="10" t="s">
        <v>111</v>
      </c>
    </row>
    <row r="1523" spans="1:11" x14ac:dyDescent="0.2">
      <c r="A1523" s="10">
        <v>1522</v>
      </c>
      <c r="B1523" s="10" t="s">
        <v>2074</v>
      </c>
      <c r="C1523" s="11" t="s">
        <v>2073</v>
      </c>
      <c r="D1523" s="10" t="s">
        <v>4419</v>
      </c>
      <c r="E1523" s="10" t="s">
        <v>7887</v>
      </c>
      <c r="F1523" s="11" t="s">
        <v>7888</v>
      </c>
      <c r="G1523" s="10" t="s">
        <v>13</v>
      </c>
      <c r="H1523" s="12">
        <v>46263</v>
      </c>
      <c r="I1523" s="10" t="s">
        <v>2076</v>
      </c>
      <c r="J1523" s="10" t="str">
        <f>IFERROR(INDEX([1]Programas!$B$2:$B$50,MATCH(LEFT(I1523,3),[1]Programas!$A$2:$A$50,0)),"")</f>
        <v>IA Aplicada y Automati</v>
      </c>
      <c r="K1523" s="10" t="s">
        <v>111</v>
      </c>
    </row>
    <row r="1524" spans="1:11" x14ac:dyDescent="0.2">
      <c r="A1524" s="10">
        <v>1523</v>
      </c>
      <c r="B1524" s="10" t="s">
        <v>2080</v>
      </c>
      <c r="C1524" s="11" t="s">
        <v>2079</v>
      </c>
      <c r="D1524" s="10" t="s">
        <v>4419</v>
      </c>
      <c r="E1524" s="10" t="s">
        <v>7889</v>
      </c>
      <c r="F1524" s="11" t="s">
        <v>7890</v>
      </c>
      <c r="G1524" s="10" t="s">
        <v>13</v>
      </c>
      <c r="H1524" s="12">
        <v>46263</v>
      </c>
      <c r="I1524" s="10" t="s">
        <v>2076</v>
      </c>
      <c r="J1524" s="10" t="str">
        <f>IFERROR(INDEX([1]Programas!$B$2:$B$50,MATCH(LEFT(I1524,3),[1]Programas!$A$2:$A$50,0)),"")</f>
        <v>IA Aplicada y Automati</v>
      </c>
      <c r="K1524" s="10" t="s">
        <v>111</v>
      </c>
    </row>
    <row r="1525" spans="1:11" x14ac:dyDescent="0.2">
      <c r="A1525" s="10">
        <v>1524</v>
      </c>
      <c r="B1525" s="10" t="s">
        <v>2082</v>
      </c>
      <c r="C1525" s="11" t="s">
        <v>2081</v>
      </c>
      <c r="D1525" s="10" t="s">
        <v>4419</v>
      </c>
      <c r="E1525" s="10" t="s">
        <v>7891</v>
      </c>
      <c r="F1525" s="11" t="s">
        <v>7892</v>
      </c>
      <c r="G1525" s="10" t="s">
        <v>13</v>
      </c>
      <c r="H1525" s="12">
        <v>46263</v>
      </c>
      <c r="I1525" s="10" t="s">
        <v>2076</v>
      </c>
      <c r="J1525" s="10" t="str">
        <f>IFERROR(INDEX([1]Programas!$B$2:$B$50,MATCH(LEFT(I1525,3),[1]Programas!$A$2:$A$50,0)),"")</f>
        <v>IA Aplicada y Automati</v>
      </c>
      <c r="K1525" s="10" t="s">
        <v>111</v>
      </c>
    </row>
    <row r="1526" spans="1:11" x14ac:dyDescent="0.2">
      <c r="A1526" s="10">
        <v>1525</v>
      </c>
      <c r="B1526" s="10" t="s">
        <v>2084</v>
      </c>
      <c r="C1526" s="11" t="s">
        <v>2083</v>
      </c>
      <c r="D1526" s="10" t="s">
        <v>4419</v>
      </c>
      <c r="E1526" s="10" t="s">
        <v>7893</v>
      </c>
      <c r="F1526" s="11" t="s">
        <v>7894</v>
      </c>
      <c r="G1526" s="10" t="s">
        <v>13</v>
      </c>
      <c r="H1526" s="12">
        <v>46263</v>
      </c>
      <c r="I1526" s="10" t="s">
        <v>2076</v>
      </c>
      <c r="J1526" s="10" t="str">
        <f>IFERROR(INDEX([1]Programas!$B$2:$B$50,MATCH(LEFT(I1526,3),[1]Programas!$A$2:$A$50,0)),"")</f>
        <v>IA Aplicada y Automati</v>
      </c>
      <c r="K1526" s="10" t="s">
        <v>111</v>
      </c>
    </row>
    <row r="1527" spans="1:11" x14ac:dyDescent="0.2">
      <c r="A1527" s="10">
        <v>1526</v>
      </c>
      <c r="B1527" s="10" t="s">
        <v>2086</v>
      </c>
      <c r="C1527" s="11" t="s">
        <v>2085</v>
      </c>
      <c r="D1527" s="10" t="s">
        <v>4419</v>
      </c>
      <c r="E1527" s="10" t="s">
        <v>7895</v>
      </c>
      <c r="F1527" s="11" t="s">
        <v>7896</v>
      </c>
      <c r="G1527" s="10" t="s">
        <v>13</v>
      </c>
      <c r="H1527" s="12">
        <v>46263</v>
      </c>
      <c r="I1527" s="10" t="s">
        <v>2076</v>
      </c>
      <c r="J1527" s="10" t="str">
        <f>IFERROR(INDEX([1]Programas!$B$2:$B$50,MATCH(LEFT(I1527,3),[1]Programas!$A$2:$A$50,0)),"")</f>
        <v>IA Aplicada y Automati</v>
      </c>
      <c r="K1527" s="10" t="s">
        <v>111</v>
      </c>
    </row>
    <row r="1528" spans="1:11" x14ac:dyDescent="0.2">
      <c r="A1528" s="10">
        <v>1527</v>
      </c>
      <c r="B1528" s="10" t="s">
        <v>7897</v>
      </c>
      <c r="C1528" s="11" t="s">
        <v>2087</v>
      </c>
      <c r="D1528" s="10" t="s">
        <v>4419</v>
      </c>
      <c r="E1528" s="10" t="s">
        <v>7898</v>
      </c>
      <c r="F1528" s="11" t="s">
        <v>7899</v>
      </c>
      <c r="G1528" s="10" t="s">
        <v>13</v>
      </c>
      <c r="H1528" s="12">
        <v>46263</v>
      </c>
      <c r="I1528" s="10" t="s">
        <v>2076</v>
      </c>
      <c r="J1528" s="10" t="str">
        <f>IFERROR(INDEX([1]Programas!$B$2:$B$50,MATCH(LEFT(I1528,3),[1]Programas!$A$2:$A$50,0)),"")</f>
        <v>IA Aplicada y Automati</v>
      </c>
      <c r="K1528" s="10" t="s">
        <v>111</v>
      </c>
    </row>
    <row r="1529" spans="1:11" x14ac:dyDescent="0.2">
      <c r="A1529" s="10">
        <v>1528</v>
      </c>
      <c r="B1529" s="10" t="s">
        <v>7900</v>
      </c>
      <c r="C1529" s="11" t="s">
        <v>2089</v>
      </c>
      <c r="D1529" s="10" t="s">
        <v>4419</v>
      </c>
      <c r="E1529" s="10" t="s">
        <v>7901</v>
      </c>
      <c r="F1529" s="11" t="s">
        <v>7902</v>
      </c>
      <c r="G1529" s="10" t="s">
        <v>13</v>
      </c>
      <c r="H1529" s="12">
        <v>46263</v>
      </c>
      <c r="I1529" s="10" t="s">
        <v>2076</v>
      </c>
      <c r="J1529" s="10" t="str">
        <f>IFERROR(INDEX([1]Programas!$B$2:$B$50,MATCH(LEFT(I1529,3),[1]Programas!$A$2:$A$50,0)),"")</f>
        <v>IA Aplicada y Automati</v>
      </c>
      <c r="K1529" s="10" t="s">
        <v>111</v>
      </c>
    </row>
    <row r="1530" spans="1:11" x14ac:dyDescent="0.2">
      <c r="A1530" s="10">
        <v>1529</v>
      </c>
      <c r="B1530" s="10" t="s">
        <v>2092</v>
      </c>
      <c r="C1530" s="11" t="s">
        <v>2091</v>
      </c>
      <c r="D1530" s="10" t="s">
        <v>4419</v>
      </c>
      <c r="E1530" s="10" t="s">
        <v>7903</v>
      </c>
      <c r="F1530" s="11" t="s">
        <v>7904</v>
      </c>
      <c r="G1530" s="10" t="s">
        <v>13</v>
      </c>
      <c r="H1530" s="12">
        <v>46263</v>
      </c>
      <c r="I1530" s="10" t="s">
        <v>2076</v>
      </c>
      <c r="J1530" s="10" t="str">
        <f>IFERROR(INDEX([1]Programas!$B$2:$B$50,MATCH(LEFT(I1530,3),[1]Programas!$A$2:$A$50,0)),"")</f>
        <v>IA Aplicada y Automati</v>
      </c>
      <c r="K1530" s="10" t="s">
        <v>111</v>
      </c>
    </row>
    <row r="1531" spans="1:11" x14ac:dyDescent="0.2">
      <c r="A1531" s="10">
        <v>1530</v>
      </c>
      <c r="B1531" s="10" t="s">
        <v>2094</v>
      </c>
      <c r="C1531" s="11" t="s">
        <v>2093</v>
      </c>
      <c r="D1531" s="10" t="s">
        <v>4419</v>
      </c>
      <c r="E1531" s="10" t="s">
        <v>7905</v>
      </c>
      <c r="F1531" s="11" t="s">
        <v>7906</v>
      </c>
      <c r="G1531" s="10" t="s">
        <v>13</v>
      </c>
      <c r="H1531" s="12">
        <v>46263</v>
      </c>
      <c r="I1531" s="10" t="s">
        <v>2076</v>
      </c>
      <c r="J1531" s="10" t="str">
        <f>IFERROR(INDEX([1]Programas!$B$2:$B$50,MATCH(LEFT(I1531,3),[1]Programas!$A$2:$A$50,0)),"")</f>
        <v>IA Aplicada y Automati</v>
      </c>
      <c r="K1531" s="10" t="s">
        <v>111</v>
      </c>
    </row>
    <row r="1532" spans="1:11" x14ac:dyDescent="0.2">
      <c r="A1532" s="10">
        <v>1531</v>
      </c>
      <c r="B1532" s="10" t="s">
        <v>2096</v>
      </c>
      <c r="C1532" s="11" t="s">
        <v>2095</v>
      </c>
      <c r="D1532" s="10" t="s">
        <v>4419</v>
      </c>
      <c r="E1532" s="10" t="s">
        <v>7907</v>
      </c>
      <c r="F1532" s="11" t="s">
        <v>7908</v>
      </c>
      <c r="G1532" s="10" t="s">
        <v>13</v>
      </c>
      <c r="H1532" s="12">
        <v>46263</v>
      </c>
      <c r="I1532" s="10" t="s">
        <v>2076</v>
      </c>
      <c r="J1532" s="10" t="str">
        <f>IFERROR(INDEX([1]Programas!$B$2:$B$50,MATCH(LEFT(I1532,3),[1]Programas!$A$2:$A$50,0)),"")</f>
        <v>IA Aplicada y Automati</v>
      </c>
      <c r="K1532" s="10" t="s">
        <v>111</v>
      </c>
    </row>
    <row r="1533" spans="1:11" x14ac:dyDescent="0.2">
      <c r="A1533" s="10">
        <v>1532</v>
      </c>
      <c r="B1533" s="10" t="s">
        <v>2098</v>
      </c>
      <c r="C1533" s="11" t="s">
        <v>2097</v>
      </c>
      <c r="D1533" s="10" t="s">
        <v>4419</v>
      </c>
      <c r="E1533" s="10" t="s">
        <v>7909</v>
      </c>
      <c r="F1533" s="11" t="s">
        <v>7910</v>
      </c>
      <c r="G1533" s="10" t="s">
        <v>13</v>
      </c>
      <c r="H1533" s="12">
        <v>46263</v>
      </c>
      <c r="I1533" s="10" t="s">
        <v>2076</v>
      </c>
      <c r="J1533" s="10" t="str">
        <f>IFERROR(INDEX([1]Programas!$B$2:$B$50,MATCH(LEFT(I1533,3),[1]Programas!$A$2:$A$50,0)),"")</f>
        <v>IA Aplicada y Automati</v>
      </c>
      <c r="K1533" s="10" t="s">
        <v>111</v>
      </c>
    </row>
    <row r="1534" spans="1:11" x14ac:dyDescent="0.2">
      <c r="A1534" s="10">
        <v>1533</v>
      </c>
      <c r="B1534" s="10" t="s">
        <v>2100</v>
      </c>
      <c r="C1534" s="11" t="s">
        <v>2099</v>
      </c>
      <c r="D1534" s="10" t="s">
        <v>4419</v>
      </c>
      <c r="E1534" s="10" t="s">
        <v>7911</v>
      </c>
      <c r="F1534" s="11" t="s">
        <v>7912</v>
      </c>
      <c r="G1534" s="10" t="s">
        <v>13</v>
      </c>
      <c r="H1534" s="12">
        <v>46263</v>
      </c>
      <c r="I1534" s="10" t="s">
        <v>2076</v>
      </c>
      <c r="J1534" s="10" t="str">
        <f>IFERROR(INDEX([1]Programas!$B$2:$B$50,MATCH(LEFT(I1534,3),[1]Programas!$A$2:$A$50,0)),"")</f>
        <v>IA Aplicada y Automati</v>
      </c>
      <c r="K1534" s="10" t="s">
        <v>111</v>
      </c>
    </row>
    <row r="1535" spans="1:11" x14ac:dyDescent="0.2">
      <c r="A1535" s="10">
        <v>1534</v>
      </c>
      <c r="B1535" s="10" t="s">
        <v>2102</v>
      </c>
      <c r="C1535" s="11" t="s">
        <v>2101</v>
      </c>
      <c r="D1535" s="10" t="s">
        <v>4419</v>
      </c>
      <c r="E1535" s="10" t="s">
        <v>7913</v>
      </c>
      <c r="F1535" s="11" t="s">
        <v>7914</v>
      </c>
      <c r="G1535" s="10" t="s">
        <v>13</v>
      </c>
      <c r="H1535" s="12">
        <v>46263</v>
      </c>
      <c r="I1535" s="10" t="s">
        <v>2076</v>
      </c>
      <c r="J1535" s="10" t="str">
        <f>IFERROR(INDEX([1]Programas!$B$2:$B$50,MATCH(LEFT(I1535,3),[1]Programas!$A$2:$A$50,0)),"")</f>
        <v>IA Aplicada y Automati</v>
      </c>
      <c r="K1535" s="10" t="s">
        <v>111</v>
      </c>
    </row>
    <row r="1536" spans="1:11" x14ac:dyDescent="0.2">
      <c r="A1536" s="10">
        <v>1535</v>
      </c>
      <c r="B1536" s="10" t="s">
        <v>2104</v>
      </c>
      <c r="C1536" s="11" t="s">
        <v>2103</v>
      </c>
      <c r="D1536" s="10" t="s">
        <v>4419</v>
      </c>
      <c r="E1536" s="10" t="s">
        <v>7915</v>
      </c>
      <c r="F1536" s="11" t="s">
        <v>7916</v>
      </c>
      <c r="G1536" s="10" t="s">
        <v>13</v>
      </c>
      <c r="H1536" s="12">
        <v>46263</v>
      </c>
      <c r="I1536" s="10" t="s">
        <v>2076</v>
      </c>
      <c r="J1536" s="10" t="str">
        <f>IFERROR(INDEX([1]Programas!$B$2:$B$50,MATCH(LEFT(I1536,3),[1]Programas!$A$2:$A$50,0)),"")</f>
        <v>IA Aplicada y Automati</v>
      </c>
      <c r="K1536" s="10" t="s">
        <v>111</v>
      </c>
    </row>
    <row r="1537" spans="1:11" x14ac:dyDescent="0.2">
      <c r="A1537" s="10">
        <v>1536</v>
      </c>
      <c r="B1537" s="10" t="s">
        <v>2106</v>
      </c>
      <c r="C1537" s="11" t="s">
        <v>2105</v>
      </c>
      <c r="D1537" s="10" t="s">
        <v>4453</v>
      </c>
      <c r="E1537" s="10" t="s">
        <v>7917</v>
      </c>
      <c r="F1537" s="11" t="s">
        <v>7918</v>
      </c>
      <c r="G1537" s="10" t="s">
        <v>13</v>
      </c>
      <c r="H1537" s="12">
        <v>46263</v>
      </c>
      <c r="I1537" s="10" t="s">
        <v>2076</v>
      </c>
      <c r="J1537" s="10" t="str">
        <f>IFERROR(INDEX([1]Programas!$B$2:$B$50,MATCH(LEFT(I1537,3),[1]Programas!$A$2:$A$50,0)),"")</f>
        <v>IA Aplicada y Automati</v>
      </c>
      <c r="K1537" s="10" t="s">
        <v>111</v>
      </c>
    </row>
    <row r="1538" spans="1:11" x14ac:dyDescent="0.2">
      <c r="A1538" s="10">
        <v>1537</v>
      </c>
      <c r="B1538" s="10" t="s">
        <v>2108</v>
      </c>
      <c r="C1538" s="11" t="s">
        <v>2107</v>
      </c>
      <c r="D1538" s="10" t="s">
        <v>4419</v>
      </c>
      <c r="E1538" s="10" t="s">
        <v>7919</v>
      </c>
      <c r="F1538" s="11" t="s">
        <v>7920</v>
      </c>
      <c r="G1538" s="10" t="s">
        <v>13</v>
      </c>
      <c r="H1538" s="12">
        <v>46263</v>
      </c>
      <c r="I1538" s="10" t="s">
        <v>2076</v>
      </c>
      <c r="J1538" s="10" t="str">
        <f>IFERROR(INDEX([1]Programas!$B$2:$B$50,MATCH(LEFT(I1538,3),[1]Programas!$A$2:$A$50,0)),"")</f>
        <v>IA Aplicada y Automati</v>
      </c>
      <c r="K1538" s="10" t="s">
        <v>111</v>
      </c>
    </row>
    <row r="1539" spans="1:11" x14ac:dyDescent="0.2">
      <c r="A1539" s="10">
        <v>1538</v>
      </c>
      <c r="B1539" s="10" t="s">
        <v>7921</v>
      </c>
      <c r="C1539" s="11" t="s">
        <v>2109</v>
      </c>
      <c r="D1539" s="10" t="s">
        <v>4419</v>
      </c>
      <c r="E1539" s="10" t="s">
        <v>7922</v>
      </c>
      <c r="F1539" s="11" t="s">
        <v>7923</v>
      </c>
      <c r="G1539" s="10" t="s">
        <v>13</v>
      </c>
      <c r="H1539" s="12">
        <v>46263</v>
      </c>
      <c r="I1539" s="10" t="s">
        <v>2076</v>
      </c>
      <c r="J1539" s="10" t="str">
        <f>IFERROR(INDEX([1]Programas!$B$2:$B$50,MATCH(LEFT(I1539,3),[1]Programas!$A$2:$A$50,0)),"")</f>
        <v>IA Aplicada y Automati</v>
      </c>
      <c r="K1539" s="10" t="s">
        <v>111</v>
      </c>
    </row>
    <row r="1540" spans="1:11" x14ac:dyDescent="0.2">
      <c r="A1540" s="10">
        <v>1539</v>
      </c>
      <c r="B1540" s="10" t="s">
        <v>2112</v>
      </c>
      <c r="C1540" s="11" t="s">
        <v>2111</v>
      </c>
      <c r="D1540" s="10" t="s">
        <v>4419</v>
      </c>
      <c r="E1540" s="10" t="s">
        <v>7924</v>
      </c>
      <c r="F1540" s="11" t="s">
        <v>7925</v>
      </c>
      <c r="G1540" s="10" t="s">
        <v>13</v>
      </c>
      <c r="H1540" s="12">
        <v>46263</v>
      </c>
      <c r="I1540" s="10" t="s">
        <v>2076</v>
      </c>
      <c r="J1540" s="10" t="str">
        <f>IFERROR(INDEX([1]Programas!$B$2:$B$50,MATCH(LEFT(I1540,3),[1]Programas!$A$2:$A$50,0)),"")</f>
        <v>IA Aplicada y Automati</v>
      </c>
      <c r="K1540" s="10" t="s">
        <v>111</v>
      </c>
    </row>
    <row r="1541" spans="1:11" x14ac:dyDescent="0.2">
      <c r="A1541" s="10">
        <v>1540</v>
      </c>
      <c r="B1541" s="10" t="s">
        <v>2114</v>
      </c>
      <c r="C1541" s="11" t="s">
        <v>2113</v>
      </c>
      <c r="D1541" s="10" t="s">
        <v>5003</v>
      </c>
      <c r="E1541" s="10" t="s">
        <v>7926</v>
      </c>
      <c r="F1541" s="11" t="s">
        <v>7927</v>
      </c>
      <c r="G1541" s="10" t="s">
        <v>13</v>
      </c>
      <c r="H1541" s="12">
        <v>46263</v>
      </c>
      <c r="I1541" s="10" t="s">
        <v>2076</v>
      </c>
      <c r="J1541" s="10" t="str">
        <f>IFERROR(INDEX([1]Programas!$B$2:$B$50,MATCH(LEFT(I1541,3),[1]Programas!$A$2:$A$50,0)),"")</f>
        <v>IA Aplicada y Automati</v>
      </c>
      <c r="K1541" s="10" t="s">
        <v>111</v>
      </c>
    </row>
    <row r="1542" spans="1:11" x14ac:dyDescent="0.2">
      <c r="A1542" s="10">
        <v>1541</v>
      </c>
      <c r="B1542" s="10" t="s">
        <v>2116</v>
      </c>
      <c r="C1542" s="11" t="s">
        <v>2115</v>
      </c>
      <c r="D1542" s="10" t="s">
        <v>4419</v>
      </c>
      <c r="E1542" s="10" t="s">
        <v>7928</v>
      </c>
      <c r="F1542" s="11" t="s">
        <v>7929</v>
      </c>
      <c r="G1542" s="10" t="s">
        <v>13</v>
      </c>
      <c r="H1542" s="12">
        <v>46263</v>
      </c>
      <c r="I1542" s="10" t="s">
        <v>2076</v>
      </c>
      <c r="J1542" s="10" t="str">
        <f>IFERROR(INDEX([1]Programas!$B$2:$B$50,MATCH(LEFT(I1542,3),[1]Programas!$A$2:$A$50,0)),"")</f>
        <v>IA Aplicada y Automati</v>
      </c>
      <c r="K1542" s="10" t="s">
        <v>111</v>
      </c>
    </row>
    <row r="1543" spans="1:11" x14ac:dyDescent="0.2">
      <c r="A1543" s="10">
        <v>1542</v>
      </c>
      <c r="B1543" s="10" t="s">
        <v>7930</v>
      </c>
      <c r="C1543" s="11" t="s">
        <v>2117</v>
      </c>
      <c r="D1543" s="10" t="s">
        <v>4419</v>
      </c>
      <c r="E1543" s="10" t="s">
        <v>7931</v>
      </c>
      <c r="F1543" s="11" t="s">
        <v>7932</v>
      </c>
      <c r="G1543" s="10" t="s">
        <v>13</v>
      </c>
      <c r="H1543" s="12">
        <v>46263</v>
      </c>
      <c r="I1543" s="10" t="s">
        <v>2076</v>
      </c>
      <c r="J1543" s="10" t="str">
        <f>IFERROR(INDEX([1]Programas!$B$2:$B$50,MATCH(LEFT(I1543,3),[1]Programas!$A$2:$A$50,0)),"")</f>
        <v>IA Aplicada y Automati</v>
      </c>
      <c r="K1543" s="10" t="s">
        <v>111</v>
      </c>
    </row>
    <row r="1544" spans="1:11" x14ac:dyDescent="0.2">
      <c r="A1544" s="10">
        <v>1543</v>
      </c>
      <c r="B1544" s="10" t="s">
        <v>2247</v>
      </c>
      <c r="C1544" s="11" t="s">
        <v>2246</v>
      </c>
      <c r="D1544" s="10" t="s">
        <v>4419</v>
      </c>
      <c r="E1544" s="10" t="s">
        <v>7933</v>
      </c>
      <c r="F1544" s="11" t="s">
        <v>7934</v>
      </c>
      <c r="G1544" s="10" t="s">
        <v>13</v>
      </c>
      <c r="H1544" s="12">
        <v>46263</v>
      </c>
      <c r="I1544" s="10" t="s">
        <v>2076</v>
      </c>
      <c r="J1544" s="10" t="str">
        <f>IFERROR(INDEX([1]Programas!$B$2:$B$50,MATCH(LEFT(I1544,3),[1]Programas!$A$2:$A$50,0)),"")</f>
        <v>IA Aplicada y Automati</v>
      </c>
      <c r="K1544" s="10" t="s">
        <v>111</v>
      </c>
    </row>
    <row r="1545" spans="1:11" x14ac:dyDescent="0.2">
      <c r="A1545" s="10">
        <v>1544</v>
      </c>
      <c r="B1545" s="10" t="s">
        <v>7935</v>
      </c>
      <c r="C1545" s="11" t="s">
        <v>2119</v>
      </c>
      <c r="D1545" s="10" t="s">
        <v>4419</v>
      </c>
      <c r="E1545" s="10" t="s">
        <v>7936</v>
      </c>
      <c r="F1545" s="11" t="s">
        <v>7937</v>
      </c>
      <c r="G1545" s="10" t="s">
        <v>13</v>
      </c>
      <c r="H1545" s="12">
        <v>46263</v>
      </c>
      <c r="I1545" s="10" t="s">
        <v>2076</v>
      </c>
      <c r="J1545" s="10" t="str">
        <f>IFERROR(INDEX([1]Programas!$B$2:$B$50,MATCH(LEFT(I1545,3),[1]Programas!$A$2:$A$50,0)),"")</f>
        <v>IA Aplicada y Automati</v>
      </c>
      <c r="K1545" s="10" t="s">
        <v>111</v>
      </c>
    </row>
    <row r="1546" spans="1:11" x14ac:dyDescent="0.2">
      <c r="A1546" s="10">
        <v>1545</v>
      </c>
      <c r="B1546" s="10" t="s">
        <v>2122</v>
      </c>
      <c r="C1546" s="11" t="s">
        <v>2121</v>
      </c>
      <c r="D1546" s="10" t="s">
        <v>4419</v>
      </c>
      <c r="E1546" s="10" t="s">
        <v>7938</v>
      </c>
      <c r="F1546" s="11" t="s">
        <v>7939</v>
      </c>
      <c r="G1546" s="10" t="s">
        <v>13</v>
      </c>
      <c r="H1546" s="12">
        <v>46263</v>
      </c>
      <c r="I1546" s="10" t="s">
        <v>2076</v>
      </c>
      <c r="J1546" s="10" t="str">
        <f>IFERROR(INDEX([1]Programas!$B$2:$B$50,MATCH(LEFT(I1546,3),[1]Programas!$A$2:$A$50,0)),"")</f>
        <v>IA Aplicada y Automati</v>
      </c>
      <c r="K1546" s="10" t="s">
        <v>111</v>
      </c>
    </row>
    <row r="1547" spans="1:11" x14ac:dyDescent="0.2">
      <c r="A1547" s="10">
        <v>1546</v>
      </c>
      <c r="B1547" s="10" t="s">
        <v>2124</v>
      </c>
      <c r="C1547" s="11" t="s">
        <v>2123</v>
      </c>
      <c r="D1547" s="10" t="s">
        <v>4419</v>
      </c>
      <c r="E1547" s="10" t="s">
        <v>7940</v>
      </c>
      <c r="F1547" s="11" t="s">
        <v>7941</v>
      </c>
      <c r="G1547" s="10" t="s">
        <v>13</v>
      </c>
      <c r="H1547" s="12">
        <v>46263</v>
      </c>
      <c r="I1547" s="10" t="s">
        <v>2076</v>
      </c>
      <c r="J1547" s="10" t="str">
        <f>IFERROR(INDEX([1]Programas!$B$2:$B$50,MATCH(LEFT(I1547,3),[1]Programas!$A$2:$A$50,0)),"")</f>
        <v>IA Aplicada y Automati</v>
      </c>
      <c r="K1547" s="10" t="s">
        <v>111</v>
      </c>
    </row>
    <row r="1548" spans="1:11" x14ac:dyDescent="0.2">
      <c r="A1548" s="10">
        <v>1547</v>
      </c>
      <c r="B1548" s="10" t="s">
        <v>2126</v>
      </c>
      <c r="C1548" s="11" t="s">
        <v>2125</v>
      </c>
      <c r="D1548" s="10" t="s">
        <v>4419</v>
      </c>
      <c r="E1548" s="10" t="s">
        <v>7942</v>
      </c>
      <c r="F1548" s="11" t="s">
        <v>7943</v>
      </c>
      <c r="G1548" s="10" t="s">
        <v>13</v>
      </c>
      <c r="H1548" s="12">
        <v>46263</v>
      </c>
      <c r="I1548" s="10" t="s">
        <v>2076</v>
      </c>
      <c r="J1548" s="10" t="str">
        <f>IFERROR(INDEX([1]Programas!$B$2:$B$50,MATCH(LEFT(I1548,3),[1]Programas!$A$2:$A$50,0)),"")</f>
        <v>IA Aplicada y Automati</v>
      </c>
      <c r="K1548" s="10" t="s">
        <v>111</v>
      </c>
    </row>
    <row r="1549" spans="1:11" x14ac:dyDescent="0.2">
      <c r="A1549" s="10">
        <v>1548</v>
      </c>
      <c r="B1549" s="10" t="s">
        <v>2128</v>
      </c>
      <c r="C1549" s="11" t="s">
        <v>2127</v>
      </c>
      <c r="D1549" s="10" t="s">
        <v>4419</v>
      </c>
      <c r="E1549" s="10" t="s">
        <v>7944</v>
      </c>
      <c r="F1549" s="11" t="s">
        <v>7945</v>
      </c>
      <c r="G1549" s="10" t="s">
        <v>13</v>
      </c>
      <c r="H1549" s="12">
        <v>46263</v>
      </c>
      <c r="I1549" s="10" t="s">
        <v>2076</v>
      </c>
      <c r="J1549" s="10" t="str">
        <f>IFERROR(INDEX([1]Programas!$B$2:$B$50,MATCH(LEFT(I1549,3),[1]Programas!$A$2:$A$50,0)),"")</f>
        <v>IA Aplicada y Automati</v>
      </c>
      <c r="K1549" s="10" t="s">
        <v>111</v>
      </c>
    </row>
    <row r="1550" spans="1:11" x14ac:dyDescent="0.2">
      <c r="A1550" s="10">
        <v>1549</v>
      </c>
      <c r="B1550" s="10" t="s">
        <v>2130</v>
      </c>
      <c r="C1550" s="11" t="s">
        <v>2129</v>
      </c>
      <c r="D1550" s="10" t="s">
        <v>4419</v>
      </c>
      <c r="E1550" s="10" t="s">
        <v>7946</v>
      </c>
      <c r="F1550" s="11" t="s">
        <v>7947</v>
      </c>
      <c r="G1550" s="10" t="s">
        <v>13</v>
      </c>
      <c r="H1550" s="12">
        <v>46263</v>
      </c>
      <c r="I1550" s="10" t="s">
        <v>2076</v>
      </c>
      <c r="J1550" s="10" t="str">
        <f>IFERROR(INDEX([1]Programas!$B$2:$B$50,MATCH(LEFT(I1550,3),[1]Programas!$A$2:$A$50,0)),"")</f>
        <v>IA Aplicada y Automati</v>
      </c>
      <c r="K1550" s="10" t="s">
        <v>111</v>
      </c>
    </row>
    <row r="1551" spans="1:11" x14ac:dyDescent="0.2">
      <c r="A1551" s="10">
        <v>1550</v>
      </c>
      <c r="B1551" s="10" t="s">
        <v>2132</v>
      </c>
      <c r="C1551" s="11" t="s">
        <v>2131</v>
      </c>
      <c r="D1551" s="10" t="s">
        <v>4419</v>
      </c>
      <c r="E1551" s="10" t="s">
        <v>7948</v>
      </c>
      <c r="F1551" s="11" t="s">
        <v>7949</v>
      </c>
      <c r="G1551" s="10" t="s">
        <v>13</v>
      </c>
      <c r="H1551" s="12">
        <v>46263</v>
      </c>
      <c r="I1551" s="10" t="s">
        <v>2076</v>
      </c>
      <c r="J1551" s="10" t="str">
        <f>IFERROR(INDEX([1]Programas!$B$2:$B$50,MATCH(LEFT(I1551,3),[1]Programas!$A$2:$A$50,0)),"")</f>
        <v>IA Aplicada y Automati</v>
      </c>
      <c r="K1551" s="10" t="s">
        <v>111</v>
      </c>
    </row>
    <row r="1552" spans="1:11" x14ac:dyDescent="0.2">
      <c r="A1552" s="10">
        <v>1551</v>
      </c>
      <c r="B1552" s="10" t="s">
        <v>2134</v>
      </c>
      <c r="C1552" s="11" t="s">
        <v>2133</v>
      </c>
      <c r="D1552" s="10" t="s">
        <v>4419</v>
      </c>
      <c r="E1552" s="10" t="s">
        <v>7950</v>
      </c>
      <c r="F1552" s="11" t="s">
        <v>7951</v>
      </c>
      <c r="G1552" s="10" t="s">
        <v>13</v>
      </c>
      <c r="H1552" s="12">
        <v>46263</v>
      </c>
      <c r="I1552" s="10" t="s">
        <v>2076</v>
      </c>
      <c r="J1552" s="10" t="str">
        <f>IFERROR(INDEX([1]Programas!$B$2:$B$50,MATCH(LEFT(I1552,3),[1]Programas!$A$2:$A$50,0)),"")</f>
        <v>IA Aplicada y Automati</v>
      </c>
      <c r="K1552" s="10" t="s">
        <v>111</v>
      </c>
    </row>
    <row r="1553" spans="1:11" x14ac:dyDescent="0.2">
      <c r="A1553" s="10">
        <v>1552</v>
      </c>
      <c r="B1553" s="10" t="s">
        <v>7952</v>
      </c>
      <c r="C1553" s="11" t="s">
        <v>2135</v>
      </c>
      <c r="D1553" s="10" t="s">
        <v>4419</v>
      </c>
      <c r="E1553" s="10" t="s">
        <v>7953</v>
      </c>
      <c r="F1553" s="11" t="s">
        <v>7954</v>
      </c>
      <c r="G1553" s="10" t="s">
        <v>13</v>
      </c>
      <c r="H1553" s="12">
        <v>46263</v>
      </c>
      <c r="I1553" s="10" t="s">
        <v>2076</v>
      </c>
      <c r="J1553" s="10" t="str">
        <f>IFERROR(INDEX([1]Programas!$B$2:$B$50,MATCH(LEFT(I1553,3),[1]Programas!$A$2:$A$50,0)),"")</f>
        <v>IA Aplicada y Automati</v>
      </c>
      <c r="K1553" s="10" t="s">
        <v>111</v>
      </c>
    </row>
    <row r="1554" spans="1:11" x14ac:dyDescent="0.2">
      <c r="A1554" s="10">
        <v>1553</v>
      </c>
      <c r="B1554" s="10" t="s">
        <v>2138</v>
      </c>
      <c r="C1554" s="11" t="s">
        <v>2137</v>
      </c>
      <c r="D1554" s="10" t="s">
        <v>4419</v>
      </c>
      <c r="E1554" s="10" t="s">
        <v>7955</v>
      </c>
      <c r="F1554" s="11" t="s">
        <v>7956</v>
      </c>
      <c r="G1554" s="10" t="s">
        <v>13</v>
      </c>
      <c r="H1554" s="12">
        <v>46263</v>
      </c>
      <c r="I1554" s="10" t="s">
        <v>2076</v>
      </c>
      <c r="J1554" s="10" t="str">
        <f>IFERROR(INDEX([1]Programas!$B$2:$B$50,MATCH(LEFT(I1554,3),[1]Programas!$A$2:$A$50,0)),"")</f>
        <v>IA Aplicada y Automati</v>
      </c>
      <c r="K1554" s="10" t="s">
        <v>111</v>
      </c>
    </row>
    <row r="1555" spans="1:11" x14ac:dyDescent="0.2">
      <c r="A1555" s="10">
        <v>1554</v>
      </c>
      <c r="B1555" s="10" t="s">
        <v>2140</v>
      </c>
      <c r="C1555" s="11" t="s">
        <v>2139</v>
      </c>
      <c r="D1555" s="10" t="s">
        <v>4419</v>
      </c>
      <c r="E1555" s="10" t="s">
        <v>7957</v>
      </c>
      <c r="F1555" s="11" t="s">
        <v>7958</v>
      </c>
      <c r="G1555" s="10" t="s">
        <v>13</v>
      </c>
      <c r="H1555" s="12">
        <v>46263</v>
      </c>
      <c r="I1555" s="10" t="s">
        <v>2076</v>
      </c>
      <c r="J1555" s="10" t="str">
        <f>IFERROR(INDEX([1]Programas!$B$2:$B$50,MATCH(LEFT(I1555,3),[1]Programas!$A$2:$A$50,0)),"")</f>
        <v>IA Aplicada y Automati</v>
      </c>
      <c r="K1555" s="10" t="s">
        <v>111</v>
      </c>
    </row>
    <row r="1556" spans="1:11" x14ac:dyDescent="0.2">
      <c r="A1556" s="10">
        <v>1555</v>
      </c>
      <c r="B1556" s="10" t="s">
        <v>7959</v>
      </c>
      <c r="C1556" s="11" t="s">
        <v>2141</v>
      </c>
      <c r="D1556" s="10" t="s">
        <v>4419</v>
      </c>
      <c r="E1556" s="10" t="s">
        <v>7960</v>
      </c>
      <c r="F1556" s="11" t="s">
        <v>7961</v>
      </c>
      <c r="G1556" s="10" t="s">
        <v>13</v>
      </c>
      <c r="H1556" s="12">
        <v>46263</v>
      </c>
      <c r="I1556" s="10" t="s">
        <v>2076</v>
      </c>
      <c r="J1556" s="10" t="str">
        <f>IFERROR(INDEX([1]Programas!$B$2:$B$50,MATCH(LEFT(I1556,3),[1]Programas!$A$2:$A$50,0)),"")</f>
        <v>IA Aplicada y Automati</v>
      </c>
      <c r="K1556" s="10" t="s">
        <v>111</v>
      </c>
    </row>
    <row r="1557" spans="1:11" x14ac:dyDescent="0.2">
      <c r="A1557" s="10">
        <v>1556</v>
      </c>
      <c r="B1557" s="10" t="s">
        <v>2144</v>
      </c>
      <c r="C1557" s="11" t="s">
        <v>2143</v>
      </c>
      <c r="D1557" s="10" t="s">
        <v>4419</v>
      </c>
      <c r="E1557" s="10" t="s">
        <v>7962</v>
      </c>
      <c r="F1557" s="11" t="s">
        <v>7963</v>
      </c>
      <c r="G1557" s="10" t="s">
        <v>13</v>
      </c>
      <c r="H1557" s="12">
        <v>46263</v>
      </c>
      <c r="I1557" s="10" t="s">
        <v>2076</v>
      </c>
      <c r="J1557" s="10" t="str">
        <f>IFERROR(INDEX([1]Programas!$B$2:$B$50,MATCH(LEFT(I1557,3),[1]Programas!$A$2:$A$50,0)),"")</f>
        <v>IA Aplicada y Automati</v>
      </c>
      <c r="K1557" s="10" t="s">
        <v>111</v>
      </c>
    </row>
    <row r="1558" spans="1:11" x14ac:dyDescent="0.2">
      <c r="A1558" s="10">
        <v>1557</v>
      </c>
      <c r="B1558" s="10" t="s">
        <v>2146</v>
      </c>
      <c r="C1558" s="11" t="s">
        <v>2145</v>
      </c>
      <c r="D1558" s="10" t="s">
        <v>4419</v>
      </c>
      <c r="E1558" s="10" t="s">
        <v>7964</v>
      </c>
      <c r="F1558" s="11" t="s">
        <v>7965</v>
      </c>
      <c r="G1558" s="10" t="s">
        <v>13</v>
      </c>
      <c r="H1558" s="12">
        <v>46263</v>
      </c>
      <c r="I1558" s="10" t="s">
        <v>2076</v>
      </c>
      <c r="J1558" s="10" t="str">
        <f>IFERROR(INDEX([1]Programas!$B$2:$B$50,MATCH(LEFT(I1558,3),[1]Programas!$A$2:$A$50,0)),"")</f>
        <v>IA Aplicada y Automati</v>
      </c>
      <c r="K1558" s="10" t="s">
        <v>111</v>
      </c>
    </row>
    <row r="1559" spans="1:11" x14ac:dyDescent="0.2">
      <c r="A1559" s="10">
        <v>1558</v>
      </c>
      <c r="B1559" s="10" t="s">
        <v>7966</v>
      </c>
      <c r="C1559" s="11" t="s">
        <v>2147</v>
      </c>
      <c r="D1559" s="10" t="s">
        <v>4419</v>
      </c>
      <c r="E1559" s="10" t="s">
        <v>7967</v>
      </c>
      <c r="F1559" s="11" t="s">
        <v>7968</v>
      </c>
      <c r="G1559" s="10" t="s">
        <v>13</v>
      </c>
      <c r="H1559" s="12">
        <v>46263</v>
      </c>
      <c r="I1559" s="10" t="s">
        <v>2076</v>
      </c>
      <c r="J1559" s="10" t="str">
        <f>IFERROR(INDEX([1]Programas!$B$2:$B$50,MATCH(LEFT(I1559,3),[1]Programas!$A$2:$A$50,0)),"")</f>
        <v>IA Aplicada y Automati</v>
      </c>
      <c r="K1559" s="10" t="s">
        <v>111</v>
      </c>
    </row>
    <row r="1560" spans="1:11" x14ac:dyDescent="0.2">
      <c r="A1560" s="10">
        <v>1559</v>
      </c>
      <c r="B1560" s="10" t="s">
        <v>7969</v>
      </c>
      <c r="C1560" s="11" t="s">
        <v>2149</v>
      </c>
      <c r="D1560" s="10" t="s">
        <v>4419</v>
      </c>
      <c r="E1560" s="10" t="s">
        <v>7970</v>
      </c>
      <c r="F1560" s="11" t="s">
        <v>7971</v>
      </c>
      <c r="G1560" s="10" t="s">
        <v>13</v>
      </c>
      <c r="H1560" s="12">
        <v>46263</v>
      </c>
      <c r="I1560" s="10" t="s">
        <v>2076</v>
      </c>
      <c r="J1560" s="10" t="str">
        <f>IFERROR(INDEX([1]Programas!$B$2:$B$50,MATCH(LEFT(I1560,3),[1]Programas!$A$2:$A$50,0)),"")</f>
        <v>IA Aplicada y Automati</v>
      </c>
      <c r="K1560" s="10" t="s">
        <v>111</v>
      </c>
    </row>
    <row r="1561" spans="1:11" x14ac:dyDescent="0.2">
      <c r="A1561" s="10">
        <v>1560</v>
      </c>
      <c r="B1561" s="10" t="s">
        <v>2152</v>
      </c>
      <c r="C1561" s="11" t="s">
        <v>2151</v>
      </c>
      <c r="D1561" s="10" t="s">
        <v>4419</v>
      </c>
      <c r="E1561" s="10" t="s">
        <v>7972</v>
      </c>
      <c r="F1561" s="11" t="s">
        <v>7973</v>
      </c>
      <c r="G1561" s="10" t="s">
        <v>13</v>
      </c>
      <c r="H1561" s="12">
        <v>46263</v>
      </c>
      <c r="I1561" s="10" t="s">
        <v>2076</v>
      </c>
      <c r="J1561" s="10" t="str">
        <f>IFERROR(INDEX([1]Programas!$B$2:$B$50,MATCH(LEFT(I1561,3),[1]Programas!$A$2:$A$50,0)),"")</f>
        <v>IA Aplicada y Automati</v>
      </c>
      <c r="K1561" s="10" t="s">
        <v>111</v>
      </c>
    </row>
    <row r="1562" spans="1:11" x14ac:dyDescent="0.2">
      <c r="A1562" s="10">
        <v>1561</v>
      </c>
      <c r="B1562" s="10" t="s">
        <v>7974</v>
      </c>
      <c r="C1562" s="11" t="s">
        <v>2153</v>
      </c>
      <c r="D1562" s="10" t="s">
        <v>4419</v>
      </c>
      <c r="E1562" s="10" t="s">
        <v>7975</v>
      </c>
      <c r="F1562" s="11" t="s">
        <v>7976</v>
      </c>
      <c r="G1562" s="10" t="s">
        <v>13</v>
      </c>
      <c r="H1562" s="12">
        <v>46263</v>
      </c>
      <c r="I1562" s="10" t="s">
        <v>2076</v>
      </c>
      <c r="J1562" s="10" t="str">
        <f>IFERROR(INDEX([1]Programas!$B$2:$B$50,MATCH(LEFT(I1562,3),[1]Programas!$A$2:$A$50,0)),"")</f>
        <v>IA Aplicada y Automati</v>
      </c>
      <c r="K1562" s="10" t="s">
        <v>111</v>
      </c>
    </row>
    <row r="1563" spans="1:11" x14ac:dyDescent="0.2">
      <c r="A1563" s="10">
        <v>1562</v>
      </c>
      <c r="B1563" s="10" t="s">
        <v>7977</v>
      </c>
      <c r="C1563" s="11" t="s">
        <v>2155</v>
      </c>
      <c r="D1563" s="10" t="s">
        <v>4419</v>
      </c>
      <c r="E1563" s="10" t="s">
        <v>7978</v>
      </c>
      <c r="F1563" s="11" t="s">
        <v>7979</v>
      </c>
      <c r="G1563" s="10" t="s">
        <v>13</v>
      </c>
      <c r="H1563" s="12">
        <v>46263</v>
      </c>
      <c r="I1563" s="10" t="s">
        <v>2076</v>
      </c>
      <c r="J1563" s="10" t="str">
        <f>IFERROR(INDEX([1]Programas!$B$2:$B$50,MATCH(LEFT(I1563,3),[1]Programas!$A$2:$A$50,0)),"")</f>
        <v>IA Aplicada y Automati</v>
      </c>
      <c r="K1563" s="10" t="s">
        <v>111</v>
      </c>
    </row>
    <row r="1564" spans="1:11" x14ac:dyDescent="0.2">
      <c r="A1564" s="10">
        <v>1563</v>
      </c>
      <c r="B1564" s="10" t="s">
        <v>2158</v>
      </c>
      <c r="C1564" s="11" t="s">
        <v>2157</v>
      </c>
      <c r="D1564" s="10" t="s">
        <v>4419</v>
      </c>
      <c r="E1564" s="10" t="s">
        <v>7980</v>
      </c>
      <c r="F1564" s="11" t="s">
        <v>7981</v>
      </c>
      <c r="G1564" s="10" t="s">
        <v>13</v>
      </c>
      <c r="H1564" s="12">
        <v>46263</v>
      </c>
      <c r="I1564" s="10" t="s">
        <v>2076</v>
      </c>
      <c r="J1564" s="10" t="str">
        <f>IFERROR(INDEX([1]Programas!$B$2:$B$50,MATCH(LEFT(I1564,3),[1]Programas!$A$2:$A$50,0)),"")</f>
        <v>IA Aplicada y Automati</v>
      </c>
      <c r="K1564" s="10" t="s">
        <v>111</v>
      </c>
    </row>
    <row r="1565" spans="1:11" x14ac:dyDescent="0.2">
      <c r="A1565" s="10">
        <v>1564</v>
      </c>
      <c r="B1565" s="10" t="s">
        <v>2160</v>
      </c>
      <c r="C1565" s="11" t="s">
        <v>2159</v>
      </c>
      <c r="D1565" s="10" t="s">
        <v>4419</v>
      </c>
      <c r="E1565" s="10" t="s">
        <v>7982</v>
      </c>
      <c r="F1565" s="11" t="s">
        <v>7983</v>
      </c>
      <c r="G1565" s="10" t="s">
        <v>13</v>
      </c>
      <c r="H1565" s="12">
        <v>46263</v>
      </c>
      <c r="I1565" s="10" t="s">
        <v>2076</v>
      </c>
      <c r="J1565" s="10" t="str">
        <f>IFERROR(INDEX([1]Programas!$B$2:$B$50,MATCH(LEFT(I1565,3),[1]Programas!$A$2:$A$50,0)),"")</f>
        <v>IA Aplicada y Automati</v>
      </c>
      <c r="K1565" s="10" t="s">
        <v>111</v>
      </c>
    </row>
    <row r="1566" spans="1:11" x14ac:dyDescent="0.2">
      <c r="A1566" s="10">
        <v>1565</v>
      </c>
      <c r="B1566" s="10" t="s">
        <v>2162</v>
      </c>
      <c r="C1566" s="11" t="s">
        <v>2161</v>
      </c>
      <c r="D1566" s="10" t="s">
        <v>4419</v>
      </c>
      <c r="E1566" s="10" t="s">
        <v>7984</v>
      </c>
      <c r="F1566" s="11" t="s">
        <v>7985</v>
      </c>
      <c r="G1566" s="10" t="s">
        <v>13</v>
      </c>
      <c r="H1566" s="12">
        <v>46272</v>
      </c>
      <c r="I1566" s="10" t="s">
        <v>2076</v>
      </c>
      <c r="J1566" s="10" t="str">
        <f>IFERROR(INDEX([1]Programas!$B$2:$B$50,MATCH(LEFT(I1566,3),[1]Programas!$A$2:$A$50,0)),"")</f>
        <v>IA Aplicada y Automati</v>
      </c>
      <c r="K1566" s="10" t="s">
        <v>111</v>
      </c>
    </row>
    <row r="1567" spans="1:11" x14ac:dyDescent="0.2">
      <c r="A1567" s="10">
        <v>1566</v>
      </c>
      <c r="B1567" s="10" t="s">
        <v>2164</v>
      </c>
      <c r="C1567" s="11" t="s">
        <v>2163</v>
      </c>
      <c r="D1567" s="10" t="s">
        <v>4419</v>
      </c>
      <c r="E1567" s="10" t="s">
        <v>7986</v>
      </c>
      <c r="F1567" s="11" t="s">
        <v>7987</v>
      </c>
      <c r="G1567" s="10" t="s">
        <v>13</v>
      </c>
      <c r="H1567" s="12">
        <v>46273</v>
      </c>
      <c r="I1567" s="10" t="s">
        <v>2076</v>
      </c>
      <c r="J1567" s="10" t="str">
        <f>IFERROR(INDEX([1]Programas!$B$2:$B$50,MATCH(LEFT(I1567,3),[1]Programas!$A$2:$A$50,0)),"")</f>
        <v>IA Aplicada y Automati</v>
      </c>
      <c r="K1567" s="10" t="s">
        <v>111</v>
      </c>
    </row>
    <row r="1568" spans="1:11" x14ac:dyDescent="0.2">
      <c r="A1568" s="10">
        <v>1567</v>
      </c>
      <c r="B1568" s="10" t="s">
        <v>7988</v>
      </c>
      <c r="C1568" s="11" t="s">
        <v>144</v>
      </c>
      <c r="D1568" s="10" t="s">
        <v>4419</v>
      </c>
      <c r="E1568" s="10" t="s">
        <v>7989</v>
      </c>
      <c r="F1568" s="11" t="s">
        <v>7990</v>
      </c>
      <c r="G1568" s="10" t="s">
        <v>13</v>
      </c>
      <c r="H1568" s="12">
        <v>46273</v>
      </c>
      <c r="I1568" s="10" t="s">
        <v>2076</v>
      </c>
      <c r="J1568" s="10" t="str">
        <f>IFERROR(INDEX([1]Programas!$B$2:$B$50,MATCH(LEFT(I1568,3),[1]Programas!$A$2:$A$50,0)),"")</f>
        <v>IA Aplicada y Automati</v>
      </c>
      <c r="K1568" s="10" t="s">
        <v>111</v>
      </c>
    </row>
    <row r="1569" spans="1:11" x14ac:dyDescent="0.2">
      <c r="A1569" s="10">
        <v>1568</v>
      </c>
      <c r="B1569" s="10" t="s">
        <v>306</v>
      </c>
      <c r="C1569" s="11" t="s">
        <v>305</v>
      </c>
      <c r="D1569" s="10" t="s">
        <v>4419</v>
      </c>
      <c r="E1569" s="10" t="s">
        <v>7991</v>
      </c>
      <c r="F1569" s="11" t="s">
        <v>7992</v>
      </c>
      <c r="G1569" s="10" t="s">
        <v>13</v>
      </c>
      <c r="H1569" s="12">
        <v>46273</v>
      </c>
      <c r="I1569" s="10" t="s">
        <v>2076</v>
      </c>
      <c r="J1569" s="10" t="str">
        <f>IFERROR(INDEX([1]Programas!$B$2:$B$50,MATCH(LEFT(I1569,3),[1]Programas!$A$2:$A$50,0)),"")</f>
        <v>IA Aplicada y Automati</v>
      </c>
      <c r="K1569" s="10" t="s">
        <v>111</v>
      </c>
    </row>
    <row r="1570" spans="1:11" x14ac:dyDescent="0.2">
      <c r="A1570" s="10">
        <v>1569</v>
      </c>
      <c r="B1570" s="10" t="s">
        <v>937</v>
      </c>
      <c r="C1570" s="11" t="s">
        <v>936</v>
      </c>
      <c r="D1570" s="10" t="s">
        <v>4419</v>
      </c>
      <c r="E1570" s="10" t="s">
        <v>7993</v>
      </c>
      <c r="F1570" s="11" t="s">
        <v>7994</v>
      </c>
      <c r="G1570" s="10" t="s">
        <v>13</v>
      </c>
      <c r="H1570" s="12">
        <v>46276</v>
      </c>
      <c r="I1570" s="10" t="s">
        <v>2076</v>
      </c>
      <c r="J1570" s="10" t="str">
        <f>IFERROR(INDEX([1]Programas!$B$2:$B$50,MATCH(LEFT(I1570,3),[1]Programas!$A$2:$A$50,0)),"")</f>
        <v>IA Aplicada y Automati</v>
      </c>
      <c r="K1570" s="10" t="s">
        <v>111</v>
      </c>
    </row>
    <row r="1571" spans="1:11" x14ac:dyDescent="0.2">
      <c r="A1571" s="10">
        <v>1570</v>
      </c>
      <c r="B1571" s="10" t="s">
        <v>2168</v>
      </c>
      <c r="C1571" s="11" t="s">
        <v>2167</v>
      </c>
      <c r="D1571" s="10" t="s">
        <v>4419</v>
      </c>
      <c r="E1571" s="10" t="s">
        <v>7995</v>
      </c>
      <c r="F1571" s="11" t="s">
        <v>7996</v>
      </c>
      <c r="G1571" s="10" t="s">
        <v>13</v>
      </c>
      <c r="H1571" s="12">
        <v>46263</v>
      </c>
      <c r="I1571" s="10" t="s">
        <v>2170</v>
      </c>
      <c r="J1571" s="10" t="str">
        <f>IFERROR(INDEX([1]Programas!$B$2:$B$50,MATCH(LEFT(I1571,3),[1]Programas!$A$2:$A$50,0)),"")</f>
        <v>IA Aplicada y Automati</v>
      </c>
      <c r="K1571" s="10" t="s">
        <v>111</v>
      </c>
    </row>
    <row r="1572" spans="1:11" x14ac:dyDescent="0.2">
      <c r="A1572" s="10">
        <v>1571</v>
      </c>
      <c r="B1572" s="10" t="s">
        <v>2172</v>
      </c>
      <c r="C1572" s="11" t="s">
        <v>2171</v>
      </c>
      <c r="D1572" s="10" t="s">
        <v>4419</v>
      </c>
      <c r="E1572" s="10" t="s">
        <v>7997</v>
      </c>
      <c r="F1572" s="11" t="s">
        <v>7998</v>
      </c>
      <c r="G1572" s="10" t="s">
        <v>13</v>
      </c>
      <c r="H1572" s="12">
        <v>46263</v>
      </c>
      <c r="I1572" s="10" t="s">
        <v>2170</v>
      </c>
      <c r="J1572" s="10" t="str">
        <f>IFERROR(INDEX([1]Programas!$B$2:$B$50,MATCH(LEFT(I1572,3),[1]Programas!$A$2:$A$50,0)),"")</f>
        <v>IA Aplicada y Automati</v>
      </c>
      <c r="K1572" s="10" t="s">
        <v>111</v>
      </c>
    </row>
    <row r="1573" spans="1:11" x14ac:dyDescent="0.2">
      <c r="A1573" s="10">
        <v>1572</v>
      </c>
      <c r="B1573" s="10" t="s">
        <v>2175</v>
      </c>
      <c r="C1573" s="11" t="s">
        <v>2174</v>
      </c>
      <c r="D1573" s="10" t="s">
        <v>4419</v>
      </c>
      <c r="E1573" s="10" t="s">
        <v>7999</v>
      </c>
      <c r="F1573" s="11" t="s">
        <v>8000</v>
      </c>
      <c r="G1573" s="10" t="s">
        <v>13</v>
      </c>
      <c r="H1573" s="12">
        <v>46263</v>
      </c>
      <c r="I1573" s="10" t="s">
        <v>2170</v>
      </c>
      <c r="J1573" s="10" t="str">
        <f>IFERROR(INDEX([1]Programas!$B$2:$B$50,MATCH(LEFT(I1573,3),[1]Programas!$A$2:$A$50,0)),"")</f>
        <v>IA Aplicada y Automati</v>
      </c>
      <c r="K1573" s="10" t="s">
        <v>111</v>
      </c>
    </row>
    <row r="1574" spans="1:11" x14ac:dyDescent="0.2">
      <c r="A1574" s="10">
        <v>1573</v>
      </c>
      <c r="B1574" s="10" t="s">
        <v>2177</v>
      </c>
      <c r="C1574" s="11" t="s">
        <v>2176</v>
      </c>
      <c r="D1574" s="10" t="s">
        <v>4419</v>
      </c>
      <c r="E1574" s="10" t="s">
        <v>8001</v>
      </c>
      <c r="F1574" s="11" t="s">
        <v>8002</v>
      </c>
      <c r="G1574" s="10" t="s">
        <v>13</v>
      </c>
      <c r="H1574" s="12">
        <v>46263</v>
      </c>
      <c r="I1574" s="10" t="s">
        <v>2170</v>
      </c>
      <c r="J1574" s="10" t="str">
        <f>IFERROR(INDEX([1]Programas!$B$2:$B$50,MATCH(LEFT(I1574,3),[1]Programas!$A$2:$A$50,0)),"")</f>
        <v>IA Aplicada y Automati</v>
      </c>
      <c r="K1574" s="10" t="s">
        <v>111</v>
      </c>
    </row>
    <row r="1575" spans="1:11" x14ac:dyDescent="0.2">
      <c r="A1575" s="10">
        <v>1574</v>
      </c>
      <c r="B1575" s="10" t="s">
        <v>2179</v>
      </c>
      <c r="C1575" s="11" t="s">
        <v>2178</v>
      </c>
      <c r="D1575" s="10" t="s">
        <v>4419</v>
      </c>
      <c r="E1575" s="10" t="s">
        <v>8003</v>
      </c>
      <c r="F1575" s="11" t="s">
        <v>8004</v>
      </c>
      <c r="G1575" s="10" t="s">
        <v>13</v>
      </c>
      <c r="H1575" s="12">
        <v>46263</v>
      </c>
      <c r="I1575" s="10" t="s">
        <v>2170</v>
      </c>
      <c r="J1575" s="10" t="str">
        <f>IFERROR(INDEX([1]Programas!$B$2:$B$50,MATCH(LEFT(I1575,3),[1]Programas!$A$2:$A$50,0)),"")</f>
        <v>IA Aplicada y Automati</v>
      </c>
      <c r="K1575" s="10" t="s">
        <v>111</v>
      </c>
    </row>
    <row r="1576" spans="1:11" x14ac:dyDescent="0.2">
      <c r="A1576" s="10">
        <v>1575</v>
      </c>
      <c r="B1576" s="10" t="s">
        <v>2181</v>
      </c>
      <c r="C1576" s="11" t="s">
        <v>2180</v>
      </c>
      <c r="D1576" s="10" t="s">
        <v>4419</v>
      </c>
      <c r="E1576" s="10" t="s">
        <v>8005</v>
      </c>
      <c r="F1576" s="11" t="s">
        <v>8006</v>
      </c>
      <c r="G1576" s="10" t="s">
        <v>13</v>
      </c>
      <c r="H1576" s="12">
        <v>46263</v>
      </c>
      <c r="I1576" s="10" t="s">
        <v>2170</v>
      </c>
      <c r="J1576" s="10" t="str">
        <f>IFERROR(INDEX([1]Programas!$B$2:$B$50,MATCH(LEFT(I1576,3),[1]Programas!$A$2:$A$50,0)),"")</f>
        <v>IA Aplicada y Automati</v>
      </c>
      <c r="K1576" s="10" t="s">
        <v>111</v>
      </c>
    </row>
    <row r="1577" spans="1:11" x14ac:dyDescent="0.2">
      <c r="A1577" s="10">
        <v>1576</v>
      </c>
      <c r="B1577" s="10" t="s">
        <v>2183</v>
      </c>
      <c r="C1577" s="11" t="s">
        <v>2182</v>
      </c>
      <c r="D1577" s="10" t="s">
        <v>4419</v>
      </c>
      <c r="E1577" s="10" t="s">
        <v>8007</v>
      </c>
      <c r="F1577" s="11" t="s">
        <v>8008</v>
      </c>
      <c r="G1577" s="10" t="s">
        <v>13</v>
      </c>
      <c r="H1577" s="12">
        <v>46263</v>
      </c>
      <c r="I1577" s="10" t="s">
        <v>2170</v>
      </c>
      <c r="J1577" s="10" t="str">
        <f>IFERROR(INDEX([1]Programas!$B$2:$B$50,MATCH(LEFT(I1577,3),[1]Programas!$A$2:$A$50,0)),"")</f>
        <v>IA Aplicada y Automati</v>
      </c>
      <c r="K1577" s="10" t="s">
        <v>111</v>
      </c>
    </row>
    <row r="1578" spans="1:11" x14ac:dyDescent="0.2">
      <c r="A1578" s="10">
        <v>1577</v>
      </c>
      <c r="B1578" s="10" t="s">
        <v>2185</v>
      </c>
      <c r="C1578" s="11" t="s">
        <v>2184</v>
      </c>
      <c r="D1578" s="10" t="s">
        <v>4419</v>
      </c>
      <c r="E1578" s="10" t="s">
        <v>8009</v>
      </c>
      <c r="F1578" s="11" t="s">
        <v>8010</v>
      </c>
      <c r="G1578" s="10" t="s">
        <v>13</v>
      </c>
      <c r="H1578" s="12">
        <v>46263</v>
      </c>
      <c r="I1578" s="10" t="s">
        <v>2170</v>
      </c>
      <c r="J1578" s="10" t="str">
        <f>IFERROR(INDEX([1]Programas!$B$2:$B$50,MATCH(LEFT(I1578,3),[1]Programas!$A$2:$A$50,0)),"")</f>
        <v>IA Aplicada y Automati</v>
      </c>
      <c r="K1578" s="10" t="s">
        <v>111</v>
      </c>
    </row>
    <row r="1579" spans="1:11" x14ac:dyDescent="0.2">
      <c r="A1579" s="10">
        <v>1578</v>
      </c>
      <c r="B1579" s="10" t="s">
        <v>2187</v>
      </c>
      <c r="C1579" s="11" t="s">
        <v>2186</v>
      </c>
      <c r="D1579" s="10" t="s">
        <v>4419</v>
      </c>
      <c r="E1579" s="10" t="s">
        <v>8011</v>
      </c>
      <c r="F1579" s="11" t="s">
        <v>8012</v>
      </c>
      <c r="G1579" s="10" t="s">
        <v>13</v>
      </c>
      <c r="H1579" s="12">
        <v>46263</v>
      </c>
      <c r="I1579" s="10" t="s">
        <v>2170</v>
      </c>
      <c r="J1579" s="10" t="str">
        <f>IFERROR(INDEX([1]Programas!$B$2:$B$50,MATCH(LEFT(I1579,3),[1]Programas!$A$2:$A$50,0)),"")</f>
        <v>IA Aplicada y Automati</v>
      </c>
      <c r="K1579" s="10" t="s">
        <v>111</v>
      </c>
    </row>
    <row r="1580" spans="1:11" x14ac:dyDescent="0.2">
      <c r="A1580" s="10">
        <v>1579</v>
      </c>
      <c r="B1580" s="10" t="s">
        <v>2190</v>
      </c>
      <c r="C1580" s="11" t="s">
        <v>2189</v>
      </c>
      <c r="D1580" s="10" t="s">
        <v>4419</v>
      </c>
      <c r="E1580" s="10" t="s">
        <v>8013</v>
      </c>
      <c r="F1580" s="11" t="s">
        <v>8014</v>
      </c>
      <c r="G1580" s="10" t="s">
        <v>13</v>
      </c>
      <c r="H1580" s="12">
        <v>46263</v>
      </c>
      <c r="I1580" s="10" t="s">
        <v>2170</v>
      </c>
      <c r="J1580" s="10" t="str">
        <f>IFERROR(INDEX([1]Programas!$B$2:$B$50,MATCH(LEFT(I1580,3),[1]Programas!$A$2:$A$50,0)),"")</f>
        <v>IA Aplicada y Automati</v>
      </c>
      <c r="K1580" s="10" t="s">
        <v>111</v>
      </c>
    </row>
    <row r="1581" spans="1:11" x14ac:dyDescent="0.2">
      <c r="A1581" s="10">
        <v>1580</v>
      </c>
      <c r="B1581" s="10" t="s">
        <v>2193</v>
      </c>
      <c r="C1581" s="11" t="s">
        <v>2192</v>
      </c>
      <c r="D1581" s="10" t="s">
        <v>4419</v>
      </c>
      <c r="E1581" s="10" t="s">
        <v>8015</v>
      </c>
      <c r="F1581" s="11" t="s">
        <v>8016</v>
      </c>
      <c r="G1581" s="10" t="s">
        <v>13</v>
      </c>
      <c r="H1581" s="12">
        <v>46263</v>
      </c>
      <c r="I1581" s="10" t="s">
        <v>2170</v>
      </c>
      <c r="J1581" s="10" t="str">
        <f>IFERROR(INDEX([1]Programas!$B$2:$B$50,MATCH(LEFT(I1581,3),[1]Programas!$A$2:$A$50,0)),"")</f>
        <v>IA Aplicada y Automati</v>
      </c>
      <c r="K1581" s="10" t="s">
        <v>111</v>
      </c>
    </row>
    <row r="1582" spans="1:11" x14ac:dyDescent="0.2">
      <c r="A1582" s="10">
        <v>1581</v>
      </c>
      <c r="B1582" s="10" t="s">
        <v>2195</v>
      </c>
      <c r="C1582" s="11" t="s">
        <v>2194</v>
      </c>
      <c r="D1582" s="10" t="s">
        <v>4419</v>
      </c>
      <c r="E1582" s="10" t="s">
        <v>8017</v>
      </c>
      <c r="F1582" s="11" t="s">
        <v>8018</v>
      </c>
      <c r="G1582" s="10" t="s">
        <v>13</v>
      </c>
      <c r="H1582" s="12">
        <v>46263</v>
      </c>
      <c r="I1582" s="10" t="s">
        <v>2170</v>
      </c>
      <c r="J1582" s="10" t="str">
        <f>IFERROR(INDEX([1]Programas!$B$2:$B$50,MATCH(LEFT(I1582,3),[1]Programas!$A$2:$A$50,0)),"")</f>
        <v>IA Aplicada y Automati</v>
      </c>
      <c r="K1582" s="10" t="s">
        <v>111</v>
      </c>
    </row>
    <row r="1583" spans="1:11" x14ac:dyDescent="0.2">
      <c r="A1583" s="10">
        <v>1582</v>
      </c>
      <c r="B1583" s="10" t="s">
        <v>8019</v>
      </c>
      <c r="C1583" s="11" t="s">
        <v>2196</v>
      </c>
      <c r="D1583" s="10" t="s">
        <v>4419</v>
      </c>
      <c r="E1583" s="10" t="s">
        <v>8020</v>
      </c>
      <c r="F1583" s="11" t="s">
        <v>8021</v>
      </c>
      <c r="G1583" s="10" t="s">
        <v>13</v>
      </c>
      <c r="H1583" s="12">
        <v>46263</v>
      </c>
      <c r="I1583" s="10" t="s">
        <v>2170</v>
      </c>
      <c r="J1583" s="10" t="str">
        <f>IFERROR(INDEX([1]Programas!$B$2:$B$50,MATCH(LEFT(I1583,3),[1]Programas!$A$2:$A$50,0)),"")</f>
        <v>IA Aplicada y Automati</v>
      </c>
      <c r="K1583" s="10" t="s">
        <v>111</v>
      </c>
    </row>
    <row r="1584" spans="1:11" x14ac:dyDescent="0.2">
      <c r="A1584" s="10">
        <v>1583</v>
      </c>
      <c r="B1584" s="10" t="s">
        <v>2199</v>
      </c>
      <c r="C1584" s="11" t="s">
        <v>2198</v>
      </c>
      <c r="D1584" s="10" t="s">
        <v>4419</v>
      </c>
      <c r="E1584" s="10" t="s">
        <v>8022</v>
      </c>
      <c r="F1584" s="11" t="s">
        <v>8023</v>
      </c>
      <c r="G1584" s="10" t="s">
        <v>13</v>
      </c>
      <c r="H1584" s="12">
        <v>46263</v>
      </c>
      <c r="I1584" s="10" t="s">
        <v>2170</v>
      </c>
      <c r="J1584" s="10" t="str">
        <f>IFERROR(INDEX([1]Programas!$B$2:$B$50,MATCH(LEFT(I1584,3),[1]Programas!$A$2:$A$50,0)),"")</f>
        <v>IA Aplicada y Automati</v>
      </c>
      <c r="K1584" s="10" t="s">
        <v>111</v>
      </c>
    </row>
    <row r="1585" spans="1:11" x14ac:dyDescent="0.2">
      <c r="A1585" s="10">
        <v>1584</v>
      </c>
      <c r="B1585" s="10" t="s">
        <v>2201</v>
      </c>
      <c r="C1585" s="11" t="s">
        <v>2200</v>
      </c>
      <c r="D1585" s="10" t="s">
        <v>4419</v>
      </c>
      <c r="E1585" s="10" t="s">
        <v>8024</v>
      </c>
      <c r="F1585" s="11" t="s">
        <v>8025</v>
      </c>
      <c r="G1585" s="10" t="s">
        <v>13</v>
      </c>
      <c r="H1585" s="12">
        <v>46263</v>
      </c>
      <c r="I1585" s="10" t="s">
        <v>2170</v>
      </c>
      <c r="J1585" s="10" t="str">
        <f>IFERROR(INDEX([1]Programas!$B$2:$B$50,MATCH(LEFT(I1585,3),[1]Programas!$A$2:$A$50,0)),"")</f>
        <v>IA Aplicada y Automati</v>
      </c>
      <c r="K1585" s="10" t="s">
        <v>111</v>
      </c>
    </row>
    <row r="1586" spans="1:11" x14ac:dyDescent="0.2">
      <c r="A1586" s="10">
        <v>1585</v>
      </c>
      <c r="B1586" s="10" t="s">
        <v>2203</v>
      </c>
      <c r="C1586" s="11" t="s">
        <v>2202</v>
      </c>
      <c r="D1586" s="10" t="s">
        <v>4419</v>
      </c>
      <c r="E1586" s="10" t="s">
        <v>8026</v>
      </c>
      <c r="F1586" s="11" t="s">
        <v>8027</v>
      </c>
      <c r="G1586" s="10" t="s">
        <v>13</v>
      </c>
      <c r="H1586" s="12">
        <v>46263</v>
      </c>
      <c r="I1586" s="10" t="s">
        <v>2170</v>
      </c>
      <c r="J1586" s="10" t="str">
        <f>IFERROR(INDEX([1]Programas!$B$2:$B$50,MATCH(LEFT(I1586,3),[1]Programas!$A$2:$A$50,0)),"")</f>
        <v>IA Aplicada y Automati</v>
      </c>
      <c r="K1586" s="10" t="s">
        <v>111</v>
      </c>
    </row>
    <row r="1587" spans="1:11" x14ac:dyDescent="0.2">
      <c r="A1587" s="10">
        <v>1586</v>
      </c>
      <c r="B1587" s="10" t="s">
        <v>2205</v>
      </c>
      <c r="C1587" s="11" t="s">
        <v>2204</v>
      </c>
      <c r="D1587" s="10" t="s">
        <v>4419</v>
      </c>
      <c r="E1587" s="10" t="s">
        <v>8028</v>
      </c>
      <c r="F1587" s="11" t="s">
        <v>8029</v>
      </c>
      <c r="G1587" s="10" t="s">
        <v>13</v>
      </c>
      <c r="H1587" s="12">
        <v>46263</v>
      </c>
      <c r="I1587" s="10" t="s">
        <v>2170</v>
      </c>
      <c r="J1587" s="10" t="str">
        <f>IFERROR(INDEX([1]Programas!$B$2:$B$50,MATCH(LEFT(I1587,3),[1]Programas!$A$2:$A$50,0)),"")</f>
        <v>IA Aplicada y Automati</v>
      </c>
      <c r="K1587" s="10" t="s">
        <v>111</v>
      </c>
    </row>
    <row r="1588" spans="1:11" x14ac:dyDescent="0.2">
      <c r="A1588" s="10">
        <v>1587</v>
      </c>
      <c r="B1588" s="10" t="s">
        <v>2207</v>
      </c>
      <c r="C1588" s="11" t="s">
        <v>2206</v>
      </c>
      <c r="D1588" s="10" t="s">
        <v>4419</v>
      </c>
      <c r="E1588" s="10" t="s">
        <v>8030</v>
      </c>
      <c r="F1588" s="11" t="s">
        <v>8031</v>
      </c>
      <c r="G1588" s="10" t="s">
        <v>13</v>
      </c>
      <c r="H1588" s="12">
        <v>46263</v>
      </c>
      <c r="I1588" s="10" t="s">
        <v>2170</v>
      </c>
      <c r="J1588" s="10" t="str">
        <f>IFERROR(INDEX([1]Programas!$B$2:$B$50,MATCH(LEFT(I1588,3),[1]Programas!$A$2:$A$50,0)),"")</f>
        <v>IA Aplicada y Automati</v>
      </c>
      <c r="K1588" s="10" t="s">
        <v>111</v>
      </c>
    </row>
    <row r="1589" spans="1:11" x14ac:dyDescent="0.2">
      <c r="A1589" s="10">
        <v>1588</v>
      </c>
      <c r="B1589" s="10" t="s">
        <v>8032</v>
      </c>
      <c r="C1589" s="11" t="s">
        <v>2208</v>
      </c>
      <c r="D1589" s="10" t="s">
        <v>4419</v>
      </c>
      <c r="E1589" s="10" t="s">
        <v>8033</v>
      </c>
      <c r="F1589" s="11" t="s">
        <v>8034</v>
      </c>
      <c r="G1589" s="10" t="s">
        <v>13</v>
      </c>
      <c r="H1589" s="12">
        <v>46263</v>
      </c>
      <c r="I1589" s="10" t="s">
        <v>2170</v>
      </c>
      <c r="J1589" s="10" t="str">
        <f>IFERROR(INDEX([1]Programas!$B$2:$B$50,MATCH(LEFT(I1589,3),[1]Programas!$A$2:$A$50,0)),"")</f>
        <v>IA Aplicada y Automati</v>
      </c>
      <c r="K1589" s="10" t="s">
        <v>111</v>
      </c>
    </row>
    <row r="1590" spans="1:11" x14ac:dyDescent="0.2">
      <c r="A1590" s="10">
        <v>1589</v>
      </c>
      <c r="B1590" s="10" t="s">
        <v>8035</v>
      </c>
      <c r="C1590" s="11" t="s">
        <v>2210</v>
      </c>
      <c r="D1590" s="10" t="s">
        <v>4419</v>
      </c>
      <c r="E1590" s="10" t="s">
        <v>8036</v>
      </c>
      <c r="F1590" s="11" t="s">
        <v>8037</v>
      </c>
      <c r="G1590" s="10" t="s">
        <v>13</v>
      </c>
      <c r="H1590" s="12">
        <v>46263</v>
      </c>
      <c r="I1590" s="10" t="s">
        <v>2170</v>
      </c>
      <c r="J1590" s="10" t="str">
        <f>IFERROR(INDEX([1]Programas!$B$2:$B$50,MATCH(LEFT(I1590,3),[1]Programas!$A$2:$A$50,0)),"")</f>
        <v>IA Aplicada y Automati</v>
      </c>
      <c r="K1590" s="10" t="s">
        <v>111</v>
      </c>
    </row>
    <row r="1591" spans="1:11" x14ac:dyDescent="0.2">
      <c r="A1591" s="10">
        <v>1590</v>
      </c>
      <c r="B1591" s="10" t="s">
        <v>2213</v>
      </c>
      <c r="C1591" s="11" t="s">
        <v>2212</v>
      </c>
      <c r="D1591" s="10" t="s">
        <v>4419</v>
      </c>
      <c r="E1591" s="10" t="s">
        <v>8038</v>
      </c>
      <c r="F1591" s="11" t="s">
        <v>8039</v>
      </c>
      <c r="G1591" s="10" t="s">
        <v>13</v>
      </c>
      <c r="H1591" s="12">
        <v>46263</v>
      </c>
      <c r="I1591" s="10" t="s">
        <v>2170</v>
      </c>
      <c r="J1591" s="10" t="str">
        <f>IFERROR(INDEX([1]Programas!$B$2:$B$50,MATCH(LEFT(I1591,3),[1]Programas!$A$2:$A$50,0)),"")</f>
        <v>IA Aplicada y Automati</v>
      </c>
      <c r="K1591" s="10" t="s">
        <v>111</v>
      </c>
    </row>
    <row r="1592" spans="1:11" x14ac:dyDescent="0.2">
      <c r="A1592" s="10">
        <v>1591</v>
      </c>
      <c r="B1592" s="10" t="s">
        <v>8040</v>
      </c>
      <c r="C1592" s="11" t="s">
        <v>2214</v>
      </c>
      <c r="D1592" s="10" t="s">
        <v>4419</v>
      </c>
      <c r="E1592" s="10" t="s">
        <v>8041</v>
      </c>
      <c r="F1592" s="11" t="s">
        <v>8042</v>
      </c>
      <c r="G1592" s="10" t="s">
        <v>13</v>
      </c>
      <c r="H1592" s="12">
        <v>46263</v>
      </c>
      <c r="I1592" s="10" t="s">
        <v>2170</v>
      </c>
      <c r="J1592" s="10" t="str">
        <f>IFERROR(INDEX([1]Programas!$B$2:$B$50,MATCH(LEFT(I1592,3),[1]Programas!$A$2:$A$50,0)),"")</f>
        <v>IA Aplicada y Automati</v>
      </c>
      <c r="K1592" s="10" t="s">
        <v>111</v>
      </c>
    </row>
    <row r="1593" spans="1:11" x14ac:dyDescent="0.2">
      <c r="A1593" s="10">
        <v>1592</v>
      </c>
      <c r="B1593" s="10" t="s">
        <v>2217</v>
      </c>
      <c r="C1593" s="11" t="s">
        <v>2216</v>
      </c>
      <c r="D1593" s="10" t="s">
        <v>4419</v>
      </c>
      <c r="E1593" s="10" t="s">
        <v>8043</v>
      </c>
      <c r="F1593" s="11" t="s">
        <v>8044</v>
      </c>
      <c r="G1593" s="10" t="s">
        <v>13</v>
      </c>
      <c r="H1593" s="12">
        <v>46263</v>
      </c>
      <c r="I1593" s="10" t="s">
        <v>2170</v>
      </c>
      <c r="J1593" s="10" t="str">
        <f>IFERROR(INDEX([1]Programas!$B$2:$B$50,MATCH(LEFT(I1593,3),[1]Programas!$A$2:$A$50,0)),"")</f>
        <v>IA Aplicada y Automati</v>
      </c>
      <c r="K1593" s="10" t="s">
        <v>111</v>
      </c>
    </row>
    <row r="1594" spans="1:11" x14ac:dyDescent="0.2">
      <c r="A1594" s="10">
        <v>1593</v>
      </c>
      <c r="B1594" s="10" t="s">
        <v>8045</v>
      </c>
      <c r="C1594" s="11" t="s">
        <v>2218</v>
      </c>
      <c r="D1594" s="10" t="s">
        <v>4419</v>
      </c>
      <c r="E1594" s="10" t="s">
        <v>8046</v>
      </c>
      <c r="F1594" s="11" t="s">
        <v>8047</v>
      </c>
      <c r="G1594" s="10" t="s">
        <v>13</v>
      </c>
      <c r="H1594" s="12">
        <v>46263</v>
      </c>
      <c r="I1594" s="10" t="s">
        <v>2170</v>
      </c>
      <c r="J1594" s="10" t="str">
        <f>IFERROR(INDEX([1]Programas!$B$2:$B$50,MATCH(LEFT(I1594,3),[1]Programas!$A$2:$A$50,0)),"")</f>
        <v>IA Aplicada y Automati</v>
      </c>
      <c r="K1594" s="10" t="s">
        <v>111</v>
      </c>
    </row>
    <row r="1595" spans="1:11" x14ac:dyDescent="0.2">
      <c r="A1595" s="10">
        <v>1594</v>
      </c>
      <c r="B1595" s="10" t="s">
        <v>2221</v>
      </c>
      <c r="C1595" s="11" t="s">
        <v>2220</v>
      </c>
      <c r="D1595" s="10" t="s">
        <v>4419</v>
      </c>
      <c r="E1595" s="10" t="s">
        <v>8048</v>
      </c>
      <c r="F1595" s="11" t="s">
        <v>8049</v>
      </c>
      <c r="G1595" s="10" t="s">
        <v>13</v>
      </c>
      <c r="H1595" s="12">
        <v>46263</v>
      </c>
      <c r="I1595" s="10" t="s">
        <v>2170</v>
      </c>
      <c r="J1595" s="10" t="str">
        <f>IFERROR(INDEX([1]Programas!$B$2:$B$50,MATCH(LEFT(I1595,3),[1]Programas!$A$2:$A$50,0)),"")</f>
        <v>IA Aplicada y Automati</v>
      </c>
      <c r="K1595" s="10" t="s">
        <v>111</v>
      </c>
    </row>
    <row r="1596" spans="1:11" x14ac:dyDescent="0.2">
      <c r="A1596" s="10">
        <v>1595</v>
      </c>
      <c r="B1596" s="10" t="s">
        <v>2223</v>
      </c>
      <c r="C1596" s="11" t="s">
        <v>2222</v>
      </c>
      <c r="D1596" s="10" t="s">
        <v>4419</v>
      </c>
      <c r="E1596" s="10" t="s">
        <v>8050</v>
      </c>
      <c r="F1596" s="11" t="s">
        <v>8051</v>
      </c>
      <c r="G1596" s="10" t="s">
        <v>13</v>
      </c>
      <c r="H1596" s="12">
        <v>46263</v>
      </c>
      <c r="I1596" s="10" t="s">
        <v>2170</v>
      </c>
      <c r="J1596" s="10" t="str">
        <f>IFERROR(INDEX([1]Programas!$B$2:$B$50,MATCH(LEFT(I1596,3),[1]Programas!$A$2:$A$50,0)),"")</f>
        <v>IA Aplicada y Automati</v>
      </c>
      <c r="K1596" s="10" t="s">
        <v>111</v>
      </c>
    </row>
    <row r="1597" spans="1:11" x14ac:dyDescent="0.2">
      <c r="A1597" s="10">
        <v>1596</v>
      </c>
      <c r="B1597" s="10" t="s">
        <v>8052</v>
      </c>
      <c r="C1597" s="11" t="s">
        <v>2224</v>
      </c>
      <c r="D1597" s="10" t="s">
        <v>4419</v>
      </c>
      <c r="E1597" s="10" t="s">
        <v>8053</v>
      </c>
      <c r="F1597" s="11" t="s">
        <v>8054</v>
      </c>
      <c r="G1597" s="10" t="s">
        <v>13</v>
      </c>
      <c r="H1597" s="12">
        <v>46263</v>
      </c>
      <c r="I1597" s="10" t="s">
        <v>2170</v>
      </c>
      <c r="J1597" s="10" t="str">
        <f>IFERROR(INDEX([1]Programas!$B$2:$B$50,MATCH(LEFT(I1597,3),[1]Programas!$A$2:$A$50,0)),"")</f>
        <v>IA Aplicada y Automati</v>
      </c>
      <c r="K1597" s="10" t="s">
        <v>111</v>
      </c>
    </row>
    <row r="1598" spans="1:11" x14ac:dyDescent="0.2">
      <c r="A1598" s="10">
        <v>1597</v>
      </c>
      <c r="B1598" s="10" t="s">
        <v>2227</v>
      </c>
      <c r="C1598" s="11" t="s">
        <v>2226</v>
      </c>
      <c r="D1598" s="10" t="s">
        <v>4419</v>
      </c>
      <c r="E1598" s="10" t="s">
        <v>8055</v>
      </c>
      <c r="F1598" s="11" t="s">
        <v>8056</v>
      </c>
      <c r="G1598" s="10" t="s">
        <v>13</v>
      </c>
      <c r="H1598" s="12">
        <v>46263</v>
      </c>
      <c r="I1598" s="10" t="s">
        <v>2170</v>
      </c>
      <c r="J1598" s="10" t="str">
        <f>IFERROR(INDEX([1]Programas!$B$2:$B$50,MATCH(LEFT(I1598,3),[1]Programas!$A$2:$A$50,0)),"")</f>
        <v>IA Aplicada y Automati</v>
      </c>
      <c r="K1598" s="10" t="s">
        <v>111</v>
      </c>
    </row>
    <row r="1599" spans="1:11" x14ac:dyDescent="0.2">
      <c r="A1599" s="10">
        <v>1598</v>
      </c>
      <c r="B1599" s="10" t="s">
        <v>2229</v>
      </c>
      <c r="C1599" s="11" t="s">
        <v>2228</v>
      </c>
      <c r="D1599" s="10" t="s">
        <v>4419</v>
      </c>
      <c r="E1599" s="10" t="s">
        <v>8057</v>
      </c>
      <c r="F1599" s="11" t="s">
        <v>8058</v>
      </c>
      <c r="G1599" s="10" t="s">
        <v>13</v>
      </c>
      <c r="H1599" s="12">
        <v>46263</v>
      </c>
      <c r="I1599" s="10" t="s">
        <v>2170</v>
      </c>
      <c r="J1599" s="10" t="str">
        <f>IFERROR(INDEX([1]Programas!$B$2:$B$50,MATCH(LEFT(I1599,3),[1]Programas!$A$2:$A$50,0)),"")</f>
        <v>IA Aplicada y Automati</v>
      </c>
      <c r="K1599" s="10" t="s">
        <v>111</v>
      </c>
    </row>
    <row r="1600" spans="1:11" x14ac:dyDescent="0.2">
      <c r="A1600" s="10">
        <v>1599</v>
      </c>
      <c r="B1600" s="10" t="s">
        <v>2231</v>
      </c>
      <c r="C1600" s="11" t="s">
        <v>2230</v>
      </c>
      <c r="D1600" s="10" t="s">
        <v>4419</v>
      </c>
      <c r="E1600" s="10" t="s">
        <v>8059</v>
      </c>
      <c r="F1600" s="11" t="s">
        <v>8060</v>
      </c>
      <c r="G1600" s="10" t="s">
        <v>13</v>
      </c>
      <c r="H1600" s="12">
        <v>46263</v>
      </c>
      <c r="I1600" s="10" t="s">
        <v>2170</v>
      </c>
      <c r="J1600" s="10" t="str">
        <f>IFERROR(INDEX([1]Programas!$B$2:$B$50,MATCH(LEFT(I1600,3),[1]Programas!$A$2:$A$50,0)),"")</f>
        <v>IA Aplicada y Automati</v>
      </c>
      <c r="K1600" s="10" t="s">
        <v>111</v>
      </c>
    </row>
    <row r="1601" spans="1:11" x14ac:dyDescent="0.2">
      <c r="A1601" s="10">
        <v>1600</v>
      </c>
      <c r="B1601" s="10" t="s">
        <v>2233</v>
      </c>
      <c r="C1601" s="11" t="s">
        <v>2232</v>
      </c>
      <c r="D1601" s="10" t="s">
        <v>4419</v>
      </c>
      <c r="E1601" s="10" t="s">
        <v>8061</v>
      </c>
      <c r="F1601" s="11" t="s">
        <v>8062</v>
      </c>
      <c r="G1601" s="10" t="s">
        <v>13</v>
      </c>
      <c r="H1601" s="12">
        <v>46263</v>
      </c>
      <c r="I1601" s="10" t="s">
        <v>2170</v>
      </c>
      <c r="J1601" s="10" t="str">
        <f>IFERROR(INDEX([1]Programas!$B$2:$B$50,MATCH(LEFT(I1601,3),[1]Programas!$A$2:$A$50,0)),"")</f>
        <v>IA Aplicada y Automati</v>
      </c>
      <c r="K1601" s="10" t="s">
        <v>111</v>
      </c>
    </row>
    <row r="1602" spans="1:11" x14ac:dyDescent="0.2">
      <c r="A1602" s="10">
        <v>1601</v>
      </c>
      <c r="B1602" s="10" t="s">
        <v>2235</v>
      </c>
      <c r="C1602" s="11" t="s">
        <v>2234</v>
      </c>
      <c r="D1602" s="10" t="s">
        <v>4419</v>
      </c>
      <c r="E1602" s="10" t="s">
        <v>8063</v>
      </c>
      <c r="F1602" s="11" t="s">
        <v>8064</v>
      </c>
      <c r="G1602" s="10" t="s">
        <v>13</v>
      </c>
      <c r="H1602" s="12">
        <v>46263</v>
      </c>
      <c r="I1602" s="10" t="s">
        <v>2170</v>
      </c>
      <c r="J1602" s="10" t="str">
        <f>IFERROR(INDEX([1]Programas!$B$2:$B$50,MATCH(LEFT(I1602,3),[1]Programas!$A$2:$A$50,0)),"")</f>
        <v>IA Aplicada y Automati</v>
      </c>
      <c r="K1602" s="10" t="s">
        <v>111</v>
      </c>
    </row>
    <row r="1603" spans="1:11" x14ac:dyDescent="0.2">
      <c r="A1603" s="10">
        <v>1602</v>
      </c>
      <c r="B1603" s="10" t="s">
        <v>2237</v>
      </c>
      <c r="C1603" s="11" t="s">
        <v>2236</v>
      </c>
      <c r="D1603" s="10" t="s">
        <v>4419</v>
      </c>
      <c r="E1603" s="10" t="s">
        <v>8065</v>
      </c>
      <c r="F1603" s="11" t="s">
        <v>8066</v>
      </c>
      <c r="G1603" s="10" t="s">
        <v>13</v>
      </c>
      <c r="H1603" s="12">
        <v>46263</v>
      </c>
      <c r="I1603" s="10" t="s">
        <v>2170</v>
      </c>
      <c r="J1603" s="10" t="str">
        <f>IFERROR(INDEX([1]Programas!$B$2:$B$50,MATCH(LEFT(I1603,3),[1]Programas!$A$2:$A$50,0)),"")</f>
        <v>IA Aplicada y Automati</v>
      </c>
      <c r="K1603" s="10" t="s">
        <v>111</v>
      </c>
    </row>
    <row r="1604" spans="1:11" x14ac:dyDescent="0.2">
      <c r="A1604" s="10">
        <v>1603</v>
      </c>
      <c r="B1604" s="10" t="s">
        <v>2239</v>
      </c>
      <c r="C1604" s="11" t="s">
        <v>2238</v>
      </c>
      <c r="D1604" s="10" t="s">
        <v>4419</v>
      </c>
      <c r="E1604" s="10" t="s">
        <v>8067</v>
      </c>
      <c r="F1604" s="11" t="s">
        <v>8068</v>
      </c>
      <c r="G1604" s="10" t="s">
        <v>13</v>
      </c>
      <c r="H1604" s="12">
        <v>46263</v>
      </c>
      <c r="I1604" s="10" t="s">
        <v>2170</v>
      </c>
      <c r="J1604" s="10" t="str">
        <f>IFERROR(INDEX([1]Programas!$B$2:$B$50,MATCH(LEFT(I1604,3),[1]Programas!$A$2:$A$50,0)),"")</f>
        <v>IA Aplicada y Automati</v>
      </c>
      <c r="K1604" s="10" t="s">
        <v>111</v>
      </c>
    </row>
    <row r="1605" spans="1:11" x14ac:dyDescent="0.2">
      <c r="A1605" s="10">
        <v>1604</v>
      </c>
      <c r="B1605" s="10" t="s">
        <v>2241</v>
      </c>
      <c r="C1605" s="11" t="s">
        <v>2240</v>
      </c>
      <c r="D1605" s="10" t="s">
        <v>4419</v>
      </c>
      <c r="E1605" s="10" t="s">
        <v>8069</v>
      </c>
      <c r="F1605" s="11" t="s">
        <v>8070</v>
      </c>
      <c r="G1605" s="10" t="s">
        <v>13</v>
      </c>
      <c r="H1605" s="12">
        <v>46263</v>
      </c>
      <c r="I1605" s="10" t="s">
        <v>2170</v>
      </c>
      <c r="J1605" s="10" t="str">
        <f>IFERROR(INDEX([1]Programas!$B$2:$B$50,MATCH(LEFT(I1605,3),[1]Programas!$A$2:$A$50,0)),"")</f>
        <v>IA Aplicada y Automati</v>
      </c>
      <c r="K1605" s="10" t="s">
        <v>111</v>
      </c>
    </row>
    <row r="1606" spans="1:11" x14ac:dyDescent="0.2">
      <c r="A1606" s="10">
        <v>1605</v>
      </c>
      <c r="B1606" s="10" t="s">
        <v>2243</v>
      </c>
      <c r="C1606" s="11" t="s">
        <v>2242</v>
      </c>
      <c r="D1606" s="10" t="s">
        <v>4419</v>
      </c>
      <c r="E1606" s="10" t="s">
        <v>8071</v>
      </c>
      <c r="F1606" s="11" t="s">
        <v>8072</v>
      </c>
      <c r="G1606" s="10" t="s">
        <v>13</v>
      </c>
      <c r="H1606" s="12">
        <v>46263</v>
      </c>
      <c r="I1606" s="10" t="s">
        <v>2170</v>
      </c>
      <c r="J1606" s="10" t="str">
        <f>IFERROR(INDEX([1]Programas!$B$2:$B$50,MATCH(LEFT(I1606,3),[1]Programas!$A$2:$A$50,0)),"")</f>
        <v>IA Aplicada y Automati</v>
      </c>
      <c r="K1606" s="10" t="s">
        <v>111</v>
      </c>
    </row>
    <row r="1607" spans="1:11" x14ac:dyDescent="0.2">
      <c r="A1607" s="10">
        <v>1606</v>
      </c>
      <c r="B1607" s="10" t="s">
        <v>8073</v>
      </c>
      <c r="C1607" s="11" t="s">
        <v>2244</v>
      </c>
      <c r="D1607" s="10" t="s">
        <v>4419</v>
      </c>
      <c r="E1607" s="10" t="s">
        <v>8074</v>
      </c>
      <c r="F1607" s="11" t="s">
        <v>8075</v>
      </c>
      <c r="G1607" s="10" t="s">
        <v>13</v>
      </c>
      <c r="H1607" s="12">
        <v>46263</v>
      </c>
      <c r="I1607" s="10" t="s">
        <v>2170</v>
      </c>
      <c r="J1607" s="10" t="str">
        <f>IFERROR(INDEX([1]Programas!$B$2:$B$50,MATCH(LEFT(I1607,3),[1]Programas!$A$2:$A$50,0)),"")</f>
        <v>IA Aplicada y Automati</v>
      </c>
      <c r="K1607" s="10" t="s">
        <v>111</v>
      </c>
    </row>
    <row r="1608" spans="1:11" x14ac:dyDescent="0.2">
      <c r="A1608" s="10">
        <v>1607</v>
      </c>
      <c r="B1608" s="10" t="s">
        <v>8076</v>
      </c>
      <c r="C1608" s="11" t="s">
        <v>2248</v>
      </c>
      <c r="D1608" s="10" t="s">
        <v>4419</v>
      </c>
      <c r="E1608" s="10" t="s">
        <v>8077</v>
      </c>
      <c r="F1608" s="11" t="s">
        <v>8078</v>
      </c>
      <c r="G1608" s="10" t="s">
        <v>13</v>
      </c>
      <c r="H1608" s="12">
        <v>46263</v>
      </c>
      <c r="I1608" s="10" t="s">
        <v>2170</v>
      </c>
      <c r="J1608" s="10" t="str">
        <f>IFERROR(INDEX([1]Programas!$B$2:$B$50,MATCH(LEFT(I1608,3),[1]Programas!$A$2:$A$50,0)),"")</f>
        <v>IA Aplicada y Automati</v>
      </c>
      <c r="K1608" s="10" t="s">
        <v>111</v>
      </c>
    </row>
    <row r="1609" spans="1:11" x14ac:dyDescent="0.2">
      <c r="A1609" s="10">
        <v>1608</v>
      </c>
      <c r="B1609" s="10" t="s">
        <v>8079</v>
      </c>
      <c r="C1609" s="11" t="s">
        <v>2250</v>
      </c>
      <c r="D1609" s="10" t="s">
        <v>4419</v>
      </c>
      <c r="E1609" s="10" t="s">
        <v>8080</v>
      </c>
      <c r="F1609" s="11" t="s">
        <v>8081</v>
      </c>
      <c r="G1609" s="10" t="s">
        <v>13</v>
      </c>
      <c r="H1609" s="12">
        <v>46263</v>
      </c>
      <c r="I1609" s="10" t="s">
        <v>2170</v>
      </c>
      <c r="J1609" s="10" t="str">
        <f>IFERROR(INDEX([1]Programas!$B$2:$B$50,MATCH(LEFT(I1609,3),[1]Programas!$A$2:$A$50,0)),"")</f>
        <v>IA Aplicada y Automati</v>
      </c>
      <c r="K1609" s="10" t="s">
        <v>111</v>
      </c>
    </row>
    <row r="1610" spans="1:11" x14ac:dyDescent="0.2">
      <c r="A1610" s="10">
        <v>1609</v>
      </c>
      <c r="B1610" s="10" t="s">
        <v>8082</v>
      </c>
      <c r="C1610" s="11" t="s">
        <v>2252</v>
      </c>
      <c r="D1610" s="10" t="s">
        <v>4419</v>
      </c>
      <c r="E1610" s="10" t="s">
        <v>8083</v>
      </c>
      <c r="F1610" s="11" t="s">
        <v>8084</v>
      </c>
      <c r="G1610" s="10" t="s">
        <v>13</v>
      </c>
      <c r="H1610" s="12">
        <v>46263</v>
      </c>
      <c r="I1610" s="10" t="s">
        <v>2170</v>
      </c>
      <c r="J1610" s="10" t="str">
        <f>IFERROR(INDEX([1]Programas!$B$2:$B$50,MATCH(LEFT(I1610,3),[1]Programas!$A$2:$A$50,0)),"")</f>
        <v>IA Aplicada y Automati</v>
      </c>
      <c r="K1610" s="10" t="s">
        <v>111</v>
      </c>
    </row>
    <row r="1611" spans="1:11" x14ac:dyDescent="0.2">
      <c r="A1611" s="10">
        <v>1610</v>
      </c>
      <c r="B1611" s="10" t="s">
        <v>2255</v>
      </c>
      <c r="C1611" s="11" t="s">
        <v>2254</v>
      </c>
      <c r="D1611" s="10" t="s">
        <v>4419</v>
      </c>
      <c r="E1611" s="10" t="s">
        <v>8085</v>
      </c>
      <c r="F1611" s="11" t="s">
        <v>8086</v>
      </c>
      <c r="G1611" s="10" t="s">
        <v>13</v>
      </c>
      <c r="H1611" s="12">
        <v>46274</v>
      </c>
      <c r="I1611" s="10" t="s">
        <v>2170</v>
      </c>
      <c r="J1611" s="10" t="str">
        <f>IFERROR(INDEX([1]Programas!$B$2:$B$50,MATCH(LEFT(I1611,3),[1]Programas!$A$2:$A$50,0)),"")</f>
        <v>IA Aplicada y Automati</v>
      </c>
      <c r="K1611" s="10" t="s">
        <v>111</v>
      </c>
    </row>
    <row r="1612" spans="1:11" x14ac:dyDescent="0.2">
      <c r="A1612" s="10">
        <v>1611</v>
      </c>
      <c r="B1612" s="10" t="s">
        <v>8087</v>
      </c>
      <c r="C1612" s="11" t="s">
        <v>2256</v>
      </c>
      <c r="D1612" s="10" t="s">
        <v>4419</v>
      </c>
      <c r="E1612" s="10" t="s">
        <v>8088</v>
      </c>
      <c r="F1612" s="11" t="s">
        <v>8089</v>
      </c>
      <c r="G1612" s="10" t="s">
        <v>13</v>
      </c>
      <c r="H1612" s="12">
        <v>46263</v>
      </c>
      <c r="I1612" s="10" t="s">
        <v>2259</v>
      </c>
      <c r="J1612" s="10" t="str">
        <f>IFERROR(INDEX([1]Programas!$B$2:$B$50,MATCH(LEFT(I1612,3),[1]Programas!$A$2:$A$50,0)),"")</f>
        <v>IA Aplicada y Automati</v>
      </c>
      <c r="K1612" s="10" t="s">
        <v>111</v>
      </c>
    </row>
    <row r="1613" spans="1:11" x14ac:dyDescent="0.2">
      <c r="A1613" s="10">
        <v>1612</v>
      </c>
      <c r="B1613" s="10" t="s">
        <v>2262</v>
      </c>
      <c r="C1613" s="11" t="s">
        <v>2261</v>
      </c>
      <c r="D1613" s="10" t="s">
        <v>4419</v>
      </c>
      <c r="E1613" s="10" t="s">
        <v>8090</v>
      </c>
      <c r="F1613" s="11" t="s">
        <v>8091</v>
      </c>
      <c r="G1613" s="10" t="s">
        <v>13</v>
      </c>
      <c r="H1613" s="12">
        <v>46263</v>
      </c>
      <c r="I1613" s="10" t="s">
        <v>2259</v>
      </c>
      <c r="J1613" s="10" t="str">
        <f>IFERROR(INDEX([1]Programas!$B$2:$B$50,MATCH(LEFT(I1613,3),[1]Programas!$A$2:$A$50,0)),"")</f>
        <v>IA Aplicada y Automati</v>
      </c>
      <c r="K1613" s="10" t="s">
        <v>111</v>
      </c>
    </row>
    <row r="1614" spans="1:11" x14ac:dyDescent="0.2">
      <c r="A1614" s="10">
        <v>1613</v>
      </c>
      <c r="B1614" s="10" t="s">
        <v>8092</v>
      </c>
      <c r="C1614" s="11" t="s">
        <v>2263</v>
      </c>
      <c r="D1614" s="10" t="s">
        <v>4419</v>
      </c>
      <c r="E1614" s="10" t="s">
        <v>8093</v>
      </c>
      <c r="F1614" s="11" t="s">
        <v>8094</v>
      </c>
      <c r="G1614" s="10" t="s">
        <v>13</v>
      </c>
      <c r="H1614" s="12">
        <v>46263</v>
      </c>
      <c r="I1614" s="10" t="s">
        <v>2259</v>
      </c>
      <c r="J1614" s="10" t="str">
        <f>IFERROR(INDEX([1]Programas!$B$2:$B$50,MATCH(LEFT(I1614,3),[1]Programas!$A$2:$A$50,0)),"")</f>
        <v>IA Aplicada y Automati</v>
      </c>
      <c r="K1614" s="10" t="s">
        <v>111</v>
      </c>
    </row>
    <row r="1615" spans="1:11" x14ac:dyDescent="0.2">
      <c r="A1615" s="10">
        <v>1614</v>
      </c>
      <c r="B1615" s="10" t="s">
        <v>2266</v>
      </c>
      <c r="C1615" s="11" t="s">
        <v>2265</v>
      </c>
      <c r="D1615" s="10" t="s">
        <v>4419</v>
      </c>
      <c r="E1615" s="10" t="s">
        <v>8095</v>
      </c>
      <c r="F1615" s="11" t="s">
        <v>8096</v>
      </c>
      <c r="G1615" s="10" t="s">
        <v>13</v>
      </c>
      <c r="H1615" s="12">
        <v>46263</v>
      </c>
      <c r="I1615" s="10" t="s">
        <v>2259</v>
      </c>
      <c r="J1615" s="10" t="str">
        <f>IFERROR(INDEX([1]Programas!$B$2:$B$50,MATCH(LEFT(I1615,3),[1]Programas!$A$2:$A$50,0)),"")</f>
        <v>IA Aplicada y Automati</v>
      </c>
      <c r="K1615" s="10" t="s">
        <v>111</v>
      </c>
    </row>
    <row r="1616" spans="1:11" x14ac:dyDescent="0.2">
      <c r="A1616" s="10">
        <v>1615</v>
      </c>
      <c r="B1616" s="10" t="s">
        <v>8097</v>
      </c>
      <c r="C1616" s="11" t="s">
        <v>2269</v>
      </c>
      <c r="D1616" s="10" t="s">
        <v>4419</v>
      </c>
      <c r="E1616" s="10" t="s">
        <v>8098</v>
      </c>
      <c r="F1616" s="11" t="s">
        <v>8099</v>
      </c>
      <c r="G1616" s="10" t="s">
        <v>13</v>
      </c>
      <c r="H1616" s="12">
        <v>46263</v>
      </c>
      <c r="I1616" s="10" t="s">
        <v>2259</v>
      </c>
      <c r="J1616" s="10" t="str">
        <f>IFERROR(INDEX([1]Programas!$B$2:$B$50,MATCH(LEFT(I1616,3),[1]Programas!$A$2:$A$50,0)),"")</f>
        <v>IA Aplicada y Automati</v>
      </c>
      <c r="K1616" s="10" t="s">
        <v>111</v>
      </c>
    </row>
    <row r="1617" spans="1:11" x14ac:dyDescent="0.2">
      <c r="A1617" s="10">
        <v>1616</v>
      </c>
      <c r="B1617" s="10" t="s">
        <v>2274</v>
      </c>
      <c r="C1617" s="11" t="s">
        <v>2273</v>
      </c>
      <c r="D1617" s="10" t="s">
        <v>4419</v>
      </c>
      <c r="E1617" s="10" t="s">
        <v>8100</v>
      </c>
      <c r="F1617" s="11" t="s">
        <v>8101</v>
      </c>
      <c r="G1617" s="10" t="s">
        <v>13</v>
      </c>
      <c r="H1617" s="12">
        <v>46263</v>
      </c>
      <c r="I1617" s="10" t="s">
        <v>2259</v>
      </c>
      <c r="J1617" s="10" t="str">
        <f>IFERROR(INDEX([1]Programas!$B$2:$B$50,MATCH(LEFT(I1617,3),[1]Programas!$A$2:$A$50,0)),"")</f>
        <v>IA Aplicada y Automati</v>
      </c>
      <c r="K1617" s="10" t="s">
        <v>111</v>
      </c>
    </row>
    <row r="1618" spans="1:11" x14ac:dyDescent="0.2">
      <c r="A1618" s="10">
        <v>1617</v>
      </c>
      <c r="B1618" s="10" t="s">
        <v>2276</v>
      </c>
      <c r="C1618" s="11" t="s">
        <v>2275</v>
      </c>
      <c r="D1618" s="10" t="s">
        <v>4419</v>
      </c>
      <c r="E1618" s="10" t="s">
        <v>8102</v>
      </c>
      <c r="F1618" s="11" t="s">
        <v>8103</v>
      </c>
      <c r="G1618" s="10" t="s">
        <v>13</v>
      </c>
      <c r="H1618" s="12">
        <v>46263</v>
      </c>
      <c r="I1618" s="10" t="s">
        <v>2259</v>
      </c>
      <c r="J1618" s="10" t="str">
        <f>IFERROR(INDEX([1]Programas!$B$2:$B$50,MATCH(LEFT(I1618,3),[1]Programas!$A$2:$A$50,0)),"")</f>
        <v>IA Aplicada y Automati</v>
      </c>
      <c r="K1618" s="10" t="s">
        <v>111</v>
      </c>
    </row>
    <row r="1619" spans="1:11" x14ac:dyDescent="0.2">
      <c r="A1619" s="10">
        <v>1618</v>
      </c>
      <c r="B1619" s="10" t="s">
        <v>2278</v>
      </c>
      <c r="C1619" s="11" t="s">
        <v>2277</v>
      </c>
      <c r="D1619" s="10" t="s">
        <v>4419</v>
      </c>
      <c r="E1619" s="10" t="s">
        <v>8104</v>
      </c>
      <c r="F1619" s="11" t="s">
        <v>8105</v>
      </c>
      <c r="G1619" s="10" t="s">
        <v>13</v>
      </c>
      <c r="H1619" s="12">
        <v>46263</v>
      </c>
      <c r="I1619" s="10" t="s">
        <v>2259</v>
      </c>
      <c r="J1619" s="10" t="str">
        <f>IFERROR(INDEX([1]Programas!$B$2:$B$50,MATCH(LEFT(I1619,3),[1]Programas!$A$2:$A$50,0)),"")</f>
        <v>IA Aplicada y Automati</v>
      </c>
      <c r="K1619" s="10" t="s">
        <v>111</v>
      </c>
    </row>
    <row r="1620" spans="1:11" x14ac:dyDescent="0.2">
      <c r="A1620" s="10">
        <v>1619</v>
      </c>
      <c r="B1620" s="10" t="s">
        <v>2280</v>
      </c>
      <c r="C1620" s="11" t="s">
        <v>2279</v>
      </c>
      <c r="D1620" s="10" t="s">
        <v>4419</v>
      </c>
      <c r="E1620" s="10" t="s">
        <v>8106</v>
      </c>
      <c r="F1620" s="11" t="s">
        <v>8107</v>
      </c>
      <c r="G1620" s="10" t="s">
        <v>13</v>
      </c>
      <c r="H1620" s="12">
        <v>46263</v>
      </c>
      <c r="I1620" s="10" t="s">
        <v>2259</v>
      </c>
      <c r="J1620" s="10" t="str">
        <f>IFERROR(INDEX([1]Programas!$B$2:$B$50,MATCH(LEFT(I1620,3),[1]Programas!$A$2:$A$50,0)),"")</f>
        <v>IA Aplicada y Automati</v>
      </c>
      <c r="K1620" s="10" t="s">
        <v>111</v>
      </c>
    </row>
    <row r="1621" spans="1:11" x14ac:dyDescent="0.2">
      <c r="A1621" s="10">
        <v>1620</v>
      </c>
      <c r="B1621" s="10" t="s">
        <v>2282</v>
      </c>
      <c r="C1621" s="11" t="s">
        <v>2281</v>
      </c>
      <c r="D1621" s="10" t="s">
        <v>4419</v>
      </c>
      <c r="E1621" s="10" t="s">
        <v>8108</v>
      </c>
      <c r="F1621" s="11" t="s">
        <v>8109</v>
      </c>
      <c r="G1621" s="10" t="s">
        <v>13</v>
      </c>
      <c r="H1621" s="12">
        <v>46263</v>
      </c>
      <c r="I1621" s="10" t="s">
        <v>2259</v>
      </c>
      <c r="J1621" s="10" t="str">
        <f>IFERROR(INDEX([1]Programas!$B$2:$B$50,MATCH(LEFT(I1621,3),[1]Programas!$A$2:$A$50,0)),"")</f>
        <v>IA Aplicada y Automati</v>
      </c>
      <c r="K1621" s="10" t="s">
        <v>111</v>
      </c>
    </row>
    <row r="1622" spans="1:11" x14ac:dyDescent="0.2">
      <c r="A1622" s="10">
        <v>1621</v>
      </c>
      <c r="B1622" s="10" t="s">
        <v>2284</v>
      </c>
      <c r="C1622" s="11" t="s">
        <v>2283</v>
      </c>
      <c r="D1622" s="10" t="s">
        <v>4419</v>
      </c>
      <c r="E1622" s="10" t="s">
        <v>8110</v>
      </c>
      <c r="F1622" s="11" t="s">
        <v>8111</v>
      </c>
      <c r="G1622" s="10" t="s">
        <v>13</v>
      </c>
      <c r="H1622" s="12">
        <v>46263</v>
      </c>
      <c r="I1622" s="10" t="s">
        <v>2259</v>
      </c>
      <c r="J1622" s="10" t="str">
        <f>IFERROR(INDEX([1]Programas!$B$2:$B$50,MATCH(LEFT(I1622,3),[1]Programas!$A$2:$A$50,0)),"")</f>
        <v>IA Aplicada y Automati</v>
      </c>
      <c r="K1622" s="10" t="s">
        <v>111</v>
      </c>
    </row>
    <row r="1623" spans="1:11" x14ac:dyDescent="0.2">
      <c r="A1623" s="10">
        <v>1622</v>
      </c>
      <c r="B1623" s="10" t="s">
        <v>2286</v>
      </c>
      <c r="C1623" s="11" t="s">
        <v>2285</v>
      </c>
      <c r="D1623" s="10" t="s">
        <v>4419</v>
      </c>
      <c r="E1623" s="10" t="s">
        <v>8112</v>
      </c>
      <c r="F1623" s="11" t="s">
        <v>8113</v>
      </c>
      <c r="G1623" s="10" t="s">
        <v>13</v>
      </c>
      <c r="H1623" s="12">
        <v>46263</v>
      </c>
      <c r="I1623" s="10" t="s">
        <v>2259</v>
      </c>
      <c r="J1623" s="10" t="str">
        <f>IFERROR(INDEX([1]Programas!$B$2:$B$50,MATCH(LEFT(I1623,3),[1]Programas!$A$2:$A$50,0)),"")</f>
        <v>IA Aplicada y Automati</v>
      </c>
      <c r="K1623" s="10" t="s">
        <v>111</v>
      </c>
    </row>
    <row r="1624" spans="1:11" x14ac:dyDescent="0.2">
      <c r="A1624" s="10">
        <v>1623</v>
      </c>
      <c r="B1624" s="10" t="s">
        <v>2288</v>
      </c>
      <c r="C1624" s="11" t="s">
        <v>2287</v>
      </c>
      <c r="D1624" s="10" t="s">
        <v>4419</v>
      </c>
      <c r="E1624" s="10" t="s">
        <v>8114</v>
      </c>
      <c r="F1624" s="11" t="s">
        <v>8115</v>
      </c>
      <c r="G1624" s="10" t="s">
        <v>13</v>
      </c>
      <c r="H1624" s="12">
        <v>46263</v>
      </c>
      <c r="I1624" s="10" t="s">
        <v>2259</v>
      </c>
      <c r="J1624" s="10" t="str">
        <f>IFERROR(INDEX([1]Programas!$B$2:$B$50,MATCH(LEFT(I1624,3),[1]Programas!$A$2:$A$50,0)),"")</f>
        <v>IA Aplicada y Automati</v>
      </c>
      <c r="K1624" s="10" t="s">
        <v>111</v>
      </c>
    </row>
    <row r="1625" spans="1:11" x14ac:dyDescent="0.2">
      <c r="A1625" s="10">
        <v>1624</v>
      </c>
      <c r="B1625" s="10" t="s">
        <v>2290</v>
      </c>
      <c r="C1625" s="11" t="s">
        <v>2289</v>
      </c>
      <c r="D1625" s="10" t="s">
        <v>4419</v>
      </c>
      <c r="E1625" s="10" t="s">
        <v>8116</v>
      </c>
      <c r="F1625" s="11" t="s">
        <v>8117</v>
      </c>
      <c r="G1625" s="10" t="s">
        <v>13</v>
      </c>
      <c r="H1625" s="12">
        <v>46263</v>
      </c>
      <c r="I1625" s="10" t="s">
        <v>2259</v>
      </c>
      <c r="J1625" s="10" t="str">
        <f>IFERROR(INDEX([1]Programas!$B$2:$B$50,MATCH(LEFT(I1625,3),[1]Programas!$A$2:$A$50,0)),"")</f>
        <v>IA Aplicada y Automati</v>
      </c>
      <c r="K1625" s="10" t="s">
        <v>111</v>
      </c>
    </row>
    <row r="1626" spans="1:11" x14ac:dyDescent="0.2">
      <c r="A1626" s="10">
        <v>1625</v>
      </c>
      <c r="B1626" s="10" t="s">
        <v>8118</v>
      </c>
      <c r="C1626" s="11" t="s">
        <v>2291</v>
      </c>
      <c r="D1626" s="10" t="s">
        <v>4419</v>
      </c>
      <c r="E1626" s="10" t="s">
        <v>8119</v>
      </c>
      <c r="F1626" s="11" t="s">
        <v>8120</v>
      </c>
      <c r="G1626" s="10" t="s">
        <v>13</v>
      </c>
      <c r="H1626" s="12">
        <v>46263</v>
      </c>
      <c r="I1626" s="10" t="s">
        <v>2259</v>
      </c>
      <c r="J1626" s="10" t="str">
        <f>IFERROR(INDEX([1]Programas!$B$2:$B$50,MATCH(LEFT(I1626,3),[1]Programas!$A$2:$A$50,0)),"")</f>
        <v>IA Aplicada y Automati</v>
      </c>
      <c r="K1626" s="10" t="s">
        <v>111</v>
      </c>
    </row>
    <row r="1627" spans="1:11" x14ac:dyDescent="0.2">
      <c r="A1627" s="10">
        <v>1626</v>
      </c>
      <c r="B1627" s="10" t="s">
        <v>8121</v>
      </c>
      <c r="C1627" s="11" t="s">
        <v>2293</v>
      </c>
      <c r="D1627" s="10" t="s">
        <v>4419</v>
      </c>
      <c r="E1627" s="10" t="s">
        <v>8122</v>
      </c>
      <c r="F1627" s="11" t="s">
        <v>8123</v>
      </c>
      <c r="G1627" s="10" t="s">
        <v>13</v>
      </c>
      <c r="H1627" s="12">
        <v>46263</v>
      </c>
      <c r="I1627" s="10" t="s">
        <v>2259</v>
      </c>
      <c r="J1627" s="10" t="str">
        <f>IFERROR(INDEX([1]Programas!$B$2:$B$50,MATCH(LEFT(I1627,3),[1]Programas!$A$2:$A$50,0)),"")</f>
        <v>IA Aplicada y Automati</v>
      </c>
      <c r="K1627" s="10" t="s">
        <v>111</v>
      </c>
    </row>
    <row r="1628" spans="1:11" x14ac:dyDescent="0.2">
      <c r="A1628" s="10">
        <v>1627</v>
      </c>
      <c r="B1628" s="10" t="s">
        <v>2296</v>
      </c>
      <c r="C1628" s="11" t="s">
        <v>2295</v>
      </c>
      <c r="D1628" s="10" t="s">
        <v>4419</v>
      </c>
      <c r="E1628" s="10" t="s">
        <v>8124</v>
      </c>
      <c r="F1628" s="11" t="s">
        <v>8125</v>
      </c>
      <c r="G1628" s="10" t="s">
        <v>13</v>
      </c>
      <c r="H1628" s="12">
        <v>46263</v>
      </c>
      <c r="I1628" s="10" t="s">
        <v>2259</v>
      </c>
      <c r="J1628" s="10" t="str">
        <f>IFERROR(INDEX([1]Programas!$B$2:$B$50,MATCH(LEFT(I1628,3),[1]Programas!$A$2:$A$50,0)),"")</f>
        <v>IA Aplicada y Automati</v>
      </c>
      <c r="K1628" s="10" t="s">
        <v>111</v>
      </c>
    </row>
    <row r="1629" spans="1:11" x14ac:dyDescent="0.2">
      <c r="A1629" s="10">
        <v>1628</v>
      </c>
      <c r="B1629" s="10" t="s">
        <v>2298</v>
      </c>
      <c r="C1629" s="11" t="s">
        <v>2297</v>
      </c>
      <c r="D1629" s="10" t="s">
        <v>4419</v>
      </c>
      <c r="E1629" s="10" t="s">
        <v>8126</v>
      </c>
      <c r="F1629" s="11" t="s">
        <v>8127</v>
      </c>
      <c r="G1629" s="10" t="s">
        <v>13</v>
      </c>
      <c r="H1629" s="12">
        <v>46263</v>
      </c>
      <c r="I1629" s="10" t="s">
        <v>2259</v>
      </c>
      <c r="J1629" s="10" t="str">
        <f>IFERROR(INDEX([1]Programas!$B$2:$B$50,MATCH(LEFT(I1629,3),[1]Programas!$A$2:$A$50,0)),"")</f>
        <v>IA Aplicada y Automati</v>
      </c>
      <c r="K1629" s="10" t="s">
        <v>111</v>
      </c>
    </row>
    <row r="1630" spans="1:11" x14ac:dyDescent="0.2">
      <c r="A1630" s="10">
        <v>1629</v>
      </c>
      <c r="B1630" s="10" t="s">
        <v>2300</v>
      </c>
      <c r="C1630" s="11" t="s">
        <v>2299</v>
      </c>
      <c r="D1630" s="10" t="s">
        <v>4419</v>
      </c>
      <c r="E1630" s="10" t="s">
        <v>8128</v>
      </c>
      <c r="F1630" s="11" t="s">
        <v>8129</v>
      </c>
      <c r="G1630" s="10" t="s">
        <v>13</v>
      </c>
      <c r="H1630" s="12">
        <v>46263</v>
      </c>
      <c r="I1630" s="10" t="s">
        <v>2259</v>
      </c>
      <c r="J1630" s="10" t="str">
        <f>IFERROR(INDEX([1]Programas!$B$2:$B$50,MATCH(LEFT(I1630,3),[1]Programas!$A$2:$A$50,0)),"")</f>
        <v>IA Aplicada y Automati</v>
      </c>
      <c r="K1630" s="10" t="s">
        <v>111</v>
      </c>
    </row>
    <row r="1631" spans="1:11" x14ac:dyDescent="0.2">
      <c r="A1631" s="10">
        <v>1630</v>
      </c>
      <c r="B1631" s="10" t="s">
        <v>2302</v>
      </c>
      <c r="C1631" s="11" t="s">
        <v>2301</v>
      </c>
      <c r="D1631" s="10" t="s">
        <v>4419</v>
      </c>
      <c r="E1631" s="10" t="s">
        <v>8130</v>
      </c>
      <c r="F1631" s="11" t="s">
        <v>8131</v>
      </c>
      <c r="G1631" s="10" t="s">
        <v>13</v>
      </c>
      <c r="H1631" s="12">
        <v>46263</v>
      </c>
      <c r="I1631" s="10" t="s">
        <v>2259</v>
      </c>
      <c r="J1631" s="10" t="str">
        <f>IFERROR(INDEX([1]Programas!$B$2:$B$50,MATCH(LEFT(I1631,3),[1]Programas!$A$2:$A$50,0)),"")</f>
        <v>IA Aplicada y Automati</v>
      </c>
      <c r="K1631" s="10" t="s">
        <v>111</v>
      </c>
    </row>
    <row r="1632" spans="1:11" x14ac:dyDescent="0.2">
      <c r="A1632" s="10">
        <v>1631</v>
      </c>
      <c r="B1632" s="10" t="s">
        <v>2304</v>
      </c>
      <c r="C1632" s="11" t="s">
        <v>2303</v>
      </c>
      <c r="D1632" s="10" t="s">
        <v>4419</v>
      </c>
      <c r="E1632" s="10" t="s">
        <v>8132</v>
      </c>
      <c r="F1632" s="11" t="s">
        <v>8133</v>
      </c>
      <c r="G1632" s="10" t="s">
        <v>13</v>
      </c>
      <c r="H1632" s="12">
        <v>46263</v>
      </c>
      <c r="I1632" s="10" t="s">
        <v>2259</v>
      </c>
      <c r="J1632" s="10" t="str">
        <f>IFERROR(INDEX([1]Programas!$B$2:$B$50,MATCH(LEFT(I1632,3),[1]Programas!$A$2:$A$50,0)),"")</f>
        <v>IA Aplicada y Automati</v>
      </c>
      <c r="K1632" s="10" t="s">
        <v>111</v>
      </c>
    </row>
    <row r="1633" spans="1:11" x14ac:dyDescent="0.2">
      <c r="A1633" s="10">
        <v>1632</v>
      </c>
      <c r="B1633" s="10" t="s">
        <v>2306</v>
      </c>
      <c r="C1633" s="11" t="s">
        <v>2305</v>
      </c>
      <c r="D1633" s="10" t="s">
        <v>4419</v>
      </c>
      <c r="E1633" s="10" t="s">
        <v>8134</v>
      </c>
      <c r="F1633" s="11" t="s">
        <v>8135</v>
      </c>
      <c r="G1633" s="10" t="s">
        <v>13</v>
      </c>
      <c r="H1633" s="12">
        <v>46263</v>
      </c>
      <c r="I1633" s="10" t="s">
        <v>2259</v>
      </c>
      <c r="J1633" s="10" t="str">
        <f>IFERROR(INDEX([1]Programas!$B$2:$B$50,MATCH(LEFT(I1633,3),[1]Programas!$A$2:$A$50,0)),"")</f>
        <v>IA Aplicada y Automati</v>
      </c>
      <c r="K1633" s="10" t="s">
        <v>111</v>
      </c>
    </row>
    <row r="1634" spans="1:11" x14ac:dyDescent="0.2">
      <c r="A1634" s="10">
        <v>1633</v>
      </c>
      <c r="B1634" s="10" t="s">
        <v>2308</v>
      </c>
      <c r="C1634" s="11" t="s">
        <v>2307</v>
      </c>
      <c r="D1634" s="10" t="s">
        <v>4419</v>
      </c>
      <c r="E1634" s="10" t="s">
        <v>8136</v>
      </c>
      <c r="F1634" s="11" t="s">
        <v>8137</v>
      </c>
      <c r="G1634" s="10" t="s">
        <v>13</v>
      </c>
      <c r="H1634" s="12">
        <v>46263</v>
      </c>
      <c r="I1634" s="10" t="s">
        <v>2259</v>
      </c>
      <c r="J1634" s="10" t="str">
        <f>IFERROR(INDEX([1]Programas!$B$2:$B$50,MATCH(LEFT(I1634,3),[1]Programas!$A$2:$A$50,0)),"")</f>
        <v>IA Aplicada y Automati</v>
      </c>
      <c r="K1634" s="10" t="s">
        <v>111</v>
      </c>
    </row>
    <row r="1635" spans="1:11" x14ac:dyDescent="0.2">
      <c r="A1635" s="10">
        <v>1634</v>
      </c>
      <c r="B1635" s="10" t="s">
        <v>2310</v>
      </c>
      <c r="C1635" s="11" t="s">
        <v>2309</v>
      </c>
      <c r="D1635" s="10" t="s">
        <v>4419</v>
      </c>
      <c r="E1635" s="10" t="s">
        <v>8138</v>
      </c>
      <c r="F1635" s="11" t="s">
        <v>8139</v>
      </c>
      <c r="G1635" s="10" t="s">
        <v>13</v>
      </c>
      <c r="H1635" s="12">
        <v>46263</v>
      </c>
      <c r="I1635" s="10" t="s">
        <v>2259</v>
      </c>
      <c r="J1635" s="10" t="str">
        <f>IFERROR(INDEX([1]Programas!$B$2:$B$50,MATCH(LEFT(I1635,3),[1]Programas!$A$2:$A$50,0)),"")</f>
        <v>IA Aplicada y Automati</v>
      </c>
      <c r="K1635" s="10" t="s">
        <v>111</v>
      </c>
    </row>
    <row r="1636" spans="1:11" x14ac:dyDescent="0.2">
      <c r="A1636" s="10">
        <v>1635</v>
      </c>
      <c r="B1636" s="10" t="s">
        <v>2312</v>
      </c>
      <c r="C1636" s="11" t="s">
        <v>2311</v>
      </c>
      <c r="D1636" s="10" t="s">
        <v>4419</v>
      </c>
      <c r="E1636" s="10" t="s">
        <v>8140</v>
      </c>
      <c r="F1636" s="11" t="s">
        <v>8141</v>
      </c>
      <c r="G1636" s="10" t="s">
        <v>13</v>
      </c>
      <c r="H1636" s="12">
        <v>46263</v>
      </c>
      <c r="I1636" s="10" t="s">
        <v>2259</v>
      </c>
      <c r="J1636" s="10" t="str">
        <f>IFERROR(INDEX([1]Programas!$B$2:$B$50,MATCH(LEFT(I1636,3),[1]Programas!$A$2:$A$50,0)),"")</f>
        <v>IA Aplicada y Automati</v>
      </c>
      <c r="K1636" s="10" t="s">
        <v>111</v>
      </c>
    </row>
    <row r="1637" spans="1:11" x14ac:dyDescent="0.2">
      <c r="A1637" s="10">
        <v>1636</v>
      </c>
      <c r="B1637" s="10" t="s">
        <v>2314</v>
      </c>
      <c r="C1637" s="11" t="s">
        <v>2313</v>
      </c>
      <c r="D1637" s="10" t="s">
        <v>4419</v>
      </c>
      <c r="E1637" s="10" t="s">
        <v>8142</v>
      </c>
      <c r="F1637" s="11" t="s">
        <v>8143</v>
      </c>
      <c r="G1637" s="10" t="s">
        <v>13</v>
      </c>
      <c r="H1637" s="12">
        <v>46263</v>
      </c>
      <c r="I1637" s="10" t="s">
        <v>2259</v>
      </c>
      <c r="J1637" s="10" t="str">
        <f>IFERROR(INDEX([1]Programas!$B$2:$B$50,MATCH(LEFT(I1637,3),[1]Programas!$A$2:$A$50,0)),"")</f>
        <v>IA Aplicada y Automati</v>
      </c>
      <c r="K1637" s="10" t="s">
        <v>111</v>
      </c>
    </row>
    <row r="1638" spans="1:11" x14ac:dyDescent="0.2">
      <c r="A1638" s="10">
        <v>1637</v>
      </c>
      <c r="B1638" s="10" t="s">
        <v>2316</v>
      </c>
      <c r="C1638" s="11" t="s">
        <v>2315</v>
      </c>
      <c r="D1638" s="10" t="s">
        <v>4419</v>
      </c>
      <c r="E1638" s="10" t="s">
        <v>8144</v>
      </c>
      <c r="F1638" s="11" t="s">
        <v>8145</v>
      </c>
      <c r="G1638" s="10" t="s">
        <v>13</v>
      </c>
      <c r="H1638" s="12">
        <v>46263</v>
      </c>
      <c r="I1638" s="10" t="s">
        <v>2259</v>
      </c>
      <c r="J1638" s="10" t="str">
        <f>IFERROR(INDEX([1]Programas!$B$2:$B$50,MATCH(LEFT(I1638,3),[1]Programas!$A$2:$A$50,0)),"")</f>
        <v>IA Aplicada y Automati</v>
      </c>
      <c r="K1638" s="10" t="s">
        <v>111</v>
      </c>
    </row>
    <row r="1639" spans="1:11" x14ac:dyDescent="0.2">
      <c r="A1639" s="10">
        <v>1638</v>
      </c>
      <c r="B1639" s="10" t="s">
        <v>2318</v>
      </c>
      <c r="C1639" s="11" t="s">
        <v>2317</v>
      </c>
      <c r="D1639" s="10" t="s">
        <v>4419</v>
      </c>
      <c r="E1639" s="10" t="s">
        <v>8146</v>
      </c>
      <c r="F1639" s="11" t="s">
        <v>8147</v>
      </c>
      <c r="G1639" s="10" t="s">
        <v>13</v>
      </c>
      <c r="H1639" s="12">
        <v>46263</v>
      </c>
      <c r="I1639" s="10" t="s">
        <v>2259</v>
      </c>
      <c r="J1639" s="10" t="str">
        <f>IFERROR(INDEX([1]Programas!$B$2:$B$50,MATCH(LEFT(I1639,3),[1]Programas!$A$2:$A$50,0)),"")</f>
        <v>IA Aplicada y Automati</v>
      </c>
      <c r="K1639" s="10" t="s">
        <v>111</v>
      </c>
    </row>
    <row r="1640" spans="1:11" x14ac:dyDescent="0.2">
      <c r="A1640" s="10">
        <v>1639</v>
      </c>
      <c r="B1640" s="10" t="s">
        <v>8148</v>
      </c>
      <c r="C1640" s="11" t="s">
        <v>2319</v>
      </c>
      <c r="D1640" s="10" t="s">
        <v>4419</v>
      </c>
      <c r="E1640" s="10" t="s">
        <v>8149</v>
      </c>
      <c r="F1640" s="11" t="s">
        <v>8150</v>
      </c>
      <c r="G1640" s="10" t="s">
        <v>13</v>
      </c>
      <c r="H1640" s="12">
        <v>46263</v>
      </c>
      <c r="I1640" s="10" t="s">
        <v>2259</v>
      </c>
      <c r="J1640" s="10" t="str">
        <f>IFERROR(INDEX([1]Programas!$B$2:$B$50,MATCH(LEFT(I1640,3),[1]Programas!$A$2:$A$50,0)),"")</f>
        <v>IA Aplicada y Automati</v>
      </c>
      <c r="K1640" s="10" t="s">
        <v>111</v>
      </c>
    </row>
    <row r="1641" spans="1:11" x14ac:dyDescent="0.2">
      <c r="A1641" s="10">
        <v>1640</v>
      </c>
      <c r="B1641" s="10" t="s">
        <v>2322</v>
      </c>
      <c r="C1641" s="11" t="s">
        <v>2321</v>
      </c>
      <c r="D1641" s="10" t="s">
        <v>4419</v>
      </c>
      <c r="E1641" s="10" t="s">
        <v>8151</v>
      </c>
      <c r="F1641" s="11" t="s">
        <v>8152</v>
      </c>
      <c r="G1641" s="10" t="s">
        <v>13</v>
      </c>
      <c r="H1641" s="12">
        <v>46263</v>
      </c>
      <c r="I1641" s="10" t="s">
        <v>2259</v>
      </c>
      <c r="J1641" s="10" t="str">
        <f>IFERROR(INDEX([1]Programas!$B$2:$B$50,MATCH(LEFT(I1641,3),[1]Programas!$A$2:$A$50,0)),"")</f>
        <v>IA Aplicada y Automati</v>
      </c>
      <c r="K1641" s="10" t="s">
        <v>111</v>
      </c>
    </row>
    <row r="1642" spans="1:11" x14ac:dyDescent="0.2">
      <c r="A1642" s="10">
        <v>1641</v>
      </c>
      <c r="B1642" s="10" t="s">
        <v>8153</v>
      </c>
      <c r="C1642" s="11" t="s">
        <v>2323</v>
      </c>
      <c r="D1642" s="10" t="s">
        <v>4419</v>
      </c>
      <c r="E1642" s="10" t="s">
        <v>8154</v>
      </c>
      <c r="F1642" s="11" t="s">
        <v>8155</v>
      </c>
      <c r="G1642" s="10" t="s">
        <v>13</v>
      </c>
      <c r="H1642" s="12">
        <v>46263</v>
      </c>
      <c r="I1642" s="10" t="s">
        <v>2259</v>
      </c>
      <c r="J1642" s="10" t="str">
        <f>IFERROR(INDEX([1]Programas!$B$2:$B$50,MATCH(LEFT(I1642,3),[1]Programas!$A$2:$A$50,0)),"")</f>
        <v>IA Aplicada y Automati</v>
      </c>
      <c r="K1642" s="10" t="s">
        <v>111</v>
      </c>
    </row>
    <row r="1643" spans="1:11" x14ac:dyDescent="0.2">
      <c r="A1643" s="10">
        <v>1642</v>
      </c>
      <c r="B1643" s="10" t="s">
        <v>2326</v>
      </c>
      <c r="C1643" s="11" t="s">
        <v>2325</v>
      </c>
      <c r="D1643" s="10" t="s">
        <v>4419</v>
      </c>
      <c r="E1643" s="10" t="s">
        <v>8156</v>
      </c>
      <c r="F1643" s="11" t="s">
        <v>8157</v>
      </c>
      <c r="G1643" s="10" t="s">
        <v>13</v>
      </c>
      <c r="H1643" s="12">
        <v>46263</v>
      </c>
      <c r="I1643" s="10" t="s">
        <v>2259</v>
      </c>
      <c r="J1643" s="10" t="str">
        <f>IFERROR(INDEX([1]Programas!$B$2:$B$50,MATCH(LEFT(I1643,3),[1]Programas!$A$2:$A$50,0)),"")</f>
        <v>IA Aplicada y Automati</v>
      </c>
      <c r="K1643" s="10" t="s">
        <v>111</v>
      </c>
    </row>
    <row r="1644" spans="1:11" x14ac:dyDescent="0.2">
      <c r="A1644" s="10">
        <v>1643</v>
      </c>
      <c r="B1644" s="10" t="s">
        <v>2328</v>
      </c>
      <c r="C1644" s="11" t="s">
        <v>2327</v>
      </c>
      <c r="D1644" s="10" t="s">
        <v>4419</v>
      </c>
      <c r="E1644" s="10" t="s">
        <v>8158</v>
      </c>
      <c r="F1644" s="11" t="s">
        <v>8159</v>
      </c>
      <c r="G1644" s="10" t="s">
        <v>13</v>
      </c>
      <c r="H1644" s="12">
        <v>46263</v>
      </c>
      <c r="I1644" s="10" t="s">
        <v>2259</v>
      </c>
      <c r="J1644" s="10" t="str">
        <f>IFERROR(INDEX([1]Programas!$B$2:$B$50,MATCH(LEFT(I1644,3),[1]Programas!$A$2:$A$50,0)),"")</f>
        <v>IA Aplicada y Automati</v>
      </c>
      <c r="K1644" s="10" t="s">
        <v>111</v>
      </c>
    </row>
    <row r="1645" spans="1:11" x14ac:dyDescent="0.2">
      <c r="A1645" s="10">
        <v>1644</v>
      </c>
      <c r="B1645" s="10" t="s">
        <v>2330</v>
      </c>
      <c r="C1645" s="11" t="s">
        <v>2329</v>
      </c>
      <c r="D1645" s="10" t="s">
        <v>4419</v>
      </c>
      <c r="E1645" s="10" t="s">
        <v>8160</v>
      </c>
      <c r="F1645" s="11" t="s">
        <v>8161</v>
      </c>
      <c r="G1645" s="10" t="s">
        <v>13</v>
      </c>
      <c r="H1645" s="12">
        <v>46263</v>
      </c>
      <c r="I1645" s="10" t="s">
        <v>2259</v>
      </c>
      <c r="J1645" s="10" t="str">
        <f>IFERROR(INDEX([1]Programas!$B$2:$B$50,MATCH(LEFT(I1645,3),[1]Programas!$A$2:$A$50,0)),"")</f>
        <v>IA Aplicada y Automati</v>
      </c>
      <c r="K1645" s="10" t="s">
        <v>111</v>
      </c>
    </row>
    <row r="1646" spans="1:11" x14ac:dyDescent="0.2">
      <c r="A1646" s="10">
        <v>1645</v>
      </c>
      <c r="B1646" s="10" t="s">
        <v>2332</v>
      </c>
      <c r="C1646" s="11" t="s">
        <v>2331</v>
      </c>
      <c r="D1646" s="10" t="s">
        <v>4419</v>
      </c>
      <c r="E1646" s="10" t="s">
        <v>8162</v>
      </c>
      <c r="F1646" s="11" t="s">
        <v>8163</v>
      </c>
      <c r="G1646" s="10" t="s">
        <v>13</v>
      </c>
      <c r="H1646" s="12">
        <v>46263</v>
      </c>
      <c r="I1646" s="10" t="s">
        <v>2259</v>
      </c>
      <c r="J1646" s="10" t="str">
        <f>IFERROR(INDEX([1]Programas!$B$2:$B$50,MATCH(LEFT(I1646,3),[1]Programas!$A$2:$A$50,0)),"")</f>
        <v>IA Aplicada y Automati</v>
      </c>
      <c r="K1646" s="10" t="s">
        <v>111</v>
      </c>
    </row>
    <row r="1647" spans="1:11" x14ac:dyDescent="0.2">
      <c r="A1647" s="10">
        <v>1646</v>
      </c>
      <c r="B1647" s="10" t="s">
        <v>2334</v>
      </c>
      <c r="C1647" s="11" t="s">
        <v>2333</v>
      </c>
      <c r="D1647" s="10" t="s">
        <v>4419</v>
      </c>
      <c r="E1647" s="10" t="s">
        <v>8164</v>
      </c>
      <c r="F1647" s="11" t="s">
        <v>8165</v>
      </c>
      <c r="G1647" s="10" t="s">
        <v>13</v>
      </c>
      <c r="H1647" s="12">
        <v>46263</v>
      </c>
      <c r="I1647" s="10" t="s">
        <v>2259</v>
      </c>
      <c r="J1647" s="10" t="str">
        <f>IFERROR(INDEX([1]Programas!$B$2:$B$50,MATCH(LEFT(I1647,3),[1]Programas!$A$2:$A$50,0)),"")</f>
        <v>IA Aplicada y Automati</v>
      </c>
      <c r="K1647" s="10" t="s">
        <v>111</v>
      </c>
    </row>
    <row r="1648" spans="1:11" x14ac:dyDescent="0.2">
      <c r="A1648" s="10">
        <v>1647</v>
      </c>
      <c r="B1648" s="10" t="s">
        <v>2336</v>
      </c>
      <c r="C1648" s="11" t="s">
        <v>2335</v>
      </c>
      <c r="D1648" s="10" t="s">
        <v>4419</v>
      </c>
      <c r="E1648" s="10" t="s">
        <v>8166</v>
      </c>
      <c r="F1648" s="11" t="s">
        <v>8167</v>
      </c>
      <c r="G1648" s="10" t="s">
        <v>13</v>
      </c>
      <c r="H1648" s="12">
        <v>46263</v>
      </c>
      <c r="I1648" s="10" t="s">
        <v>2259</v>
      </c>
      <c r="J1648" s="10" t="str">
        <f>IFERROR(INDEX([1]Programas!$B$2:$B$50,MATCH(LEFT(I1648,3),[1]Programas!$A$2:$A$50,0)),"")</f>
        <v>IA Aplicada y Automati</v>
      </c>
      <c r="K1648" s="10" t="s">
        <v>111</v>
      </c>
    </row>
    <row r="1649" spans="1:11" x14ac:dyDescent="0.2">
      <c r="A1649" s="10">
        <v>1648</v>
      </c>
      <c r="B1649" s="10" t="s">
        <v>2338</v>
      </c>
      <c r="C1649" s="11" t="s">
        <v>2337</v>
      </c>
      <c r="D1649" s="10" t="s">
        <v>4419</v>
      </c>
      <c r="E1649" s="10" t="s">
        <v>8168</v>
      </c>
      <c r="F1649" s="11" t="s">
        <v>8169</v>
      </c>
      <c r="G1649" s="10" t="s">
        <v>13</v>
      </c>
      <c r="H1649" s="12">
        <v>46263</v>
      </c>
      <c r="I1649" s="10" t="s">
        <v>2259</v>
      </c>
      <c r="J1649" s="10" t="str">
        <f>IFERROR(INDEX([1]Programas!$B$2:$B$50,MATCH(LEFT(I1649,3),[1]Programas!$A$2:$A$50,0)),"")</f>
        <v>IA Aplicada y Automati</v>
      </c>
      <c r="K1649" s="10" t="s">
        <v>111</v>
      </c>
    </row>
    <row r="1650" spans="1:11" x14ac:dyDescent="0.2">
      <c r="A1650" s="10">
        <v>1649</v>
      </c>
      <c r="B1650" s="10" t="s">
        <v>2340</v>
      </c>
      <c r="C1650" s="11" t="s">
        <v>2339</v>
      </c>
      <c r="D1650" s="10" t="s">
        <v>4419</v>
      </c>
      <c r="E1650" s="10" t="s">
        <v>8170</v>
      </c>
      <c r="F1650" s="11" t="s">
        <v>8171</v>
      </c>
      <c r="G1650" s="10" t="s">
        <v>13</v>
      </c>
      <c r="H1650" s="12">
        <v>46263</v>
      </c>
      <c r="I1650" s="10" t="s">
        <v>2259</v>
      </c>
      <c r="J1650" s="10" t="str">
        <f>IFERROR(INDEX([1]Programas!$B$2:$B$50,MATCH(LEFT(I1650,3),[1]Programas!$A$2:$A$50,0)),"")</f>
        <v>IA Aplicada y Automati</v>
      </c>
      <c r="K1650" s="10" t="s">
        <v>111</v>
      </c>
    </row>
    <row r="1651" spans="1:11" x14ac:dyDescent="0.2">
      <c r="A1651" s="10">
        <v>1650</v>
      </c>
      <c r="B1651" s="10" t="s">
        <v>8172</v>
      </c>
      <c r="C1651" s="11" t="s">
        <v>2341</v>
      </c>
      <c r="D1651" s="10" t="s">
        <v>4419</v>
      </c>
      <c r="E1651" s="10" t="s">
        <v>8173</v>
      </c>
      <c r="F1651" s="11" t="s">
        <v>8174</v>
      </c>
      <c r="G1651" s="10" t="s">
        <v>13</v>
      </c>
      <c r="H1651" s="12">
        <v>46263</v>
      </c>
      <c r="I1651" s="10" t="s">
        <v>2259</v>
      </c>
      <c r="J1651" s="10" t="str">
        <f>IFERROR(INDEX([1]Programas!$B$2:$B$50,MATCH(LEFT(I1651,3),[1]Programas!$A$2:$A$50,0)),"")</f>
        <v>IA Aplicada y Automati</v>
      </c>
      <c r="K1651" s="10" t="s">
        <v>111</v>
      </c>
    </row>
    <row r="1652" spans="1:11" x14ac:dyDescent="0.2">
      <c r="A1652" s="10">
        <v>1651</v>
      </c>
      <c r="B1652" s="10" t="s">
        <v>2344</v>
      </c>
      <c r="C1652" s="11" t="s">
        <v>2343</v>
      </c>
      <c r="D1652" s="10" t="s">
        <v>4419</v>
      </c>
      <c r="E1652" s="10" t="s">
        <v>8175</v>
      </c>
      <c r="F1652" s="11" t="s">
        <v>8176</v>
      </c>
      <c r="G1652" s="10" t="s">
        <v>13</v>
      </c>
      <c r="H1652" s="12">
        <v>46263</v>
      </c>
      <c r="I1652" s="10" t="s">
        <v>2259</v>
      </c>
      <c r="J1652" s="10" t="str">
        <f>IFERROR(INDEX([1]Programas!$B$2:$B$50,MATCH(LEFT(I1652,3),[1]Programas!$A$2:$A$50,0)),"")</f>
        <v>IA Aplicada y Automati</v>
      </c>
      <c r="K1652" s="10" t="s">
        <v>111</v>
      </c>
    </row>
    <row r="1653" spans="1:11" x14ac:dyDescent="0.2">
      <c r="A1653" s="10">
        <v>1652</v>
      </c>
      <c r="B1653" s="10" t="s">
        <v>2346</v>
      </c>
      <c r="C1653" s="11" t="s">
        <v>2345</v>
      </c>
      <c r="D1653" s="10" t="s">
        <v>4419</v>
      </c>
      <c r="E1653" s="10" t="s">
        <v>8177</v>
      </c>
      <c r="F1653" s="11" t="s">
        <v>8178</v>
      </c>
      <c r="G1653" s="10" t="s">
        <v>13</v>
      </c>
      <c r="H1653" s="12">
        <v>46263</v>
      </c>
      <c r="I1653" s="10" t="s">
        <v>2259</v>
      </c>
      <c r="J1653" s="10" t="str">
        <f>IFERROR(INDEX([1]Programas!$B$2:$B$50,MATCH(LEFT(I1653,3),[1]Programas!$A$2:$A$50,0)),"")</f>
        <v>IA Aplicada y Automati</v>
      </c>
      <c r="K1653" s="10" t="s">
        <v>111</v>
      </c>
    </row>
    <row r="1654" spans="1:11" x14ac:dyDescent="0.2">
      <c r="A1654" s="10">
        <v>1653</v>
      </c>
      <c r="B1654" s="10" t="s">
        <v>2348</v>
      </c>
      <c r="C1654" s="11" t="s">
        <v>2347</v>
      </c>
      <c r="D1654" s="10" t="s">
        <v>4419</v>
      </c>
      <c r="E1654" s="10" t="s">
        <v>8179</v>
      </c>
      <c r="F1654" s="11" t="s">
        <v>8180</v>
      </c>
      <c r="G1654" s="10" t="s">
        <v>13</v>
      </c>
      <c r="H1654" s="12">
        <v>46263</v>
      </c>
      <c r="I1654" s="10" t="s">
        <v>2350</v>
      </c>
      <c r="J1654" s="10" t="str">
        <f>IFERROR(INDEX([1]Programas!$B$2:$B$50,MATCH(LEFT(I1654,3),[1]Programas!$A$2:$A$50,0)),"")</f>
        <v>IA Aplicada y Automati</v>
      </c>
      <c r="K1654" s="10" t="s">
        <v>335</v>
      </c>
    </row>
    <row r="1655" spans="1:11" x14ac:dyDescent="0.2">
      <c r="A1655" s="10">
        <v>1654</v>
      </c>
      <c r="B1655" s="10" t="s">
        <v>8181</v>
      </c>
      <c r="C1655" s="11" t="s">
        <v>2352</v>
      </c>
      <c r="D1655" s="10" t="s">
        <v>4419</v>
      </c>
      <c r="E1655" s="10" t="s">
        <v>8182</v>
      </c>
      <c r="F1655" s="11" t="s">
        <v>8183</v>
      </c>
      <c r="G1655" s="10" t="s">
        <v>13</v>
      </c>
      <c r="H1655" s="12">
        <v>46263</v>
      </c>
      <c r="I1655" s="10" t="s">
        <v>2350</v>
      </c>
      <c r="J1655" s="10" t="str">
        <f>IFERROR(INDEX([1]Programas!$B$2:$B$50,MATCH(LEFT(I1655,3),[1]Programas!$A$2:$A$50,0)),"")</f>
        <v>IA Aplicada y Automati</v>
      </c>
      <c r="K1655" s="10" t="s">
        <v>335</v>
      </c>
    </row>
    <row r="1656" spans="1:11" x14ac:dyDescent="0.2">
      <c r="A1656" s="10">
        <v>1655</v>
      </c>
      <c r="B1656" s="10" t="s">
        <v>2358</v>
      </c>
      <c r="C1656" s="11" t="s">
        <v>2357</v>
      </c>
      <c r="D1656" s="10" t="s">
        <v>4419</v>
      </c>
      <c r="E1656" s="10" t="s">
        <v>8184</v>
      </c>
      <c r="F1656" s="11" t="s">
        <v>8185</v>
      </c>
      <c r="G1656" s="10" t="s">
        <v>13</v>
      </c>
      <c r="H1656" s="12">
        <v>46263</v>
      </c>
      <c r="I1656" s="10" t="s">
        <v>2350</v>
      </c>
      <c r="J1656" s="10" t="str">
        <f>IFERROR(INDEX([1]Programas!$B$2:$B$50,MATCH(LEFT(I1656,3),[1]Programas!$A$2:$A$50,0)),"")</f>
        <v>IA Aplicada y Automati</v>
      </c>
      <c r="K1656" s="10" t="s">
        <v>335</v>
      </c>
    </row>
    <row r="1657" spans="1:11" x14ac:dyDescent="0.2">
      <c r="A1657" s="10">
        <v>1656</v>
      </c>
      <c r="B1657" s="10" t="s">
        <v>2360</v>
      </c>
      <c r="C1657" s="11" t="s">
        <v>2359</v>
      </c>
      <c r="D1657" s="10" t="s">
        <v>4419</v>
      </c>
      <c r="E1657" s="10" t="s">
        <v>8186</v>
      </c>
      <c r="F1657" s="11" t="s">
        <v>8187</v>
      </c>
      <c r="G1657" s="10" t="s">
        <v>13</v>
      </c>
      <c r="H1657" s="12">
        <v>46263</v>
      </c>
      <c r="I1657" s="10" t="s">
        <v>2350</v>
      </c>
      <c r="J1657" s="10" t="str">
        <f>IFERROR(INDEX([1]Programas!$B$2:$B$50,MATCH(LEFT(I1657,3),[1]Programas!$A$2:$A$50,0)),"")</f>
        <v>IA Aplicada y Automati</v>
      </c>
      <c r="K1657" s="10" t="s">
        <v>335</v>
      </c>
    </row>
    <row r="1658" spans="1:11" x14ac:dyDescent="0.2">
      <c r="A1658" s="10">
        <v>1657</v>
      </c>
      <c r="B1658" s="10" t="s">
        <v>8188</v>
      </c>
      <c r="C1658" s="11" t="s">
        <v>2361</v>
      </c>
      <c r="D1658" s="10" t="s">
        <v>4419</v>
      </c>
      <c r="E1658" s="10" t="s">
        <v>8189</v>
      </c>
      <c r="F1658" s="11" t="s">
        <v>8190</v>
      </c>
      <c r="G1658" s="10" t="s">
        <v>13</v>
      </c>
      <c r="H1658" s="12">
        <v>46263</v>
      </c>
      <c r="I1658" s="10" t="s">
        <v>2350</v>
      </c>
      <c r="J1658" s="10" t="str">
        <f>IFERROR(INDEX([1]Programas!$B$2:$B$50,MATCH(LEFT(I1658,3),[1]Programas!$A$2:$A$50,0)),"")</f>
        <v>IA Aplicada y Automati</v>
      </c>
      <c r="K1658" s="10" t="s">
        <v>335</v>
      </c>
    </row>
    <row r="1659" spans="1:11" x14ac:dyDescent="0.2">
      <c r="A1659" s="10">
        <v>1658</v>
      </c>
      <c r="B1659" s="10" t="s">
        <v>2364</v>
      </c>
      <c r="C1659" s="11" t="s">
        <v>2363</v>
      </c>
      <c r="D1659" s="10" t="s">
        <v>4419</v>
      </c>
      <c r="E1659" s="10" t="s">
        <v>8191</v>
      </c>
      <c r="F1659" s="11" t="s">
        <v>8192</v>
      </c>
      <c r="G1659" s="10" t="s">
        <v>13</v>
      </c>
      <c r="H1659" s="12">
        <v>46263</v>
      </c>
      <c r="I1659" s="10" t="s">
        <v>2350</v>
      </c>
      <c r="J1659" s="10" t="str">
        <f>IFERROR(INDEX([1]Programas!$B$2:$B$50,MATCH(LEFT(I1659,3),[1]Programas!$A$2:$A$50,0)),"")</f>
        <v>IA Aplicada y Automati</v>
      </c>
      <c r="K1659" s="10" t="s">
        <v>335</v>
      </c>
    </row>
    <row r="1660" spans="1:11" x14ac:dyDescent="0.2">
      <c r="A1660" s="10">
        <v>1659</v>
      </c>
      <c r="B1660" s="10" t="s">
        <v>2366</v>
      </c>
      <c r="C1660" s="11" t="s">
        <v>2365</v>
      </c>
      <c r="D1660" s="10" t="s">
        <v>4419</v>
      </c>
      <c r="E1660" s="10" t="s">
        <v>8193</v>
      </c>
      <c r="F1660" s="11" t="s">
        <v>8194</v>
      </c>
      <c r="G1660" s="10" t="s">
        <v>13</v>
      </c>
      <c r="H1660" s="12">
        <v>46263</v>
      </c>
      <c r="I1660" s="10" t="s">
        <v>2350</v>
      </c>
      <c r="J1660" s="10" t="str">
        <f>IFERROR(INDEX([1]Programas!$B$2:$B$50,MATCH(LEFT(I1660,3),[1]Programas!$A$2:$A$50,0)),"")</f>
        <v>IA Aplicada y Automati</v>
      </c>
      <c r="K1660" s="10" t="s">
        <v>335</v>
      </c>
    </row>
    <row r="1661" spans="1:11" x14ac:dyDescent="0.2">
      <c r="A1661" s="10">
        <v>1660</v>
      </c>
      <c r="B1661" s="10" t="s">
        <v>2368</v>
      </c>
      <c r="C1661" s="11" t="s">
        <v>2367</v>
      </c>
      <c r="D1661" s="10" t="s">
        <v>4419</v>
      </c>
      <c r="E1661" s="10" t="s">
        <v>8195</v>
      </c>
      <c r="F1661" s="11" t="s">
        <v>8196</v>
      </c>
      <c r="G1661" s="10" t="s">
        <v>13</v>
      </c>
      <c r="H1661" s="12">
        <v>46263</v>
      </c>
      <c r="I1661" s="10" t="s">
        <v>2350</v>
      </c>
      <c r="J1661" s="10" t="str">
        <f>IFERROR(INDEX([1]Programas!$B$2:$B$50,MATCH(LEFT(I1661,3),[1]Programas!$A$2:$A$50,0)),"")</f>
        <v>IA Aplicada y Automati</v>
      </c>
      <c r="K1661" s="10" t="s">
        <v>335</v>
      </c>
    </row>
    <row r="1662" spans="1:11" x14ac:dyDescent="0.2">
      <c r="A1662" s="10">
        <v>1661</v>
      </c>
      <c r="B1662" s="10" t="s">
        <v>2370</v>
      </c>
      <c r="C1662" s="11" t="s">
        <v>2369</v>
      </c>
      <c r="D1662" s="10" t="s">
        <v>4419</v>
      </c>
      <c r="E1662" s="10" t="s">
        <v>8197</v>
      </c>
      <c r="F1662" s="11" t="s">
        <v>8198</v>
      </c>
      <c r="G1662" s="10" t="s">
        <v>13</v>
      </c>
      <c r="H1662" s="12">
        <v>46263</v>
      </c>
      <c r="I1662" s="10" t="s">
        <v>2350</v>
      </c>
      <c r="J1662" s="10" t="str">
        <f>IFERROR(INDEX([1]Programas!$B$2:$B$50,MATCH(LEFT(I1662,3),[1]Programas!$A$2:$A$50,0)),"")</f>
        <v>IA Aplicada y Automati</v>
      </c>
      <c r="K1662" s="10" t="s">
        <v>335</v>
      </c>
    </row>
    <row r="1663" spans="1:11" x14ac:dyDescent="0.2">
      <c r="A1663" s="10">
        <v>1662</v>
      </c>
      <c r="B1663" s="10" t="s">
        <v>2372</v>
      </c>
      <c r="C1663" s="11" t="s">
        <v>2371</v>
      </c>
      <c r="D1663" s="10" t="s">
        <v>4419</v>
      </c>
      <c r="E1663" s="10" t="s">
        <v>8199</v>
      </c>
      <c r="F1663" s="11" t="s">
        <v>8200</v>
      </c>
      <c r="G1663" s="10" t="s">
        <v>13</v>
      </c>
      <c r="H1663" s="12">
        <v>46263</v>
      </c>
      <c r="I1663" s="10" t="s">
        <v>2350</v>
      </c>
      <c r="J1663" s="10" t="str">
        <f>IFERROR(INDEX([1]Programas!$B$2:$B$50,MATCH(LEFT(I1663,3),[1]Programas!$A$2:$A$50,0)),"")</f>
        <v>IA Aplicada y Automati</v>
      </c>
      <c r="K1663" s="10" t="s">
        <v>335</v>
      </c>
    </row>
    <row r="1664" spans="1:11" x14ac:dyDescent="0.2">
      <c r="A1664" s="10">
        <v>1663</v>
      </c>
      <c r="B1664" s="10" t="s">
        <v>2374</v>
      </c>
      <c r="C1664" s="11" t="s">
        <v>2373</v>
      </c>
      <c r="D1664" s="10" t="s">
        <v>4419</v>
      </c>
      <c r="E1664" s="10" t="s">
        <v>8201</v>
      </c>
      <c r="F1664" s="11" t="s">
        <v>8202</v>
      </c>
      <c r="G1664" s="10" t="s">
        <v>13</v>
      </c>
      <c r="H1664" s="12">
        <v>46263</v>
      </c>
      <c r="I1664" s="10" t="s">
        <v>2350</v>
      </c>
      <c r="J1664" s="10" t="str">
        <f>IFERROR(INDEX([1]Programas!$B$2:$B$50,MATCH(LEFT(I1664,3),[1]Programas!$A$2:$A$50,0)),"")</f>
        <v>IA Aplicada y Automati</v>
      </c>
      <c r="K1664" s="10" t="s">
        <v>335</v>
      </c>
    </row>
    <row r="1665" spans="1:11" x14ac:dyDescent="0.2">
      <c r="A1665" s="10">
        <v>1664</v>
      </c>
      <c r="B1665" s="10" t="s">
        <v>8203</v>
      </c>
      <c r="C1665" s="11" t="s">
        <v>2375</v>
      </c>
      <c r="D1665" s="10" t="s">
        <v>4419</v>
      </c>
      <c r="E1665" s="10" t="s">
        <v>8204</v>
      </c>
      <c r="F1665" s="11" t="s">
        <v>8205</v>
      </c>
      <c r="G1665" s="10" t="s">
        <v>13</v>
      </c>
      <c r="H1665" s="12">
        <v>46263</v>
      </c>
      <c r="I1665" s="10" t="s">
        <v>2350</v>
      </c>
      <c r="J1665" s="10" t="str">
        <f>IFERROR(INDEX([1]Programas!$B$2:$B$50,MATCH(LEFT(I1665,3),[1]Programas!$A$2:$A$50,0)),"")</f>
        <v>IA Aplicada y Automati</v>
      </c>
      <c r="K1665" s="10" t="s">
        <v>335</v>
      </c>
    </row>
    <row r="1666" spans="1:11" x14ac:dyDescent="0.2">
      <c r="A1666" s="10">
        <v>1665</v>
      </c>
      <c r="B1666" s="10" t="s">
        <v>2378</v>
      </c>
      <c r="C1666" s="11" t="s">
        <v>2377</v>
      </c>
      <c r="D1666" s="10" t="s">
        <v>4419</v>
      </c>
      <c r="E1666" s="10" t="s">
        <v>8206</v>
      </c>
      <c r="F1666" s="11" t="s">
        <v>8207</v>
      </c>
      <c r="G1666" s="10" t="s">
        <v>13</v>
      </c>
      <c r="H1666" s="12">
        <v>46263</v>
      </c>
      <c r="I1666" s="10" t="s">
        <v>2350</v>
      </c>
      <c r="J1666" s="10" t="str">
        <f>IFERROR(INDEX([1]Programas!$B$2:$B$50,MATCH(LEFT(I1666,3),[1]Programas!$A$2:$A$50,0)),"")</f>
        <v>IA Aplicada y Automati</v>
      </c>
      <c r="K1666" s="10" t="s">
        <v>335</v>
      </c>
    </row>
    <row r="1667" spans="1:11" x14ac:dyDescent="0.2">
      <c r="A1667" s="10">
        <v>1666</v>
      </c>
      <c r="B1667" s="10" t="s">
        <v>2380</v>
      </c>
      <c r="C1667" s="11" t="s">
        <v>2379</v>
      </c>
      <c r="D1667" s="10" t="s">
        <v>4419</v>
      </c>
      <c r="E1667" s="10" t="s">
        <v>8208</v>
      </c>
      <c r="F1667" s="11" t="s">
        <v>8209</v>
      </c>
      <c r="G1667" s="10" t="s">
        <v>13</v>
      </c>
      <c r="H1667" s="12">
        <v>46263</v>
      </c>
      <c r="I1667" s="10" t="s">
        <v>2350</v>
      </c>
      <c r="J1667" s="10" t="str">
        <f>IFERROR(INDEX([1]Programas!$B$2:$B$50,MATCH(LEFT(I1667,3),[1]Programas!$A$2:$A$50,0)),"")</f>
        <v>IA Aplicada y Automati</v>
      </c>
      <c r="K1667" s="10" t="s">
        <v>335</v>
      </c>
    </row>
    <row r="1668" spans="1:11" x14ac:dyDescent="0.2">
      <c r="A1668" s="10">
        <v>1667</v>
      </c>
      <c r="B1668" s="10" t="s">
        <v>8210</v>
      </c>
      <c r="C1668" s="11" t="s">
        <v>2381</v>
      </c>
      <c r="D1668" s="10" t="s">
        <v>4419</v>
      </c>
      <c r="E1668" s="10" t="s">
        <v>8211</v>
      </c>
      <c r="F1668" s="11" t="s">
        <v>8212</v>
      </c>
      <c r="G1668" s="10" t="s">
        <v>13</v>
      </c>
      <c r="H1668" s="12">
        <v>46263</v>
      </c>
      <c r="I1668" s="10" t="s">
        <v>2350</v>
      </c>
      <c r="J1668" s="10" t="str">
        <f>IFERROR(INDEX([1]Programas!$B$2:$B$50,MATCH(LEFT(I1668,3),[1]Programas!$A$2:$A$50,0)),"")</f>
        <v>IA Aplicada y Automati</v>
      </c>
      <c r="K1668" s="10" t="s">
        <v>335</v>
      </c>
    </row>
    <row r="1669" spans="1:11" x14ac:dyDescent="0.2">
      <c r="A1669" s="10">
        <v>1668</v>
      </c>
      <c r="B1669" s="10" t="s">
        <v>2384</v>
      </c>
      <c r="C1669" s="11" t="s">
        <v>2383</v>
      </c>
      <c r="D1669" s="10" t="s">
        <v>4419</v>
      </c>
      <c r="E1669" s="10" t="s">
        <v>8213</v>
      </c>
      <c r="F1669" s="11" t="s">
        <v>8214</v>
      </c>
      <c r="G1669" s="10" t="s">
        <v>13</v>
      </c>
      <c r="H1669" s="12">
        <v>46263</v>
      </c>
      <c r="I1669" s="10" t="s">
        <v>2350</v>
      </c>
      <c r="J1669" s="10" t="str">
        <f>IFERROR(INDEX([1]Programas!$B$2:$B$50,MATCH(LEFT(I1669,3),[1]Programas!$A$2:$A$50,0)),"")</f>
        <v>IA Aplicada y Automati</v>
      </c>
      <c r="K1669" s="10" t="s">
        <v>335</v>
      </c>
    </row>
    <row r="1670" spans="1:11" x14ac:dyDescent="0.2">
      <c r="A1670" s="10">
        <v>1669</v>
      </c>
      <c r="B1670" s="10" t="s">
        <v>2386</v>
      </c>
      <c r="C1670" s="11" t="s">
        <v>2385</v>
      </c>
      <c r="D1670" s="10" t="s">
        <v>4419</v>
      </c>
      <c r="E1670" s="10" t="s">
        <v>8215</v>
      </c>
      <c r="F1670" s="11" t="s">
        <v>8216</v>
      </c>
      <c r="G1670" s="10" t="s">
        <v>13</v>
      </c>
      <c r="H1670" s="12">
        <v>46263</v>
      </c>
      <c r="I1670" s="10" t="s">
        <v>2350</v>
      </c>
      <c r="J1670" s="10" t="str">
        <f>IFERROR(INDEX([1]Programas!$B$2:$B$50,MATCH(LEFT(I1670,3),[1]Programas!$A$2:$A$50,0)),"")</f>
        <v>IA Aplicada y Automati</v>
      </c>
      <c r="K1670" s="10" t="s">
        <v>335</v>
      </c>
    </row>
    <row r="1671" spans="1:11" x14ac:dyDescent="0.2">
      <c r="A1671" s="10">
        <v>1670</v>
      </c>
      <c r="B1671" s="10" t="s">
        <v>2388</v>
      </c>
      <c r="C1671" s="11" t="s">
        <v>2387</v>
      </c>
      <c r="D1671" s="10" t="s">
        <v>4419</v>
      </c>
      <c r="E1671" s="10" t="s">
        <v>8217</v>
      </c>
      <c r="F1671" s="11" t="s">
        <v>8218</v>
      </c>
      <c r="G1671" s="10" t="s">
        <v>13</v>
      </c>
      <c r="H1671" s="12">
        <v>46263</v>
      </c>
      <c r="I1671" s="10" t="s">
        <v>2350</v>
      </c>
      <c r="J1671" s="10" t="str">
        <f>IFERROR(INDEX([1]Programas!$B$2:$B$50,MATCH(LEFT(I1671,3),[1]Programas!$A$2:$A$50,0)),"")</f>
        <v>IA Aplicada y Automati</v>
      </c>
      <c r="K1671" s="10" t="s">
        <v>335</v>
      </c>
    </row>
    <row r="1672" spans="1:11" x14ac:dyDescent="0.2">
      <c r="A1672" s="10">
        <v>1671</v>
      </c>
      <c r="B1672" s="10" t="s">
        <v>8219</v>
      </c>
      <c r="C1672" s="11" t="s">
        <v>2389</v>
      </c>
      <c r="D1672" s="10" t="s">
        <v>4419</v>
      </c>
      <c r="E1672" s="10" t="s">
        <v>8220</v>
      </c>
      <c r="F1672" s="11" t="s">
        <v>8221</v>
      </c>
      <c r="G1672" s="10" t="s">
        <v>13</v>
      </c>
      <c r="H1672" s="12">
        <v>46263</v>
      </c>
      <c r="I1672" s="10" t="s">
        <v>2350</v>
      </c>
      <c r="J1672" s="10" t="str">
        <f>IFERROR(INDEX([1]Programas!$B$2:$B$50,MATCH(LEFT(I1672,3),[1]Programas!$A$2:$A$50,0)),"")</f>
        <v>IA Aplicada y Automati</v>
      </c>
      <c r="K1672" s="10" t="s">
        <v>335</v>
      </c>
    </row>
    <row r="1673" spans="1:11" x14ac:dyDescent="0.2">
      <c r="A1673" s="10">
        <v>1672</v>
      </c>
      <c r="B1673" s="10" t="s">
        <v>2392</v>
      </c>
      <c r="C1673" s="11" t="s">
        <v>2391</v>
      </c>
      <c r="D1673" s="10" t="s">
        <v>4419</v>
      </c>
      <c r="E1673" s="10" t="s">
        <v>8222</v>
      </c>
      <c r="F1673" s="11" t="s">
        <v>8223</v>
      </c>
      <c r="G1673" s="10" t="s">
        <v>13</v>
      </c>
      <c r="H1673" s="12">
        <v>46263</v>
      </c>
      <c r="I1673" s="10" t="s">
        <v>2350</v>
      </c>
      <c r="J1673" s="10" t="str">
        <f>IFERROR(INDEX([1]Programas!$B$2:$B$50,MATCH(LEFT(I1673,3),[1]Programas!$A$2:$A$50,0)),"")</f>
        <v>IA Aplicada y Automati</v>
      </c>
      <c r="K1673" s="10" t="s">
        <v>335</v>
      </c>
    </row>
    <row r="1674" spans="1:11" x14ac:dyDescent="0.2">
      <c r="A1674" s="10">
        <v>1673</v>
      </c>
      <c r="B1674" s="10" t="s">
        <v>2394</v>
      </c>
      <c r="C1674" s="11" t="s">
        <v>2393</v>
      </c>
      <c r="D1674" s="10" t="s">
        <v>4419</v>
      </c>
      <c r="E1674" s="10" t="s">
        <v>8224</v>
      </c>
      <c r="F1674" s="11" t="s">
        <v>8225</v>
      </c>
      <c r="G1674" s="10" t="s">
        <v>13</v>
      </c>
      <c r="H1674" s="12">
        <v>46263</v>
      </c>
      <c r="I1674" s="10" t="s">
        <v>2350</v>
      </c>
      <c r="J1674" s="10" t="str">
        <f>IFERROR(INDEX([1]Programas!$B$2:$B$50,MATCH(LEFT(I1674,3),[1]Programas!$A$2:$A$50,0)),"")</f>
        <v>IA Aplicada y Automati</v>
      </c>
      <c r="K1674" s="10" t="s">
        <v>335</v>
      </c>
    </row>
    <row r="1675" spans="1:11" x14ac:dyDescent="0.2">
      <c r="A1675" s="10">
        <v>1674</v>
      </c>
      <c r="B1675" s="10" t="s">
        <v>8226</v>
      </c>
      <c r="C1675" s="11" t="s">
        <v>2395</v>
      </c>
      <c r="D1675" s="10" t="s">
        <v>4419</v>
      </c>
      <c r="E1675" s="10" t="s">
        <v>8227</v>
      </c>
      <c r="F1675" s="11" t="s">
        <v>8228</v>
      </c>
      <c r="G1675" s="10" t="s">
        <v>13</v>
      </c>
      <c r="H1675" s="12">
        <v>46263</v>
      </c>
      <c r="I1675" s="10" t="s">
        <v>2350</v>
      </c>
      <c r="J1675" s="10" t="str">
        <f>IFERROR(INDEX([1]Programas!$B$2:$B$50,MATCH(LEFT(I1675,3),[1]Programas!$A$2:$A$50,0)),"")</f>
        <v>IA Aplicada y Automati</v>
      </c>
      <c r="K1675" s="10" t="s">
        <v>335</v>
      </c>
    </row>
    <row r="1676" spans="1:11" x14ac:dyDescent="0.2">
      <c r="A1676" s="10">
        <v>1675</v>
      </c>
      <c r="B1676" s="10" t="s">
        <v>8229</v>
      </c>
      <c r="C1676" s="11" t="s">
        <v>2397</v>
      </c>
      <c r="D1676" s="10" t="s">
        <v>4419</v>
      </c>
      <c r="E1676" s="10" t="s">
        <v>8230</v>
      </c>
      <c r="F1676" s="11" t="s">
        <v>8231</v>
      </c>
      <c r="G1676" s="10" t="s">
        <v>13</v>
      </c>
      <c r="H1676" s="12">
        <v>46263</v>
      </c>
      <c r="I1676" s="10" t="s">
        <v>2350</v>
      </c>
      <c r="J1676" s="10" t="str">
        <f>IFERROR(INDEX([1]Programas!$B$2:$B$50,MATCH(LEFT(I1676,3),[1]Programas!$A$2:$A$50,0)),"")</f>
        <v>IA Aplicada y Automati</v>
      </c>
      <c r="K1676" s="10" t="s">
        <v>335</v>
      </c>
    </row>
    <row r="1677" spans="1:11" x14ac:dyDescent="0.2">
      <c r="A1677" s="10">
        <v>1676</v>
      </c>
      <c r="B1677" s="10" t="s">
        <v>2400</v>
      </c>
      <c r="C1677" s="11" t="s">
        <v>2399</v>
      </c>
      <c r="D1677" s="10" t="s">
        <v>4419</v>
      </c>
      <c r="E1677" s="10" t="s">
        <v>8232</v>
      </c>
      <c r="F1677" s="11" t="s">
        <v>8233</v>
      </c>
      <c r="G1677" s="10" t="s">
        <v>13</v>
      </c>
      <c r="H1677" s="12">
        <v>46263</v>
      </c>
      <c r="I1677" s="10" t="s">
        <v>2350</v>
      </c>
      <c r="J1677" s="10" t="str">
        <f>IFERROR(INDEX([1]Programas!$B$2:$B$50,MATCH(LEFT(I1677,3),[1]Programas!$A$2:$A$50,0)),"")</f>
        <v>IA Aplicada y Automati</v>
      </c>
      <c r="K1677" s="10" t="s">
        <v>335</v>
      </c>
    </row>
    <row r="1678" spans="1:11" x14ac:dyDescent="0.2">
      <c r="A1678" s="10">
        <v>1677</v>
      </c>
      <c r="B1678" s="10" t="s">
        <v>2402</v>
      </c>
      <c r="C1678" s="11" t="s">
        <v>2401</v>
      </c>
      <c r="D1678" s="10" t="s">
        <v>4419</v>
      </c>
      <c r="E1678" s="10" t="s">
        <v>8234</v>
      </c>
      <c r="F1678" s="11" t="s">
        <v>8235</v>
      </c>
      <c r="G1678" s="10" t="s">
        <v>13</v>
      </c>
      <c r="H1678" s="12">
        <v>46263</v>
      </c>
      <c r="I1678" s="10" t="s">
        <v>2350</v>
      </c>
      <c r="J1678" s="10" t="str">
        <f>IFERROR(INDEX([1]Programas!$B$2:$B$50,MATCH(LEFT(I1678,3),[1]Programas!$A$2:$A$50,0)),"")</f>
        <v>IA Aplicada y Automati</v>
      </c>
      <c r="K1678" s="10" t="s">
        <v>335</v>
      </c>
    </row>
    <row r="1679" spans="1:11" x14ac:dyDescent="0.2">
      <c r="A1679" s="10">
        <v>1678</v>
      </c>
      <c r="B1679" s="10" t="s">
        <v>8236</v>
      </c>
      <c r="C1679" s="11" t="s">
        <v>2267</v>
      </c>
      <c r="D1679" s="10" t="s">
        <v>4419</v>
      </c>
      <c r="E1679" s="10" t="s">
        <v>8237</v>
      </c>
      <c r="F1679" s="11" t="s">
        <v>8238</v>
      </c>
      <c r="G1679" s="10" t="s">
        <v>13</v>
      </c>
      <c r="H1679" s="12">
        <v>46263</v>
      </c>
      <c r="I1679" s="10" t="s">
        <v>2350</v>
      </c>
      <c r="J1679" s="10" t="str">
        <f>IFERROR(INDEX([1]Programas!$B$2:$B$50,MATCH(LEFT(I1679,3),[1]Programas!$A$2:$A$50,0)),"")</f>
        <v>IA Aplicada y Automati</v>
      </c>
      <c r="K1679" s="10" t="s">
        <v>335</v>
      </c>
    </row>
    <row r="1680" spans="1:11" x14ac:dyDescent="0.2">
      <c r="A1680" s="10">
        <v>1679</v>
      </c>
      <c r="B1680" s="10" t="s">
        <v>2404</v>
      </c>
      <c r="C1680" s="11" t="s">
        <v>2403</v>
      </c>
      <c r="D1680" s="10" t="s">
        <v>4419</v>
      </c>
      <c r="E1680" s="10" t="s">
        <v>8239</v>
      </c>
      <c r="F1680" s="11" t="s">
        <v>8240</v>
      </c>
      <c r="G1680" s="10" t="s">
        <v>13</v>
      </c>
      <c r="H1680" s="12">
        <v>46263</v>
      </c>
      <c r="I1680" s="10" t="s">
        <v>2350</v>
      </c>
      <c r="J1680" s="10" t="str">
        <f>IFERROR(INDEX([1]Programas!$B$2:$B$50,MATCH(LEFT(I1680,3),[1]Programas!$A$2:$A$50,0)),"")</f>
        <v>IA Aplicada y Automati</v>
      </c>
      <c r="K1680" s="10" t="s">
        <v>335</v>
      </c>
    </row>
    <row r="1681" spans="1:11" x14ac:dyDescent="0.2">
      <c r="A1681" s="10">
        <v>1680</v>
      </c>
      <c r="B1681" s="10" t="s">
        <v>2406</v>
      </c>
      <c r="C1681" s="11" t="s">
        <v>2405</v>
      </c>
      <c r="D1681" s="10" t="s">
        <v>4419</v>
      </c>
      <c r="E1681" s="10" t="s">
        <v>8241</v>
      </c>
      <c r="F1681" s="11" t="s">
        <v>8242</v>
      </c>
      <c r="G1681" s="10" t="s">
        <v>13</v>
      </c>
      <c r="H1681" s="12">
        <v>46263</v>
      </c>
      <c r="I1681" s="10" t="s">
        <v>2350</v>
      </c>
      <c r="J1681" s="10" t="str">
        <f>IFERROR(INDEX([1]Programas!$B$2:$B$50,MATCH(LEFT(I1681,3),[1]Programas!$A$2:$A$50,0)),"")</f>
        <v>IA Aplicada y Automati</v>
      </c>
      <c r="K1681" s="10" t="s">
        <v>335</v>
      </c>
    </row>
    <row r="1682" spans="1:11" x14ac:dyDescent="0.2">
      <c r="A1682" s="10">
        <v>1681</v>
      </c>
      <c r="B1682" s="10" t="s">
        <v>2408</v>
      </c>
      <c r="C1682" s="11" t="s">
        <v>2407</v>
      </c>
      <c r="D1682" s="10" t="s">
        <v>4419</v>
      </c>
      <c r="E1682" s="10" t="s">
        <v>8243</v>
      </c>
      <c r="F1682" s="11" t="s">
        <v>8244</v>
      </c>
      <c r="G1682" s="10" t="s">
        <v>13</v>
      </c>
      <c r="H1682" s="12">
        <v>46263</v>
      </c>
      <c r="I1682" s="10" t="s">
        <v>2350</v>
      </c>
      <c r="J1682" s="10" t="str">
        <f>IFERROR(INDEX([1]Programas!$B$2:$B$50,MATCH(LEFT(I1682,3),[1]Programas!$A$2:$A$50,0)),"")</f>
        <v>IA Aplicada y Automati</v>
      </c>
      <c r="K1682" s="10" t="s">
        <v>335</v>
      </c>
    </row>
    <row r="1683" spans="1:11" x14ac:dyDescent="0.2">
      <c r="A1683" s="10">
        <v>1682</v>
      </c>
      <c r="B1683" s="10" t="s">
        <v>2410</v>
      </c>
      <c r="C1683" s="11" t="s">
        <v>2409</v>
      </c>
      <c r="D1683" s="10" t="s">
        <v>4419</v>
      </c>
      <c r="E1683" s="10" t="s">
        <v>8245</v>
      </c>
      <c r="F1683" s="11" t="s">
        <v>8246</v>
      </c>
      <c r="G1683" s="10" t="s">
        <v>13</v>
      </c>
      <c r="H1683" s="12">
        <v>46263</v>
      </c>
      <c r="I1683" s="10" t="s">
        <v>2350</v>
      </c>
      <c r="J1683" s="10" t="str">
        <f>IFERROR(INDEX([1]Programas!$B$2:$B$50,MATCH(LEFT(I1683,3),[1]Programas!$A$2:$A$50,0)),"")</f>
        <v>IA Aplicada y Automati</v>
      </c>
      <c r="K1683" s="10" t="s">
        <v>335</v>
      </c>
    </row>
    <row r="1684" spans="1:11" x14ac:dyDescent="0.2">
      <c r="A1684" s="10">
        <v>1683</v>
      </c>
      <c r="B1684" s="10" t="s">
        <v>2412</v>
      </c>
      <c r="C1684" s="11" t="s">
        <v>2411</v>
      </c>
      <c r="D1684" s="10" t="s">
        <v>4419</v>
      </c>
      <c r="E1684" s="10" t="s">
        <v>8247</v>
      </c>
      <c r="F1684" s="11" t="s">
        <v>8248</v>
      </c>
      <c r="G1684" s="10" t="s">
        <v>13</v>
      </c>
      <c r="H1684" s="12">
        <v>46263</v>
      </c>
      <c r="I1684" s="10" t="s">
        <v>2350</v>
      </c>
      <c r="J1684" s="10" t="str">
        <f>IFERROR(INDEX([1]Programas!$B$2:$B$50,MATCH(LEFT(I1684,3),[1]Programas!$A$2:$A$50,0)),"")</f>
        <v>IA Aplicada y Automati</v>
      </c>
      <c r="K1684" s="10" t="s">
        <v>335</v>
      </c>
    </row>
    <row r="1685" spans="1:11" x14ac:dyDescent="0.2">
      <c r="A1685" s="10">
        <v>1684</v>
      </c>
      <c r="B1685" s="10" t="s">
        <v>2414</v>
      </c>
      <c r="C1685" s="11" t="s">
        <v>2413</v>
      </c>
      <c r="D1685" s="10" t="s">
        <v>4419</v>
      </c>
      <c r="E1685" s="10" t="s">
        <v>8249</v>
      </c>
      <c r="F1685" s="11" t="s">
        <v>8250</v>
      </c>
      <c r="G1685" s="10" t="s">
        <v>13</v>
      </c>
      <c r="H1685" s="12">
        <v>46263</v>
      </c>
      <c r="I1685" s="10" t="s">
        <v>2350</v>
      </c>
      <c r="J1685" s="10" t="str">
        <f>IFERROR(INDEX([1]Programas!$B$2:$B$50,MATCH(LEFT(I1685,3),[1]Programas!$A$2:$A$50,0)),"")</f>
        <v>IA Aplicada y Automati</v>
      </c>
      <c r="K1685" s="10" t="s">
        <v>335</v>
      </c>
    </row>
    <row r="1686" spans="1:11" x14ac:dyDescent="0.2">
      <c r="A1686" s="10">
        <v>1685</v>
      </c>
      <c r="B1686" s="10" t="s">
        <v>2416</v>
      </c>
      <c r="C1686" s="11" t="s">
        <v>2415</v>
      </c>
      <c r="D1686" s="10" t="s">
        <v>4419</v>
      </c>
      <c r="E1686" s="10" t="s">
        <v>8251</v>
      </c>
      <c r="F1686" s="11" t="s">
        <v>8252</v>
      </c>
      <c r="G1686" s="10" t="s">
        <v>13</v>
      </c>
      <c r="H1686" s="12">
        <v>46263</v>
      </c>
      <c r="I1686" s="10" t="s">
        <v>2350</v>
      </c>
      <c r="J1686" s="10" t="str">
        <f>IFERROR(INDEX([1]Programas!$B$2:$B$50,MATCH(LEFT(I1686,3),[1]Programas!$A$2:$A$50,0)),"")</f>
        <v>IA Aplicada y Automati</v>
      </c>
      <c r="K1686" s="10" t="s">
        <v>335</v>
      </c>
    </row>
    <row r="1687" spans="1:11" x14ac:dyDescent="0.2">
      <c r="A1687" s="10">
        <v>1686</v>
      </c>
      <c r="B1687" s="10" t="s">
        <v>2418</v>
      </c>
      <c r="C1687" s="11" t="s">
        <v>2417</v>
      </c>
      <c r="D1687" s="10" t="s">
        <v>4419</v>
      </c>
      <c r="E1687" s="10" t="s">
        <v>8253</v>
      </c>
      <c r="F1687" s="11" t="s">
        <v>8254</v>
      </c>
      <c r="G1687" s="10" t="s">
        <v>13</v>
      </c>
      <c r="H1687" s="12">
        <v>46263</v>
      </c>
      <c r="I1687" s="10" t="s">
        <v>2350</v>
      </c>
      <c r="J1687" s="10" t="str">
        <f>IFERROR(INDEX([1]Programas!$B$2:$B$50,MATCH(LEFT(I1687,3),[1]Programas!$A$2:$A$50,0)),"")</f>
        <v>IA Aplicada y Automati</v>
      </c>
      <c r="K1687" s="10" t="s">
        <v>335</v>
      </c>
    </row>
    <row r="1688" spans="1:11" x14ac:dyDescent="0.2">
      <c r="A1688" s="10">
        <v>1687</v>
      </c>
      <c r="B1688" s="10" t="s">
        <v>2420</v>
      </c>
      <c r="C1688" s="11" t="s">
        <v>2419</v>
      </c>
      <c r="D1688" s="10" t="s">
        <v>4419</v>
      </c>
      <c r="E1688" s="10" t="s">
        <v>8255</v>
      </c>
      <c r="F1688" s="11" t="s">
        <v>8256</v>
      </c>
      <c r="G1688" s="10" t="s">
        <v>13</v>
      </c>
      <c r="H1688" s="12">
        <v>46263</v>
      </c>
      <c r="I1688" s="10" t="s">
        <v>2350</v>
      </c>
      <c r="J1688" s="10" t="str">
        <f>IFERROR(INDEX([1]Programas!$B$2:$B$50,MATCH(LEFT(I1688,3),[1]Programas!$A$2:$A$50,0)),"")</f>
        <v>IA Aplicada y Automati</v>
      </c>
      <c r="K1688" s="10" t="s">
        <v>335</v>
      </c>
    </row>
    <row r="1689" spans="1:11" x14ac:dyDescent="0.2">
      <c r="A1689" s="10">
        <v>1688</v>
      </c>
      <c r="B1689" s="10" t="s">
        <v>2422</v>
      </c>
      <c r="C1689" s="11" t="s">
        <v>2421</v>
      </c>
      <c r="D1689" s="10" t="s">
        <v>4419</v>
      </c>
      <c r="E1689" s="10" t="s">
        <v>8257</v>
      </c>
      <c r="F1689" s="11" t="s">
        <v>8258</v>
      </c>
      <c r="G1689" s="10" t="s">
        <v>13</v>
      </c>
      <c r="H1689" s="12">
        <v>46263</v>
      </c>
      <c r="I1689" s="10" t="s">
        <v>2350</v>
      </c>
      <c r="J1689" s="10" t="str">
        <f>IFERROR(INDEX([1]Programas!$B$2:$B$50,MATCH(LEFT(I1689,3),[1]Programas!$A$2:$A$50,0)),"")</f>
        <v>IA Aplicada y Automati</v>
      </c>
      <c r="K1689" s="10" t="s">
        <v>335</v>
      </c>
    </row>
    <row r="1690" spans="1:11" x14ac:dyDescent="0.2">
      <c r="A1690" s="10">
        <v>1689</v>
      </c>
      <c r="B1690" s="10" t="s">
        <v>2424</v>
      </c>
      <c r="C1690" s="11" t="s">
        <v>2423</v>
      </c>
      <c r="D1690" s="10" t="s">
        <v>4453</v>
      </c>
      <c r="E1690" s="10" t="s">
        <v>8259</v>
      </c>
      <c r="F1690" s="11" t="s">
        <v>8260</v>
      </c>
      <c r="G1690" s="10" t="s">
        <v>13</v>
      </c>
      <c r="H1690" s="12">
        <v>46263</v>
      </c>
      <c r="I1690" s="10" t="s">
        <v>2350</v>
      </c>
      <c r="J1690" s="10" t="str">
        <f>IFERROR(INDEX([1]Programas!$B$2:$B$50,MATCH(LEFT(I1690,3),[1]Programas!$A$2:$A$50,0)),"")</f>
        <v>IA Aplicada y Automati</v>
      </c>
      <c r="K1690" s="10" t="s">
        <v>335</v>
      </c>
    </row>
    <row r="1691" spans="1:11" x14ac:dyDescent="0.2">
      <c r="A1691" s="10">
        <v>1690</v>
      </c>
      <c r="B1691" s="10" t="s">
        <v>2426</v>
      </c>
      <c r="C1691" s="11" t="s">
        <v>2425</v>
      </c>
      <c r="D1691" s="10" t="s">
        <v>4419</v>
      </c>
      <c r="E1691" s="10" t="s">
        <v>8261</v>
      </c>
      <c r="F1691" s="11" t="s">
        <v>8262</v>
      </c>
      <c r="G1691" s="10" t="s">
        <v>13</v>
      </c>
      <c r="H1691" s="12">
        <v>46263</v>
      </c>
      <c r="I1691" s="10" t="s">
        <v>2350</v>
      </c>
      <c r="J1691" s="10" t="str">
        <f>IFERROR(INDEX([1]Programas!$B$2:$B$50,MATCH(LEFT(I1691,3),[1]Programas!$A$2:$A$50,0)),"")</f>
        <v>IA Aplicada y Automati</v>
      </c>
      <c r="K1691" s="10" t="s">
        <v>335</v>
      </c>
    </row>
    <row r="1692" spans="1:11" x14ac:dyDescent="0.2">
      <c r="A1692" s="10">
        <v>1691</v>
      </c>
      <c r="B1692" s="10" t="s">
        <v>2428</v>
      </c>
      <c r="C1692" s="11" t="s">
        <v>2427</v>
      </c>
      <c r="D1692" s="10" t="s">
        <v>4419</v>
      </c>
      <c r="E1692" s="10" t="s">
        <v>8263</v>
      </c>
      <c r="F1692" s="11" t="s">
        <v>8264</v>
      </c>
      <c r="G1692" s="10" t="s">
        <v>13</v>
      </c>
      <c r="H1692" s="12">
        <v>46263</v>
      </c>
      <c r="I1692" s="10" t="s">
        <v>2350</v>
      </c>
      <c r="J1692" s="10" t="str">
        <f>IFERROR(INDEX([1]Programas!$B$2:$B$50,MATCH(LEFT(I1692,3),[1]Programas!$A$2:$A$50,0)),"")</f>
        <v>IA Aplicada y Automati</v>
      </c>
      <c r="K1692" s="10" t="s">
        <v>335</v>
      </c>
    </row>
    <row r="1693" spans="1:11" x14ac:dyDescent="0.2">
      <c r="A1693" s="10">
        <v>1692</v>
      </c>
      <c r="B1693" s="10" t="s">
        <v>2430</v>
      </c>
      <c r="C1693" s="11" t="s">
        <v>2429</v>
      </c>
      <c r="D1693" s="10" t="s">
        <v>4419</v>
      </c>
      <c r="E1693" s="10" t="s">
        <v>8265</v>
      </c>
      <c r="F1693" s="11" t="s">
        <v>8266</v>
      </c>
      <c r="G1693" s="10" t="s">
        <v>13</v>
      </c>
      <c r="H1693" s="12">
        <v>46263</v>
      </c>
      <c r="I1693" s="10" t="s">
        <v>2350</v>
      </c>
      <c r="J1693" s="10" t="str">
        <f>IFERROR(INDEX([1]Programas!$B$2:$B$50,MATCH(LEFT(I1693,3),[1]Programas!$A$2:$A$50,0)),"")</f>
        <v>IA Aplicada y Automati</v>
      </c>
      <c r="K1693" s="10" t="s">
        <v>335</v>
      </c>
    </row>
    <row r="1694" spans="1:11" x14ac:dyDescent="0.2">
      <c r="A1694" s="10">
        <v>1693</v>
      </c>
      <c r="B1694" s="10" t="s">
        <v>2432</v>
      </c>
      <c r="C1694" s="11" t="s">
        <v>2431</v>
      </c>
      <c r="D1694" s="10" t="s">
        <v>4419</v>
      </c>
      <c r="E1694" s="10" t="s">
        <v>8267</v>
      </c>
      <c r="F1694" s="11" t="s">
        <v>8268</v>
      </c>
      <c r="G1694" s="10" t="s">
        <v>13</v>
      </c>
      <c r="H1694" s="12">
        <v>46263</v>
      </c>
      <c r="I1694" s="10" t="s">
        <v>2350</v>
      </c>
      <c r="J1694" s="10" t="str">
        <f>IFERROR(INDEX([1]Programas!$B$2:$B$50,MATCH(LEFT(I1694,3),[1]Programas!$A$2:$A$50,0)),"")</f>
        <v>IA Aplicada y Automati</v>
      </c>
      <c r="K1694" s="10" t="s">
        <v>335</v>
      </c>
    </row>
    <row r="1695" spans="1:11" x14ac:dyDescent="0.2">
      <c r="A1695" s="10">
        <v>1694</v>
      </c>
      <c r="B1695" s="10" t="s">
        <v>2434</v>
      </c>
      <c r="C1695" s="11" t="s">
        <v>2433</v>
      </c>
      <c r="D1695" s="10" t="s">
        <v>4419</v>
      </c>
      <c r="E1695" s="10" t="s">
        <v>8269</v>
      </c>
      <c r="F1695" s="11" t="s">
        <v>8270</v>
      </c>
      <c r="G1695" s="10" t="s">
        <v>13</v>
      </c>
      <c r="H1695" s="12">
        <v>46263</v>
      </c>
      <c r="I1695" s="10" t="s">
        <v>2350</v>
      </c>
      <c r="J1695" s="10" t="str">
        <f>IFERROR(INDEX([1]Programas!$B$2:$B$50,MATCH(LEFT(I1695,3),[1]Programas!$A$2:$A$50,0)),"")</f>
        <v>IA Aplicada y Automati</v>
      </c>
      <c r="K1695" s="10" t="s">
        <v>335</v>
      </c>
    </row>
    <row r="1696" spans="1:11" x14ac:dyDescent="0.2">
      <c r="A1696" s="10">
        <v>1695</v>
      </c>
      <c r="B1696" s="10" t="s">
        <v>2436</v>
      </c>
      <c r="C1696" s="11" t="s">
        <v>2435</v>
      </c>
      <c r="D1696" s="10" t="s">
        <v>4419</v>
      </c>
      <c r="E1696" s="10" t="s">
        <v>8271</v>
      </c>
      <c r="F1696" s="11" t="s">
        <v>8272</v>
      </c>
      <c r="G1696" s="10" t="s">
        <v>13</v>
      </c>
      <c r="H1696" s="12">
        <v>46263</v>
      </c>
      <c r="I1696" s="10" t="s">
        <v>2350</v>
      </c>
      <c r="J1696" s="10" t="str">
        <f>IFERROR(INDEX([1]Programas!$B$2:$B$50,MATCH(LEFT(I1696,3),[1]Programas!$A$2:$A$50,0)),"")</f>
        <v>IA Aplicada y Automati</v>
      </c>
      <c r="K1696" s="10" t="s">
        <v>335</v>
      </c>
    </row>
    <row r="1697" spans="1:11" x14ac:dyDescent="0.2">
      <c r="A1697" s="10">
        <v>1696</v>
      </c>
      <c r="B1697" s="10" t="s">
        <v>8273</v>
      </c>
      <c r="C1697" s="11" t="s">
        <v>2437</v>
      </c>
      <c r="D1697" s="10" t="s">
        <v>4419</v>
      </c>
      <c r="E1697" s="10" t="s">
        <v>8274</v>
      </c>
      <c r="F1697" s="11" t="s">
        <v>8275</v>
      </c>
      <c r="G1697" s="10" t="s">
        <v>13</v>
      </c>
      <c r="H1697" s="12">
        <v>46263</v>
      </c>
      <c r="I1697" s="10" t="s">
        <v>2350</v>
      </c>
      <c r="J1697" s="10" t="str">
        <f>IFERROR(INDEX([1]Programas!$B$2:$B$50,MATCH(LEFT(I1697,3),[1]Programas!$A$2:$A$50,0)),"")</f>
        <v>IA Aplicada y Automati</v>
      </c>
      <c r="K1697" s="10" t="s">
        <v>335</v>
      </c>
    </row>
    <row r="1698" spans="1:11" x14ac:dyDescent="0.2">
      <c r="A1698" s="10">
        <v>1697</v>
      </c>
      <c r="B1698" s="10" t="s">
        <v>8276</v>
      </c>
      <c r="C1698" s="11" t="s">
        <v>2439</v>
      </c>
      <c r="D1698" s="10" t="s">
        <v>4419</v>
      </c>
      <c r="E1698" s="10" t="s">
        <v>8277</v>
      </c>
      <c r="F1698" s="11" t="s">
        <v>8278</v>
      </c>
      <c r="G1698" s="10" t="s">
        <v>13</v>
      </c>
      <c r="H1698" s="12">
        <v>46263</v>
      </c>
      <c r="I1698" s="10" t="s">
        <v>2350</v>
      </c>
      <c r="J1698" s="10" t="str">
        <f>IFERROR(INDEX([1]Programas!$B$2:$B$50,MATCH(LEFT(I1698,3),[1]Programas!$A$2:$A$50,0)),"")</f>
        <v>IA Aplicada y Automati</v>
      </c>
      <c r="K1698" s="10" t="s">
        <v>335</v>
      </c>
    </row>
    <row r="1699" spans="1:11" x14ac:dyDescent="0.2">
      <c r="A1699" s="10">
        <v>1698</v>
      </c>
      <c r="B1699" s="10" t="s">
        <v>2442</v>
      </c>
      <c r="C1699" s="11" t="s">
        <v>2441</v>
      </c>
      <c r="D1699" s="10" t="s">
        <v>4419</v>
      </c>
      <c r="E1699" s="10" t="s">
        <v>8279</v>
      </c>
      <c r="F1699" s="11" t="s">
        <v>8280</v>
      </c>
      <c r="G1699" s="10" t="s">
        <v>13</v>
      </c>
      <c r="H1699" s="12">
        <v>46263</v>
      </c>
      <c r="I1699" s="10" t="s">
        <v>2350</v>
      </c>
      <c r="J1699" s="10" t="str">
        <f>IFERROR(INDEX([1]Programas!$B$2:$B$50,MATCH(LEFT(I1699,3),[1]Programas!$A$2:$A$50,0)),"")</f>
        <v>IA Aplicada y Automati</v>
      </c>
      <c r="K1699" s="10" t="s">
        <v>335</v>
      </c>
    </row>
    <row r="1700" spans="1:11" x14ac:dyDescent="0.2">
      <c r="A1700" s="10">
        <v>1699</v>
      </c>
      <c r="B1700" s="10" t="s">
        <v>2444</v>
      </c>
      <c r="C1700" s="11" t="s">
        <v>2443</v>
      </c>
      <c r="D1700" s="10" t="s">
        <v>4419</v>
      </c>
      <c r="E1700" s="10" t="s">
        <v>8281</v>
      </c>
      <c r="F1700" s="11" t="s">
        <v>8282</v>
      </c>
      <c r="G1700" s="10" t="s">
        <v>13</v>
      </c>
      <c r="H1700" s="12">
        <v>46263</v>
      </c>
      <c r="I1700" s="10" t="s">
        <v>2350</v>
      </c>
      <c r="J1700" s="10" t="str">
        <f>IFERROR(INDEX([1]Programas!$B$2:$B$50,MATCH(LEFT(I1700,3),[1]Programas!$A$2:$A$50,0)),"")</f>
        <v>IA Aplicada y Automati</v>
      </c>
      <c r="K1700" s="10" t="s">
        <v>335</v>
      </c>
    </row>
    <row r="1701" spans="1:11" x14ac:dyDescent="0.2">
      <c r="A1701" s="10">
        <v>1700</v>
      </c>
      <c r="B1701" s="10" t="s">
        <v>2446</v>
      </c>
      <c r="C1701" s="11" t="s">
        <v>2445</v>
      </c>
      <c r="D1701" s="10" t="s">
        <v>4419</v>
      </c>
      <c r="E1701" s="10" t="s">
        <v>8283</v>
      </c>
      <c r="F1701" s="11" t="s">
        <v>8284</v>
      </c>
      <c r="G1701" s="10" t="s">
        <v>13</v>
      </c>
      <c r="H1701" s="12">
        <v>46263</v>
      </c>
      <c r="I1701" s="10" t="s">
        <v>2350</v>
      </c>
      <c r="J1701" s="10" t="str">
        <f>IFERROR(INDEX([1]Programas!$B$2:$B$50,MATCH(LEFT(I1701,3),[1]Programas!$A$2:$A$50,0)),"")</f>
        <v>IA Aplicada y Automati</v>
      </c>
      <c r="K1701" s="10" t="s">
        <v>335</v>
      </c>
    </row>
    <row r="1702" spans="1:11" x14ac:dyDescent="0.2">
      <c r="A1702" s="10">
        <v>1701</v>
      </c>
      <c r="B1702" s="10" t="s">
        <v>347</v>
      </c>
      <c r="C1702" s="11" t="s">
        <v>346</v>
      </c>
      <c r="D1702" s="10" t="s">
        <v>4419</v>
      </c>
      <c r="E1702" s="10" t="s">
        <v>8285</v>
      </c>
      <c r="F1702" s="11" t="s">
        <v>8286</v>
      </c>
      <c r="G1702" s="10" t="s">
        <v>13</v>
      </c>
      <c r="H1702" s="12">
        <v>46275</v>
      </c>
      <c r="I1702" s="10" t="s">
        <v>2350</v>
      </c>
      <c r="J1702" s="10" t="str">
        <f>IFERROR(INDEX([1]Programas!$B$2:$B$50,MATCH(LEFT(I1702,3),[1]Programas!$A$2:$A$50,0)),"")</f>
        <v>IA Aplicada y Automati</v>
      </c>
      <c r="K1702" s="10" t="s">
        <v>335</v>
      </c>
    </row>
    <row r="1703" spans="1:11" x14ac:dyDescent="0.2">
      <c r="A1703" s="10">
        <v>1702</v>
      </c>
      <c r="B1703" s="10" t="s">
        <v>444</v>
      </c>
      <c r="C1703" s="11" t="s">
        <v>443</v>
      </c>
      <c r="D1703" s="10" t="s">
        <v>4419</v>
      </c>
      <c r="E1703" s="10" t="s">
        <v>8287</v>
      </c>
      <c r="F1703" s="11" t="s">
        <v>8288</v>
      </c>
      <c r="G1703" s="10" t="s">
        <v>13</v>
      </c>
      <c r="H1703" s="12">
        <v>46275</v>
      </c>
      <c r="I1703" s="10" t="s">
        <v>2350</v>
      </c>
      <c r="J1703" s="10" t="str">
        <f>IFERROR(INDEX([1]Programas!$B$2:$B$50,MATCH(LEFT(I1703,3),[1]Programas!$A$2:$A$50,0)),"")</f>
        <v>IA Aplicada y Automati</v>
      </c>
      <c r="K1703" s="10" t="s">
        <v>335</v>
      </c>
    </row>
    <row r="1704" spans="1:11" x14ac:dyDescent="0.2">
      <c r="A1704" s="10">
        <v>1703</v>
      </c>
      <c r="B1704" s="10" t="s">
        <v>8289</v>
      </c>
      <c r="C1704" s="11" t="s">
        <v>2447</v>
      </c>
      <c r="D1704" s="10" t="s">
        <v>4419</v>
      </c>
      <c r="E1704" s="10" t="s">
        <v>8290</v>
      </c>
      <c r="F1704" s="11" t="s">
        <v>8291</v>
      </c>
      <c r="G1704" s="10" t="s">
        <v>13</v>
      </c>
      <c r="H1704" s="12">
        <v>46263</v>
      </c>
      <c r="I1704" s="10" t="s">
        <v>2450</v>
      </c>
      <c r="J1704" s="10" t="str">
        <f>IFERROR(INDEX([1]Programas!$B$2:$B$50,MATCH(LEFT(I1704,3),[1]Programas!$A$2:$A$50,0)),"")</f>
        <v>IA Aplicada y Automati</v>
      </c>
      <c r="K1704" s="10" t="s">
        <v>335</v>
      </c>
    </row>
    <row r="1705" spans="1:11" x14ac:dyDescent="0.2">
      <c r="A1705" s="10">
        <v>1704</v>
      </c>
      <c r="B1705" s="10" t="s">
        <v>2454</v>
      </c>
      <c r="C1705" s="11" t="s">
        <v>2453</v>
      </c>
      <c r="D1705" s="10" t="s">
        <v>4419</v>
      </c>
      <c r="E1705" s="10" t="s">
        <v>8292</v>
      </c>
      <c r="F1705" s="11" t="s">
        <v>8293</v>
      </c>
      <c r="G1705" s="10" t="s">
        <v>13</v>
      </c>
      <c r="H1705" s="12">
        <v>46263</v>
      </c>
      <c r="I1705" s="10" t="s">
        <v>2450</v>
      </c>
      <c r="J1705" s="10" t="str">
        <f>IFERROR(INDEX([1]Programas!$B$2:$B$50,MATCH(LEFT(I1705,3),[1]Programas!$A$2:$A$50,0)),"")</f>
        <v>IA Aplicada y Automati</v>
      </c>
      <c r="K1705" s="10" t="s">
        <v>335</v>
      </c>
    </row>
    <row r="1706" spans="1:11" x14ac:dyDescent="0.2">
      <c r="A1706" s="10">
        <v>1705</v>
      </c>
      <c r="B1706" s="10" t="s">
        <v>2457</v>
      </c>
      <c r="C1706" s="11" t="s">
        <v>2456</v>
      </c>
      <c r="D1706" s="10" t="s">
        <v>4419</v>
      </c>
      <c r="E1706" s="10" t="s">
        <v>8294</v>
      </c>
      <c r="F1706" s="11" t="s">
        <v>8295</v>
      </c>
      <c r="G1706" s="10" t="s">
        <v>13</v>
      </c>
      <c r="H1706" s="12">
        <v>46263</v>
      </c>
      <c r="I1706" s="10" t="s">
        <v>2450</v>
      </c>
      <c r="J1706" s="10" t="str">
        <f>IFERROR(INDEX([1]Programas!$B$2:$B$50,MATCH(LEFT(I1706,3),[1]Programas!$A$2:$A$50,0)),"")</f>
        <v>IA Aplicada y Automati</v>
      </c>
      <c r="K1706" s="10" t="s">
        <v>335</v>
      </c>
    </row>
    <row r="1707" spans="1:11" x14ac:dyDescent="0.2">
      <c r="A1707" s="10">
        <v>1706</v>
      </c>
      <c r="B1707" s="10" t="s">
        <v>2355</v>
      </c>
      <c r="C1707" s="11" t="s">
        <v>2354</v>
      </c>
      <c r="D1707" s="10" t="s">
        <v>4419</v>
      </c>
      <c r="E1707" s="10" t="s">
        <v>8296</v>
      </c>
      <c r="F1707" s="11" t="s">
        <v>8297</v>
      </c>
      <c r="G1707" s="10" t="s">
        <v>13</v>
      </c>
      <c r="H1707" s="12">
        <v>46263</v>
      </c>
      <c r="I1707" s="10" t="s">
        <v>2450</v>
      </c>
      <c r="J1707" s="10" t="str">
        <f>IFERROR(INDEX([1]Programas!$B$2:$B$50,MATCH(LEFT(I1707,3),[1]Programas!$A$2:$A$50,0)),"")</f>
        <v>IA Aplicada y Automati</v>
      </c>
      <c r="K1707" s="10" t="s">
        <v>335</v>
      </c>
    </row>
    <row r="1708" spans="1:11" x14ac:dyDescent="0.2">
      <c r="A1708" s="10">
        <v>1707</v>
      </c>
      <c r="B1708" s="10" t="s">
        <v>2461</v>
      </c>
      <c r="C1708" s="11" t="s">
        <v>2460</v>
      </c>
      <c r="D1708" s="10" t="s">
        <v>4419</v>
      </c>
      <c r="E1708" s="10" t="s">
        <v>8298</v>
      </c>
      <c r="F1708" s="11" t="s">
        <v>8299</v>
      </c>
      <c r="G1708" s="10" t="s">
        <v>13</v>
      </c>
      <c r="H1708" s="12">
        <v>46263</v>
      </c>
      <c r="I1708" s="10" t="s">
        <v>2450</v>
      </c>
      <c r="J1708" s="10" t="str">
        <f>IFERROR(INDEX([1]Programas!$B$2:$B$50,MATCH(LEFT(I1708,3),[1]Programas!$A$2:$A$50,0)),"")</f>
        <v>IA Aplicada y Automati</v>
      </c>
      <c r="K1708" s="10" t="s">
        <v>335</v>
      </c>
    </row>
    <row r="1709" spans="1:11" x14ac:dyDescent="0.2">
      <c r="A1709" s="10">
        <v>1708</v>
      </c>
      <c r="B1709" s="10" t="s">
        <v>2463</v>
      </c>
      <c r="C1709" s="11" t="s">
        <v>2462</v>
      </c>
      <c r="D1709" s="10" t="s">
        <v>4419</v>
      </c>
      <c r="E1709" s="10" t="s">
        <v>8300</v>
      </c>
      <c r="F1709" s="11" t="s">
        <v>8301</v>
      </c>
      <c r="G1709" s="10" t="s">
        <v>13</v>
      </c>
      <c r="H1709" s="12">
        <v>46263</v>
      </c>
      <c r="I1709" s="10" t="s">
        <v>2450</v>
      </c>
      <c r="J1709" s="10" t="str">
        <f>IFERROR(INDEX([1]Programas!$B$2:$B$50,MATCH(LEFT(I1709,3),[1]Programas!$A$2:$A$50,0)),"")</f>
        <v>IA Aplicada y Automati</v>
      </c>
      <c r="K1709" s="10" t="s">
        <v>335</v>
      </c>
    </row>
    <row r="1710" spans="1:11" x14ac:dyDescent="0.2">
      <c r="A1710" s="10">
        <v>1709</v>
      </c>
      <c r="B1710" s="10" t="s">
        <v>8302</v>
      </c>
      <c r="C1710" s="11" t="s">
        <v>2464</v>
      </c>
      <c r="D1710" s="10" t="s">
        <v>4419</v>
      </c>
      <c r="E1710" s="10" t="s">
        <v>8303</v>
      </c>
      <c r="F1710" s="11" t="s">
        <v>8304</v>
      </c>
      <c r="G1710" s="10" t="s">
        <v>13</v>
      </c>
      <c r="H1710" s="12">
        <v>46263</v>
      </c>
      <c r="I1710" s="10" t="s">
        <v>2450</v>
      </c>
      <c r="J1710" s="10" t="str">
        <f>IFERROR(INDEX([1]Programas!$B$2:$B$50,MATCH(LEFT(I1710,3),[1]Programas!$A$2:$A$50,0)),"")</f>
        <v>IA Aplicada y Automati</v>
      </c>
      <c r="K1710" s="10" t="s">
        <v>335</v>
      </c>
    </row>
    <row r="1711" spans="1:11" x14ac:dyDescent="0.2">
      <c r="A1711" s="10">
        <v>1710</v>
      </c>
      <c r="B1711" s="10" t="s">
        <v>2467</v>
      </c>
      <c r="C1711" s="11" t="s">
        <v>2466</v>
      </c>
      <c r="D1711" s="10" t="s">
        <v>4419</v>
      </c>
      <c r="E1711" s="10" t="s">
        <v>8305</v>
      </c>
      <c r="F1711" s="11" t="s">
        <v>8306</v>
      </c>
      <c r="G1711" s="10" t="s">
        <v>13</v>
      </c>
      <c r="H1711" s="12">
        <v>46263</v>
      </c>
      <c r="I1711" s="10" t="s">
        <v>2450</v>
      </c>
      <c r="J1711" s="10" t="str">
        <f>IFERROR(INDEX([1]Programas!$B$2:$B$50,MATCH(LEFT(I1711,3),[1]Programas!$A$2:$A$50,0)),"")</f>
        <v>IA Aplicada y Automati</v>
      </c>
      <c r="K1711" s="10" t="s">
        <v>335</v>
      </c>
    </row>
    <row r="1712" spans="1:11" x14ac:dyDescent="0.2">
      <c r="A1712" s="10">
        <v>1711</v>
      </c>
      <c r="B1712" s="10" t="s">
        <v>2469</v>
      </c>
      <c r="C1712" s="11" t="s">
        <v>2468</v>
      </c>
      <c r="D1712" s="10" t="s">
        <v>4419</v>
      </c>
      <c r="E1712" s="10" t="s">
        <v>8307</v>
      </c>
      <c r="F1712" s="11" t="s">
        <v>8308</v>
      </c>
      <c r="G1712" s="10" t="s">
        <v>13</v>
      </c>
      <c r="H1712" s="12">
        <v>46263</v>
      </c>
      <c r="I1712" s="10" t="s">
        <v>2450</v>
      </c>
      <c r="J1712" s="10" t="str">
        <f>IFERROR(INDEX([1]Programas!$B$2:$B$50,MATCH(LEFT(I1712,3),[1]Programas!$A$2:$A$50,0)),"")</f>
        <v>IA Aplicada y Automati</v>
      </c>
      <c r="K1712" s="10" t="s">
        <v>335</v>
      </c>
    </row>
    <row r="1713" spans="1:11" x14ac:dyDescent="0.2">
      <c r="A1713" s="10">
        <v>1712</v>
      </c>
      <c r="B1713" s="10" t="s">
        <v>2471</v>
      </c>
      <c r="C1713" s="11" t="s">
        <v>2470</v>
      </c>
      <c r="D1713" s="10" t="s">
        <v>4419</v>
      </c>
      <c r="E1713" s="10" t="s">
        <v>8309</v>
      </c>
      <c r="F1713" s="11" t="s">
        <v>8310</v>
      </c>
      <c r="G1713" s="10" t="s">
        <v>13</v>
      </c>
      <c r="H1713" s="12">
        <v>46263</v>
      </c>
      <c r="I1713" s="10" t="s">
        <v>2450</v>
      </c>
      <c r="J1713" s="10" t="str">
        <f>IFERROR(INDEX([1]Programas!$B$2:$B$50,MATCH(LEFT(I1713,3),[1]Programas!$A$2:$A$50,0)),"")</f>
        <v>IA Aplicada y Automati</v>
      </c>
      <c r="K1713" s="10" t="s">
        <v>335</v>
      </c>
    </row>
    <row r="1714" spans="1:11" x14ac:dyDescent="0.2">
      <c r="A1714" s="10">
        <v>1713</v>
      </c>
      <c r="B1714" s="10" t="s">
        <v>2473</v>
      </c>
      <c r="C1714" s="11" t="s">
        <v>2472</v>
      </c>
      <c r="D1714" s="10" t="s">
        <v>4419</v>
      </c>
      <c r="E1714" s="10" t="s">
        <v>8311</v>
      </c>
      <c r="F1714" s="11" t="s">
        <v>8312</v>
      </c>
      <c r="G1714" s="10" t="s">
        <v>13</v>
      </c>
      <c r="H1714" s="12">
        <v>46263</v>
      </c>
      <c r="I1714" s="10" t="s">
        <v>2450</v>
      </c>
      <c r="J1714" s="10" t="str">
        <f>IFERROR(INDEX([1]Programas!$B$2:$B$50,MATCH(LEFT(I1714,3),[1]Programas!$A$2:$A$50,0)),"")</f>
        <v>IA Aplicada y Automati</v>
      </c>
      <c r="K1714" s="10" t="s">
        <v>335</v>
      </c>
    </row>
    <row r="1715" spans="1:11" x14ac:dyDescent="0.2">
      <c r="A1715" s="10">
        <v>1714</v>
      </c>
      <c r="B1715" s="10" t="s">
        <v>2475</v>
      </c>
      <c r="C1715" s="11" t="s">
        <v>2474</v>
      </c>
      <c r="D1715" s="10" t="s">
        <v>4419</v>
      </c>
      <c r="E1715" s="10" t="s">
        <v>8313</v>
      </c>
      <c r="F1715" s="11" t="s">
        <v>8314</v>
      </c>
      <c r="G1715" s="10" t="s">
        <v>13</v>
      </c>
      <c r="H1715" s="12">
        <v>46263</v>
      </c>
      <c r="I1715" s="10" t="s">
        <v>2450</v>
      </c>
      <c r="J1715" s="10" t="str">
        <f>IFERROR(INDEX([1]Programas!$B$2:$B$50,MATCH(LEFT(I1715,3),[1]Programas!$A$2:$A$50,0)),"")</f>
        <v>IA Aplicada y Automati</v>
      </c>
      <c r="K1715" s="10" t="s">
        <v>335</v>
      </c>
    </row>
    <row r="1716" spans="1:11" x14ac:dyDescent="0.2">
      <c r="A1716" s="10">
        <v>1715</v>
      </c>
      <c r="B1716" s="10" t="s">
        <v>8315</v>
      </c>
      <c r="C1716" s="11" t="s">
        <v>2476</v>
      </c>
      <c r="D1716" s="10" t="s">
        <v>4419</v>
      </c>
      <c r="E1716" s="10" t="s">
        <v>8316</v>
      </c>
      <c r="F1716" s="11" t="s">
        <v>8317</v>
      </c>
      <c r="G1716" s="10" t="s">
        <v>13</v>
      </c>
      <c r="H1716" s="12">
        <v>46263</v>
      </c>
      <c r="I1716" s="10" t="s">
        <v>2450</v>
      </c>
      <c r="J1716" s="10" t="str">
        <f>IFERROR(INDEX([1]Programas!$B$2:$B$50,MATCH(LEFT(I1716,3),[1]Programas!$A$2:$A$50,0)),"")</f>
        <v>IA Aplicada y Automati</v>
      </c>
      <c r="K1716" s="10" t="s">
        <v>335</v>
      </c>
    </row>
    <row r="1717" spans="1:11" x14ac:dyDescent="0.2">
      <c r="A1717" s="10">
        <v>1716</v>
      </c>
      <c r="B1717" s="10" t="s">
        <v>8318</v>
      </c>
      <c r="C1717" s="11" t="s">
        <v>2478</v>
      </c>
      <c r="D1717" s="10" t="s">
        <v>4453</v>
      </c>
      <c r="E1717" s="10" t="s">
        <v>8319</v>
      </c>
      <c r="F1717" s="11" t="s">
        <v>8320</v>
      </c>
      <c r="G1717" s="10" t="s">
        <v>13</v>
      </c>
      <c r="H1717" s="12">
        <v>46263</v>
      </c>
      <c r="I1717" s="10" t="s">
        <v>2450</v>
      </c>
      <c r="J1717" s="10" t="str">
        <f>IFERROR(INDEX([1]Programas!$B$2:$B$50,MATCH(LEFT(I1717,3),[1]Programas!$A$2:$A$50,0)),"")</f>
        <v>IA Aplicada y Automati</v>
      </c>
      <c r="K1717" s="10" t="s">
        <v>335</v>
      </c>
    </row>
    <row r="1718" spans="1:11" x14ac:dyDescent="0.2">
      <c r="A1718" s="10">
        <v>1717</v>
      </c>
      <c r="B1718" s="10" t="s">
        <v>2481</v>
      </c>
      <c r="C1718" s="11" t="s">
        <v>2480</v>
      </c>
      <c r="D1718" s="10" t="s">
        <v>4419</v>
      </c>
      <c r="E1718" s="10" t="s">
        <v>8321</v>
      </c>
      <c r="F1718" s="11" t="s">
        <v>8322</v>
      </c>
      <c r="G1718" s="10" t="s">
        <v>13</v>
      </c>
      <c r="H1718" s="12">
        <v>46263</v>
      </c>
      <c r="I1718" s="10" t="s">
        <v>2450</v>
      </c>
      <c r="J1718" s="10" t="str">
        <f>IFERROR(INDEX([1]Programas!$B$2:$B$50,MATCH(LEFT(I1718,3),[1]Programas!$A$2:$A$50,0)),"")</f>
        <v>IA Aplicada y Automati</v>
      </c>
      <c r="K1718" s="10" t="s">
        <v>335</v>
      </c>
    </row>
    <row r="1719" spans="1:11" x14ac:dyDescent="0.2">
      <c r="A1719" s="10">
        <v>1718</v>
      </c>
      <c r="B1719" s="10" t="s">
        <v>2483</v>
      </c>
      <c r="C1719" s="11" t="s">
        <v>2482</v>
      </c>
      <c r="D1719" s="10" t="s">
        <v>4419</v>
      </c>
      <c r="E1719" s="10" t="s">
        <v>8323</v>
      </c>
      <c r="F1719" s="11" t="s">
        <v>8324</v>
      </c>
      <c r="G1719" s="10" t="s">
        <v>13</v>
      </c>
      <c r="H1719" s="12">
        <v>46263</v>
      </c>
      <c r="I1719" s="10" t="s">
        <v>2450</v>
      </c>
      <c r="J1719" s="10" t="str">
        <f>IFERROR(INDEX([1]Programas!$B$2:$B$50,MATCH(LEFT(I1719,3),[1]Programas!$A$2:$A$50,0)),"")</f>
        <v>IA Aplicada y Automati</v>
      </c>
      <c r="K1719" s="10" t="s">
        <v>335</v>
      </c>
    </row>
    <row r="1720" spans="1:11" x14ac:dyDescent="0.2">
      <c r="A1720" s="10">
        <v>1719</v>
      </c>
      <c r="B1720" s="10" t="s">
        <v>2485</v>
      </c>
      <c r="C1720" s="11" t="s">
        <v>2484</v>
      </c>
      <c r="D1720" s="10" t="s">
        <v>4419</v>
      </c>
      <c r="E1720" s="10" t="s">
        <v>8325</v>
      </c>
      <c r="F1720" s="11" t="s">
        <v>8326</v>
      </c>
      <c r="G1720" s="10" t="s">
        <v>13</v>
      </c>
      <c r="H1720" s="12">
        <v>46263</v>
      </c>
      <c r="I1720" s="10" t="s">
        <v>2450</v>
      </c>
      <c r="J1720" s="10" t="str">
        <f>IFERROR(INDEX([1]Programas!$B$2:$B$50,MATCH(LEFT(I1720,3),[1]Programas!$A$2:$A$50,0)),"")</f>
        <v>IA Aplicada y Automati</v>
      </c>
      <c r="K1720" s="10" t="s">
        <v>335</v>
      </c>
    </row>
    <row r="1721" spans="1:11" x14ac:dyDescent="0.2">
      <c r="A1721" s="10">
        <v>1720</v>
      </c>
      <c r="B1721" s="10" t="s">
        <v>2489</v>
      </c>
      <c r="C1721" s="11" t="s">
        <v>2488</v>
      </c>
      <c r="D1721" s="10" t="s">
        <v>4419</v>
      </c>
      <c r="E1721" s="10" t="s">
        <v>8327</v>
      </c>
      <c r="F1721" s="11" t="s">
        <v>8328</v>
      </c>
      <c r="G1721" s="10" t="s">
        <v>13</v>
      </c>
      <c r="H1721" s="12">
        <v>46263</v>
      </c>
      <c r="I1721" s="10" t="s">
        <v>2450</v>
      </c>
      <c r="J1721" s="10" t="str">
        <f>IFERROR(INDEX([1]Programas!$B$2:$B$50,MATCH(LEFT(I1721,3),[1]Programas!$A$2:$A$50,0)),"")</f>
        <v>IA Aplicada y Automati</v>
      </c>
      <c r="K1721" s="10" t="s">
        <v>335</v>
      </c>
    </row>
    <row r="1722" spans="1:11" x14ac:dyDescent="0.2">
      <c r="A1722" s="10">
        <v>1721</v>
      </c>
      <c r="B1722" s="10" t="s">
        <v>2491</v>
      </c>
      <c r="C1722" s="11" t="s">
        <v>2490</v>
      </c>
      <c r="D1722" s="10" t="s">
        <v>4419</v>
      </c>
      <c r="E1722" s="10" t="s">
        <v>8329</v>
      </c>
      <c r="F1722" s="11" t="s">
        <v>8330</v>
      </c>
      <c r="G1722" s="10" t="s">
        <v>13</v>
      </c>
      <c r="H1722" s="12">
        <v>46263</v>
      </c>
      <c r="I1722" s="10" t="s">
        <v>2450</v>
      </c>
      <c r="J1722" s="10" t="str">
        <f>IFERROR(INDEX([1]Programas!$B$2:$B$50,MATCH(LEFT(I1722,3),[1]Programas!$A$2:$A$50,0)),"")</f>
        <v>IA Aplicada y Automati</v>
      </c>
      <c r="K1722" s="10" t="s">
        <v>335</v>
      </c>
    </row>
    <row r="1723" spans="1:11" x14ac:dyDescent="0.2">
      <c r="A1723" s="10">
        <v>1722</v>
      </c>
      <c r="B1723" s="10" t="s">
        <v>2493</v>
      </c>
      <c r="C1723" s="11" t="s">
        <v>2492</v>
      </c>
      <c r="D1723" s="10" t="s">
        <v>4419</v>
      </c>
      <c r="E1723" s="10" t="s">
        <v>8331</v>
      </c>
      <c r="F1723" s="11" t="s">
        <v>8332</v>
      </c>
      <c r="G1723" s="10" t="s">
        <v>13</v>
      </c>
      <c r="H1723" s="12">
        <v>46263</v>
      </c>
      <c r="I1723" s="10" t="s">
        <v>2450</v>
      </c>
      <c r="J1723" s="10" t="str">
        <f>IFERROR(INDEX([1]Programas!$B$2:$B$50,MATCH(LEFT(I1723,3),[1]Programas!$A$2:$A$50,0)),"")</f>
        <v>IA Aplicada y Automati</v>
      </c>
      <c r="K1723" s="10" t="s">
        <v>335</v>
      </c>
    </row>
    <row r="1724" spans="1:11" x14ac:dyDescent="0.2">
      <c r="A1724" s="10">
        <v>1723</v>
      </c>
      <c r="B1724" s="10" t="s">
        <v>2495</v>
      </c>
      <c r="C1724" s="11" t="s">
        <v>2494</v>
      </c>
      <c r="D1724" s="10" t="s">
        <v>4419</v>
      </c>
      <c r="E1724" s="10" t="s">
        <v>8333</v>
      </c>
      <c r="F1724" s="11" t="s">
        <v>8334</v>
      </c>
      <c r="G1724" s="10" t="s">
        <v>13</v>
      </c>
      <c r="H1724" s="12">
        <v>46263</v>
      </c>
      <c r="I1724" s="10" t="s">
        <v>2450</v>
      </c>
      <c r="J1724" s="10" t="str">
        <f>IFERROR(INDEX([1]Programas!$B$2:$B$50,MATCH(LEFT(I1724,3),[1]Programas!$A$2:$A$50,0)),"")</f>
        <v>IA Aplicada y Automati</v>
      </c>
      <c r="K1724" s="10" t="s">
        <v>335</v>
      </c>
    </row>
    <row r="1725" spans="1:11" x14ac:dyDescent="0.2">
      <c r="A1725" s="10">
        <v>1724</v>
      </c>
      <c r="B1725" s="10" t="s">
        <v>8335</v>
      </c>
      <c r="C1725" s="11" t="s">
        <v>2496</v>
      </c>
      <c r="D1725" s="10" t="s">
        <v>4419</v>
      </c>
      <c r="E1725" s="10" t="s">
        <v>8336</v>
      </c>
      <c r="F1725" s="11" t="s">
        <v>8337</v>
      </c>
      <c r="G1725" s="10" t="s">
        <v>13</v>
      </c>
      <c r="H1725" s="12">
        <v>46263</v>
      </c>
      <c r="I1725" s="10" t="s">
        <v>2450</v>
      </c>
      <c r="J1725" s="10" t="str">
        <f>IFERROR(INDEX([1]Programas!$B$2:$B$50,MATCH(LEFT(I1725,3),[1]Programas!$A$2:$A$50,0)),"")</f>
        <v>IA Aplicada y Automati</v>
      </c>
      <c r="K1725" s="10" t="s">
        <v>335</v>
      </c>
    </row>
    <row r="1726" spans="1:11" x14ac:dyDescent="0.2">
      <c r="A1726" s="10">
        <v>1725</v>
      </c>
      <c r="B1726" s="10" t="s">
        <v>2499</v>
      </c>
      <c r="C1726" s="11" t="s">
        <v>2498</v>
      </c>
      <c r="D1726" s="10" t="s">
        <v>4419</v>
      </c>
      <c r="E1726" s="10" t="s">
        <v>8338</v>
      </c>
      <c r="F1726" s="11" t="s">
        <v>8339</v>
      </c>
      <c r="G1726" s="10" t="s">
        <v>13</v>
      </c>
      <c r="H1726" s="12">
        <v>46263</v>
      </c>
      <c r="I1726" s="10" t="s">
        <v>2450</v>
      </c>
      <c r="J1726" s="10" t="str">
        <f>IFERROR(INDEX([1]Programas!$B$2:$B$50,MATCH(LEFT(I1726,3),[1]Programas!$A$2:$A$50,0)),"")</f>
        <v>IA Aplicada y Automati</v>
      </c>
      <c r="K1726" s="10" t="s">
        <v>335</v>
      </c>
    </row>
    <row r="1727" spans="1:11" x14ac:dyDescent="0.2">
      <c r="A1727" s="10">
        <v>1726</v>
      </c>
      <c r="B1727" s="10" t="s">
        <v>2501</v>
      </c>
      <c r="C1727" s="11" t="s">
        <v>2500</v>
      </c>
      <c r="D1727" s="10" t="s">
        <v>5003</v>
      </c>
      <c r="E1727" s="10" t="s">
        <v>8340</v>
      </c>
      <c r="F1727" s="11" t="s">
        <v>8341</v>
      </c>
      <c r="G1727" s="10" t="s">
        <v>13</v>
      </c>
      <c r="H1727" s="12">
        <v>46263</v>
      </c>
      <c r="I1727" s="10" t="s">
        <v>2450</v>
      </c>
      <c r="J1727" s="10" t="str">
        <f>IFERROR(INDEX([1]Programas!$B$2:$B$50,MATCH(LEFT(I1727,3),[1]Programas!$A$2:$A$50,0)),"")</f>
        <v>IA Aplicada y Automati</v>
      </c>
      <c r="K1727" s="10" t="s">
        <v>335</v>
      </c>
    </row>
    <row r="1728" spans="1:11" x14ac:dyDescent="0.2">
      <c r="A1728" s="10">
        <v>1727</v>
      </c>
      <c r="B1728" s="10" t="s">
        <v>2503</v>
      </c>
      <c r="C1728" s="11" t="s">
        <v>2502</v>
      </c>
      <c r="D1728" s="10" t="s">
        <v>4419</v>
      </c>
      <c r="E1728" s="10" t="s">
        <v>8342</v>
      </c>
      <c r="F1728" s="11" t="s">
        <v>8343</v>
      </c>
      <c r="G1728" s="10" t="s">
        <v>13</v>
      </c>
      <c r="H1728" s="12">
        <v>46263</v>
      </c>
      <c r="I1728" s="10" t="s">
        <v>2450</v>
      </c>
      <c r="J1728" s="10" t="str">
        <f>IFERROR(INDEX([1]Programas!$B$2:$B$50,MATCH(LEFT(I1728,3),[1]Programas!$A$2:$A$50,0)),"")</f>
        <v>IA Aplicada y Automati</v>
      </c>
      <c r="K1728" s="10" t="s">
        <v>335</v>
      </c>
    </row>
    <row r="1729" spans="1:11" x14ac:dyDescent="0.2">
      <c r="A1729" s="10">
        <v>1728</v>
      </c>
      <c r="B1729" s="10" t="s">
        <v>2505</v>
      </c>
      <c r="C1729" s="11" t="s">
        <v>2504</v>
      </c>
      <c r="D1729" s="10" t="s">
        <v>4419</v>
      </c>
      <c r="E1729" s="10" t="s">
        <v>8344</v>
      </c>
      <c r="F1729" s="11" t="s">
        <v>8345</v>
      </c>
      <c r="G1729" s="10" t="s">
        <v>13</v>
      </c>
      <c r="H1729" s="12">
        <v>46263</v>
      </c>
      <c r="I1729" s="10" t="s">
        <v>2450</v>
      </c>
      <c r="J1729" s="10" t="str">
        <f>IFERROR(INDEX([1]Programas!$B$2:$B$50,MATCH(LEFT(I1729,3),[1]Programas!$A$2:$A$50,0)),"")</f>
        <v>IA Aplicada y Automati</v>
      </c>
      <c r="K1729" s="10" t="s">
        <v>335</v>
      </c>
    </row>
    <row r="1730" spans="1:11" x14ac:dyDescent="0.2">
      <c r="A1730" s="10">
        <v>1729</v>
      </c>
      <c r="B1730" s="10" t="s">
        <v>2507</v>
      </c>
      <c r="C1730" s="11" t="s">
        <v>2506</v>
      </c>
      <c r="D1730" s="10" t="s">
        <v>4419</v>
      </c>
      <c r="E1730" s="10" t="s">
        <v>8346</v>
      </c>
      <c r="F1730" s="11" t="s">
        <v>8347</v>
      </c>
      <c r="G1730" s="10" t="s">
        <v>13</v>
      </c>
      <c r="H1730" s="12">
        <v>46263</v>
      </c>
      <c r="I1730" s="10" t="s">
        <v>2450</v>
      </c>
      <c r="J1730" s="10" t="str">
        <f>IFERROR(INDEX([1]Programas!$B$2:$B$50,MATCH(LEFT(I1730,3),[1]Programas!$A$2:$A$50,0)),"")</f>
        <v>IA Aplicada y Automati</v>
      </c>
      <c r="K1730" s="10" t="s">
        <v>335</v>
      </c>
    </row>
    <row r="1731" spans="1:11" x14ac:dyDescent="0.2">
      <c r="A1731" s="10">
        <v>1730</v>
      </c>
      <c r="B1731" s="10" t="s">
        <v>2509</v>
      </c>
      <c r="C1731" s="11" t="s">
        <v>2508</v>
      </c>
      <c r="D1731" s="10" t="s">
        <v>4419</v>
      </c>
      <c r="E1731" s="10" t="s">
        <v>8348</v>
      </c>
      <c r="F1731" s="11" t="s">
        <v>8349</v>
      </c>
      <c r="G1731" s="10" t="s">
        <v>13</v>
      </c>
      <c r="H1731" s="12">
        <v>46263</v>
      </c>
      <c r="I1731" s="10" t="s">
        <v>2450</v>
      </c>
      <c r="J1731" s="10" t="str">
        <f>IFERROR(INDEX([1]Programas!$B$2:$B$50,MATCH(LEFT(I1731,3),[1]Programas!$A$2:$A$50,0)),"")</f>
        <v>IA Aplicada y Automati</v>
      </c>
      <c r="K1731" s="10" t="s">
        <v>335</v>
      </c>
    </row>
    <row r="1732" spans="1:11" x14ac:dyDescent="0.2">
      <c r="A1732" s="10">
        <v>1731</v>
      </c>
      <c r="B1732" s="10" t="s">
        <v>8350</v>
      </c>
      <c r="C1732" s="11" t="s">
        <v>2510</v>
      </c>
      <c r="D1732" s="10" t="s">
        <v>4419</v>
      </c>
      <c r="E1732" s="10" t="s">
        <v>8351</v>
      </c>
      <c r="F1732" s="11" t="s">
        <v>8352</v>
      </c>
      <c r="G1732" s="10" t="s">
        <v>13</v>
      </c>
      <c r="H1732" s="12">
        <v>46263</v>
      </c>
      <c r="I1732" s="10" t="s">
        <v>2450</v>
      </c>
      <c r="J1732" s="10" t="str">
        <f>IFERROR(INDEX([1]Programas!$B$2:$B$50,MATCH(LEFT(I1732,3),[1]Programas!$A$2:$A$50,0)),"")</f>
        <v>IA Aplicada y Automati</v>
      </c>
      <c r="K1732" s="10" t="s">
        <v>335</v>
      </c>
    </row>
    <row r="1733" spans="1:11" x14ac:dyDescent="0.2">
      <c r="A1733" s="10">
        <v>1732</v>
      </c>
      <c r="B1733" s="10" t="s">
        <v>2513</v>
      </c>
      <c r="C1733" s="11" t="s">
        <v>2512</v>
      </c>
      <c r="D1733" s="10" t="s">
        <v>4453</v>
      </c>
      <c r="E1733" s="10" t="s">
        <v>8353</v>
      </c>
      <c r="F1733" s="11" t="s">
        <v>8354</v>
      </c>
      <c r="G1733" s="10" t="s">
        <v>13</v>
      </c>
      <c r="H1733" s="12">
        <v>46263</v>
      </c>
      <c r="I1733" s="10" t="s">
        <v>2450</v>
      </c>
      <c r="J1733" s="10" t="str">
        <f>IFERROR(INDEX([1]Programas!$B$2:$B$50,MATCH(LEFT(I1733,3),[1]Programas!$A$2:$A$50,0)),"")</f>
        <v>IA Aplicada y Automati</v>
      </c>
      <c r="K1733" s="10" t="s">
        <v>335</v>
      </c>
    </row>
    <row r="1734" spans="1:11" x14ac:dyDescent="0.2">
      <c r="A1734" s="10">
        <v>1733</v>
      </c>
      <c r="B1734" s="10" t="s">
        <v>2515</v>
      </c>
      <c r="C1734" s="11" t="s">
        <v>2514</v>
      </c>
      <c r="D1734" s="10" t="s">
        <v>4419</v>
      </c>
      <c r="E1734" s="10" t="s">
        <v>8355</v>
      </c>
      <c r="F1734" s="11" t="s">
        <v>8356</v>
      </c>
      <c r="G1734" s="10" t="s">
        <v>13</v>
      </c>
      <c r="H1734" s="12">
        <v>46263</v>
      </c>
      <c r="I1734" s="10" t="s">
        <v>2450</v>
      </c>
      <c r="J1734" s="10" t="str">
        <f>IFERROR(INDEX([1]Programas!$B$2:$B$50,MATCH(LEFT(I1734,3),[1]Programas!$A$2:$A$50,0)),"")</f>
        <v>IA Aplicada y Automati</v>
      </c>
      <c r="K1734" s="10" t="s">
        <v>335</v>
      </c>
    </row>
    <row r="1735" spans="1:11" x14ac:dyDescent="0.2">
      <c r="A1735" s="10">
        <v>1734</v>
      </c>
      <c r="B1735" s="10" t="s">
        <v>2517</v>
      </c>
      <c r="C1735" s="11" t="s">
        <v>2516</v>
      </c>
      <c r="D1735" s="10" t="s">
        <v>4419</v>
      </c>
      <c r="E1735" s="10" t="s">
        <v>8357</v>
      </c>
      <c r="F1735" s="11" t="s">
        <v>8358</v>
      </c>
      <c r="G1735" s="10" t="s">
        <v>13</v>
      </c>
      <c r="H1735" s="12">
        <v>46263</v>
      </c>
      <c r="I1735" s="10" t="s">
        <v>2450</v>
      </c>
      <c r="J1735" s="10" t="str">
        <f>IFERROR(INDEX([1]Programas!$B$2:$B$50,MATCH(LEFT(I1735,3),[1]Programas!$A$2:$A$50,0)),"")</f>
        <v>IA Aplicada y Automati</v>
      </c>
      <c r="K1735" s="10" t="s">
        <v>335</v>
      </c>
    </row>
    <row r="1736" spans="1:11" x14ac:dyDescent="0.2">
      <c r="A1736" s="10">
        <v>1735</v>
      </c>
      <c r="B1736" s="10" t="s">
        <v>2519</v>
      </c>
      <c r="C1736" s="11" t="s">
        <v>2518</v>
      </c>
      <c r="D1736" s="10" t="s">
        <v>4419</v>
      </c>
      <c r="E1736" s="10" t="s">
        <v>8359</v>
      </c>
      <c r="F1736" s="11" t="s">
        <v>8360</v>
      </c>
      <c r="G1736" s="10" t="s">
        <v>13</v>
      </c>
      <c r="H1736" s="12">
        <v>46263</v>
      </c>
      <c r="I1736" s="10" t="s">
        <v>2450</v>
      </c>
      <c r="J1736" s="10" t="str">
        <f>IFERROR(INDEX([1]Programas!$B$2:$B$50,MATCH(LEFT(I1736,3),[1]Programas!$A$2:$A$50,0)),"")</f>
        <v>IA Aplicada y Automati</v>
      </c>
      <c r="K1736" s="10" t="s">
        <v>335</v>
      </c>
    </row>
    <row r="1737" spans="1:11" x14ac:dyDescent="0.2">
      <c r="A1737" s="10">
        <v>1736</v>
      </c>
      <c r="B1737" s="10" t="s">
        <v>2521</v>
      </c>
      <c r="C1737" s="11" t="s">
        <v>2520</v>
      </c>
      <c r="D1737" s="10" t="s">
        <v>4419</v>
      </c>
      <c r="E1737" s="10" t="s">
        <v>8361</v>
      </c>
      <c r="F1737" s="11" t="s">
        <v>8362</v>
      </c>
      <c r="G1737" s="10" t="s">
        <v>13</v>
      </c>
      <c r="H1737" s="12">
        <v>46263</v>
      </c>
      <c r="I1737" s="10" t="s">
        <v>2523</v>
      </c>
      <c r="J1737" s="10" t="str">
        <f>IFERROR(INDEX([1]Programas!$B$2:$B$50,MATCH(LEFT(I1737,3),[1]Programas!$A$2:$A$50,0)),"")</f>
        <v>IA Aplicada y Automati</v>
      </c>
      <c r="K1737" s="10" t="s">
        <v>335</v>
      </c>
    </row>
    <row r="1738" spans="1:11" x14ac:dyDescent="0.2">
      <c r="A1738" s="10">
        <v>1737</v>
      </c>
      <c r="B1738" s="10" t="s">
        <v>2525</v>
      </c>
      <c r="C1738" s="11" t="s">
        <v>2524</v>
      </c>
      <c r="D1738" s="10" t="s">
        <v>4419</v>
      </c>
      <c r="E1738" s="10" t="s">
        <v>8363</v>
      </c>
      <c r="F1738" s="11" t="s">
        <v>8364</v>
      </c>
      <c r="G1738" s="10" t="s">
        <v>13</v>
      </c>
      <c r="H1738" s="12">
        <v>46263</v>
      </c>
      <c r="I1738" s="10" t="s">
        <v>2523</v>
      </c>
      <c r="J1738" s="10" t="str">
        <f>IFERROR(INDEX([1]Programas!$B$2:$B$50,MATCH(LEFT(I1738,3),[1]Programas!$A$2:$A$50,0)),"")</f>
        <v>IA Aplicada y Automati</v>
      </c>
      <c r="K1738" s="10" t="s">
        <v>335</v>
      </c>
    </row>
    <row r="1739" spans="1:11" x14ac:dyDescent="0.2">
      <c r="A1739" s="10">
        <v>1738</v>
      </c>
      <c r="B1739" s="10" t="s">
        <v>2527</v>
      </c>
      <c r="C1739" s="11" t="s">
        <v>2526</v>
      </c>
      <c r="D1739" s="10" t="s">
        <v>4419</v>
      </c>
      <c r="E1739" s="10" t="s">
        <v>8365</v>
      </c>
      <c r="F1739" s="11" t="s">
        <v>8366</v>
      </c>
      <c r="G1739" s="10" t="s">
        <v>13</v>
      </c>
      <c r="H1739" s="12">
        <v>46263</v>
      </c>
      <c r="I1739" s="10" t="s">
        <v>2523</v>
      </c>
      <c r="J1739" s="10" t="str">
        <f>IFERROR(INDEX([1]Programas!$B$2:$B$50,MATCH(LEFT(I1739,3),[1]Programas!$A$2:$A$50,0)),"")</f>
        <v>IA Aplicada y Automati</v>
      </c>
      <c r="K1739" s="10" t="s">
        <v>335</v>
      </c>
    </row>
    <row r="1740" spans="1:11" x14ac:dyDescent="0.2">
      <c r="A1740" s="10">
        <v>1739</v>
      </c>
      <c r="B1740" s="10" t="s">
        <v>2529</v>
      </c>
      <c r="C1740" s="11" t="s">
        <v>2528</v>
      </c>
      <c r="D1740" s="10" t="s">
        <v>4419</v>
      </c>
      <c r="E1740" s="10" t="s">
        <v>8367</v>
      </c>
      <c r="F1740" s="11" t="s">
        <v>8368</v>
      </c>
      <c r="G1740" s="10" t="s">
        <v>13</v>
      </c>
      <c r="H1740" s="12">
        <v>46263</v>
      </c>
      <c r="I1740" s="10" t="s">
        <v>2523</v>
      </c>
      <c r="J1740" s="10" t="str">
        <f>IFERROR(INDEX([1]Programas!$B$2:$B$50,MATCH(LEFT(I1740,3),[1]Programas!$A$2:$A$50,0)),"")</f>
        <v>IA Aplicada y Automati</v>
      </c>
      <c r="K1740" s="10" t="s">
        <v>335</v>
      </c>
    </row>
    <row r="1741" spans="1:11" x14ac:dyDescent="0.2">
      <c r="A1741" s="10">
        <v>1740</v>
      </c>
      <c r="B1741" s="10" t="s">
        <v>8369</v>
      </c>
      <c r="C1741" s="11" t="s">
        <v>2530</v>
      </c>
      <c r="D1741" s="10" t="s">
        <v>4419</v>
      </c>
      <c r="E1741" s="10" t="s">
        <v>8370</v>
      </c>
      <c r="F1741" s="11" t="s">
        <v>8371</v>
      </c>
      <c r="G1741" s="10" t="s">
        <v>13</v>
      </c>
      <c r="H1741" s="12">
        <v>46263</v>
      </c>
      <c r="I1741" s="10" t="s">
        <v>2523</v>
      </c>
      <c r="J1741" s="10" t="str">
        <f>IFERROR(INDEX([1]Programas!$B$2:$B$50,MATCH(LEFT(I1741,3),[1]Programas!$A$2:$A$50,0)),"")</f>
        <v>IA Aplicada y Automati</v>
      </c>
      <c r="K1741" s="10" t="s">
        <v>335</v>
      </c>
    </row>
    <row r="1742" spans="1:11" x14ac:dyDescent="0.2">
      <c r="A1742" s="10">
        <v>1741</v>
      </c>
      <c r="B1742" s="10" t="s">
        <v>2533</v>
      </c>
      <c r="C1742" s="11" t="s">
        <v>2532</v>
      </c>
      <c r="D1742" s="10" t="s">
        <v>4419</v>
      </c>
      <c r="E1742" s="10" t="s">
        <v>8372</v>
      </c>
      <c r="F1742" s="11" t="s">
        <v>2532</v>
      </c>
      <c r="G1742" s="10" t="s">
        <v>13</v>
      </c>
      <c r="H1742" s="12">
        <v>46263</v>
      </c>
      <c r="I1742" s="10" t="s">
        <v>2523</v>
      </c>
      <c r="J1742" s="10" t="str">
        <f>IFERROR(INDEX([1]Programas!$B$2:$B$50,MATCH(LEFT(I1742,3),[1]Programas!$A$2:$A$50,0)),"")</f>
        <v>IA Aplicada y Automati</v>
      </c>
      <c r="K1742" s="10" t="s">
        <v>335</v>
      </c>
    </row>
    <row r="1743" spans="1:11" x14ac:dyDescent="0.2">
      <c r="A1743" s="10">
        <v>1742</v>
      </c>
      <c r="B1743" s="10" t="s">
        <v>2535</v>
      </c>
      <c r="C1743" s="11" t="s">
        <v>2534</v>
      </c>
      <c r="D1743" s="10" t="s">
        <v>4419</v>
      </c>
      <c r="E1743" s="10" t="s">
        <v>8373</v>
      </c>
      <c r="F1743" s="11" t="s">
        <v>8374</v>
      </c>
      <c r="G1743" s="10" t="s">
        <v>13</v>
      </c>
      <c r="H1743" s="12">
        <v>46263</v>
      </c>
      <c r="I1743" s="10" t="s">
        <v>2523</v>
      </c>
      <c r="J1743" s="10" t="str">
        <f>IFERROR(INDEX([1]Programas!$B$2:$B$50,MATCH(LEFT(I1743,3),[1]Programas!$A$2:$A$50,0)),"")</f>
        <v>IA Aplicada y Automati</v>
      </c>
      <c r="K1743" s="10" t="s">
        <v>335</v>
      </c>
    </row>
    <row r="1744" spans="1:11" x14ac:dyDescent="0.2">
      <c r="A1744" s="10">
        <v>1743</v>
      </c>
      <c r="B1744" s="10" t="s">
        <v>8375</v>
      </c>
      <c r="C1744" s="11" t="s">
        <v>2536</v>
      </c>
      <c r="D1744" s="10" t="s">
        <v>4419</v>
      </c>
      <c r="E1744" s="10" t="s">
        <v>8376</v>
      </c>
      <c r="F1744" s="11" t="s">
        <v>8377</v>
      </c>
      <c r="G1744" s="10" t="s">
        <v>13</v>
      </c>
      <c r="H1744" s="12">
        <v>46263</v>
      </c>
      <c r="I1744" s="10" t="s">
        <v>2523</v>
      </c>
      <c r="J1744" s="10" t="str">
        <f>IFERROR(INDEX([1]Programas!$B$2:$B$50,MATCH(LEFT(I1744,3),[1]Programas!$A$2:$A$50,0)),"")</f>
        <v>IA Aplicada y Automati</v>
      </c>
      <c r="K1744" s="10" t="s">
        <v>335</v>
      </c>
    </row>
    <row r="1745" spans="1:11" x14ac:dyDescent="0.2">
      <c r="A1745" s="10">
        <v>1744</v>
      </c>
      <c r="B1745" s="10" t="s">
        <v>2539</v>
      </c>
      <c r="C1745" s="11" t="s">
        <v>2538</v>
      </c>
      <c r="D1745" s="10" t="s">
        <v>4419</v>
      </c>
      <c r="E1745" s="10" t="s">
        <v>8378</v>
      </c>
      <c r="F1745" s="11" t="s">
        <v>8379</v>
      </c>
      <c r="G1745" s="10" t="s">
        <v>13</v>
      </c>
      <c r="H1745" s="12">
        <v>46263</v>
      </c>
      <c r="I1745" s="10" t="s">
        <v>2523</v>
      </c>
      <c r="J1745" s="10" t="str">
        <f>IFERROR(INDEX([1]Programas!$B$2:$B$50,MATCH(LEFT(I1745,3),[1]Programas!$A$2:$A$50,0)),"")</f>
        <v>IA Aplicada y Automati</v>
      </c>
      <c r="K1745" s="10" t="s">
        <v>335</v>
      </c>
    </row>
    <row r="1746" spans="1:11" x14ac:dyDescent="0.2">
      <c r="A1746" s="10">
        <v>1745</v>
      </c>
      <c r="B1746" s="10" t="s">
        <v>2541</v>
      </c>
      <c r="C1746" s="11" t="s">
        <v>2540</v>
      </c>
      <c r="D1746" s="10" t="s">
        <v>4419</v>
      </c>
      <c r="E1746" s="10" t="s">
        <v>8380</v>
      </c>
      <c r="F1746" s="11" t="s">
        <v>8381</v>
      </c>
      <c r="G1746" s="10" t="s">
        <v>13</v>
      </c>
      <c r="H1746" s="12">
        <v>46263</v>
      </c>
      <c r="I1746" s="10" t="s">
        <v>2523</v>
      </c>
      <c r="J1746" s="10" t="str">
        <f>IFERROR(INDEX([1]Programas!$B$2:$B$50,MATCH(LEFT(I1746,3),[1]Programas!$A$2:$A$50,0)),"")</f>
        <v>IA Aplicada y Automati</v>
      </c>
      <c r="K1746" s="10" t="s">
        <v>335</v>
      </c>
    </row>
    <row r="1747" spans="1:11" x14ac:dyDescent="0.2">
      <c r="A1747" s="10">
        <v>1746</v>
      </c>
      <c r="B1747" s="10" t="s">
        <v>2543</v>
      </c>
      <c r="C1747" s="11" t="s">
        <v>2542</v>
      </c>
      <c r="D1747" s="10" t="s">
        <v>4419</v>
      </c>
      <c r="E1747" s="10" t="s">
        <v>8382</v>
      </c>
      <c r="F1747" s="11" t="s">
        <v>8383</v>
      </c>
      <c r="G1747" s="10" t="s">
        <v>13</v>
      </c>
      <c r="H1747" s="12">
        <v>46263</v>
      </c>
      <c r="I1747" s="10" t="s">
        <v>2523</v>
      </c>
      <c r="J1747" s="10" t="str">
        <f>IFERROR(INDEX([1]Programas!$B$2:$B$50,MATCH(LEFT(I1747,3),[1]Programas!$A$2:$A$50,0)),"")</f>
        <v>IA Aplicada y Automati</v>
      </c>
      <c r="K1747" s="10" t="s">
        <v>335</v>
      </c>
    </row>
    <row r="1748" spans="1:11" x14ac:dyDescent="0.2">
      <c r="A1748" s="10">
        <v>1747</v>
      </c>
      <c r="B1748" s="10" t="s">
        <v>2545</v>
      </c>
      <c r="C1748" s="11" t="s">
        <v>2544</v>
      </c>
      <c r="D1748" s="10" t="s">
        <v>4419</v>
      </c>
      <c r="E1748" s="10" t="s">
        <v>8384</v>
      </c>
      <c r="F1748" s="11" t="s">
        <v>8385</v>
      </c>
      <c r="G1748" s="10" t="s">
        <v>13</v>
      </c>
      <c r="H1748" s="12">
        <v>46263</v>
      </c>
      <c r="I1748" s="10" t="s">
        <v>2523</v>
      </c>
      <c r="J1748" s="10" t="str">
        <f>IFERROR(INDEX([1]Programas!$B$2:$B$50,MATCH(LEFT(I1748,3),[1]Programas!$A$2:$A$50,0)),"")</f>
        <v>IA Aplicada y Automati</v>
      </c>
      <c r="K1748" s="10" t="s">
        <v>335</v>
      </c>
    </row>
    <row r="1749" spans="1:11" x14ac:dyDescent="0.2">
      <c r="A1749" s="10">
        <v>1748</v>
      </c>
      <c r="B1749" s="10" t="s">
        <v>2547</v>
      </c>
      <c r="C1749" s="11" t="s">
        <v>2546</v>
      </c>
      <c r="D1749" s="10" t="s">
        <v>4419</v>
      </c>
      <c r="E1749" s="10" t="s">
        <v>8386</v>
      </c>
      <c r="F1749" s="11" t="s">
        <v>8387</v>
      </c>
      <c r="G1749" s="10" t="s">
        <v>13</v>
      </c>
      <c r="H1749" s="12">
        <v>46263</v>
      </c>
      <c r="I1749" s="10" t="s">
        <v>2523</v>
      </c>
      <c r="J1749" s="10" t="str">
        <f>IFERROR(INDEX([1]Programas!$B$2:$B$50,MATCH(LEFT(I1749,3),[1]Programas!$A$2:$A$50,0)),"")</f>
        <v>IA Aplicada y Automati</v>
      </c>
      <c r="K1749" s="10" t="s">
        <v>335</v>
      </c>
    </row>
    <row r="1750" spans="1:11" x14ac:dyDescent="0.2">
      <c r="A1750" s="10">
        <v>1749</v>
      </c>
      <c r="B1750" s="10" t="s">
        <v>8388</v>
      </c>
      <c r="C1750" s="11" t="s">
        <v>2548</v>
      </c>
      <c r="D1750" s="10" t="s">
        <v>4419</v>
      </c>
      <c r="E1750" s="10" t="s">
        <v>8389</v>
      </c>
      <c r="F1750" s="11" t="s">
        <v>8390</v>
      </c>
      <c r="G1750" s="10" t="s">
        <v>13</v>
      </c>
      <c r="H1750" s="12">
        <v>46263</v>
      </c>
      <c r="I1750" s="10" t="s">
        <v>2523</v>
      </c>
      <c r="J1750" s="10" t="str">
        <f>IFERROR(INDEX([1]Programas!$B$2:$B$50,MATCH(LEFT(I1750,3),[1]Programas!$A$2:$A$50,0)),"")</f>
        <v>IA Aplicada y Automati</v>
      </c>
      <c r="K1750" s="10" t="s">
        <v>335</v>
      </c>
    </row>
    <row r="1751" spans="1:11" x14ac:dyDescent="0.2">
      <c r="A1751" s="10">
        <v>1750</v>
      </c>
      <c r="B1751" s="10" t="s">
        <v>2551</v>
      </c>
      <c r="C1751" s="11" t="s">
        <v>2550</v>
      </c>
      <c r="D1751" s="10" t="s">
        <v>4419</v>
      </c>
      <c r="E1751" s="10" t="s">
        <v>8391</v>
      </c>
      <c r="F1751" s="11" t="s">
        <v>8392</v>
      </c>
      <c r="G1751" s="10" t="s">
        <v>13</v>
      </c>
      <c r="H1751" s="12">
        <v>46263</v>
      </c>
      <c r="I1751" s="10" t="s">
        <v>2523</v>
      </c>
      <c r="J1751" s="10" t="str">
        <f>IFERROR(INDEX([1]Programas!$B$2:$B$50,MATCH(LEFT(I1751,3),[1]Programas!$A$2:$A$50,0)),"")</f>
        <v>IA Aplicada y Automati</v>
      </c>
      <c r="K1751" s="10" t="s">
        <v>335</v>
      </c>
    </row>
    <row r="1752" spans="1:11" x14ac:dyDescent="0.2">
      <c r="A1752" s="10">
        <v>1751</v>
      </c>
      <c r="B1752" s="10" t="s">
        <v>8393</v>
      </c>
      <c r="C1752" s="11" t="s">
        <v>2552</v>
      </c>
      <c r="D1752" s="10" t="s">
        <v>4419</v>
      </c>
      <c r="E1752" s="10" t="s">
        <v>8394</v>
      </c>
      <c r="F1752" s="11" t="s">
        <v>8395</v>
      </c>
      <c r="G1752" s="10" t="s">
        <v>13</v>
      </c>
      <c r="H1752" s="12">
        <v>46263</v>
      </c>
      <c r="I1752" s="10" t="s">
        <v>2523</v>
      </c>
      <c r="J1752" s="10" t="str">
        <f>IFERROR(INDEX([1]Programas!$B$2:$B$50,MATCH(LEFT(I1752,3),[1]Programas!$A$2:$A$50,0)),"")</f>
        <v>IA Aplicada y Automati</v>
      </c>
      <c r="K1752" s="10" t="s">
        <v>335</v>
      </c>
    </row>
    <row r="1753" spans="1:11" x14ac:dyDescent="0.2">
      <c r="A1753" s="10">
        <v>1752</v>
      </c>
      <c r="B1753" s="10" t="s">
        <v>2555</v>
      </c>
      <c r="C1753" s="11" t="s">
        <v>2554</v>
      </c>
      <c r="D1753" s="10" t="s">
        <v>4419</v>
      </c>
      <c r="E1753" s="10" t="s">
        <v>8396</v>
      </c>
      <c r="F1753" s="11" t="s">
        <v>8397</v>
      </c>
      <c r="G1753" s="10" t="s">
        <v>13</v>
      </c>
      <c r="H1753" s="12">
        <v>46263</v>
      </c>
      <c r="I1753" s="10" t="s">
        <v>2523</v>
      </c>
      <c r="J1753" s="10" t="str">
        <f>IFERROR(INDEX([1]Programas!$B$2:$B$50,MATCH(LEFT(I1753,3),[1]Programas!$A$2:$A$50,0)),"")</f>
        <v>IA Aplicada y Automati</v>
      </c>
      <c r="K1753" s="10" t="s">
        <v>335</v>
      </c>
    </row>
    <row r="1754" spans="1:11" x14ac:dyDescent="0.2">
      <c r="A1754" s="10">
        <v>1753</v>
      </c>
      <c r="B1754" s="10" t="s">
        <v>2557</v>
      </c>
      <c r="C1754" s="11" t="s">
        <v>2556</v>
      </c>
      <c r="D1754" s="10" t="s">
        <v>4419</v>
      </c>
      <c r="E1754" s="10" t="s">
        <v>8398</v>
      </c>
      <c r="F1754" s="11" t="s">
        <v>8399</v>
      </c>
      <c r="G1754" s="10" t="s">
        <v>13</v>
      </c>
      <c r="H1754" s="12">
        <v>46263</v>
      </c>
      <c r="I1754" s="10" t="s">
        <v>2523</v>
      </c>
      <c r="J1754" s="10" t="str">
        <f>IFERROR(INDEX([1]Programas!$B$2:$B$50,MATCH(LEFT(I1754,3),[1]Programas!$A$2:$A$50,0)),"")</f>
        <v>IA Aplicada y Automati</v>
      </c>
      <c r="K1754" s="10" t="s">
        <v>335</v>
      </c>
    </row>
    <row r="1755" spans="1:11" x14ac:dyDescent="0.2">
      <c r="A1755" s="10">
        <v>1754</v>
      </c>
      <c r="B1755" s="10" t="s">
        <v>2559</v>
      </c>
      <c r="C1755" s="11" t="s">
        <v>2558</v>
      </c>
      <c r="D1755" s="10" t="s">
        <v>4419</v>
      </c>
      <c r="E1755" s="10" t="s">
        <v>8400</v>
      </c>
      <c r="F1755" s="11" t="s">
        <v>8401</v>
      </c>
      <c r="G1755" s="10" t="s">
        <v>13</v>
      </c>
      <c r="H1755" s="12">
        <v>46263</v>
      </c>
      <c r="I1755" s="10" t="s">
        <v>2523</v>
      </c>
      <c r="J1755" s="10" t="str">
        <f>IFERROR(INDEX([1]Programas!$B$2:$B$50,MATCH(LEFT(I1755,3),[1]Programas!$A$2:$A$50,0)),"")</f>
        <v>IA Aplicada y Automati</v>
      </c>
      <c r="K1755" s="10" t="s">
        <v>335</v>
      </c>
    </row>
    <row r="1756" spans="1:11" x14ac:dyDescent="0.2">
      <c r="A1756" s="10">
        <v>1755</v>
      </c>
      <c r="B1756" s="10" t="s">
        <v>2561</v>
      </c>
      <c r="C1756" s="11" t="s">
        <v>2560</v>
      </c>
      <c r="D1756" s="10" t="s">
        <v>4419</v>
      </c>
      <c r="E1756" s="10" t="s">
        <v>8402</v>
      </c>
      <c r="F1756" s="11" t="s">
        <v>8403</v>
      </c>
      <c r="G1756" s="10" t="s">
        <v>13</v>
      </c>
      <c r="H1756" s="12">
        <v>46263</v>
      </c>
      <c r="I1756" s="10" t="s">
        <v>2523</v>
      </c>
      <c r="J1756" s="10" t="str">
        <f>IFERROR(INDEX([1]Programas!$B$2:$B$50,MATCH(LEFT(I1756,3),[1]Programas!$A$2:$A$50,0)),"")</f>
        <v>IA Aplicada y Automati</v>
      </c>
      <c r="K1756" s="10" t="s">
        <v>335</v>
      </c>
    </row>
    <row r="1757" spans="1:11" x14ac:dyDescent="0.2">
      <c r="A1757" s="10">
        <v>1756</v>
      </c>
      <c r="B1757" s="10" t="s">
        <v>2563</v>
      </c>
      <c r="C1757" s="11" t="s">
        <v>2562</v>
      </c>
      <c r="D1757" s="10" t="s">
        <v>4419</v>
      </c>
      <c r="E1757" s="10" t="s">
        <v>8404</v>
      </c>
      <c r="F1757" s="11" t="s">
        <v>8405</v>
      </c>
      <c r="G1757" s="10" t="s">
        <v>13</v>
      </c>
      <c r="H1757" s="12">
        <v>46263</v>
      </c>
      <c r="I1757" s="10" t="s">
        <v>2523</v>
      </c>
      <c r="J1757" s="10" t="str">
        <f>IFERROR(INDEX([1]Programas!$B$2:$B$50,MATCH(LEFT(I1757,3),[1]Programas!$A$2:$A$50,0)),"")</f>
        <v>IA Aplicada y Automati</v>
      </c>
      <c r="K1757" s="10" t="s">
        <v>335</v>
      </c>
    </row>
    <row r="1758" spans="1:11" x14ac:dyDescent="0.2">
      <c r="A1758" s="10">
        <v>1757</v>
      </c>
      <c r="B1758" s="10" t="s">
        <v>2565</v>
      </c>
      <c r="C1758" s="11" t="s">
        <v>2564</v>
      </c>
      <c r="D1758" s="10" t="s">
        <v>4419</v>
      </c>
      <c r="E1758" s="10" t="s">
        <v>8406</v>
      </c>
      <c r="F1758" s="11" t="s">
        <v>8407</v>
      </c>
      <c r="G1758" s="10" t="s">
        <v>13</v>
      </c>
      <c r="H1758" s="12">
        <v>46263</v>
      </c>
      <c r="I1758" s="10" t="s">
        <v>2523</v>
      </c>
      <c r="J1758" s="10" t="str">
        <f>IFERROR(INDEX([1]Programas!$B$2:$B$50,MATCH(LEFT(I1758,3),[1]Programas!$A$2:$A$50,0)),"")</f>
        <v>IA Aplicada y Automati</v>
      </c>
      <c r="K1758" s="10" t="s">
        <v>335</v>
      </c>
    </row>
    <row r="1759" spans="1:11" x14ac:dyDescent="0.2">
      <c r="A1759" s="10">
        <v>1758</v>
      </c>
      <c r="B1759" s="10" t="s">
        <v>2567</v>
      </c>
      <c r="C1759" s="11" t="s">
        <v>2566</v>
      </c>
      <c r="D1759" s="10" t="s">
        <v>4419</v>
      </c>
      <c r="E1759" s="10" t="s">
        <v>8408</v>
      </c>
      <c r="F1759" s="11" t="s">
        <v>8409</v>
      </c>
      <c r="G1759" s="10" t="s">
        <v>13</v>
      </c>
      <c r="H1759" s="12">
        <v>46263</v>
      </c>
      <c r="I1759" s="10" t="s">
        <v>2523</v>
      </c>
      <c r="J1759" s="10" t="str">
        <f>IFERROR(INDEX([1]Programas!$B$2:$B$50,MATCH(LEFT(I1759,3),[1]Programas!$A$2:$A$50,0)),"")</f>
        <v>IA Aplicada y Automati</v>
      </c>
      <c r="K1759" s="10" t="s">
        <v>335</v>
      </c>
    </row>
    <row r="1760" spans="1:11" x14ac:dyDescent="0.2">
      <c r="A1760" s="10">
        <v>1759</v>
      </c>
      <c r="B1760" s="10" t="s">
        <v>8410</v>
      </c>
      <c r="C1760" s="11" t="s">
        <v>2568</v>
      </c>
      <c r="D1760" s="10" t="s">
        <v>4419</v>
      </c>
      <c r="E1760" s="10" t="s">
        <v>8411</v>
      </c>
      <c r="F1760" s="11" t="s">
        <v>8412</v>
      </c>
      <c r="G1760" s="10" t="s">
        <v>13</v>
      </c>
      <c r="H1760" s="12">
        <v>46263</v>
      </c>
      <c r="I1760" s="10" t="s">
        <v>2523</v>
      </c>
      <c r="J1760" s="10" t="str">
        <f>IFERROR(INDEX([1]Programas!$B$2:$B$50,MATCH(LEFT(I1760,3),[1]Programas!$A$2:$A$50,0)),"")</f>
        <v>IA Aplicada y Automati</v>
      </c>
      <c r="K1760" s="10" t="s">
        <v>335</v>
      </c>
    </row>
    <row r="1761" spans="1:11" x14ac:dyDescent="0.2">
      <c r="A1761" s="10">
        <v>1760</v>
      </c>
      <c r="B1761" s="10" t="s">
        <v>2571</v>
      </c>
      <c r="C1761" s="11" t="s">
        <v>2570</v>
      </c>
      <c r="D1761" s="10" t="s">
        <v>4419</v>
      </c>
      <c r="E1761" s="10" t="s">
        <v>8413</v>
      </c>
      <c r="F1761" s="11" t="s">
        <v>8414</v>
      </c>
      <c r="G1761" s="10" t="s">
        <v>13</v>
      </c>
      <c r="H1761" s="12">
        <v>46263</v>
      </c>
      <c r="I1761" s="10" t="s">
        <v>2523</v>
      </c>
      <c r="J1761" s="10" t="str">
        <f>IFERROR(INDEX([1]Programas!$B$2:$B$50,MATCH(LEFT(I1761,3),[1]Programas!$A$2:$A$50,0)),"")</f>
        <v>IA Aplicada y Automati</v>
      </c>
      <c r="K1761" s="10" t="s">
        <v>335</v>
      </c>
    </row>
    <row r="1762" spans="1:11" x14ac:dyDescent="0.2">
      <c r="A1762" s="10">
        <v>1761</v>
      </c>
      <c r="B1762" s="10" t="s">
        <v>8415</v>
      </c>
      <c r="C1762" s="11" t="s">
        <v>2572</v>
      </c>
      <c r="D1762" s="10" t="s">
        <v>4419</v>
      </c>
      <c r="E1762" s="10" t="s">
        <v>8416</v>
      </c>
      <c r="F1762" s="11" t="s">
        <v>8417</v>
      </c>
      <c r="G1762" s="10" t="s">
        <v>13</v>
      </c>
      <c r="H1762" s="12">
        <v>46263</v>
      </c>
      <c r="I1762" s="10" t="s">
        <v>2523</v>
      </c>
      <c r="J1762" s="10" t="str">
        <f>IFERROR(INDEX([1]Programas!$B$2:$B$50,MATCH(LEFT(I1762,3),[1]Programas!$A$2:$A$50,0)),"")</f>
        <v>IA Aplicada y Automati</v>
      </c>
      <c r="K1762" s="10" t="s">
        <v>335</v>
      </c>
    </row>
    <row r="1763" spans="1:11" x14ac:dyDescent="0.2">
      <c r="A1763" s="10">
        <v>1762</v>
      </c>
      <c r="B1763" s="10" t="s">
        <v>2575</v>
      </c>
      <c r="C1763" s="11" t="s">
        <v>2574</v>
      </c>
      <c r="D1763" s="10" t="s">
        <v>4419</v>
      </c>
      <c r="E1763" s="10" t="s">
        <v>8418</v>
      </c>
      <c r="F1763" s="11" t="s">
        <v>8419</v>
      </c>
      <c r="G1763" s="10" t="s">
        <v>13</v>
      </c>
      <c r="H1763" s="12">
        <v>46263</v>
      </c>
      <c r="I1763" s="10" t="s">
        <v>2523</v>
      </c>
      <c r="J1763" s="10" t="str">
        <f>IFERROR(INDEX([1]Programas!$B$2:$B$50,MATCH(LEFT(I1763,3),[1]Programas!$A$2:$A$50,0)),"")</f>
        <v>IA Aplicada y Automati</v>
      </c>
      <c r="K1763" s="10" t="s">
        <v>335</v>
      </c>
    </row>
    <row r="1764" spans="1:11" x14ac:dyDescent="0.2">
      <c r="A1764" s="10">
        <v>1763</v>
      </c>
      <c r="B1764" s="10" t="s">
        <v>2577</v>
      </c>
      <c r="C1764" s="11" t="s">
        <v>2576</v>
      </c>
      <c r="D1764" s="10" t="s">
        <v>4419</v>
      </c>
      <c r="E1764" s="10" t="s">
        <v>8420</v>
      </c>
      <c r="F1764" s="11" t="s">
        <v>8421</v>
      </c>
      <c r="G1764" s="10" t="s">
        <v>13</v>
      </c>
      <c r="H1764" s="12">
        <v>46263</v>
      </c>
      <c r="I1764" s="10" t="s">
        <v>2523</v>
      </c>
      <c r="J1764" s="10" t="str">
        <f>IFERROR(INDEX([1]Programas!$B$2:$B$50,MATCH(LEFT(I1764,3),[1]Programas!$A$2:$A$50,0)),"")</f>
        <v>IA Aplicada y Automati</v>
      </c>
      <c r="K1764" s="10" t="s">
        <v>335</v>
      </c>
    </row>
    <row r="1765" spans="1:11" x14ac:dyDescent="0.2">
      <c r="A1765" s="10">
        <v>1764</v>
      </c>
      <c r="B1765" s="10" t="s">
        <v>8422</v>
      </c>
      <c r="C1765" s="11" t="s">
        <v>2578</v>
      </c>
      <c r="D1765" s="10" t="s">
        <v>4419</v>
      </c>
      <c r="E1765" s="10" t="s">
        <v>8423</v>
      </c>
      <c r="F1765" s="11" t="s">
        <v>8424</v>
      </c>
      <c r="G1765" s="10" t="s">
        <v>13</v>
      </c>
      <c r="H1765" s="12">
        <v>46263</v>
      </c>
      <c r="I1765" s="10" t="s">
        <v>2523</v>
      </c>
      <c r="J1765" s="10" t="str">
        <f>IFERROR(INDEX([1]Programas!$B$2:$B$50,MATCH(LEFT(I1765,3),[1]Programas!$A$2:$A$50,0)),"")</f>
        <v>IA Aplicada y Automati</v>
      </c>
      <c r="K1765" s="10" t="s">
        <v>335</v>
      </c>
    </row>
    <row r="1766" spans="1:11" x14ac:dyDescent="0.2">
      <c r="A1766" s="10">
        <v>1765</v>
      </c>
      <c r="B1766" s="10" t="s">
        <v>2581</v>
      </c>
      <c r="C1766" s="11" t="s">
        <v>2580</v>
      </c>
      <c r="D1766" s="10" t="s">
        <v>4419</v>
      </c>
      <c r="E1766" s="10" t="s">
        <v>8425</v>
      </c>
      <c r="F1766" s="11" t="s">
        <v>8426</v>
      </c>
      <c r="G1766" s="10" t="s">
        <v>13</v>
      </c>
      <c r="H1766" s="12">
        <v>46263</v>
      </c>
      <c r="I1766" s="10" t="s">
        <v>2523</v>
      </c>
      <c r="J1766" s="10" t="str">
        <f>IFERROR(INDEX([1]Programas!$B$2:$B$50,MATCH(LEFT(I1766,3),[1]Programas!$A$2:$A$50,0)),"")</f>
        <v>IA Aplicada y Automati</v>
      </c>
      <c r="K1766" s="10" t="s">
        <v>335</v>
      </c>
    </row>
    <row r="1767" spans="1:11" x14ac:dyDescent="0.2">
      <c r="A1767" s="10">
        <v>1766</v>
      </c>
      <c r="B1767" s="10" t="s">
        <v>8427</v>
      </c>
      <c r="C1767" s="11" t="s">
        <v>2582</v>
      </c>
      <c r="D1767" s="10" t="s">
        <v>4419</v>
      </c>
      <c r="E1767" s="10" t="s">
        <v>8428</v>
      </c>
      <c r="F1767" s="11" t="s">
        <v>8429</v>
      </c>
      <c r="G1767" s="10" t="s">
        <v>13</v>
      </c>
      <c r="H1767" s="12">
        <v>46263</v>
      </c>
      <c r="I1767" s="10" t="s">
        <v>2523</v>
      </c>
      <c r="J1767" s="10" t="str">
        <f>IFERROR(INDEX([1]Programas!$B$2:$B$50,MATCH(LEFT(I1767,3),[1]Programas!$A$2:$A$50,0)),"")</f>
        <v>IA Aplicada y Automati</v>
      </c>
      <c r="K1767" s="10" t="s">
        <v>335</v>
      </c>
    </row>
    <row r="1768" spans="1:11" x14ac:dyDescent="0.2">
      <c r="A1768" s="10">
        <v>1767</v>
      </c>
      <c r="B1768" s="10" t="s">
        <v>2585</v>
      </c>
      <c r="C1768" s="11" t="s">
        <v>2584</v>
      </c>
      <c r="D1768" s="10" t="s">
        <v>4419</v>
      </c>
      <c r="E1768" s="10" t="s">
        <v>8430</v>
      </c>
      <c r="F1768" s="11" t="s">
        <v>8431</v>
      </c>
      <c r="G1768" s="10" t="s">
        <v>13</v>
      </c>
      <c r="H1768" s="12">
        <v>46263</v>
      </c>
      <c r="I1768" s="10" t="s">
        <v>2523</v>
      </c>
      <c r="J1768" s="10" t="str">
        <f>IFERROR(INDEX([1]Programas!$B$2:$B$50,MATCH(LEFT(I1768,3),[1]Programas!$A$2:$A$50,0)),"")</f>
        <v>IA Aplicada y Automati</v>
      </c>
      <c r="K1768" s="10" t="s">
        <v>335</v>
      </c>
    </row>
    <row r="1769" spans="1:11" x14ac:dyDescent="0.2">
      <c r="A1769" s="10">
        <v>1768</v>
      </c>
      <c r="B1769" s="10" t="s">
        <v>2587</v>
      </c>
      <c r="C1769" s="11" t="s">
        <v>2586</v>
      </c>
      <c r="D1769" s="10" t="s">
        <v>4419</v>
      </c>
      <c r="E1769" s="10" t="s">
        <v>8432</v>
      </c>
      <c r="F1769" s="11" t="s">
        <v>8433</v>
      </c>
      <c r="G1769" s="10" t="s">
        <v>13</v>
      </c>
      <c r="H1769" s="12">
        <v>46263</v>
      </c>
      <c r="I1769" s="10" t="s">
        <v>2523</v>
      </c>
      <c r="J1769" s="10" t="str">
        <f>IFERROR(INDEX([1]Programas!$B$2:$B$50,MATCH(LEFT(I1769,3),[1]Programas!$A$2:$A$50,0)),"")</f>
        <v>IA Aplicada y Automati</v>
      </c>
      <c r="K1769" s="10" t="s">
        <v>335</v>
      </c>
    </row>
    <row r="1770" spans="1:11" x14ac:dyDescent="0.2">
      <c r="A1770" s="10">
        <v>1769</v>
      </c>
      <c r="B1770" s="10" t="s">
        <v>8434</v>
      </c>
      <c r="C1770" s="11" t="s">
        <v>2588</v>
      </c>
      <c r="D1770" s="10" t="s">
        <v>4419</v>
      </c>
      <c r="E1770" s="10" t="s">
        <v>8435</v>
      </c>
      <c r="F1770" s="11" t="s">
        <v>8436</v>
      </c>
      <c r="G1770" s="10" t="s">
        <v>13</v>
      </c>
      <c r="H1770" s="12">
        <v>46263</v>
      </c>
      <c r="I1770" s="10" t="s">
        <v>2523</v>
      </c>
      <c r="J1770" s="10" t="str">
        <f>IFERROR(INDEX([1]Programas!$B$2:$B$50,MATCH(LEFT(I1770,3),[1]Programas!$A$2:$A$50,0)),"")</f>
        <v>IA Aplicada y Automati</v>
      </c>
      <c r="K1770" s="10" t="s">
        <v>335</v>
      </c>
    </row>
    <row r="1771" spans="1:11" x14ac:dyDescent="0.2">
      <c r="A1771" s="10">
        <v>1770</v>
      </c>
      <c r="B1771" s="10" t="s">
        <v>1292</v>
      </c>
      <c r="C1771" s="11" t="s">
        <v>1291</v>
      </c>
      <c r="D1771" s="10" t="s">
        <v>4419</v>
      </c>
      <c r="E1771" s="10" t="s">
        <v>8437</v>
      </c>
      <c r="F1771" s="11" t="s">
        <v>8438</v>
      </c>
      <c r="G1771" s="10" t="s">
        <v>13</v>
      </c>
      <c r="H1771" s="12">
        <v>46282</v>
      </c>
      <c r="I1771" s="10" t="s">
        <v>2523</v>
      </c>
      <c r="J1771" s="10" t="str">
        <f>IFERROR(INDEX([1]Programas!$B$2:$B$50,MATCH(LEFT(I1771,3),[1]Programas!$A$2:$A$50,0)),"")</f>
        <v>IA Aplicada y Automati</v>
      </c>
      <c r="K1771" s="10" t="s">
        <v>335</v>
      </c>
    </row>
    <row r="1772" spans="1:11" x14ac:dyDescent="0.2">
      <c r="A1772" s="10">
        <v>1771</v>
      </c>
      <c r="B1772" s="10" t="s">
        <v>2591</v>
      </c>
      <c r="C1772" s="11" t="s">
        <v>2590</v>
      </c>
      <c r="D1772" s="10" t="s">
        <v>4419</v>
      </c>
      <c r="E1772" s="10" t="s">
        <v>8439</v>
      </c>
      <c r="F1772" s="11" t="s">
        <v>8440</v>
      </c>
      <c r="G1772" s="10" t="s">
        <v>13</v>
      </c>
      <c r="H1772" s="12">
        <v>46263</v>
      </c>
      <c r="I1772" s="10" t="s">
        <v>2593</v>
      </c>
      <c r="J1772" s="10" t="str">
        <f>IFERROR(INDEX([1]Programas!$B$2:$B$50,MATCH(LEFT(I1772,3),[1]Programas!$A$2:$A$50,0)),"")</f>
        <v>IA Aplicada y Automati</v>
      </c>
      <c r="K1772" s="10" t="s">
        <v>2594</v>
      </c>
    </row>
    <row r="1773" spans="1:11" x14ac:dyDescent="0.2">
      <c r="A1773" s="10">
        <v>1772</v>
      </c>
      <c r="B1773" s="10" t="s">
        <v>2596</v>
      </c>
      <c r="C1773" s="11" t="s">
        <v>2595</v>
      </c>
      <c r="D1773" s="10" t="s">
        <v>4419</v>
      </c>
      <c r="E1773" s="10" t="s">
        <v>8441</v>
      </c>
      <c r="F1773" s="11" t="s">
        <v>8442</v>
      </c>
      <c r="G1773" s="10" t="s">
        <v>13</v>
      </c>
      <c r="H1773" s="12">
        <v>46263</v>
      </c>
      <c r="I1773" s="10" t="s">
        <v>2593</v>
      </c>
      <c r="J1773" s="10" t="str">
        <f>IFERROR(INDEX([1]Programas!$B$2:$B$50,MATCH(LEFT(I1773,3),[1]Programas!$A$2:$A$50,0)),"")</f>
        <v>IA Aplicada y Automati</v>
      </c>
      <c r="K1773" s="10" t="s">
        <v>2594</v>
      </c>
    </row>
    <row r="1774" spans="1:11" x14ac:dyDescent="0.2">
      <c r="A1774" s="10">
        <v>1773</v>
      </c>
      <c r="B1774" s="10" t="s">
        <v>2598</v>
      </c>
      <c r="C1774" s="11" t="s">
        <v>2597</v>
      </c>
      <c r="D1774" s="10" t="s">
        <v>4419</v>
      </c>
      <c r="E1774" s="10" t="s">
        <v>8443</v>
      </c>
      <c r="F1774" s="11" t="s">
        <v>8444</v>
      </c>
      <c r="G1774" s="10" t="s">
        <v>13</v>
      </c>
      <c r="H1774" s="12">
        <v>46263</v>
      </c>
      <c r="I1774" s="10" t="s">
        <v>2593</v>
      </c>
      <c r="J1774" s="10" t="str">
        <f>IFERROR(INDEX([1]Programas!$B$2:$B$50,MATCH(LEFT(I1774,3),[1]Programas!$A$2:$A$50,0)),"")</f>
        <v>IA Aplicada y Automati</v>
      </c>
      <c r="K1774" s="10" t="s">
        <v>2594</v>
      </c>
    </row>
    <row r="1775" spans="1:11" x14ac:dyDescent="0.2">
      <c r="A1775" s="10">
        <v>1774</v>
      </c>
      <c r="B1775" s="10" t="s">
        <v>2600</v>
      </c>
      <c r="C1775" s="11" t="s">
        <v>2599</v>
      </c>
      <c r="D1775" s="10" t="s">
        <v>4419</v>
      </c>
      <c r="E1775" s="10" t="s">
        <v>8445</v>
      </c>
      <c r="F1775" s="11" t="s">
        <v>8446</v>
      </c>
      <c r="G1775" s="10" t="s">
        <v>13</v>
      </c>
      <c r="H1775" s="12">
        <v>46263</v>
      </c>
      <c r="I1775" s="10" t="s">
        <v>2593</v>
      </c>
      <c r="J1775" s="10" t="str">
        <f>IFERROR(INDEX([1]Programas!$B$2:$B$50,MATCH(LEFT(I1775,3),[1]Programas!$A$2:$A$50,0)),"")</f>
        <v>IA Aplicada y Automati</v>
      </c>
      <c r="K1775" s="10" t="s">
        <v>2594</v>
      </c>
    </row>
    <row r="1776" spans="1:11" x14ac:dyDescent="0.2">
      <c r="A1776" s="10">
        <v>1775</v>
      </c>
      <c r="B1776" s="10" t="s">
        <v>2602</v>
      </c>
      <c r="C1776" s="11" t="s">
        <v>2601</v>
      </c>
      <c r="D1776" s="10" t="s">
        <v>4419</v>
      </c>
      <c r="E1776" s="10" t="s">
        <v>8447</v>
      </c>
      <c r="F1776" s="11" t="s">
        <v>8448</v>
      </c>
      <c r="G1776" s="10" t="s">
        <v>13</v>
      </c>
      <c r="H1776" s="12">
        <v>46263</v>
      </c>
      <c r="I1776" s="10" t="s">
        <v>2593</v>
      </c>
      <c r="J1776" s="10" t="str">
        <f>IFERROR(INDEX([1]Programas!$B$2:$B$50,MATCH(LEFT(I1776,3),[1]Programas!$A$2:$A$50,0)),"")</f>
        <v>IA Aplicada y Automati</v>
      </c>
      <c r="K1776" s="10" t="s">
        <v>2594</v>
      </c>
    </row>
    <row r="1777" spans="1:11" x14ac:dyDescent="0.2">
      <c r="A1777" s="10">
        <v>1776</v>
      </c>
      <c r="B1777" s="10" t="s">
        <v>2604</v>
      </c>
      <c r="C1777" s="11" t="s">
        <v>2603</v>
      </c>
      <c r="D1777" s="10" t="s">
        <v>4419</v>
      </c>
      <c r="E1777" s="10" t="s">
        <v>8449</v>
      </c>
      <c r="F1777" s="11" t="s">
        <v>8450</v>
      </c>
      <c r="G1777" s="10" t="s">
        <v>13</v>
      </c>
      <c r="H1777" s="12">
        <v>46263</v>
      </c>
      <c r="I1777" s="10" t="s">
        <v>2593</v>
      </c>
      <c r="J1777" s="10" t="str">
        <f>IFERROR(INDEX([1]Programas!$B$2:$B$50,MATCH(LEFT(I1777,3),[1]Programas!$A$2:$A$50,0)),"")</f>
        <v>IA Aplicada y Automati</v>
      </c>
      <c r="K1777" s="10" t="s">
        <v>2594</v>
      </c>
    </row>
    <row r="1778" spans="1:11" x14ac:dyDescent="0.2">
      <c r="A1778" s="10">
        <v>1777</v>
      </c>
      <c r="B1778" s="10" t="s">
        <v>2606</v>
      </c>
      <c r="C1778" s="11" t="s">
        <v>2605</v>
      </c>
      <c r="D1778" s="10" t="s">
        <v>4419</v>
      </c>
      <c r="E1778" s="10" t="s">
        <v>8451</v>
      </c>
      <c r="F1778" s="11" t="s">
        <v>8452</v>
      </c>
      <c r="G1778" s="10" t="s">
        <v>13</v>
      </c>
      <c r="H1778" s="12">
        <v>46263</v>
      </c>
      <c r="I1778" s="10" t="s">
        <v>2593</v>
      </c>
      <c r="J1778" s="10" t="str">
        <f>IFERROR(INDEX([1]Programas!$B$2:$B$50,MATCH(LEFT(I1778,3),[1]Programas!$A$2:$A$50,0)),"")</f>
        <v>IA Aplicada y Automati</v>
      </c>
      <c r="K1778" s="10" t="s">
        <v>2594</v>
      </c>
    </row>
    <row r="1779" spans="1:11" x14ac:dyDescent="0.2">
      <c r="A1779" s="10">
        <v>1778</v>
      </c>
      <c r="B1779" s="10" t="s">
        <v>8453</v>
      </c>
      <c r="C1779" s="11" t="s">
        <v>2607</v>
      </c>
      <c r="D1779" s="10" t="s">
        <v>4419</v>
      </c>
      <c r="E1779" s="10" t="s">
        <v>8454</v>
      </c>
      <c r="F1779" s="11" t="s">
        <v>8455</v>
      </c>
      <c r="G1779" s="10" t="s">
        <v>13</v>
      </c>
      <c r="H1779" s="12">
        <v>46263</v>
      </c>
      <c r="I1779" s="10" t="s">
        <v>2593</v>
      </c>
      <c r="J1779" s="10" t="str">
        <f>IFERROR(INDEX([1]Programas!$B$2:$B$50,MATCH(LEFT(I1779,3),[1]Programas!$A$2:$A$50,0)),"")</f>
        <v>IA Aplicada y Automati</v>
      </c>
      <c r="K1779" s="10" t="s">
        <v>2594</v>
      </c>
    </row>
    <row r="1780" spans="1:11" x14ac:dyDescent="0.2">
      <c r="A1780" s="10">
        <v>1779</v>
      </c>
      <c r="B1780" s="10" t="s">
        <v>2610</v>
      </c>
      <c r="C1780" s="11" t="s">
        <v>2609</v>
      </c>
      <c r="D1780" s="10" t="s">
        <v>4419</v>
      </c>
      <c r="E1780" s="10" t="s">
        <v>8456</v>
      </c>
      <c r="F1780" s="11" t="s">
        <v>8457</v>
      </c>
      <c r="G1780" s="10" t="s">
        <v>13</v>
      </c>
      <c r="H1780" s="12">
        <v>46263</v>
      </c>
      <c r="I1780" s="10" t="s">
        <v>2593</v>
      </c>
      <c r="J1780" s="10" t="str">
        <f>IFERROR(INDEX([1]Programas!$B$2:$B$50,MATCH(LEFT(I1780,3),[1]Programas!$A$2:$A$50,0)),"")</f>
        <v>IA Aplicada y Automati</v>
      </c>
      <c r="K1780" s="10" t="s">
        <v>2594</v>
      </c>
    </row>
    <row r="1781" spans="1:11" x14ac:dyDescent="0.2">
      <c r="A1781" s="10">
        <v>1780</v>
      </c>
      <c r="B1781" s="10" t="s">
        <v>2612</v>
      </c>
      <c r="C1781" s="11" t="s">
        <v>2611</v>
      </c>
      <c r="D1781" s="10" t="s">
        <v>4419</v>
      </c>
      <c r="E1781" s="10" t="s">
        <v>8458</v>
      </c>
      <c r="F1781" s="11" t="s">
        <v>8459</v>
      </c>
      <c r="G1781" s="10" t="s">
        <v>13</v>
      </c>
      <c r="H1781" s="12">
        <v>46263</v>
      </c>
      <c r="I1781" s="10" t="s">
        <v>2593</v>
      </c>
      <c r="J1781" s="10" t="str">
        <f>IFERROR(INDEX([1]Programas!$B$2:$B$50,MATCH(LEFT(I1781,3),[1]Programas!$A$2:$A$50,0)),"")</f>
        <v>IA Aplicada y Automati</v>
      </c>
      <c r="K1781" s="10" t="s">
        <v>2594</v>
      </c>
    </row>
    <row r="1782" spans="1:11" x14ac:dyDescent="0.2">
      <c r="A1782" s="10">
        <v>1781</v>
      </c>
      <c r="B1782" s="10" t="s">
        <v>2614</v>
      </c>
      <c r="C1782" s="11" t="s">
        <v>2613</v>
      </c>
      <c r="D1782" s="10" t="s">
        <v>4419</v>
      </c>
      <c r="E1782" s="10" t="s">
        <v>8460</v>
      </c>
      <c r="F1782" s="11" t="s">
        <v>8461</v>
      </c>
      <c r="G1782" s="10" t="s">
        <v>13</v>
      </c>
      <c r="H1782" s="12">
        <v>46263</v>
      </c>
      <c r="I1782" s="10" t="s">
        <v>2593</v>
      </c>
      <c r="J1782" s="10" t="str">
        <f>IFERROR(INDEX([1]Programas!$B$2:$B$50,MATCH(LEFT(I1782,3),[1]Programas!$A$2:$A$50,0)),"")</f>
        <v>IA Aplicada y Automati</v>
      </c>
      <c r="K1782" s="10" t="s">
        <v>2594</v>
      </c>
    </row>
    <row r="1783" spans="1:11" x14ac:dyDescent="0.2">
      <c r="A1783" s="10">
        <v>1782</v>
      </c>
      <c r="B1783" s="10" t="s">
        <v>2616</v>
      </c>
      <c r="C1783" s="11" t="s">
        <v>2615</v>
      </c>
      <c r="D1783" s="10" t="s">
        <v>4419</v>
      </c>
      <c r="E1783" s="10" t="s">
        <v>8462</v>
      </c>
      <c r="F1783" s="11" t="s">
        <v>8463</v>
      </c>
      <c r="G1783" s="10" t="s">
        <v>13</v>
      </c>
      <c r="H1783" s="12">
        <v>46263</v>
      </c>
      <c r="I1783" s="10" t="s">
        <v>2593</v>
      </c>
      <c r="J1783" s="10" t="str">
        <f>IFERROR(INDEX([1]Programas!$B$2:$B$50,MATCH(LEFT(I1783,3),[1]Programas!$A$2:$A$50,0)),"")</f>
        <v>IA Aplicada y Automati</v>
      </c>
      <c r="K1783" s="10" t="s">
        <v>2594</v>
      </c>
    </row>
    <row r="1784" spans="1:11" x14ac:dyDescent="0.2">
      <c r="A1784" s="10">
        <v>1783</v>
      </c>
      <c r="B1784" s="10" t="s">
        <v>8464</v>
      </c>
      <c r="C1784" s="11" t="s">
        <v>2617</v>
      </c>
      <c r="D1784" s="10" t="s">
        <v>4419</v>
      </c>
      <c r="E1784" s="10" t="s">
        <v>8465</v>
      </c>
      <c r="F1784" s="11" t="s">
        <v>8466</v>
      </c>
      <c r="G1784" s="10" t="s">
        <v>13</v>
      </c>
      <c r="H1784" s="12">
        <v>46263</v>
      </c>
      <c r="I1784" s="10" t="s">
        <v>2593</v>
      </c>
      <c r="J1784" s="10" t="str">
        <f>IFERROR(INDEX([1]Programas!$B$2:$B$50,MATCH(LEFT(I1784,3),[1]Programas!$A$2:$A$50,0)),"")</f>
        <v>IA Aplicada y Automati</v>
      </c>
      <c r="K1784" s="10" t="s">
        <v>2594</v>
      </c>
    </row>
    <row r="1785" spans="1:11" x14ac:dyDescent="0.2">
      <c r="A1785" s="10">
        <v>1784</v>
      </c>
      <c r="B1785" s="10" t="s">
        <v>2620</v>
      </c>
      <c r="C1785" s="11" t="s">
        <v>2619</v>
      </c>
      <c r="D1785" s="10" t="s">
        <v>4419</v>
      </c>
      <c r="E1785" s="10" t="s">
        <v>8467</v>
      </c>
      <c r="F1785" s="11" t="s">
        <v>8468</v>
      </c>
      <c r="G1785" s="10" t="s">
        <v>13</v>
      </c>
      <c r="H1785" s="12">
        <v>46263</v>
      </c>
      <c r="I1785" s="10" t="s">
        <v>2593</v>
      </c>
      <c r="J1785" s="10" t="str">
        <f>IFERROR(INDEX([1]Programas!$B$2:$B$50,MATCH(LEFT(I1785,3),[1]Programas!$A$2:$A$50,0)),"")</f>
        <v>IA Aplicada y Automati</v>
      </c>
      <c r="K1785" s="10" t="s">
        <v>2594</v>
      </c>
    </row>
    <row r="1786" spans="1:11" x14ac:dyDescent="0.2">
      <c r="A1786" s="10">
        <v>1785</v>
      </c>
      <c r="B1786" s="10" t="s">
        <v>8469</v>
      </c>
      <c r="C1786" s="11" t="s">
        <v>2621</v>
      </c>
      <c r="D1786" s="10" t="s">
        <v>4419</v>
      </c>
      <c r="E1786" s="10" t="s">
        <v>8470</v>
      </c>
      <c r="F1786" s="11" t="s">
        <v>8471</v>
      </c>
      <c r="G1786" s="10" t="s">
        <v>13</v>
      </c>
      <c r="H1786" s="12">
        <v>46263</v>
      </c>
      <c r="I1786" s="10" t="s">
        <v>2593</v>
      </c>
      <c r="J1786" s="10" t="str">
        <f>IFERROR(INDEX([1]Programas!$B$2:$B$50,MATCH(LEFT(I1786,3),[1]Programas!$A$2:$A$50,0)),"")</f>
        <v>IA Aplicada y Automati</v>
      </c>
      <c r="K1786" s="10" t="s">
        <v>2594</v>
      </c>
    </row>
    <row r="1787" spans="1:11" x14ac:dyDescent="0.2">
      <c r="A1787" s="10">
        <v>1786</v>
      </c>
      <c r="B1787" s="10" t="s">
        <v>8472</v>
      </c>
      <c r="C1787" s="11" t="s">
        <v>2623</v>
      </c>
      <c r="D1787" s="10" t="s">
        <v>4419</v>
      </c>
      <c r="E1787" s="10" t="s">
        <v>8473</v>
      </c>
      <c r="F1787" s="11" t="s">
        <v>8474</v>
      </c>
      <c r="G1787" s="10" t="s">
        <v>13</v>
      </c>
      <c r="H1787" s="12">
        <v>46263</v>
      </c>
      <c r="I1787" s="10" t="s">
        <v>2593</v>
      </c>
      <c r="J1787" s="10" t="str">
        <f>IFERROR(INDEX([1]Programas!$B$2:$B$50,MATCH(LEFT(I1787,3),[1]Programas!$A$2:$A$50,0)),"")</f>
        <v>IA Aplicada y Automati</v>
      </c>
      <c r="K1787" s="10" t="s">
        <v>2594</v>
      </c>
    </row>
    <row r="1788" spans="1:11" x14ac:dyDescent="0.2">
      <c r="A1788" s="10">
        <v>1787</v>
      </c>
      <c r="B1788" s="10" t="s">
        <v>8475</v>
      </c>
      <c r="C1788" s="11" t="s">
        <v>2625</v>
      </c>
      <c r="D1788" s="10" t="s">
        <v>4419</v>
      </c>
      <c r="E1788" s="10" t="s">
        <v>8476</v>
      </c>
      <c r="F1788" s="11" t="s">
        <v>8477</v>
      </c>
      <c r="G1788" s="10" t="s">
        <v>13</v>
      </c>
      <c r="H1788" s="12">
        <v>46263</v>
      </c>
      <c r="I1788" s="10" t="s">
        <v>2593</v>
      </c>
      <c r="J1788" s="10" t="str">
        <f>IFERROR(INDEX([1]Programas!$B$2:$B$50,MATCH(LEFT(I1788,3),[1]Programas!$A$2:$A$50,0)),"")</f>
        <v>IA Aplicada y Automati</v>
      </c>
      <c r="K1788" s="10" t="s">
        <v>2594</v>
      </c>
    </row>
    <row r="1789" spans="1:11" x14ac:dyDescent="0.2">
      <c r="A1789" s="10">
        <v>1788</v>
      </c>
      <c r="B1789" s="10" t="s">
        <v>2628</v>
      </c>
      <c r="C1789" s="11" t="s">
        <v>2627</v>
      </c>
      <c r="D1789" s="10" t="s">
        <v>4419</v>
      </c>
      <c r="E1789" s="10" t="s">
        <v>8478</v>
      </c>
      <c r="F1789" s="11" t="s">
        <v>8479</v>
      </c>
      <c r="G1789" s="10" t="s">
        <v>13</v>
      </c>
      <c r="H1789" s="12">
        <v>46263</v>
      </c>
      <c r="I1789" s="10" t="s">
        <v>2593</v>
      </c>
      <c r="J1789" s="10" t="str">
        <f>IFERROR(INDEX([1]Programas!$B$2:$B$50,MATCH(LEFT(I1789,3),[1]Programas!$A$2:$A$50,0)),"")</f>
        <v>IA Aplicada y Automati</v>
      </c>
      <c r="K1789" s="10" t="s">
        <v>2594</v>
      </c>
    </row>
    <row r="1790" spans="1:11" x14ac:dyDescent="0.2">
      <c r="A1790" s="10">
        <v>1789</v>
      </c>
      <c r="B1790" s="10" t="s">
        <v>2630</v>
      </c>
      <c r="C1790" s="11" t="s">
        <v>2629</v>
      </c>
      <c r="D1790" s="10" t="s">
        <v>4419</v>
      </c>
      <c r="E1790" s="10" t="s">
        <v>8480</v>
      </c>
      <c r="F1790" s="11" t="s">
        <v>8481</v>
      </c>
      <c r="G1790" s="10" t="s">
        <v>13</v>
      </c>
      <c r="H1790" s="12">
        <v>46263</v>
      </c>
      <c r="I1790" s="10" t="s">
        <v>2593</v>
      </c>
      <c r="J1790" s="10" t="str">
        <f>IFERROR(INDEX([1]Programas!$B$2:$B$50,MATCH(LEFT(I1790,3),[1]Programas!$A$2:$A$50,0)),"")</f>
        <v>IA Aplicada y Automati</v>
      </c>
      <c r="K1790" s="10" t="s">
        <v>2594</v>
      </c>
    </row>
    <row r="1791" spans="1:11" x14ac:dyDescent="0.2">
      <c r="A1791" s="10">
        <v>1790</v>
      </c>
      <c r="B1791" s="10" t="s">
        <v>2632</v>
      </c>
      <c r="C1791" s="11" t="s">
        <v>2631</v>
      </c>
      <c r="D1791" s="10" t="s">
        <v>4419</v>
      </c>
      <c r="E1791" s="10" t="s">
        <v>8482</v>
      </c>
      <c r="F1791" s="11" t="s">
        <v>8483</v>
      </c>
      <c r="G1791" s="10" t="s">
        <v>13</v>
      </c>
      <c r="H1791" s="12">
        <v>46263</v>
      </c>
      <c r="I1791" s="10" t="s">
        <v>2593</v>
      </c>
      <c r="J1791" s="10" t="str">
        <f>IFERROR(INDEX([1]Programas!$B$2:$B$50,MATCH(LEFT(I1791,3),[1]Programas!$A$2:$A$50,0)),"")</f>
        <v>IA Aplicada y Automati</v>
      </c>
      <c r="K1791" s="10" t="s">
        <v>2594</v>
      </c>
    </row>
    <row r="1792" spans="1:11" x14ac:dyDescent="0.2">
      <c r="A1792" s="10">
        <v>1791</v>
      </c>
      <c r="B1792" s="10" t="s">
        <v>2634</v>
      </c>
      <c r="C1792" s="11" t="s">
        <v>2633</v>
      </c>
      <c r="D1792" s="10" t="s">
        <v>4419</v>
      </c>
      <c r="E1792" s="10" t="s">
        <v>8484</v>
      </c>
      <c r="F1792" s="11" t="s">
        <v>8485</v>
      </c>
      <c r="G1792" s="10" t="s">
        <v>13</v>
      </c>
      <c r="H1792" s="12">
        <v>46263</v>
      </c>
      <c r="I1792" s="10" t="s">
        <v>2593</v>
      </c>
      <c r="J1792" s="10" t="str">
        <f>IFERROR(INDEX([1]Programas!$B$2:$B$50,MATCH(LEFT(I1792,3),[1]Programas!$A$2:$A$50,0)),"")</f>
        <v>IA Aplicada y Automati</v>
      </c>
      <c r="K1792" s="10" t="s">
        <v>2594</v>
      </c>
    </row>
    <row r="1793" spans="1:11" x14ac:dyDescent="0.2">
      <c r="A1793" s="10">
        <v>1792</v>
      </c>
      <c r="B1793" s="10" t="s">
        <v>2636</v>
      </c>
      <c r="C1793" s="11" t="s">
        <v>2635</v>
      </c>
      <c r="D1793" s="10" t="s">
        <v>4419</v>
      </c>
      <c r="E1793" s="10" t="s">
        <v>8486</v>
      </c>
      <c r="F1793" s="11" t="s">
        <v>8487</v>
      </c>
      <c r="G1793" s="10" t="s">
        <v>13</v>
      </c>
      <c r="H1793" s="12">
        <v>46263</v>
      </c>
      <c r="I1793" s="10" t="s">
        <v>2593</v>
      </c>
      <c r="J1793" s="10" t="str">
        <f>IFERROR(INDEX([1]Programas!$B$2:$B$50,MATCH(LEFT(I1793,3),[1]Programas!$A$2:$A$50,0)),"")</f>
        <v>IA Aplicada y Automati</v>
      </c>
      <c r="K1793" s="10" t="s">
        <v>2594</v>
      </c>
    </row>
    <row r="1794" spans="1:11" x14ac:dyDescent="0.2">
      <c r="A1794" s="10">
        <v>1793</v>
      </c>
      <c r="B1794" s="10" t="s">
        <v>8488</v>
      </c>
      <c r="C1794" s="11" t="s">
        <v>2637</v>
      </c>
      <c r="D1794" s="10" t="s">
        <v>4419</v>
      </c>
      <c r="E1794" s="10" t="s">
        <v>8489</v>
      </c>
      <c r="F1794" s="11" t="s">
        <v>8490</v>
      </c>
      <c r="G1794" s="10" t="s">
        <v>13</v>
      </c>
      <c r="H1794" s="12">
        <v>46263</v>
      </c>
      <c r="I1794" s="10" t="s">
        <v>2593</v>
      </c>
      <c r="J1794" s="10" t="str">
        <f>IFERROR(INDEX([1]Programas!$B$2:$B$50,MATCH(LEFT(I1794,3),[1]Programas!$A$2:$A$50,0)),"")</f>
        <v>IA Aplicada y Automati</v>
      </c>
      <c r="K1794" s="10" t="s">
        <v>2594</v>
      </c>
    </row>
    <row r="1795" spans="1:11" x14ac:dyDescent="0.2">
      <c r="A1795" s="10">
        <v>1794</v>
      </c>
      <c r="B1795" s="10" t="s">
        <v>8491</v>
      </c>
      <c r="C1795" s="11" t="s">
        <v>2639</v>
      </c>
      <c r="D1795" s="10" t="s">
        <v>4419</v>
      </c>
      <c r="E1795" s="10" t="s">
        <v>8492</v>
      </c>
      <c r="F1795" s="11" t="s">
        <v>8493</v>
      </c>
      <c r="G1795" s="10" t="s">
        <v>13</v>
      </c>
      <c r="H1795" s="12">
        <v>46263</v>
      </c>
      <c r="I1795" s="10" t="s">
        <v>2593</v>
      </c>
      <c r="J1795" s="10" t="str">
        <f>IFERROR(INDEX([1]Programas!$B$2:$B$50,MATCH(LEFT(I1795,3),[1]Programas!$A$2:$A$50,0)),"")</f>
        <v>IA Aplicada y Automati</v>
      </c>
      <c r="K1795" s="10" t="s">
        <v>2594</v>
      </c>
    </row>
    <row r="1796" spans="1:11" x14ac:dyDescent="0.2">
      <c r="A1796" s="10">
        <v>1795</v>
      </c>
      <c r="B1796" s="10" t="s">
        <v>2642</v>
      </c>
      <c r="C1796" s="11" t="s">
        <v>2641</v>
      </c>
      <c r="D1796" s="10" t="s">
        <v>4419</v>
      </c>
      <c r="E1796" s="10" t="s">
        <v>8494</v>
      </c>
      <c r="F1796" s="11" t="s">
        <v>8495</v>
      </c>
      <c r="G1796" s="10" t="s">
        <v>13</v>
      </c>
      <c r="H1796" s="12">
        <v>46263</v>
      </c>
      <c r="I1796" s="10" t="s">
        <v>2593</v>
      </c>
      <c r="J1796" s="10" t="str">
        <f>IFERROR(INDEX([1]Programas!$B$2:$B$50,MATCH(LEFT(I1796,3),[1]Programas!$A$2:$A$50,0)),"")</f>
        <v>IA Aplicada y Automati</v>
      </c>
      <c r="K1796" s="10" t="s">
        <v>2594</v>
      </c>
    </row>
    <row r="1797" spans="1:11" x14ac:dyDescent="0.2">
      <c r="A1797" s="10">
        <v>1796</v>
      </c>
      <c r="B1797" s="10" t="s">
        <v>8496</v>
      </c>
      <c r="C1797" s="11" t="s">
        <v>2643</v>
      </c>
      <c r="D1797" s="10" t="s">
        <v>4419</v>
      </c>
      <c r="E1797" s="10" t="s">
        <v>8497</v>
      </c>
      <c r="F1797" s="11" t="s">
        <v>8498</v>
      </c>
      <c r="G1797" s="10" t="s">
        <v>13</v>
      </c>
      <c r="H1797" s="12">
        <v>46273</v>
      </c>
      <c r="I1797" s="10" t="s">
        <v>2593</v>
      </c>
      <c r="J1797" s="10" t="str">
        <f>IFERROR(INDEX([1]Programas!$B$2:$B$50,MATCH(LEFT(I1797,3),[1]Programas!$A$2:$A$50,0)),"")</f>
        <v>IA Aplicada y Automati</v>
      </c>
      <c r="K1797" s="10" t="s">
        <v>2594</v>
      </c>
    </row>
    <row r="1798" spans="1:11" x14ac:dyDescent="0.2">
      <c r="A1798" s="10">
        <v>1797</v>
      </c>
      <c r="B1798" s="10" t="s">
        <v>2646</v>
      </c>
      <c r="C1798" s="11" t="s">
        <v>2645</v>
      </c>
      <c r="D1798" s="10" t="s">
        <v>4419</v>
      </c>
      <c r="E1798" s="10" t="s">
        <v>8499</v>
      </c>
      <c r="F1798" s="11" t="s">
        <v>8500</v>
      </c>
      <c r="G1798" s="10" t="s">
        <v>13</v>
      </c>
      <c r="H1798" s="12">
        <v>46263</v>
      </c>
      <c r="I1798" s="10" t="s">
        <v>2648</v>
      </c>
      <c r="J1798" s="10" t="str">
        <f>IFERROR(INDEX([1]Programas!$B$2:$B$50,MATCH(LEFT(I1798,3),[1]Programas!$A$2:$A$50,0)),"")</f>
        <v>IA Aplicada y Automati</v>
      </c>
      <c r="K1798" s="10" t="s">
        <v>2594</v>
      </c>
    </row>
    <row r="1799" spans="1:11" x14ac:dyDescent="0.2">
      <c r="A1799" s="10">
        <v>1798</v>
      </c>
      <c r="B1799" s="10" t="s">
        <v>8501</v>
      </c>
      <c r="C1799" s="11" t="s">
        <v>2650</v>
      </c>
      <c r="D1799" s="10" t="s">
        <v>4419</v>
      </c>
      <c r="E1799" s="10" t="s">
        <v>8502</v>
      </c>
      <c r="F1799" s="11" t="s">
        <v>8503</v>
      </c>
      <c r="G1799" s="10" t="s">
        <v>13</v>
      </c>
      <c r="H1799" s="12">
        <v>46263</v>
      </c>
      <c r="I1799" s="10" t="s">
        <v>2648</v>
      </c>
      <c r="J1799" s="10" t="str">
        <f>IFERROR(INDEX([1]Programas!$B$2:$B$50,MATCH(LEFT(I1799,3),[1]Programas!$A$2:$A$50,0)),"")</f>
        <v>IA Aplicada y Automati</v>
      </c>
      <c r="K1799" s="10" t="s">
        <v>2594</v>
      </c>
    </row>
    <row r="1800" spans="1:11" x14ac:dyDescent="0.2">
      <c r="A1800" s="10">
        <v>1799</v>
      </c>
      <c r="B1800" s="10" t="s">
        <v>8504</v>
      </c>
      <c r="C1800" s="11" t="s">
        <v>2652</v>
      </c>
      <c r="D1800" s="10" t="s">
        <v>4419</v>
      </c>
      <c r="E1800" s="10" t="s">
        <v>8505</v>
      </c>
      <c r="F1800" s="11" t="s">
        <v>8506</v>
      </c>
      <c r="G1800" s="10" t="s">
        <v>13</v>
      </c>
      <c r="H1800" s="12">
        <v>46263</v>
      </c>
      <c r="I1800" s="10" t="s">
        <v>2648</v>
      </c>
      <c r="J1800" s="10" t="str">
        <f>IFERROR(INDEX([1]Programas!$B$2:$B$50,MATCH(LEFT(I1800,3),[1]Programas!$A$2:$A$50,0)),"")</f>
        <v>IA Aplicada y Automati</v>
      </c>
      <c r="K1800" s="10" t="s">
        <v>2594</v>
      </c>
    </row>
    <row r="1801" spans="1:11" x14ac:dyDescent="0.2">
      <c r="A1801" s="10">
        <v>1800</v>
      </c>
      <c r="B1801" s="10" t="s">
        <v>2655</v>
      </c>
      <c r="C1801" s="11" t="s">
        <v>2654</v>
      </c>
      <c r="D1801" s="10" t="s">
        <v>4419</v>
      </c>
      <c r="E1801" s="10" t="s">
        <v>8507</v>
      </c>
      <c r="F1801" s="11" t="s">
        <v>8508</v>
      </c>
      <c r="G1801" s="10" t="s">
        <v>13</v>
      </c>
      <c r="H1801" s="12">
        <v>46263</v>
      </c>
      <c r="I1801" s="10" t="s">
        <v>2648</v>
      </c>
      <c r="J1801" s="10" t="str">
        <f>IFERROR(INDEX([1]Programas!$B$2:$B$50,MATCH(LEFT(I1801,3),[1]Programas!$A$2:$A$50,0)),"")</f>
        <v>IA Aplicada y Automati</v>
      </c>
      <c r="K1801" s="10" t="s">
        <v>2594</v>
      </c>
    </row>
    <row r="1802" spans="1:11" x14ac:dyDescent="0.2">
      <c r="A1802" s="10">
        <v>1801</v>
      </c>
      <c r="B1802" s="10" t="s">
        <v>2659</v>
      </c>
      <c r="C1802" s="11" t="s">
        <v>2658</v>
      </c>
      <c r="D1802" s="10" t="s">
        <v>4419</v>
      </c>
      <c r="E1802" s="10" t="s">
        <v>8509</v>
      </c>
      <c r="F1802" s="11" t="s">
        <v>8510</v>
      </c>
      <c r="G1802" s="10" t="s">
        <v>13</v>
      </c>
      <c r="H1802" s="12">
        <v>46263</v>
      </c>
      <c r="I1802" s="10" t="s">
        <v>2648</v>
      </c>
      <c r="J1802" s="10" t="str">
        <f>IFERROR(INDEX([1]Programas!$B$2:$B$50,MATCH(LEFT(I1802,3),[1]Programas!$A$2:$A$50,0)),"")</f>
        <v>IA Aplicada y Automati</v>
      </c>
      <c r="K1802" s="10" t="s">
        <v>2594</v>
      </c>
    </row>
    <row r="1803" spans="1:11" x14ac:dyDescent="0.2">
      <c r="A1803" s="10">
        <v>1802</v>
      </c>
      <c r="B1803" s="10" t="s">
        <v>2661</v>
      </c>
      <c r="C1803" s="11" t="s">
        <v>2660</v>
      </c>
      <c r="D1803" s="10" t="s">
        <v>4419</v>
      </c>
      <c r="E1803" s="10" t="s">
        <v>8511</v>
      </c>
      <c r="F1803" s="11" t="s">
        <v>8512</v>
      </c>
      <c r="G1803" s="10" t="s">
        <v>13</v>
      </c>
      <c r="H1803" s="12">
        <v>46263</v>
      </c>
      <c r="I1803" s="10" t="s">
        <v>2648</v>
      </c>
      <c r="J1803" s="10" t="str">
        <f>IFERROR(INDEX([1]Programas!$B$2:$B$50,MATCH(LEFT(I1803,3),[1]Programas!$A$2:$A$50,0)),"")</f>
        <v>IA Aplicada y Automati</v>
      </c>
      <c r="K1803" s="10" t="s">
        <v>2594</v>
      </c>
    </row>
    <row r="1804" spans="1:11" x14ac:dyDescent="0.2">
      <c r="A1804" s="10">
        <v>1803</v>
      </c>
      <c r="B1804" s="10" t="s">
        <v>8513</v>
      </c>
      <c r="C1804" s="11" t="s">
        <v>2662</v>
      </c>
      <c r="D1804" s="10" t="s">
        <v>4419</v>
      </c>
      <c r="E1804" s="10" t="s">
        <v>8514</v>
      </c>
      <c r="F1804" s="11" t="s">
        <v>8515</v>
      </c>
      <c r="G1804" s="10" t="s">
        <v>13</v>
      </c>
      <c r="H1804" s="12">
        <v>46263</v>
      </c>
      <c r="I1804" s="10" t="s">
        <v>2648</v>
      </c>
      <c r="J1804" s="10" t="str">
        <f>IFERROR(INDEX([1]Programas!$B$2:$B$50,MATCH(LEFT(I1804,3),[1]Programas!$A$2:$A$50,0)),"")</f>
        <v>IA Aplicada y Automati</v>
      </c>
      <c r="K1804" s="10" t="s">
        <v>2594</v>
      </c>
    </row>
    <row r="1805" spans="1:11" x14ac:dyDescent="0.2">
      <c r="A1805" s="10">
        <v>1804</v>
      </c>
      <c r="B1805" s="10" t="s">
        <v>2665</v>
      </c>
      <c r="C1805" s="11" t="s">
        <v>2664</v>
      </c>
      <c r="D1805" s="10" t="s">
        <v>4419</v>
      </c>
      <c r="E1805" s="10" t="s">
        <v>8516</v>
      </c>
      <c r="F1805" s="11" t="s">
        <v>8517</v>
      </c>
      <c r="G1805" s="10" t="s">
        <v>13</v>
      </c>
      <c r="H1805" s="12">
        <v>46263</v>
      </c>
      <c r="I1805" s="10" t="s">
        <v>2648</v>
      </c>
      <c r="J1805" s="10" t="str">
        <f>IFERROR(INDEX([1]Programas!$B$2:$B$50,MATCH(LEFT(I1805,3),[1]Programas!$A$2:$A$50,0)),"")</f>
        <v>IA Aplicada y Automati</v>
      </c>
      <c r="K1805" s="10" t="s">
        <v>2594</v>
      </c>
    </row>
    <row r="1806" spans="1:11" x14ac:dyDescent="0.2">
      <c r="A1806" s="10">
        <v>1805</v>
      </c>
      <c r="B1806" s="10" t="s">
        <v>2667</v>
      </c>
      <c r="C1806" s="11" t="s">
        <v>2666</v>
      </c>
      <c r="D1806" s="10" t="s">
        <v>4419</v>
      </c>
      <c r="E1806" s="10" t="s">
        <v>8518</v>
      </c>
      <c r="F1806" s="11" t="s">
        <v>8519</v>
      </c>
      <c r="G1806" s="10" t="s">
        <v>13</v>
      </c>
      <c r="H1806" s="12">
        <v>46263</v>
      </c>
      <c r="I1806" s="10" t="s">
        <v>2648</v>
      </c>
      <c r="J1806" s="10" t="str">
        <f>IFERROR(INDEX([1]Programas!$B$2:$B$50,MATCH(LEFT(I1806,3),[1]Programas!$A$2:$A$50,0)),"")</f>
        <v>IA Aplicada y Automati</v>
      </c>
      <c r="K1806" s="10" t="s">
        <v>2594</v>
      </c>
    </row>
    <row r="1807" spans="1:11" x14ac:dyDescent="0.2">
      <c r="A1807" s="10">
        <v>1806</v>
      </c>
      <c r="B1807" s="10" t="s">
        <v>2669</v>
      </c>
      <c r="C1807" s="11" t="s">
        <v>2668</v>
      </c>
      <c r="D1807" s="10" t="s">
        <v>4419</v>
      </c>
      <c r="E1807" s="10" t="s">
        <v>8520</v>
      </c>
      <c r="F1807" s="11" t="s">
        <v>8521</v>
      </c>
      <c r="G1807" s="10" t="s">
        <v>13</v>
      </c>
      <c r="H1807" s="12">
        <v>46263</v>
      </c>
      <c r="I1807" s="10" t="s">
        <v>2648</v>
      </c>
      <c r="J1807" s="10" t="str">
        <f>IFERROR(INDEX([1]Programas!$B$2:$B$50,MATCH(LEFT(I1807,3),[1]Programas!$A$2:$A$50,0)),"")</f>
        <v>IA Aplicada y Automati</v>
      </c>
      <c r="K1807" s="10" t="s">
        <v>2594</v>
      </c>
    </row>
    <row r="1808" spans="1:11" x14ac:dyDescent="0.2">
      <c r="A1808" s="10">
        <v>1807</v>
      </c>
      <c r="B1808" s="10" t="s">
        <v>8522</v>
      </c>
      <c r="C1808" s="11" t="s">
        <v>2670</v>
      </c>
      <c r="D1808" s="10" t="s">
        <v>4419</v>
      </c>
      <c r="E1808" s="10" t="s">
        <v>8523</v>
      </c>
      <c r="F1808" s="11" t="s">
        <v>8524</v>
      </c>
      <c r="G1808" s="10" t="s">
        <v>13</v>
      </c>
      <c r="H1808" s="12">
        <v>46263</v>
      </c>
      <c r="I1808" s="10" t="s">
        <v>2648</v>
      </c>
      <c r="J1808" s="10" t="str">
        <f>IFERROR(INDEX([1]Programas!$B$2:$B$50,MATCH(LEFT(I1808,3),[1]Programas!$A$2:$A$50,0)),"")</f>
        <v>IA Aplicada y Automati</v>
      </c>
      <c r="K1808" s="10" t="s">
        <v>2594</v>
      </c>
    </row>
    <row r="1809" spans="1:11" x14ac:dyDescent="0.2">
      <c r="A1809" s="10">
        <v>1808</v>
      </c>
      <c r="B1809" s="10" t="s">
        <v>8525</v>
      </c>
      <c r="C1809" s="11" t="s">
        <v>2672</v>
      </c>
      <c r="D1809" s="10" t="s">
        <v>4419</v>
      </c>
      <c r="E1809" s="10" t="s">
        <v>8526</v>
      </c>
      <c r="F1809" s="11" t="s">
        <v>8527</v>
      </c>
      <c r="G1809" s="10" t="s">
        <v>13</v>
      </c>
      <c r="H1809" s="12">
        <v>46263</v>
      </c>
      <c r="I1809" s="10" t="s">
        <v>2648</v>
      </c>
      <c r="J1809" s="10" t="str">
        <f>IFERROR(INDEX([1]Programas!$B$2:$B$50,MATCH(LEFT(I1809,3),[1]Programas!$A$2:$A$50,0)),"")</f>
        <v>IA Aplicada y Automati</v>
      </c>
      <c r="K1809" s="10" t="s">
        <v>2594</v>
      </c>
    </row>
    <row r="1810" spans="1:11" x14ac:dyDescent="0.2">
      <c r="A1810" s="10">
        <v>1809</v>
      </c>
      <c r="B1810" s="10" t="s">
        <v>2675</v>
      </c>
      <c r="C1810" s="11" t="s">
        <v>2674</v>
      </c>
      <c r="D1810" s="10" t="s">
        <v>4419</v>
      </c>
      <c r="E1810" s="10" t="s">
        <v>8528</v>
      </c>
      <c r="F1810" s="11" t="s">
        <v>8529</v>
      </c>
      <c r="G1810" s="10" t="s">
        <v>13</v>
      </c>
      <c r="H1810" s="12">
        <v>46263</v>
      </c>
      <c r="I1810" s="10" t="s">
        <v>2648</v>
      </c>
      <c r="J1810" s="10" t="str">
        <f>IFERROR(INDEX([1]Programas!$B$2:$B$50,MATCH(LEFT(I1810,3),[1]Programas!$A$2:$A$50,0)),"")</f>
        <v>IA Aplicada y Automati</v>
      </c>
      <c r="K1810" s="10" t="s">
        <v>2594</v>
      </c>
    </row>
    <row r="1811" spans="1:11" x14ac:dyDescent="0.2">
      <c r="A1811" s="10">
        <v>1810</v>
      </c>
      <c r="B1811" s="10" t="s">
        <v>2677</v>
      </c>
      <c r="C1811" s="11" t="s">
        <v>2676</v>
      </c>
      <c r="D1811" s="10" t="s">
        <v>4419</v>
      </c>
      <c r="E1811" s="10" t="s">
        <v>8530</v>
      </c>
      <c r="F1811" s="11" t="s">
        <v>8531</v>
      </c>
      <c r="G1811" s="10" t="s">
        <v>13</v>
      </c>
      <c r="H1811" s="12">
        <v>46263</v>
      </c>
      <c r="I1811" s="10" t="s">
        <v>2648</v>
      </c>
      <c r="J1811" s="10" t="str">
        <f>IFERROR(INDEX([1]Programas!$B$2:$B$50,MATCH(LEFT(I1811,3),[1]Programas!$A$2:$A$50,0)),"")</f>
        <v>IA Aplicada y Automati</v>
      </c>
      <c r="K1811" s="10" t="s">
        <v>2594</v>
      </c>
    </row>
    <row r="1812" spans="1:11" x14ac:dyDescent="0.2">
      <c r="A1812" s="10">
        <v>1811</v>
      </c>
      <c r="B1812" s="10" t="s">
        <v>2679</v>
      </c>
      <c r="C1812" s="11" t="s">
        <v>2678</v>
      </c>
      <c r="D1812" s="10" t="s">
        <v>4419</v>
      </c>
      <c r="E1812" s="10" t="s">
        <v>8532</v>
      </c>
      <c r="F1812" s="11" t="s">
        <v>8533</v>
      </c>
      <c r="G1812" s="10" t="s">
        <v>13</v>
      </c>
      <c r="H1812" s="12">
        <v>46263</v>
      </c>
      <c r="I1812" s="10" t="s">
        <v>2648</v>
      </c>
      <c r="J1812" s="10" t="str">
        <f>IFERROR(INDEX([1]Programas!$B$2:$B$50,MATCH(LEFT(I1812,3),[1]Programas!$A$2:$A$50,0)),"")</f>
        <v>IA Aplicada y Automati</v>
      </c>
      <c r="K1812" s="10" t="s">
        <v>2594</v>
      </c>
    </row>
    <row r="1813" spans="1:11" x14ac:dyDescent="0.2">
      <c r="A1813" s="10">
        <v>1812</v>
      </c>
      <c r="B1813" s="10" t="s">
        <v>2681</v>
      </c>
      <c r="C1813" s="11" t="s">
        <v>2680</v>
      </c>
      <c r="D1813" s="10" t="s">
        <v>4419</v>
      </c>
      <c r="E1813" s="10" t="s">
        <v>8534</v>
      </c>
      <c r="F1813" s="11" t="s">
        <v>8535</v>
      </c>
      <c r="G1813" s="10" t="s">
        <v>13</v>
      </c>
      <c r="H1813" s="12">
        <v>46263</v>
      </c>
      <c r="I1813" s="10" t="s">
        <v>2648</v>
      </c>
      <c r="J1813" s="10" t="str">
        <f>IFERROR(INDEX([1]Programas!$B$2:$B$50,MATCH(LEFT(I1813,3),[1]Programas!$A$2:$A$50,0)),"")</f>
        <v>IA Aplicada y Automati</v>
      </c>
      <c r="K1813" s="10" t="s">
        <v>2594</v>
      </c>
    </row>
    <row r="1814" spans="1:11" x14ac:dyDescent="0.2">
      <c r="A1814" s="10">
        <v>1813</v>
      </c>
      <c r="B1814" s="10" t="s">
        <v>2683</v>
      </c>
      <c r="C1814" s="11" t="s">
        <v>2682</v>
      </c>
      <c r="D1814" s="10" t="s">
        <v>4419</v>
      </c>
      <c r="E1814" s="10" t="s">
        <v>8536</v>
      </c>
      <c r="F1814" s="11" t="s">
        <v>8537</v>
      </c>
      <c r="G1814" s="10" t="s">
        <v>13</v>
      </c>
      <c r="H1814" s="12">
        <v>46263</v>
      </c>
      <c r="I1814" s="10" t="s">
        <v>2648</v>
      </c>
      <c r="J1814" s="10" t="str">
        <f>IFERROR(INDEX([1]Programas!$B$2:$B$50,MATCH(LEFT(I1814,3),[1]Programas!$A$2:$A$50,0)),"")</f>
        <v>IA Aplicada y Automati</v>
      </c>
      <c r="K1814" s="10" t="s">
        <v>2594</v>
      </c>
    </row>
    <row r="1815" spans="1:11" x14ac:dyDescent="0.2">
      <c r="A1815" s="10">
        <v>1814</v>
      </c>
      <c r="B1815" s="10" t="s">
        <v>2685</v>
      </c>
      <c r="C1815" s="11" t="s">
        <v>2684</v>
      </c>
      <c r="D1815" s="10" t="s">
        <v>4419</v>
      </c>
      <c r="E1815" s="10" t="s">
        <v>8538</v>
      </c>
      <c r="F1815" s="11" t="s">
        <v>8539</v>
      </c>
      <c r="G1815" s="10" t="s">
        <v>13</v>
      </c>
      <c r="H1815" s="12">
        <v>46263</v>
      </c>
      <c r="I1815" s="10" t="s">
        <v>2648</v>
      </c>
      <c r="J1815" s="10" t="str">
        <f>IFERROR(INDEX([1]Programas!$B$2:$B$50,MATCH(LEFT(I1815,3),[1]Programas!$A$2:$A$50,0)),"")</f>
        <v>IA Aplicada y Automati</v>
      </c>
      <c r="K1815" s="10" t="s">
        <v>2594</v>
      </c>
    </row>
    <row r="1816" spans="1:11" x14ac:dyDescent="0.2">
      <c r="A1816" s="10">
        <v>1815</v>
      </c>
      <c r="B1816" s="10" t="s">
        <v>2687</v>
      </c>
      <c r="C1816" s="11" t="s">
        <v>2686</v>
      </c>
      <c r="D1816" s="10" t="s">
        <v>4419</v>
      </c>
      <c r="E1816" s="10" t="s">
        <v>8540</v>
      </c>
      <c r="F1816" s="11" t="s">
        <v>8541</v>
      </c>
      <c r="G1816" s="10" t="s">
        <v>13</v>
      </c>
      <c r="H1816" s="12">
        <v>46263</v>
      </c>
      <c r="I1816" s="10" t="s">
        <v>2648</v>
      </c>
      <c r="J1816" s="10" t="str">
        <f>IFERROR(INDEX([1]Programas!$B$2:$B$50,MATCH(LEFT(I1816,3),[1]Programas!$A$2:$A$50,0)),"")</f>
        <v>IA Aplicada y Automati</v>
      </c>
      <c r="K1816" s="10" t="s">
        <v>2594</v>
      </c>
    </row>
    <row r="1817" spans="1:11" x14ac:dyDescent="0.2">
      <c r="A1817" s="10">
        <v>1816</v>
      </c>
      <c r="B1817" s="10" t="s">
        <v>2689</v>
      </c>
      <c r="C1817" s="11" t="s">
        <v>2688</v>
      </c>
      <c r="D1817" s="10" t="s">
        <v>4419</v>
      </c>
      <c r="E1817" s="10" t="s">
        <v>8542</v>
      </c>
      <c r="F1817" s="11" t="s">
        <v>8543</v>
      </c>
      <c r="G1817" s="10" t="s">
        <v>13</v>
      </c>
      <c r="H1817" s="12">
        <v>46263</v>
      </c>
      <c r="I1817" s="10" t="s">
        <v>2648</v>
      </c>
      <c r="J1817" s="10" t="str">
        <f>IFERROR(INDEX([1]Programas!$B$2:$B$50,MATCH(LEFT(I1817,3),[1]Programas!$A$2:$A$50,0)),"")</f>
        <v>IA Aplicada y Automati</v>
      </c>
      <c r="K1817" s="10" t="s">
        <v>2594</v>
      </c>
    </row>
    <row r="1818" spans="1:11" x14ac:dyDescent="0.2">
      <c r="A1818" s="10">
        <v>1817</v>
      </c>
      <c r="B1818" s="10" t="s">
        <v>2691</v>
      </c>
      <c r="C1818" s="11" t="s">
        <v>2690</v>
      </c>
      <c r="D1818" s="10" t="s">
        <v>4419</v>
      </c>
      <c r="E1818" s="10" t="s">
        <v>8544</v>
      </c>
      <c r="F1818" s="11" t="s">
        <v>8545</v>
      </c>
      <c r="G1818" s="10" t="s">
        <v>13</v>
      </c>
      <c r="H1818" s="12">
        <v>46263</v>
      </c>
      <c r="I1818" s="10" t="s">
        <v>2648</v>
      </c>
      <c r="J1818" s="10" t="str">
        <f>IFERROR(INDEX([1]Programas!$B$2:$B$50,MATCH(LEFT(I1818,3),[1]Programas!$A$2:$A$50,0)),"")</f>
        <v>IA Aplicada y Automati</v>
      </c>
      <c r="K1818" s="10" t="s">
        <v>2594</v>
      </c>
    </row>
    <row r="1819" spans="1:11" x14ac:dyDescent="0.2">
      <c r="A1819" s="10">
        <v>1818</v>
      </c>
      <c r="B1819" s="10" t="s">
        <v>8546</v>
      </c>
      <c r="C1819" s="11" t="s">
        <v>2692</v>
      </c>
      <c r="D1819" s="10" t="s">
        <v>4419</v>
      </c>
      <c r="E1819" s="10" t="s">
        <v>8547</v>
      </c>
      <c r="F1819" s="11" t="s">
        <v>8548</v>
      </c>
      <c r="G1819" s="10" t="s">
        <v>13</v>
      </c>
      <c r="H1819" s="12">
        <v>46263</v>
      </c>
      <c r="I1819" s="10" t="s">
        <v>2648</v>
      </c>
      <c r="J1819" s="10" t="str">
        <f>IFERROR(INDEX([1]Programas!$B$2:$B$50,MATCH(LEFT(I1819,3),[1]Programas!$A$2:$A$50,0)),"")</f>
        <v>IA Aplicada y Automati</v>
      </c>
      <c r="K1819" s="10" t="s">
        <v>2594</v>
      </c>
    </row>
    <row r="1820" spans="1:11" x14ac:dyDescent="0.2">
      <c r="A1820" s="10">
        <v>1819</v>
      </c>
      <c r="B1820" s="10" t="s">
        <v>2695</v>
      </c>
      <c r="C1820" s="11" t="s">
        <v>2694</v>
      </c>
      <c r="D1820" s="10" t="s">
        <v>4419</v>
      </c>
      <c r="E1820" s="10" t="s">
        <v>8549</v>
      </c>
      <c r="F1820" s="11" t="s">
        <v>8550</v>
      </c>
      <c r="G1820" s="10" t="s">
        <v>13</v>
      </c>
      <c r="H1820" s="12">
        <v>46263</v>
      </c>
      <c r="I1820" s="10" t="s">
        <v>2697</v>
      </c>
      <c r="J1820" s="10" t="str">
        <f>IFERROR(INDEX([1]Programas!$B$2:$B$50,MATCH(LEFT(I1820,3),[1]Programas!$A$2:$A$50,0)),"")</f>
        <v>IA Aplicada y Automati</v>
      </c>
      <c r="K1820" s="10" t="s">
        <v>750</v>
      </c>
    </row>
    <row r="1821" spans="1:11" x14ac:dyDescent="0.2">
      <c r="A1821" s="10">
        <v>1820</v>
      </c>
      <c r="B1821" s="10" t="s">
        <v>2699</v>
      </c>
      <c r="C1821" s="11" t="s">
        <v>2698</v>
      </c>
      <c r="D1821" s="10" t="s">
        <v>4419</v>
      </c>
      <c r="E1821" s="10" t="s">
        <v>8551</v>
      </c>
      <c r="F1821" s="11" t="s">
        <v>8552</v>
      </c>
      <c r="G1821" s="10" t="s">
        <v>13</v>
      </c>
      <c r="H1821" s="12">
        <v>46263</v>
      </c>
      <c r="I1821" s="10" t="s">
        <v>2697</v>
      </c>
      <c r="J1821" s="10" t="str">
        <f>IFERROR(INDEX([1]Programas!$B$2:$B$50,MATCH(LEFT(I1821,3),[1]Programas!$A$2:$A$50,0)),"")</f>
        <v>IA Aplicada y Automati</v>
      </c>
      <c r="K1821" s="10" t="s">
        <v>750</v>
      </c>
    </row>
    <row r="1822" spans="1:11" x14ac:dyDescent="0.2">
      <c r="A1822" s="10">
        <v>1821</v>
      </c>
      <c r="B1822" s="10" t="s">
        <v>8553</v>
      </c>
      <c r="C1822" s="11" t="s">
        <v>2700</v>
      </c>
      <c r="D1822" s="10" t="s">
        <v>4419</v>
      </c>
      <c r="E1822" s="10" t="s">
        <v>8554</v>
      </c>
      <c r="F1822" s="11" t="s">
        <v>8555</v>
      </c>
      <c r="G1822" s="10" t="s">
        <v>13</v>
      </c>
      <c r="H1822" s="12">
        <v>46263</v>
      </c>
      <c r="I1822" s="10" t="s">
        <v>2697</v>
      </c>
      <c r="J1822" s="10" t="str">
        <f>IFERROR(INDEX([1]Programas!$B$2:$B$50,MATCH(LEFT(I1822,3),[1]Programas!$A$2:$A$50,0)),"")</f>
        <v>IA Aplicada y Automati</v>
      </c>
      <c r="K1822" s="10" t="s">
        <v>750</v>
      </c>
    </row>
    <row r="1823" spans="1:11" x14ac:dyDescent="0.2">
      <c r="A1823" s="10">
        <v>1822</v>
      </c>
      <c r="B1823" s="10" t="s">
        <v>2703</v>
      </c>
      <c r="C1823" s="11" t="s">
        <v>2702</v>
      </c>
      <c r="D1823" s="10" t="s">
        <v>4419</v>
      </c>
      <c r="E1823" s="10" t="s">
        <v>8556</v>
      </c>
      <c r="F1823" s="11" t="s">
        <v>8557</v>
      </c>
      <c r="G1823" s="10" t="s">
        <v>13</v>
      </c>
      <c r="H1823" s="12">
        <v>46263</v>
      </c>
      <c r="I1823" s="10" t="s">
        <v>2697</v>
      </c>
      <c r="J1823" s="10" t="str">
        <f>IFERROR(INDEX([1]Programas!$B$2:$B$50,MATCH(LEFT(I1823,3),[1]Programas!$A$2:$A$50,0)),"")</f>
        <v>IA Aplicada y Automati</v>
      </c>
      <c r="K1823" s="10" t="s">
        <v>750</v>
      </c>
    </row>
    <row r="1824" spans="1:11" x14ac:dyDescent="0.2">
      <c r="A1824" s="10">
        <v>1823</v>
      </c>
      <c r="B1824" s="10" t="s">
        <v>8558</v>
      </c>
      <c r="C1824" s="11" t="s">
        <v>2704</v>
      </c>
      <c r="D1824" s="10" t="s">
        <v>4419</v>
      </c>
      <c r="E1824" s="10" t="s">
        <v>8559</v>
      </c>
      <c r="F1824" s="11" t="s">
        <v>8560</v>
      </c>
      <c r="G1824" s="10" t="s">
        <v>13</v>
      </c>
      <c r="H1824" s="12">
        <v>46263</v>
      </c>
      <c r="I1824" s="10" t="s">
        <v>2697</v>
      </c>
      <c r="J1824" s="10" t="str">
        <f>IFERROR(INDEX([1]Programas!$B$2:$B$50,MATCH(LEFT(I1824,3),[1]Programas!$A$2:$A$50,0)),"")</f>
        <v>IA Aplicada y Automati</v>
      </c>
      <c r="K1824" s="10" t="s">
        <v>750</v>
      </c>
    </row>
    <row r="1825" spans="1:11" x14ac:dyDescent="0.2">
      <c r="A1825" s="10">
        <v>1824</v>
      </c>
      <c r="B1825" s="10" t="s">
        <v>2707</v>
      </c>
      <c r="C1825" s="11" t="s">
        <v>2706</v>
      </c>
      <c r="D1825" s="10" t="s">
        <v>4419</v>
      </c>
      <c r="E1825" s="10" t="s">
        <v>8561</v>
      </c>
      <c r="F1825" s="11" t="s">
        <v>8562</v>
      </c>
      <c r="G1825" s="10" t="s">
        <v>13</v>
      </c>
      <c r="H1825" s="12">
        <v>46263</v>
      </c>
      <c r="I1825" s="10" t="s">
        <v>2697</v>
      </c>
      <c r="J1825" s="10" t="str">
        <f>IFERROR(INDEX([1]Programas!$B$2:$B$50,MATCH(LEFT(I1825,3),[1]Programas!$A$2:$A$50,0)),"")</f>
        <v>IA Aplicada y Automati</v>
      </c>
      <c r="K1825" s="10" t="s">
        <v>750</v>
      </c>
    </row>
    <row r="1826" spans="1:11" x14ac:dyDescent="0.2">
      <c r="A1826" s="10">
        <v>1825</v>
      </c>
      <c r="B1826" s="10" t="s">
        <v>2709</v>
      </c>
      <c r="C1826" s="11" t="s">
        <v>2708</v>
      </c>
      <c r="D1826" s="10" t="s">
        <v>4419</v>
      </c>
      <c r="E1826" s="10" t="s">
        <v>8563</v>
      </c>
      <c r="F1826" s="11" t="s">
        <v>8564</v>
      </c>
      <c r="G1826" s="10" t="s">
        <v>13</v>
      </c>
      <c r="H1826" s="12">
        <v>46263</v>
      </c>
      <c r="I1826" s="10" t="s">
        <v>2697</v>
      </c>
      <c r="J1826" s="10" t="str">
        <f>IFERROR(INDEX([1]Programas!$B$2:$B$50,MATCH(LEFT(I1826,3),[1]Programas!$A$2:$A$50,0)),"")</f>
        <v>IA Aplicada y Automati</v>
      </c>
      <c r="K1826" s="10" t="s">
        <v>750</v>
      </c>
    </row>
    <row r="1827" spans="1:11" x14ac:dyDescent="0.2">
      <c r="A1827" s="10">
        <v>1826</v>
      </c>
      <c r="B1827" s="10" t="s">
        <v>8565</v>
      </c>
      <c r="C1827" s="11" t="s">
        <v>2710</v>
      </c>
      <c r="D1827" s="10" t="s">
        <v>4419</v>
      </c>
      <c r="E1827" s="10" t="s">
        <v>8566</v>
      </c>
      <c r="F1827" s="11" t="s">
        <v>8567</v>
      </c>
      <c r="G1827" s="10" t="s">
        <v>13</v>
      </c>
      <c r="H1827" s="12">
        <v>46263</v>
      </c>
      <c r="I1827" s="10" t="s">
        <v>2697</v>
      </c>
      <c r="J1827" s="10" t="str">
        <f>IFERROR(INDEX([1]Programas!$B$2:$B$50,MATCH(LEFT(I1827,3),[1]Programas!$A$2:$A$50,0)),"")</f>
        <v>IA Aplicada y Automati</v>
      </c>
      <c r="K1827" s="10" t="s">
        <v>750</v>
      </c>
    </row>
    <row r="1828" spans="1:11" x14ac:dyDescent="0.2">
      <c r="A1828" s="10">
        <v>1827</v>
      </c>
      <c r="B1828" s="10" t="s">
        <v>2713</v>
      </c>
      <c r="C1828" s="11" t="s">
        <v>2712</v>
      </c>
      <c r="D1828" s="10" t="s">
        <v>4419</v>
      </c>
      <c r="E1828" s="10" t="s">
        <v>8568</v>
      </c>
      <c r="F1828" s="11" t="s">
        <v>8569</v>
      </c>
      <c r="G1828" s="10" t="s">
        <v>13</v>
      </c>
      <c r="H1828" s="12">
        <v>46263</v>
      </c>
      <c r="I1828" s="10" t="s">
        <v>2697</v>
      </c>
      <c r="J1828" s="10" t="str">
        <f>IFERROR(INDEX([1]Programas!$B$2:$B$50,MATCH(LEFT(I1828,3),[1]Programas!$A$2:$A$50,0)),"")</f>
        <v>IA Aplicada y Automati</v>
      </c>
      <c r="K1828" s="10" t="s">
        <v>750</v>
      </c>
    </row>
    <row r="1829" spans="1:11" x14ac:dyDescent="0.2">
      <c r="A1829" s="10">
        <v>1828</v>
      </c>
      <c r="B1829" s="10" t="s">
        <v>2715</v>
      </c>
      <c r="C1829" s="11" t="s">
        <v>2714</v>
      </c>
      <c r="D1829" s="10" t="s">
        <v>4419</v>
      </c>
      <c r="E1829" s="10" t="s">
        <v>8570</v>
      </c>
      <c r="F1829" s="11" t="s">
        <v>8571</v>
      </c>
      <c r="G1829" s="10" t="s">
        <v>13</v>
      </c>
      <c r="H1829" s="12">
        <v>46263</v>
      </c>
      <c r="I1829" s="10" t="s">
        <v>2697</v>
      </c>
      <c r="J1829" s="10" t="str">
        <f>IFERROR(INDEX([1]Programas!$B$2:$B$50,MATCH(LEFT(I1829,3),[1]Programas!$A$2:$A$50,0)),"")</f>
        <v>IA Aplicada y Automati</v>
      </c>
      <c r="K1829" s="10" t="s">
        <v>750</v>
      </c>
    </row>
    <row r="1830" spans="1:11" x14ac:dyDescent="0.2">
      <c r="A1830" s="10">
        <v>1829</v>
      </c>
      <c r="B1830" s="10" t="s">
        <v>2719</v>
      </c>
      <c r="C1830" s="11" t="s">
        <v>2718</v>
      </c>
      <c r="D1830" s="10" t="s">
        <v>4419</v>
      </c>
      <c r="E1830" s="10" t="s">
        <v>8572</v>
      </c>
      <c r="F1830" s="11" t="s">
        <v>8573</v>
      </c>
      <c r="G1830" s="10" t="s">
        <v>13</v>
      </c>
      <c r="H1830" s="12">
        <v>46263</v>
      </c>
      <c r="I1830" s="10" t="s">
        <v>2697</v>
      </c>
      <c r="J1830" s="10" t="str">
        <f>IFERROR(INDEX([1]Programas!$B$2:$B$50,MATCH(LEFT(I1830,3),[1]Programas!$A$2:$A$50,0)),"")</f>
        <v>IA Aplicada y Automati</v>
      </c>
      <c r="K1830" s="10" t="s">
        <v>750</v>
      </c>
    </row>
    <row r="1831" spans="1:11" x14ac:dyDescent="0.2">
      <c r="A1831" s="10">
        <v>1830</v>
      </c>
      <c r="B1831" s="10" t="s">
        <v>2721</v>
      </c>
      <c r="C1831" s="11" t="s">
        <v>2720</v>
      </c>
      <c r="D1831" s="10" t="s">
        <v>4419</v>
      </c>
      <c r="E1831" s="10" t="s">
        <v>8574</v>
      </c>
      <c r="F1831" s="11" t="s">
        <v>8575</v>
      </c>
      <c r="G1831" s="10" t="s">
        <v>13</v>
      </c>
      <c r="H1831" s="12">
        <v>46263</v>
      </c>
      <c r="I1831" s="10" t="s">
        <v>2697</v>
      </c>
      <c r="J1831" s="10" t="str">
        <f>IFERROR(INDEX([1]Programas!$B$2:$B$50,MATCH(LEFT(I1831,3),[1]Programas!$A$2:$A$50,0)),"")</f>
        <v>IA Aplicada y Automati</v>
      </c>
      <c r="K1831" s="10" t="s">
        <v>750</v>
      </c>
    </row>
    <row r="1832" spans="1:11" x14ac:dyDescent="0.2">
      <c r="A1832" s="10">
        <v>1831</v>
      </c>
      <c r="B1832" s="10" t="s">
        <v>2723</v>
      </c>
      <c r="C1832" s="11" t="s">
        <v>2722</v>
      </c>
      <c r="D1832" s="10" t="s">
        <v>4419</v>
      </c>
      <c r="E1832" s="10" t="s">
        <v>8576</v>
      </c>
      <c r="F1832" s="11" t="s">
        <v>8577</v>
      </c>
      <c r="G1832" s="10" t="s">
        <v>13</v>
      </c>
      <c r="H1832" s="12">
        <v>46263</v>
      </c>
      <c r="I1832" s="10" t="s">
        <v>2697</v>
      </c>
      <c r="J1832" s="10" t="str">
        <f>IFERROR(INDEX([1]Programas!$B$2:$B$50,MATCH(LEFT(I1832,3),[1]Programas!$A$2:$A$50,0)),"")</f>
        <v>IA Aplicada y Automati</v>
      </c>
      <c r="K1832" s="10" t="s">
        <v>750</v>
      </c>
    </row>
    <row r="1833" spans="1:11" x14ac:dyDescent="0.2">
      <c r="A1833" s="10">
        <v>1832</v>
      </c>
      <c r="B1833" s="10" t="s">
        <v>2725</v>
      </c>
      <c r="C1833" s="11" t="s">
        <v>2724</v>
      </c>
      <c r="D1833" s="10" t="s">
        <v>4419</v>
      </c>
      <c r="E1833" s="10" t="s">
        <v>8578</v>
      </c>
      <c r="F1833" s="11" t="s">
        <v>8579</v>
      </c>
      <c r="G1833" s="10" t="s">
        <v>13</v>
      </c>
      <c r="H1833" s="12">
        <v>46263</v>
      </c>
      <c r="I1833" s="10" t="s">
        <v>2697</v>
      </c>
      <c r="J1833" s="10" t="str">
        <f>IFERROR(INDEX([1]Programas!$B$2:$B$50,MATCH(LEFT(I1833,3),[1]Programas!$A$2:$A$50,0)),"")</f>
        <v>IA Aplicada y Automati</v>
      </c>
      <c r="K1833" s="10" t="s">
        <v>750</v>
      </c>
    </row>
    <row r="1834" spans="1:11" x14ac:dyDescent="0.2">
      <c r="A1834" s="10">
        <v>1833</v>
      </c>
      <c r="B1834" s="10" t="s">
        <v>8580</v>
      </c>
      <c r="C1834" s="11" t="s">
        <v>2726</v>
      </c>
      <c r="D1834" s="10" t="s">
        <v>4419</v>
      </c>
      <c r="E1834" s="10" t="s">
        <v>8581</v>
      </c>
      <c r="F1834" s="11" t="s">
        <v>8582</v>
      </c>
      <c r="G1834" s="10" t="s">
        <v>13</v>
      </c>
      <c r="H1834" s="12">
        <v>46263</v>
      </c>
      <c r="I1834" s="10" t="s">
        <v>2697</v>
      </c>
      <c r="J1834" s="10" t="str">
        <f>IFERROR(INDEX([1]Programas!$B$2:$B$50,MATCH(LEFT(I1834,3),[1]Programas!$A$2:$A$50,0)),"")</f>
        <v>IA Aplicada y Automati</v>
      </c>
      <c r="K1834" s="10" t="s">
        <v>750</v>
      </c>
    </row>
    <row r="1835" spans="1:11" x14ac:dyDescent="0.2">
      <c r="A1835" s="10">
        <v>1834</v>
      </c>
      <c r="B1835" s="10" t="s">
        <v>2729</v>
      </c>
      <c r="C1835" s="11" t="s">
        <v>2728</v>
      </c>
      <c r="D1835" s="10" t="s">
        <v>4419</v>
      </c>
      <c r="E1835" s="10" t="s">
        <v>8583</v>
      </c>
      <c r="F1835" s="11" t="s">
        <v>8584</v>
      </c>
      <c r="G1835" s="10" t="s">
        <v>13</v>
      </c>
      <c r="H1835" s="12">
        <v>46263</v>
      </c>
      <c r="I1835" s="10" t="s">
        <v>2697</v>
      </c>
      <c r="J1835" s="10" t="str">
        <f>IFERROR(INDEX([1]Programas!$B$2:$B$50,MATCH(LEFT(I1835,3),[1]Programas!$A$2:$A$50,0)),"")</f>
        <v>IA Aplicada y Automati</v>
      </c>
      <c r="K1835" s="10" t="s">
        <v>750</v>
      </c>
    </row>
    <row r="1836" spans="1:11" x14ac:dyDescent="0.2">
      <c r="A1836" s="10">
        <v>1835</v>
      </c>
      <c r="B1836" s="10" t="s">
        <v>2731</v>
      </c>
      <c r="C1836" s="11" t="s">
        <v>2730</v>
      </c>
      <c r="D1836" s="10" t="s">
        <v>4419</v>
      </c>
      <c r="E1836" s="10" t="s">
        <v>8585</v>
      </c>
      <c r="F1836" s="11" t="s">
        <v>8586</v>
      </c>
      <c r="G1836" s="10" t="s">
        <v>13</v>
      </c>
      <c r="H1836" s="12">
        <v>46263</v>
      </c>
      <c r="I1836" s="10" t="s">
        <v>2697</v>
      </c>
      <c r="J1836" s="10" t="str">
        <f>IFERROR(INDEX([1]Programas!$B$2:$B$50,MATCH(LEFT(I1836,3),[1]Programas!$A$2:$A$50,0)),"")</f>
        <v>IA Aplicada y Automati</v>
      </c>
      <c r="K1836" s="10" t="s">
        <v>750</v>
      </c>
    </row>
    <row r="1837" spans="1:11" x14ac:dyDescent="0.2">
      <c r="A1837" s="10">
        <v>1836</v>
      </c>
      <c r="B1837" s="10" t="s">
        <v>8587</v>
      </c>
      <c r="C1837" s="11" t="s">
        <v>2732</v>
      </c>
      <c r="D1837" s="10" t="s">
        <v>4453</v>
      </c>
      <c r="E1837" s="10" t="s">
        <v>8588</v>
      </c>
      <c r="F1837" s="11" t="s">
        <v>8589</v>
      </c>
      <c r="G1837" s="10" t="s">
        <v>13</v>
      </c>
      <c r="H1837" s="12">
        <v>46263</v>
      </c>
      <c r="I1837" s="10" t="s">
        <v>2697</v>
      </c>
      <c r="J1837" s="10" t="str">
        <f>IFERROR(INDEX([1]Programas!$B$2:$B$50,MATCH(LEFT(I1837,3),[1]Programas!$A$2:$A$50,0)),"")</f>
        <v>IA Aplicada y Automati</v>
      </c>
      <c r="K1837" s="10" t="s">
        <v>750</v>
      </c>
    </row>
    <row r="1838" spans="1:11" x14ac:dyDescent="0.2">
      <c r="A1838" s="10">
        <v>1837</v>
      </c>
      <c r="B1838" s="10" t="s">
        <v>2735</v>
      </c>
      <c r="C1838" s="11" t="s">
        <v>2734</v>
      </c>
      <c r="D1838" s="10" t="s">
        <v>4419</v>
      </c>
      <c r="E1838" s="10" t="s">
        <v>8590</v>
      </c>
      <c r="F1838" s="11" t="s">
        <v>8591</v>
      </c>
      <c r="G1838" s="10" t="s">
        <v>13</v>
      </c>
      <c r="H1838" s="12">
        <v>46263</v>
      </c>
      <c r="I1838" s="10" t="s">
        <v>2697</v>
      </c>
      <c r="J1838" s="10" t="str">
        <f>IFERROR(INDEX([1]Programas!$B$2:$B$50,MATCH(LEFT(I1838,3),[1]Programas!$A$2:$A$50,0)),"")</f>
        <v>IA Aplicada y Automati</v>
      </c>
      <c r="K1838" s="10" t="s">
        <v>750</v>
      </c>
    </row>
    <row r="1839" spans="1:11" x14ac:dyDescent="0.2">
      <c r="A1839" s="10">
        <v>1838</v>
      </c>
      <c r="B1839" s="10" t="s">
        <v>8592</v>
      </c>
      <c r="C1839" s="11" t="s">
        <v>2736</v>
      </c>
      <c r="D1839" s="10" t="s">
        <v>4419</v>
      </c>
      <c r="E1839" s="10" t="s">
        <v>8593</v>
      </c>
      <c r="F1839" s="11" t="s">
        <v>8594</v>
      </c>
      <c r="G1839" s="10" t="s">
        <v>13</v>
      </c>
      <c r="H1839" s="12">
        <v>46263</v>
      </c>
      <c r="I1839" s="10" t="s">
        <v>2697</v>
      </c>
      <c r="J1839" s="10" t="str">
        <f>IFERROR(INDEX([1]Programas!$B$2:$B$50,MATCH(LEFT(I1839,3),[1]Programas!$A$2:$A$50,0)),"")</f>
        <v>IA Aplicada y Automati</v>
      </c>
      <c r="K1839" s="10" t="s">
        <v>750</v>
      </c>
    </row>
    <row r="1840" spans="1:11" x14ac:dyDescent="0.2">
      <c r="A1840" s="10">
        <v>1839</v>
      </c>
      <c r="B1840" s="10" t="s">
        <v>8595</v>
      </c>
      <c r="C1840" s="11" t="s">
        <v>2738</v>
      </c>
      <c r="D1840" s="10" t="s">
        <v>4419</v>
      </c>
      <c r="E1840" s="10" t="s">
        <v>8596</v>
      </c>
      <c r="F1840" s="11" t="s">
        <v>8597</v>
      </c>
      <c r="G1840" s="10" t="s">
        <v>13</v>
      </c>
      <c r="H1840" s="12">
        <v>46263</v>
      </c>
      <c r="I1840" s="10" t="s">
        <v>2697</v>
      </c>
      <c r="J1840" s="10" t="str">
        <f>IFERROR(INDEX([1]Programas!$B$2:$B$50,MATCH(LEFT(I1840,3),[1]Programas!$A$2:$A$50,0)),"")</f>
        <v>IA Aplicada y Automati</v>
      </c>
      <c r="K1840" s="10" t="s">
        <v>750</v>
      </c>
    </row>
    <row r="1841" spans="1:11" x14ac:dyDescent="0.2">
      <c r="A1841" s="10">
        <v>1840</v>
      </c>
      <c r="B1841" s="10" t="s">
        <v>2741</v>
      </c>
      <c r="C1841" s="11" t="s">
        <v>2740</v>
      </c>
      <c r="D1841" s="10" t="s">
        <v>4419</v>
      </c>
      <c r="E1841" s="10" t="s">
        <v>8598</v>
      </c>
      <c r="F1841" s="11" t="s">
        <v>8599</v>
      </c>
      <c r="G1841" s="10" t="s">
        <v>13</v>
      </c>
      <c r="H1841" s="12">
        <v>46263</v>
      </c>
      <c r="I1841" s="10" t="s">
        <v>2697</v>
      </c>
      <c r="J1841" s="10" t="str">
        <f>IFERROR(INDEX([1]Programas!$B$2:$B$50,MATCH(LEFT(I1841,3),[1]Programas!$A$2:$A$50,0)),"")</f>
        <v>IA Aplicada y Automati</v>
      </c>
      <c r="K1841" s="10" t="s">
        <v>750</v>
      </c>
    </row>
    <row r="1842" spans="1:11" x14ac:dyDescent="0.2">
      <c r="A1842" s="10">
        <v>1841</v>
      </c>
      <c r="B1842" s="10" t="s">
        <v>2743</v>
      </c>
      <c r="C1842" s="11" t="s">
        <v>2742</v>
      </c>
      <c r="D1842" s="10" t="s">
        <v>4419</v>
      </c>
      <c r="E1842" s="10" t="s">
        <v>8600</v>
      </c>
      <c r="F1842" s="11" t="s">
        <v>8601</v>
      </c>
      <c r="G1842" s="10" t="s">
        <v>13</v>
      </c>
      <c r="H1842" s="12">
        <v>46263</v>
      </c>
      <c r="I1842" s="10" t="s">
        <v>2697</v>
      </c>
      <c r="J1842" s="10" t="str">
        <f>IFERROR(INDEX([1]Programas!$B$2:$B$50,MATCH(LEFT(I1842,3),[1]Programas!$A$2:$A$50,0)),"")</f>
        <v>IA Aplicada y Automati</v>
      </c>
      <c r="K1842" s="10" t="s">
        <v>750</v>
      </c>
    </row>
    <row r="1843" spans="1:11" x14ac:dyDescent="0.2">
      <c r="A1843" s="10">
        <v>1842</v>
      </c>
      <c r="B1843" s="10" t="s">
        <v>8602</v>
      </c>
      <c r="C1843" s="11" t="s">
        <v>2744</v>
      </c>
      <c r="D1843" s="10" t="s">
        <v>4453</v>
      </c>
      <c r="E1843" s="10" t="s">
        <v>8603</v>
      </c>
      <c r="F1843" s="11" t="s">
        <v>8604</v>
      </c>
      <c r="G1843" s="10" t="s">
        <v>13</v>
      </c>
      <c r="H1843" s="12">
        <v>46263</v>
      </c>
      <c r="I1843" s="10" t="s">
        <v>2697</v>
      </c>
      <c r="J1843" s="10" t="str">
        <f>IFERROR(INDEX([1]Programas!$B$2:$B$50,MATCH(LEFT(I1843,3),[1]Programas!$A$2:$A$50,0)),"")</f>
        <v>IA Aplicada y Automati</v>
      </c>
      <c r="K1843" s="10" t="s">
        <v>750</v>
      </c>
    </row>
    <row r="1844" spans="1:11" x14ac:dyDescent="0.2">
      <c r="A1844" s="10">
        <v>1843</v>
      </c>
      <c r="B1844" s="10" t="s">
        <v>2747</v>
      </c>
      <c r="C1844" s="11" t="s">
        <v>2746</v>
      </c>
      <c r="D1844" s="10" t="s">
        <v>4419</v>
      </c>
      <c r="E1844" s="10" t="s">
        <v>8605</v>
      </c>
      <c r="F1844" s="11" t="s">
        <v>8606</v>
      </c>
      <c r="G1844" s="10" t="s">
        <v>13</v>
      </c>
      <c r="H1844" s="12">
        <v>46263</v>
      </c>
      <c r="I1844" s="10" t="s">
        <v>2697</v>
      </c>
      <c r="J1844" s="10" t="str">
        <f>IFERROR(INDEX([1]Programas!$B$2:$B$50,MATCH(LEFT(I1844,3),[1]Programas!$A$2:$A$50,0)),"")</f>
        <v>IA Aplicada y Automati</v>
      </c>
      <c r="K1844" s="10" t="s">
        <v>750</v>
      </c>
    </row>
    <row r="1845" spans="1:11" x14ac:dyDescent="0.2">
      <c r="A1845" s="10">
        <v>1844</v>
      </c>
      <c r="B1845" s="10" t="s">
        <v>2749</v>
      </c>
      <c r="C1845" s="11" t="s">
        <v>2748</v>
      </c>
      <c r="D1845" s="10" t="s">
        <v>4419</v>
      </c>
      <c r="E1845" s="10" t="s">
        <v>8607</v>
      </c>
      <c r="F1845" s="11" t="s">
        <v>8608</v>
      </c>
      <c r="G1845" s="10" t="s">
        <v>13</v>
      </c>
      <c r="H1845" s="12">
        <v>46263</v>
      </c>
      <c r="I1845" s="10" t="s">
        <v>2697</v>
      </c>
      <c r="J1845" s="10" t="str">
        <f>IFERROR(INDEX([1]Programas!$B$2:$B$50,MATCH(LEFT(I1845,3),[1]Programas!$A$2:$A$50,0)),"")</f>
        <v>IA Aplicada y Automati</v>
      </c>
      <c r="K1845" s="10" t="s">
        <v>750</v>
      </c>
    </row>
    <row r="1846" spans="1:11" x14ac:dyDescent="0.2">
      <c r="A1846" s="10">
        <v>1845</v>
      </c>
      <c r="B1846" s="10" t="s">
        <v>8609</v>
      </c>
      <c r="C1846" s="11" t="s">
        <v>2750</v>
      </c>
      <c r="D1846" s="10" t="s">
        <v>4419</v>
      </c>
      <c r="E1846" s="10" t="s">
        <v>8610</v>
      </c>
      <c r="F1846" s="11" t="s">
        <v>8611</v>
      </c>
      <c r="G1846" s="10" t="s">
        <v>13</v>
      </c>
      <c r="H1846" s="12">
        <v>46263</v>
      </c>
      <c r="I1846" s="10" t="s">
        <v>2697</v>
      </c>
      <c r="J1846" s="10" t="str">
        <f>IFERROR(INDEX([1]Programas!$B$2:$B$50,MATCH(LEFT(I1846,3),[1]Programas!$A$2:$A$50,0)),"")</f>
        <v>IA Aplicada y Automati</v>
      </c>
      <c r="K1846" s="10" t="s">
        <v>750</v>
      </c>
    </row>
    <row r="1847" spans="1:11" x14ac:dyDescent="0.2">
      <c r="A1847" s="10">
        <v>1846</v>
      </c>
      <c r="B1847" s="10" t="s">
        <v>2753</v>
      </c>
      <c r="C1847" s="11" t="s">
        <v>2752</v>
      </c>
      <c r="D1847" s="10" t="s">
        <v>4419</v>
      </c>
      <c r="E1847" s="10" t="s">
        <v>8612</v>
      </c>
      <c r="F1847" s="11" t="s">
        <v>5413</v>
      </c>
      <c r="G1847" s="10" t="s">
        <v>13</v>
      </c>
      <c r="H1847" s="12">
        <v>46263</v>
      </c>
      <c r="I1847" s="10" t="s">
        <v>2697</v>
      </c>
      <c r="J1847" s="10" t="str">
        <f>IFERROR(INDEX([1]Programas!$B$2:$B$50,MATCH(LEFT(I1847,3),[1]Programas!$A$2:$A$50,0)),"")</f>
        <v>IA Aplicada y Automati</v>
      </c>
      <c r="K1847" s="10" t="s">
        <v>750</v>
      </c>
    </row>
    <row r="1848" spans="1:11" x14ac:dyDescent="0.2">
      <c r="A1848" s="10">
        <v>1847</v>
      </c>
      <c r="B1848" s="10" t="s">
        <v>2757</v>
      </c>
      <c r="C1848" s="11" t="s">
        <v>2756</v>
      </c>
      <c r="D1848" s="10" t="s">
        <v>4419</v>
      </c>
      <c r="E1848" s="10" t="s">
        <v>8613</v>
      </c>
      <c r="F1848" s="11" t="s">
        <v>8614</v>
      </c>
      <c r="G1848" s="10" t="s">
        <v>13</v>
      </c>
      <c r="H1848" s="12">
        <v>46263</v>
      </c>
      <c r="I1848" s="10" t="s">
        <v>2697</v>
      </c>
      <c r="J1848" s="10" t="str">
        <f>IFERROR(INDEX([1]Programas!$B$2:$B$50,MATCH(LEFT(I1848,3),[1]Programas!$A$2:$A$50,0)),"")</f>
        <v>IA Aplicada y Automati</v>
      </c>
      <c r="K1848" s="10" t="s">
        <v>750</v>
      </c>
    </row>
    <row r="1849" spans="1:11" x14ac:dyDescent="0.2">
      <c r="A1849" s="10">
        <v>1848</v>
      </c>
      <c r="B1849" s="10" t="s">
        <v>2759</v>
      </c>
      <c r="C1849" s="11" t="s">
        <v>2758</v>
      </c>
      <c r="D1849" s="10" t="s">
        <v>4419</v>
      </c>
      <c r="E1849" s="10" t="s">
        <v>8615</v>
      </c>
      <c r="F1849" s="11" t="s">
        <v>8616</v>
      </c>
      <c r="G1849" s="10" t="s">
        <v>13</v>
      </c>
      <c r="H1849" s="12">
        <v>46263</v>
      </c>
      <c r="I1849" s="10" t="s">
        <v>2697</v>
      </c>
      <c r="J1849" s="10" t="str">
        <f>IFERROR(INDEX([1]Programas!$B$2:$B$50,MATCH(LEFT(I1849,3),[1]Programas!$A$2:$A$50,0)),"")</f>
        <v>IA Aplicada y Automati</v>
      </c>
      <c r="K1849" s="10" t="s">
        <v>750</v>
      </c>
    </row>
    <row r="1850" spans="1:11" x14ac:dyDescent="0.2">
      <c r="A1850" s="10">
        <v>1849</v>
      </c>
      <c r="B1850" s="10" t="s">
        <v>8617</v>
      </c>
      <c r="C1850" s="11" t="s">
        <v>2760</v>
      </c>
      <c r="D1850" s="10" t="s">
        <v>4419</v>
      </c>
      <c r="E1850" s="10" t="s">
        <v>8618</v>
      </c>
      <c r="F1850" s="11" t="s">
        <v>8619</v>
      </c>
      <c r="G1850" s="10" t="s">
        <v>13</v>
      </c>
      <c r="H1850" s="12">
        <v>46263</v>
      </c>
      <c r="I1850" s="10" t="s">
        <v>2697</v>
      </c>
      <c r="J1850" s="10" t="str">
        <f>IFERROR(INDEX([1]Programas!$B$2:$B$50,MATCH(LEFT(I1850,3),[1]Programas!$A$2:$A$50,0)),"")</f>
        <v>IA Aplicada y Automati</v>
      </c>
      <c r="K1850" s="10" t="s">
        <v>750</v>
      </c>
    </row>
    <row r="1851" spans="1:11" x14ac:dyDescent="0.2">
      <c r="A1851" s="10">
        <v>1850</v>
      </c>
      <c r="B1851" s="10" t="s">
        <v>2763</v>
      </c>
      <c r="C1851" s="11" t="s">
        <v>2762</v>
      </c>
      <c r="D1851" s="10" t="s">
        <v>4419</v>
      </c>
      <c r="E1851" s="10" t="s">
        <v>8620</v>
      </c>
      <c r="F1851" s="11" t="s">
        <v>5984</v>
      </c>
      <c r="G1851" s="10" t="s">
        <v>13</v>
      </c>
      <c r="H1851" s="12">
        <v>46263</v>
      </c>
      <c r="I1851" s="10" t="s">
        <v>2697</v>
      </c>
      <c r="J1851" s="10" t="str">
        <f>IFERROR(INDEX([1]Programas!$B$2:$B$50,MATCH(LEFT(I1851,3),[1]Programas!$A$2:$A$50,0)),"")</f>
        <v>IA Aplicada y Automati</v>
      </c>
      <c r="K1851" s="10" t="s">
        <v>750</v>
      </c>
    </row>
    <row r="1852" spans="1:11" x14ac:dyDescent="0.2">
      <c r="A1852" s="10">
        <v>1851</v>
      </c>
      <c r="B1852" s="10" t="s">
        <v>8621</v>
      </c>
      <c r="C1852" s="11" t="s">
        <v>2764</v>
      </c>
      <c r="D1852" s="10" t="s">
        <v>4419</v>
      </c>
      <c r="E1852" s="10" t="s">
        <v>8622</v>
      </c>
      <c r="F1852" s="11" t="s">
        <v>8623</v>
      </c>
      <c r="G1852" s="10" t="s">
        <v>13</v>
      </c>
      <c r="H1852" s="12">
        <v>46263</v>
      </c>
      <c r="I1852" s="10" t="s">
        <v>2697</v>
      </c>
      <c r="J1852" s="10" t="str">
        <f>IFERROR(INDEX([1]Programas!$B$2:$B$50,MATCH(LEFT(I1852,3),[1]Programas!$A$2:$A$50,0)),"")</f>
        <v>IA Aplicada y Automati</v>
      </c>
      <c r="K1852" s="10" t="s">
        <v>750</v>
      </c>
    </row>
    <row r="1853" spans="1:11" x14ac:dyDescent="0.2">
      <c r="A1853" s="10">
        <v>1852</v>
      </c>
      <c r="B1853" s="10" t="s">
        <v>8624</v>
      </c>
      <c r="C1853" s="11" t="s">
        <v>2766</v>
      </c>
      <c r="D1853" s="10" t="s">
        <v>4419</v>
      </c>
      <c r="E1853" s="10" t="s">
        <v>8625</v>
      </c>
      <c r="F1853" s="11" t="s">
        <v>8626</v>
      </c>
      <c r="G1853" s="10" t="s">
        <v>13</v>
      </c>
      <c r="H1853" s="12">
        <v>46263</v>
      </c>
      <c r="I1853" s="10" t="s">
        <v>2697</v>
      </c>
      <c r="J1853" s="10" t="str">
        <f>IFERROR(INDEX([1]Programas!$B$2:$B$50,MATCH(LEFT(I1853,3),[1]Programas!$A$2:$A$50,0)),"")</f>
        <v>IA Aplicada y Automati</v>
      </c>
      <c r="K1853" s="10" t="s">
        <v>750</v>
      </c>
    </row>
    <row r="1854" spans="1:11" x14ac:dyDescent="0.2">
      <c r="A1854" s="10">
        <v>1853</v>
      </c>
      <c r="B1854" s="10" t="s">
        <v>2769</v>
      </c>
      <c r="C1854" s="11" t="s">
        <v>2768</v>
      </c>
      <c r="D1854" s="10" t="s">
        <v>4419</v>
      </c>
      <c r="E1854" s="10" t="s">
        <v>8627</v>
      </c>
      <c r="F1854" s="11" t="s">
        <v>8628</v>
      </c>
      <c r="G1854" s="10" t="s">
        <v>13</v>
      </c>
      <c r="H1854" s="12">
        <v>46263</v>
      </c>
      <c r="I1854" s="10" t="s">
        <v>2697</v>
      </c>
      <c r="J1854" s="10" t="str">
        <f>IFERROR(INDEX([1]Programas!$B$2:$B$50,MATCH(LEFT(I1854,3),[1]Programas!$A$2:$A$50,0)),"")</f>
        <v>IA Aplicada y Automati</v>
      </c>
      <c r="K1854" s="10" t="s">
        <v>750</v>
      </c>
    </row>
    <row r="1855" spans="1:11" x14ac:dyDescent="0.2">
      <c r="A1855" s="10">
        <v>1854</v>
      </c>
      <c r="B1855" s="10" t="s">
        <v>8629</v>
      </c>
      <c r="C1855" s="11" t="s">
        <v>2770</v>
      </c>
      <c r="D1855" s="10" t="s">
        <v>4419</v>
      </c>
      <c r="E1855" s="10" t="s">
        <v>8630</v>
      </c>
      <c r="F1855" s="11" t="s">
        <v>8631</v>
      </c>
      <c r="G1855" s="10" t="s">
        <v>13</v>
      </c>
      <c r="H1855" s="12">
        <v>46263</v>
      </c>
      <c r="I1855" s="10" t="s">
        <v>2697</v>
      </c>
      <c r="J1855" s="10" t="str">
        <f>IFERROR(INDEX([1]Programas!$B$2:$B$50,MATCH(LEFT(I1855,3),[1]Programas!$A$2:$A$50,0)),"")</f>
        <v>IA Aplicada y Automati</v>
      </c>
      <c r="K1855" s="10" t="s">
        <v>750</v>
      </c>
    </row>
    <row r="1856" spans="1:11" x14ac:dyDescent="0.2">
      <c r="A1856" s="10">
        <v>1855</v>
      </c>
      <c r="B1856" s="10" t="s">
        <v>2773</v>
      </c>
      <c r="C1856" s="11" t="s">
        <v>2772</v>
      </c>
      <c r="D1856" s="10" t="s">
        <v>4419</v>
      </c>
      <c r="E1856" s="10" t="s">
        <v>8632</v>
      </c>
      <c r="F1856" s="11" t="s">
        <v>8633</v>
      </c>
      <c r="G1856" s="10" t="s">
        <v>13</v>
      </c>
      <c r="H1856" s="12">
        <v>46263</v>
      </c>
      <c r="I1856" s="10" t="s">
        <v>2697</v>
      </c>
      <c r="J1856" s="10" t="str">
        <f>IFERROR(INDEX([1]Programas!$B$2:$B$50,MATCH(LEFT(I1856,3),[1]Programas!$A$2:$A$50,0)),"")</f>
        <v>IA Aplicada y Automati</v>
      </c>
      <c r="K1856" s="10" t="s">
        <v>750</v>
      </c>
    </row>
    <row r="1857" spans="1:11" x14ac:dyDescent="0.2">
      <c r="A1857" s="10">
        <v>1856</v>
      </c>
      <c r="B1857" s="10" t="s">
        <v>2775</v>
      </c>
      <c r="C1857" s="11" t="s">
        <v>2774</v>
      </c>
      <c r="D1857" s="10" t="s">
        <v>4419</v>
      </c>
      <c r="E1857" s="10" t="s">
        <v>8634</v>
      </c>
      <c r="F1857" s="11" t="s">
        <v>8635</v>
      </c>
      <c r="G1857" s="10" t="s">
        <v>13</v>
      </c>
      <c r="H1857" s="12">
        <v>46263</v>
      </c>
      <c r="I1857" s="10" t="s">
        <v>2697</v>
      </c>
      <c r="J1857" s="10" t="str">
        <f>IFERROR(INDEX([1]Programas!$B$2:$B$50,MATCH(LEFT(I1857,3),[1]Programas!$A$2:$A$50,0)),"")</f>
        <v>IA Aplicada y Automati</v>
      </c>
      <c r="K1857" s="10" t="s">
        <v>750</v>
      </c>
    </row>
    <row r="1858" spans="1:11" x14ac:dyDescent="0.2">
      <c r="A1858" s="10">
        <v>1857</v>
      </c>
      <c r="B1858" s="10" t="s">
        <v>2777</v>
      </c>
      <c r="C1858" s="11" t="s">
        <v>2776</v>
      </c>
      <c r="D1858" s="10" t="s">
        <v>4453</v>
      </c>
      <c r="E1858" s="10" t="s">
        <v>8636</v>
      </c>
      <c r="F1858" s="11" t="s">
        <v>8637</v>
      </c>
      <c r="G1858" s="10" t="s">
        <v>13</v>
      </c>
      <c r="H1858" s="12">
        <v>46263</v>
      </c>
      <c r="I1858" s="10" t="s">
        <v>2697</v>
      </c>
      <c r="J1858" s="10" t="str">
        <f>IFERROR(INDEX([1]Programas!$B$2:$B$50,MATCH(LEFT(I1858,3),[1]Programas!$A$2:$A$50,0)),"")</f>
        <v>IA Aplicada y Automati</v>
      </c>
      <c r="K1858" s="10" t="s">
        <v>750</v>
      </c>
    </row>
    <row r="1859" spans="1:11" x14ac:dyDescent="0.2">
      <c r="A1859" s="10">
        <v>1858</v>
      </c>
      <c r="B1859" s="10" t="s">
        <v>2779</v>
      </c>
      <c r="C1859" s="11" t="s">
        <v>2778</v>
      </c>
      <c r="D1859" s="10" t="s">
        <v>4419</v>
      </c>
      <c r="E1859" s="10" t="s">
        <v>8638</v>
      </c>
      <c r="F1859" s="11" t="s">
        <v>8639</v>
      </c>
      <c r="G1859" s="10" t="s">
        <v>13</v>
      </c>
      <c r="H1859" s="12">
        <v>46263</v>
      </c>
      <c r="I1859" s="10" t="s">
        <v>2697</v>
      </c>
      <c r="J1859" s="10" t="str">
        <f>IFERROR(INDEX([1]Programas!$B$2:$B$50,MATCH(LEFT(I1859,3),[1]Programas!$A$2:$A$50,0)),"")</f>
        <v>IA Aplicada y Automati</v>
      </c>
      <c r="K1859" s="10" t="s">
        <v>750</v>
      </c>
    </row>
    <row r="1860" spans="1:11" x14ac:dyDescent="0.2">
      <c r="A1860" s="10">
        <v>1859</v>
      </c>
      <c r="B1860" s="10" t="s">
        <v>2781</v>
      </c>
      <c r="C1860" s="11" t="s">
        <v>2780</v>
      </c>
      <c r="D1860" s="10" t="s">
        <v>4419</v>
      </c>
      <c r="E1860" s="10" t="s">
        <v>8640</v>
      </c>
      <c r="F1860" s="11" t="s">
        <v>8641</v>
      </c>
      <c r="G1860" s="10" t="s">
        <v>13</v>
      </c>
      <c r="H1860" s="12">
        <v>46263</v>
      </c>
      <c r="I1860" s="10" t="s">
        <v>2697</v>
      </c>
      <c r="J1860" s="10" t="str">
        <f>IFERROR(INDEX([1]Programas!$B$2:$B$50,MATCH(LEFT(I1860,3),[1]Programas!$A$2:$A$50,0)),"")</f>
        <v>IA Aplicada y Automati</v>
      </c>
      <c r="K1860" s="10" t="s">
        <v>750</v>
      </c>
    </row>
    <row r="1861" spans="1:11" x14ac:dyDescent="0.2">
      <c r="A1861" s="10">
        <v>1860</v>
      </c>
      <c r="B1861" s="10" t="s">
        <v>8642</v>
      </c>
      <c r="C1861" s="11" t="s">
        <v>2782</v>
      </c>
      <c r="D1861" s="10" t="s">
        <v>4419</v>
      </c>
      <c r="E1861" s="10" t="s">
        <v>8643</v>
      </c>
      <c r="F1861" s="11" t="s">
        <v>8644</v>
      </c>
      <c r="G1861" s="10" t="s">
        <v>13</v>
      </c>
      <c r="H1861" s="12">
        <v>46263</v>
      </c>
      <c r="I1861" s="10" t="s">
        <v>2697</v>
      </c>
      <c r="J1861" s="10" t="str">
        <f>IFERROR(INDEX([1]Programas!$B$2:$B$50,MATCH(LEFT(I1861,3),[1]Programas!$A$2:$A$50,0)),"")</f>
        <v>IA Aplicada y Automati</v>
      </c>
      <c r="K1861" s="10" t="s">
        <v>750</v>
      </c>
    </row>
    <row r="1862" spans="1:11" x14ac:dyDescent="0.2">
      <c r="A1862" s="10">
        <v>1861</v>
      </c>
      <c r="B1862" s="10" t="s">
        <v>8645</v>
      </c>
      <c r="C1862" s="11" t="s">
        <v>2784</v>
      </c>
      <c r="D1862" s="10" t="s">
        <v>4419</v>
      </c>
      <c r="E1862" s="10" t="s">
        <v>8646</v>
      </c>
      <c r="F1862" s="11" t="s">
        <v>8647</v>
      </c>
      <c r="G1862" s="10" t="s">
        <v>13</v>
      </c>
      <c r="H1862" s="12">
        <v>46263</v>
      </c>
      <c r="I1862" s="10" t="s">
        <v>2697</v>
      </c>
      <c r="J1862" s="10" t="str">
        <f>IFERROR(INDEX([1]Programas!$B$2:$B$50,MATCH(LEFT(I1862,3),[1]Programas!$A$2:$A$50,0)),"")</f>
        <v>IA Aplicada y Automati</v>
      </c>
      <c r="K1862" s="10" t="s">
        <v>750</v>
      </c>
    </row>
    <row r="1863" spans="1:11" x14ac:dyDescent="0.2">
      <c r="A1863" s="10">
        <v>1862</v>
      </c>
      <c r="B1863" s="10" t="s">
        <v>2787</v>
      </c>
      <c r="C1863" s="11" t="s">
        <v>2786</v>
      </c>
      <c r="D1863" s="10" t="s">
        <v>4419</v>
      </c>
      <c r="E1863" s="10" t="s">
        <v>8648</v>
      </c>
      <c r="F1863" s="11" t="s">
        <v>8649</v>
      </c>
      <c r="G1863" s="10" t="s">
        <v>13</v>
      </c>
      <c r="H1863" s="12">
        <v>46263</v>
      </c>
      <c r="I1863" s="10" t="s">
        <v>2697</v>
      </c>
      <c r="J1863" s="10" t="str">
        <f>IFERROR(INDEX([1]Programas!$B$2:$B$50,MATCH(LEFT(I1863,3),[1]Programas!$A$2:$A$50,0)),"")</f>
        <v>IA Aplicada y Automati</v>
      </c>
      <c r="K1863" s="10" t="s">
        <v>750</v>
      </c>
    </row>
    <row r="1864" spans="1:11" x14ac:dyDescent="0.2">
      <c r="A1864" s="10">
        <v>1863</v>
      </c>
      <c r="B1864" s="10" t="s">
        <v>8650</v>
      </c>
      <c r="C1864" s="11" t="s">
        <v>2788</v>
      </c>
      <c r="D1864" s="10" t="s">
        <v>4419</v>
      </c>
      <c r="E1864" s="10" t="s">
        <v>8651</v>
      </c>
      <c r="F1864" s="11" t="s">
        <v>8652</v>
      </c>
      <c r="G1864" s="10" t="s">
        <v>13</v>
      </c>
      <c r="H1864" s="12">
        <v>46263</v>
      </c>
      <c r="I1864" s="10" t="s">
        <v>2697</v>
      </c>
      <c r="J1864" s="10" t="str">
        <f>IFERROR(INDEX([1]Programas!$B$2:$B$50,MATCH(LEFT(I1864,3),[1]Programas!$A$2:$A$50,0)),"")</f>
        <v>IA Aplicada y Automati</v>
      </c>
      <c r="K1864" s="10" t="s">
        <v>750</v>
      </c>
    </row>
    <row r="1865" spans="1:11" x14ac:dyDescent="0.2">
      <c r="A1865" s="10">
        <v>1864</v>
      </c>
      <c r="B1865" s="10" t="s">
        <v>2791</v>
      </c>
      <c r="C1865" s="11" t="s">
        <v>2790</v>
      </c>
      <c r="D1865" s="10" t="s">
        <v>4419</v>
      </c>
      <c r="E1865" s="10" t="s">
        <v>8653</v>
      </c>
      <c r="F1865" s="11" t="s">
        <v>8654</v>
      </c>
      <c r="G1865" s="10" t="s">
        <v>13</v>
      </c>
      <c r="H1865" s="12">
        <v>46263</v>
      </c>
      <c r="I1865" s="10" t="s">
        <v>2793</v>
      </c>
      <c r="J1865" s="10" t="str">
        <f>IFERROR(INDEX([1]Programas!$B$2:$B$50,MATCH(LEFT(I1865,3),[1]Programas!$A$2:$A$50,0)),"")</f>
        <v>IA Aplicada y Automati</v>
      </c>
      <c r="K1865" s="10" t="s">
        <v>516</v>
      </c>
    </row>
    <row r="1866" spans="1:11" x14ac:dyDescent="0.2">
      <c r="A1866" s="10">
        <v>1865</v>
      </c>
      <c r="B1866" s="10" t="s">
        <v>2795</v>
      </c>
      <c r="C1866" s="11" t="s">
        <v>2794</v>
      </c>
      <c r="D1866" s="10" t="s">
        <v>4419</v>
      </c>
      <c r="E1866" s="10" t="s">
        <v>8655</v>
      </c>
      <c r="F1866" s="11" t="s">
        <v>8656</v>
      </c>
      <c r="G1866" s="10" t="s">
        <v>13</v>
      </c>
      <c r="H1866" s="12">
        <v>46263</v>
      </c>
      <c r="I1866" s="10" t="s">
        <v>2793</v>
      </c>
      <c r="J1866" s="10" t="str">
        <f>IFERROR(INDEX([1]Programas!$B$2:$B$50,MATCH(LEFT(I1866,3),[1]Programas!$A$2:$A$50,0)),"")</f>
        <v>IA Aplicada y Automati</v>
      </c>
      <c r="K1866" s="10" t="s">
        <v>516</v>
      </c>
    </row>
    <row r="1867" spans="1:11" x14ac:dyDescent="0.2">
      <c r="A1867" s="10">
        <v>1866</v>
      </c>
      <c r="B1867" s="10" t="s">
        <v>8657</v>
      </c>
      <c r="C1867" s="11" t="s">
        <v>2796</v>
      </c>
      <c r="D1867" s="10" t="s">
        <v>4419</v>
      </c>
      <c r="E1867" s="10" t="s">
        <v>8658</v>
      </c>
      <c r="F1867" s="11" t="s">
        <v>8659</v>
      </c>
      <c r="G1867" s="10" t="s">
        <v>13</v>
      </c>
      <c r="H1867" s="12">
        <v>46263</v>
      </c>
      <c r="I1867" s="10" t="s">
        <v>2793</v>
      </c>
      <c r="J1867" s="10" t="str">
        <f>IFERROR(INDEX([1]Programas!$B$2:$B$50,MATCH(LEFT(I1867,3),[1]Programas!$A$2:$A$50,0)),"")</f>
        <v>IA Aplicada y Automati</v>
      </c>
      <c r="K1867" s="10" t="s">
        <v>516</v>
      </c>
    </row>
    <row r="1868" spans="1:11" x14ac:dyDescent="0.2">
      <c r="A1868" s="10">
        <v>1867</v>
      </c>
      <c r="B1868" s="10" t="s">
        <v>2799</v>
      </c>
      <c r="C1868" s="11" t="s">
        <v>2798</v>
      </c>
      <c r="D1868" s="10" t="s">
        <v>4419</v>
      </c>
      <c r="E1868" s="10" t="s">
        <v>8660</v>
      </c>
      <c r="F1868" s="11" t="s">
        <v>8661</v>
      </c>
      <c r="G1868" s="10" t="s">
        <v>13</v>
      </c>
      <c r="H1868" s="12">
        <v>46263</v>
      </c>
      <c r="I1868" s="10" t="s">
        <v>2793</v>
      </c>
      <c r="J1868" s="10" t="str">
        <f>IFERROR(INDEX([1]Programas!$B$2:$B$50,MATCH(LEFT(I1868,3),[1]Programas!$A$2:$A$50,0)),"")</f>
        <v>IA Aplicada y Automati</v>
      </c>
      <c r="K1868" s="10" t="s">
        <v>516</v>
      </c>
    </row>
    <row r="1869" spans="1:11" x14ac:dyDescent="0.2">
      <c r="A1869" s="10">
        <v>1868</v>
      </c>
      <c r="B1869" s="10" t="s">
        <v>2801</v>
      </c>
      <c r="C1869" s="11" t="s">
        <v>2800</v>
      </c>
      <c r="D1869" s="10" t="s">
        <v>4419</v>
      </c>
      <c r="E1869" s="10" t="s">
        <v>8662</v>
      </c>
      <c r="F1869" s="11" t="s">
        <v>8663</v>
      </c>
      <c r="G1869" s="10" t="s">
        <v>13</v>
      </c>
      <c r="H1869" s="12">
        <v>46263</v>
      </c>
      <c r="I1869" s="10" t="s">
        <v>2793</v>
      </c>
      <c r="J1869" s="10" t="str">
        <f>IFERROR(INDEX([1]Programas!$B$2:$B$50,MATCH(LEFT(I1869,3),[1]Programas!$A$2:$A$50,0)),"")</f>
        <v>IA Aplicada y Automati</v>
      </c>
      <c r="K1869" s="10" t="s">
        <v>516</v>
      </c>
    </row>
    <row r="1870" spans="1:11" x14ac:dyDescent="0.2">
      <c r="A1870" s="10">
        <v>1869</v>
      </c>
      <c r="B1870" s="10" t="s">
        <v>2803</v>
      </c>
      <c r="C1870" s="11" t="s">
        <v>2802</v>
      </c>
      <c r="D1870" s="10" t="s">
        <v>4419</v>
      </c>
      <c r="E1870" s="10" t="s">
        <v>8664</v>
      </c>
      <c r="F1870" s="11" t="s">
        <v>8665</v>
      </c>
      <c r="G1870" s="10" t="s">
        <v>13</v>
      </c>
      <c r="H1870" s="12">
        <v>46263</v>
      </c>
      <c r="I1870" s="10" t="s">
        <v>2793</v>
      </c>
      <c r="J1870" s="10" t="str">
        <f>IFERROR(INDEX([1]Programas!$B$2:$B$50,MATCH(LEFT(I1870,3),[1]Programas!$A$2:$A$50,0)),"")</f>
        <v>IA Aplicada y Automati</v>
      </c>
      <c r="K1870" s="10" t="s">
        <v>516</v>
      </c>
    </row>
    <row r="1871" spans="1:11" x14ac:dyDescent="0.2">
      <c r="A1871" s="10">
        <v>1870</v>
      </c>
      <c r="B1871" s="10" t="s">
        <v>2805</v>
      </c>
      <c r="C1871" s="11" t="s">
        <v>2804</v>
      </c>
      <c r="D1871" s="10" t="s">
        <v>4419</v>
      </c>
      <c r="E1871" s="10" t="s">
        <v>8666</v>
      </c>
      <c r="F1871" s="11" t="s">
        <v>8667</v>
      </c>
      <c r="G1871" s="10" t="s">
        <v>13</v>
      </c>
      <c r="H1871" s="12">
        <v>46263</v>
      </c>
      <c r="I1871" s="10" t="s">
        <v>2793</v>
      </c>
      <c r="J1871" s="10" t="str">
        <f>IFERROR(INDEX([1]Programas!$B$2:$B$50,MATCH(LEFT(I1871,3),[1]Programas!$A$2:$A$50,0)),"")</f>
        <v>IA Aplicada y Automati</v>
      </c>
      <c r="K1871" s="10" t="s">
        <v>516</v>
      </c>
    </row>
    <row r="1872" spans="1:11" x14ac:dyDescent="0.2">
      <c r="A1872" s="10">
        <v>1871</v>
      </c>
      <c r="B1872" s="10" t="s">
        <v>2807</v>
      </c>
      <c r="C1872" s="11" t="s">
        <v>2806</v>
      </c>
      <c r="D1872" s="10" t="s">
        <v>4419</v>
      </c>
      <c r="E1872" s="10" t="s">
        <v>8668</v>
      </c>
      <c r="F1872" s="11" t="s">
        <v>8669</v>
      </c>
      <c r="G1872" s="10" t="s">
        <v>13</v>
      </c>
      <c r="H1872" s="12">
        <v>46263</v>
      </c>
      <c r="I1872" s="10" t="s">
        <v>2793</v>
      </c>
      <c r="J1872" s="10" t="str">
        <f>IFERROR(INDEX([1]Programas!$B$2:$B$50,MATCH(LEFT(I1872,3),[1]Programas!$A$2:$A$50,0)),"")</f>
        <v>IA Aplicada y Automati</v>
      </c>
      <c r="K1872" s="10" t="s">
        <v>516</v>
      </c>
    </row>
    <row r="1873" spans="1:11" x14ac:dyDescent="0.2">
      <c r="A1873" s="10">
        <v>1872</v>
      </c>
      <c r="B1873" s="10" t="s">
        <v>2809</v>
      </c>
      <c r="C1873" s="11" t="s">
        <v>2808</v>
      </c>
      <c r="D1873" s="10" t="s">
        <v>4419</v>
      </c>
      <c r="E1873" s="10" t="s">
        <v>8670</v>
      </c>
      <c r="F1873" s="11" t="s">
        <v>8671</v>
      </c>
      <c r="G1873" s="10" t="s">
        <v>13</v>
      </c>
      <c r="H1873" s="12">
        <v>46263</v>
      </c>
      <c r="I1873" s="10" t="s">
        <v>2793</v>
      </c>
      <c r="J1873" s="10" t="str">
        <f>IFERROR(INDEX([1]Programas!$B$2:$B$50,MATCH(LEFT(I1873,3),[1]Programas!$A$2:$A$50,0)),"")</f>
        <v>IA Aplicada y Automati</v>
      </c>
      <c r="K1873" s="10" t="s">
        <v>516</v>
      </c>
    </row>
    <row r="1874" spans="1:11" x14ac:dyDescent="0.2">
      <c r="A1874" s="10">
        <v>1873</v>
      </c>
      <c r="B1874" s="10" t="s">
        <v>2811</v>
      </c>
      <c r="C1874" s="11" t="s">
        <v>2810</v>
      </c>
      <c r="D1874" s="10" t="s">
        <v>4419</v>
      </c>
      <c r="E1874" s="10" t="s">
        <v>8672</v>
      </c>
      <c r="F1874" s="11" t="s">
        <v>8673</v>
      </c>
      <c r="G1874" s="10" t="s">
        <v>13</v>
      </c>
      <c r="H1874" s="12">
        <v>46263</v>
      </c>
      <c r="I1874" s="10" t="s">
        <v>2793</v>
      </c>
      <c r="J1874" s="10" t="str">
        <f>IFERROR(INDEX([1]Programas!$B$2:$B$50,MATCH(LEFT(I1874,3),[1]Programas!$A$2:$A$50,0)),"")</f>
        <v>IA Aplicada y Automati</v>
      </c>
      <c r="K1874" s="10" t="s">
        <v>516</v>
      </c>
    </row>
    <row r="1875" spans="1:11" x14ac:dyDescent="0.2">
      <c r="A1875" s="10">
        <v>1874</v>
      </c>
      <c r="B1875" s="10" t="s">
        <v>2813</v>
      </c>
      <c r="C1875" s="11" t="s">
        <v>2812</v>
      </c>
      <c r="D1875" s="10" t="s">
        <v>4419</v>
      </c>
      <c r="E1875" s="10" t="s">
        <v>8674</v>
      </c>
      <c r="F1875" s="11" t="s">
        <v>8675</v>
      </c>
      <c r="G1875" s="10" t="s">
        <v>13</v>
      </c>
      <c r="H1875" s="12">
        <v>46263</v>
      </c>
      <c r="I1875" s="10" t="s">
        <v>2793</v>
      </c>
      <c r="J1875" s="10" t="str">
        <f>IFERROR(INDEX([1]Programas!$B$2:$B$50,MATCH(LEFT(I1875,3),[1]Programas!$A$2:$A$50,0)),"")</f>
        <v>IA Aplicada y Automati</v>
      </c>
      <c r="K1875" s="10" t="s">
        <v>516</v>
      </c>
    </row>
    <row r="1876" spans="1:11" x14ac:dyDescent="0.2">
      <c r="A1876" s="10">
        <v>1875</v>
      </c>
      <c r="B1876" s="10" t="s">
        <v>2815</v>
      </c>
      <c r="C1876" s="11" t="s">
        <v>2814</v>
      </c>
      <c r="D1876" s="10" t="s">
        <v>4419</v>
      </c>
      <c r="E1876" s="10" t="s">
        <v>8676</v>
      </c>
      <c r="F1876" s="11" t="s">
        <v>8677</v>
      </c>
      <c r="G1876" s="10" t="s">
        <v>13</v>
      </c>
      <c r="H1876" s="12">
        <v>46263</v>
      </c>
      <c r="I1876" s="10" t="s">
        <v>2793</v>
      </c>
      <c r="J1876" s="10" t="str">
        <f>IFERROR(INDEX([1]Programas!$B$2:$B$50,MATCH(LEFT(I1876,3),[1]Programas!$A$2:$A$50,0)),"")</f>
        <v>IA Aplicada y Automati</v>
      </c>
      <c r="K1876" s="10" t="s">
        <v>516</v>
      </c>
    </row>
    <row r="1877" spans="1:11" x14ac:dyDescent="0.2">
      <c r="A1877" s="10">
        <v>1876</v>
      </c>
      <c r="B1877" s="10" t="s">
        <v>8678</v>
      </c>
      <c r="C1877" s="11" t="s">
        <v>2816</v>
      </c>
      <c r="D1877" s="10" t="s">
        <v>4453</v>
      </c>
      <c r="E1877" s="10" t="s">
        <v>8679</v>
      </c>
      <c r="F1877" s="11" t="s">
        <v>8680</v>
      </c>
      <c r="G1877" s="10" t="s">
        <v>13</v>
      </c>
      <c r="H1877" s="12">
        <v>46263</v>
      </c>
      <c r="I1877" s="10" t="s">
        <v>2793</v>
      </c>
      <c r="J1877" s="10" t="str">
        <f>IFERROR(INDEX([1]Programas!$B$2:$B$50,MATCH(LEFT(I1877,3),[1]Programas!$A$2:$A$50,0)),"")</f>
        <v>IA Aplicada y Automati</v>
      </c>
      <c r="K1877" s="10" t="s">
        <v>516</v>
      </c>
    </row>
    <row r="1878" spans="1:11" x14ac:dyDescent="0.2">
      <c r="A1878" s="10">
        <v>1877</v>
      </c>
      <c r="B1878" s="10" t="s">
        <v>2819</v>
      </c>
      <c r="C1878" s="11" t="s">
        <v>2818</v>
      </c>
      <c r="D1878" s="10" t="s">
        <v>4453</v>
      </c>
      <c r="E1878" s="10" t="s">
        <v>8681</v>
      </c>
      <c r="F1878" s="11" t="s">
        <v>8682</v>
      </c>
      <c r="G1878" s="10" t="s">
        <v>13</v>
      </c>
      <c r="H1878" s="12">
        <v>46263</v>
      </c>
      <c r="I1878" s="10" t="s">
        <v>2793</v>
      </c>
      <c r="J1878" s="10" t="str">
        <f>IFERROR(INDEX([1]Programas!$B$2:$B$50,MATCH(LEFT(I1878,3),[1]Programas!$A$2:$A$50,0)),"")</f>
        <v>IA Aplicada y Automati</v>
      </c>
      <c r="K1878" s="10" t="s">
        <v>516</v>
      </c>
    </row>
    <row r="1879" spans="1:11" x14ac:dyDescent="0.2">
      <c r="A1879" s="10">
        <v>1878</v>
      </c>
      <c r="B1879" s="10" t="s">
        <v>8683</v>
      </c>
      <c r="C1879" s="11" t="s">
        <v>2820</v>
      </c>
      <c r="D1879" s="10" t="s">
        <v>4419</v>
      </c>
      <c r="E1879" s="10" t="s">
        <v>8684</v>
      </c>
      <c r="F1879" s="11" t="s">
        <v>8685</v>
      </c>
      <c r="G1879" s="10" t="s">
        <v>13</v>
      </c>
      <c r="H1879" s="12">
        <v>46263</v>
      </c>
      <c r="I1879" s="10" t="s">
        <v>2793</v>
      </c>
      <c r="J1879" s="10" t="str">
        <f>IFERROR(INDEX([1]Programas!$B$2:$B$50,MATCH(LEFT(I1879,3),[1]Programas!$A$2:$A$50,0)),"")</f>
        <v>IA Aplicada y Automati</v>
      </c>
      <c r="K1879" s="10" t="s">
        <v>516</v>
      </c>
    </row>
    <row r="1880" spans="1:11" x14ac:dyDescent="0.2">
      <c r="A1880" s="10">
        <v>1879</v>
      </c>
      <c r="B1880" s="10" t="s">
        <v>8686</v>
      </c>
      <c r="C1880" s="11" t="s">
        <v>2822</v>
      </c>
      <c r="D1880" s="10" t="s">
        <v>4419</v>
      </c>
      <c r="E1880" s="10" t="s">
        <v>8687</v>
      </c>
      <c r="F1880" s="11" t="s">
        <v>8688</v>
      </c>
      <c r="G1880" s="10" t="s">
        <v>13</v>
      </c>
      <c r="H1880" s="12">
        <v>46263</v>
      </c>
      <c r="I1880" s="10" t="s">
        <v>2793</v>
      </c>
      <c r="J1880" s="10" t="str">
        <f>IFERROR(INDEX([1]Programas!$B$2:$B$50,MATCH(LEFT(I1880,3),[1]Programas!$A$2:$A$50,0)),"")</f>
        <v>IA Aplicada y Automati</v>
      </c>
      <c r="K1880" s="10" t="s">
        <v>516</v>
      </c>
    </row>
    <row r="1881" spans="1:11" x14ac:dyDescent="0.2">
      <c r="A1881" s="10">
        <v>1880</v>
      </c>
      <c r="B1881" s="10" t="s">
        <v>2828</v>
      </c>
      <c r="C1881" s="11" t="s">
        <v>2827</v>
      </c>
      <c r="D1881" s="10" t="s">
        <v>4419</v>
      </c>
      <c r="E1881" s="10" t="s">
        <v>8689</v>
      </c>
      <c r="F1881" s="11" t="s">
        <v>8690</v>
      </c>
      <c r="G1881" s="10" t="s">
        <v>13</v>
      </c>
      <c r="H1881" s="12">
        <v>46263</v>
      </c>
      <c r="I1881" s="10" t="s">
        <v>2793</v>
      </c>
      <c r="J1881" s="10" t="str">
        <f>IFERROR(INDEX([1]Programas!$B$2:$B$50,MATCH(LEFT(I1881,3),[1]Programas!$A$2:$A$50,0)),"")</f>
        <v>IA Aplicada y Automati</v>
      </c>
      <c r="K1881" s="10" t="s">
        <v>516</v>
      </c>
    </row>
    <row r="1882" spans="1:11" x14ac:dyDescent="0.2">
      <c r="A1882" s="10">
        <v>1881</v>
      </c>
      <c r="B1882" s="10" t="s">
        <v>8691</v>
      </c>
      <c r="C1882" s="11" t="s">
        <v>2829</v>
      </c>
      <c r="D1882" s="10" t="s">
        <v>4419</v>
      </c>
      <c r="E1882" s="10" t="s">
        <v>8692</v>
      </c>
      <c r="F1882" s="11" t="s">
        <v>8693</v>
      </c>
      <c r="G1882" s="10" t="s">
        <v>13</v>
      </c>
      <c r="H1882" s="12">
        <v>46263</v>
      </c>
      <c r="I1882" s="10" t="s">
        <v>2793</v>
      </c>
      <c r="J1882" s="10" t="str">
        <f>IFERROR(INDEX([1]Programas!$B$2:$B$50,MATCH(LEFT(I1882,3),[1]Programas!$A$2:$A$50,0)),"")</f>
        <v>IA Aplicada y Automati</v>
      </c>
      <c r="K1882" s="10" t="s">
        <v>516</v>
      </c>
    </row>
    <row r="1883" spans="1:11" x14ac:dyDescent="0.2">
      <c r="A1883" s="10">
        <v>1882</v>
      </c>
      <c r="B1883" s="10" t="s">
        <v>2832</v>
      </c>
      <c r="C1883" s="11" t="s">
        <v>2831</v>
      </c>
      <c r="D1883" s="10" t="s">
        <v>4419</v>
      </c>
      <c r="E1883" s="10" t="s">
        <v>8694</v>
      </c>
      <c r="F1883" s="11" t="s">
        <v>8695</v>
      </c>
      <c r="G1883" s="10" t="s">
        <v>13</v>
      </c>
      <c r="H1883" s="12">
        <v>46263</v>
      </c>
      <c r="I1883" s="10" t="s">
        <v>2793</v>
      </c>
      <c r="J1883" s="10" t="str">
        <f>IFERROR(INDEX([1]Programas!$B$2:$B$50,MATCH(LEFT(I1883,3),[1]Programas!$A$2:$A$50,0)),"")</f>
        <v>IA Aplicada y Automati</v>
      </c>
      <c r="K1883" s="10" t="s">
        <v>516</v>
      </c>
    </row>
    <row r="1884" spans="1:11" x14ac:dyDescent="0.2">
      <c r="A1884" s="10">
        <v>1883</v>
      </c>
      <c r="B1884" s="10" t="s">
        <v>2834</v>
      </c>
      <c r="C1884" s="11" t="s">
        <v>2833</v>
      </c>
      <c r="D1884" s="10" t="s">
        <v>4419</v>
      </c>
      <c r="E1884" s="10" t="s">
        <v>8696</v>
      </c>
      <c r="F1884" s="11" t="s">
        <v>8697</v>
      </c>
      <c r="G1884" s="10" t="s">
        <v>13</v>
      </c>
      <c r="H1884" s="12">
        <v>46263</v>
      </c>
      <c r="I1884" s="10" t="s">
        <v>2793</v>
      </c>
      <c r="J1884" s="10" t="str">
        <f>IFERROR(INDEX([1]Programas!$B$2:$B$50,MATCH(LEFT(I1884,3),[1]Programas!$A$2:$A$50,0)),"")</f>
        <v>IA Aplicada y Automati</v>
      </c>
      <c r="K1884" s="10" t="s">
        <v>516</v>
      </c>
    </row>
    <row r="1885" spans="1:11" x14ac:dyDescent="0.2">
      <c r="A1885" s="10">
        <v>1884</v>
      </c>
      <c r="B1885" s="10" t="s">
        <v>2836</v>
      </c>
      <c r="C1885" s="11" t="s">
        <v>2835</v>
      </c>
      <c r="D1885" s="10" t="s">
        <v>5003</v>
      </c>
      <c r="E1885" s="10" t="s">
        <v>8698</v>
      </c>
      <c r="F1885" s="11" t="s">
        <v>8699</v>
      </c>
      <c r="G1885" s="10" t="s">
        <v>13</v>
      </c>
      <c r="H1885" s="12">
        <v>46263</v>
      </c>
      <c r="I1885" s="10" t="s">
        <v>2793</v>
      </c>
      <c r="J1885" s="10" t="str">
        <f>IFERROR(INDEX([1]Programas!$B$2:$B$50,MATCH(LEFT(I1885,3),[1]Programas!$A$2:$A$50,0)),"")</f>
        <v>IA Aplicada y Automati</v>
      </c>
      <c r="K1885" s="10" t="s">
        <v>516</v>
      </c>
    </row>
    <row r="1886" spans="1:11" x14ac:dyDescent="0.2">
      <c r="A1886" s="10">
        <v>1885</v>
      </c>
      <c r="B1886" s="10" t="s">
        <v>2838</v>
      </c>
      <c r="C1886" s="11" t="s">
        <v>2837</v>
      </c>
      <c r="D1886" s="10" t="s">
        <v>4419</v>
      </c>
      <c r="E1886" s="10" t="s">
        <v>8700</v>
      </c>
      <c r="F1886" s="11" t="s">
        <v>8701</v>
      </c>
      <c r="G1886" s="10" t="s">
        <v>13</v>
      </c>
      <c r="H1886" s="12">
        <v>46263</v>
      </c>
      <c r="I1886" s="10" t="s">
        <v>2793</v>
      </c>
      <c r="J1886" s="10" t="str">
        <f>IFERROR(INDEX([1]Programas!$B$2:$B$50,MATCH(LEFT(I1886,3),[1]Programas!$A$2:$A$50,0)),"")</f>
        <v>IA Aplicada y Automati</v>
      </c>
      <c r="K1886" s="10" t="s">
        <v>516</v>
      </c>
    </row>
    <row r="1887" spans="1:11" x14ac:dyDescent="0.2">
      <c r="A1887" s="10">
        <v>1886</v>
      </c>
      <c r="B1887" s="10" t="s">
        <v>2840</v>
      </c>
      <c r="C1887" s="11" t="s">
        <v>2839</v>
      </c>
      <c r="D1887" s="10" t="s">
        <v>4419</v>
      </c>
      <c r="E1887" s="10" t="s">
        <v>8702</v>
      </c>
      <c r="F1887" s="11" t="s">
        <v>8703</v>
      </c>
      <c r="G1887" s="10" t="s">
        <v>13</v>
      </c>
      <c r="H1887" s="12">
        <v>46263</v>
      </c>
      <c r="I1887" s="10" t="s">
        <v>2793</v>
      </c>
      <c r="J1887" s="10" t="str">
        <f>IFERROR(INDEX([1]Programas!$B$2:$B$50,MATCH(LEFT(I1887,3),[1]Programas!$A$2:$A$50,0)),"")</f>
        <v>IA Aplicada y Automati</v>
      </c>
      <c r="K1887" s="10" t="s">
        <v>516</v>
      </c>
    </row>
    <row r="1888" spans="1:11" x14ac:dyDescent="0.2">
      <c r="A1888" s="10">
        <v>1887</v>
      </c>
      <c r="B1888" s="10" t="s">
        <v>8704</v>
      </c>
      <c r="C1888" s="11" t="s">
        <v>2841</v>
      </c>
      <c r="D1888" s="10" t="s">
        <v>4419</v>
      </c>
      <c r="E1888" s="10" t="s">
        <v>8705</v>
      </c>
      <c r="F1888" s="11" t="s">
        <v>8706</v>
      </c>
      <c r="G1888" s="10" t="s">
        <v>13</v>
      </c>
      <c r="H1888" s="12">
        <v>46263</v>
      </c>
      <c r="I1888" s="10" t="s">
        <v>2793</v>
      </c>
      <c r="J1888" s="10" t="str">
        <f>IFERROR(INDEX([1]Programas!$B$2:$B$50,MATCH(LEFT(I1888,3),[1]Programas!$A$2:$A$50,0)),"")</f>
        <v>IA Aplicada y Automati</v>
      </c>
      <c r="K1888" s="10" t="s">
        <v>516</v>
      </c>
    </row>
    <row r="1889" spans="1:11" x14ac:dyDescent="0.2">
      <c r="A1889" s="10">
        <v>1888</v>
      </c>
      <c r="B1889" s="10" t="s">
        <v>2848</v>
      </c>
      <c r="C1889" s="11" t="s">
        <v>2847</v>
      </c>
      <c r="D1889" s="10" t="s">
        <v>4419</v>
      </c>
      <c r="E1889" s="10" t="s">
        <v>8707</v>
      </c>
      <c r="F1889" s="11" t="s">
        <v>8708</v>
      </c>
      <c r="G1889" s="10" t="s">
        <v>13</v>
      </c>
      <c r="H1889" s="12">
        <v>46263</v>
      </c>
      <c r="I1889" s="10" t="s">
        <v>2793</v>
      </c>
      <c r="J1889" s="10" t="str">
        <f>IFERROR(INDEX([1]Programas!$B$2:$B$50,MATCH(LEFT(I1889,3),[1]Programas!$A$2:$A$50,0)),"")</f>
        <v>IA Aplicada y Automati</v>
      </c>
      <c r="K1889" s="10" t="s">
        <v>516</v>
      </c>
    </row>
    <row r="1890" spans="1:11" x14ac:dyDescent="0.2">
      <c r="A1890" s="10">
        <v>1889</v>
      </c>
      <c r="B1890" s="10" t="s">
        <v>2850</v>
      </c>
      <c r="C1890" s="11" t="s">
        <v>2849</v>
      </c>
      <c r="D1890" s="10" t="s">
        <v>4419</v>
      </c>
      <c r="E1890" s="10" t="s">
        <v>8709</v>
      </c>
      <c r="F1890" s="11" t="s">
        <v>8710</v>
      </c>
      <c r="G1890" s="10" t="s">
        <v>13</v>
      </c>
      <c r="H1890" s="12">
        <v>46263</v>
      </c>
      <c r="I1890" s="10" t="s">
        <v>2793</v>
      </c>
      <c r="J1890" s="10" t="str">
        <f>IFERROR(INDEX([1]Programas!$B$2:$B$50,MATCH(LEFT(I1890,3),[1]Programas!$A$2:$A$50,0)),"")</f>
        <v>IA Aplicada y Automati</v>
      </c>
      <c r="K1890" s="10" t="s">
        <v>516</v>
      </c>
    </row>
    <row r="1891" spans="1:11" x14ac:dyDescent="0.2">
      <c r="A1891" s="10">
        <v>1890</v>
      </c>
      <c r="B1891" s="10" t="s">
        <v>8711</v>
      </c>
      <c r="C1891" s="11" t="s">
        <v>2851</v>
      </c>
      <c r="D1891" s="10" t="s">
        <v>4419</v>
      </c>
      <c r="E1891" s="10" t="s">
        <v>8712</v>
      </c>
      <c r="F1891" s="11" t="s">
        <v>8713</v>
      </c>
      <c r="G1891" s="10" t="s">
        <v>13</v>
      </c>
      <c r="H1891" s="12">
        <v>46263</v>
      </c>
      <c r="I1891" s="10" t="s">
        <v>2793</v>
      </c>
      <c r="J1891" s="10" t="str">
        <f>IFERROR(INDEX([1]Programas!$B$2:$B$50,MATCH(LEFT(I1891,3),[1]Programas!$A$2:$A$50,0)),"")</f>
        <v>IA Aplicada y Automati</v>
      </c>
      <c r="K1891" s="10" t="s">
        <v>516</v>
      </c>
    </row>
    <row r="1892" spans="1:11" x14ac:dyDescent="0.2">
      <c r="A1892" s="10">
        <v>1891</v>
      </c>
      <c r="B1892" s="10" t="s">
        <v>2854</v>
      </c>
      <c r="C1892" s="11" t="s">
        <v>2853</v>
      </c>
      <c r="D1892" s="10" t="s">
        <v>4419</v>
      </c>
      <c r="E1892" s="10" t="s">
        <v>8714</v>
      </c>
      <c r="F1892" s="11" t="s">
        <v>8715</v>
      </c>
      <c r="G1892" s="10" t="s">
        <v>13</v>
      </c>
      <c r="H1892" s="12">
        <v>46263</v>
      </c>
      <c r="I1892" s="10" t="s">
        <v>2793</v>
      </c>
      <c r="J1892" s="10" t="str">
        <f>IFERROR(INDEX([1]Programas!$B$2:$B$50,MATCH(LEFT(I1892,3),[1]Programas!$A$2:$A$50,0)),"")</f>
        <v>IA Aplicada y Automati</v>
      </c>
      <c r="K1892" s="10" t="s">
        <v>516</v>
      </c>
    </row>
    <row r="1893" spans="1:11" x14ac:dyDescent="0.2">
      <c r="A1893" s="10">
        <v>1892</v>
      </c>
      <c r="B1893" s="10" t="s">
        <v>8716</v>
      </c>
      <c r="C1893" s="11" t="s">
        <v>2855</v>
      </c>
      <c r="D1893" s="10" t="s">
        <v>4419</v>
      </c>
      <c r="E1893" s="10" t="s">
        <v>8717</v>
      </c>
      <c r="F1893" s="11" t="s">
        <v>8718</v>
      </c>
      <c r="G1893" s="10" t="s">
        <v>13</v>
      </c>
      <c r="H1893" s="12">
        <v>46263</v>
      </c>
      <c r="I1893" s="10" t="s">
        <v>2793</v>
      </c>
      <c r="J1893" s="10" t="str">
        <f>IFERROR(INDEX([1]Programas!$B$2:$B$50,MATCH(LEFT(I1893,3),[1]Programas!$A$2:$A$50,0)),"")</f>
        <v>IA Aplicada y Automati</v>
      </c>
      <c r="K1893" s="10" t="s">
        <v>516</v>
      </c>
    </row>
    <row r="1894" spans="1:11" x14ac:dyDescent="0.2">
      <c r="A1894" s="10">
        <v>1893</v>
      </c>
      <c r="B1894" s="10" t="s">
        <v>2858</v>
      </c>
      <c r="C1894" s="11" t="s">
        <v>2857</v>
      </c>
      <c r="D1894" s="10" t="s">
        <v>4419</v>
      </c>
      <c r="E1894" s="10" t="s">
        <v>8719</v>
      </c>
      <c r="F1894" s="11" t="s">
        <v>8720</v>
      </c>
      <c r="G1894" s="10" t="s">
        <v>13</v>
      </c>
      <c r="H1894" s="12">
        <v>46263</v>
      </c>
      <c r="I1894" s="10" t="s">
        <v>2793</v>
      </c>
      <c r="J1894" s="10" t="str">
        <f>IFERROR(INDEX([1]Programas!$B$2:$B$50,MATCH(LEFT(I1894,3),[1]Programas!$A$2:$A$50,0)),"")</f>
        <v>IA Aplicada y Automati</v>
      </c>
      <c r="K1894" s="10" t="s">
        <v>516</v>
      </c>
    </row>
    <row r="1895" spans="1:11" x14ac:dyDescent="0.2">
      <c r="A1895" s="10">
        <v>1894</v>
      </c>
      <c r="B1895" s="10" t="s">
        <v>2862</v>
      </c>
      <c r="C1895" s="11" t="s">
        <v>2861</v>
      </c>
      <c r="D1895" s="10" t="s">
        <v>4419</v>
      </c>
      <c r="E1895" s="10" t="s">
        <v>8721</v>
      </c>
      <c r="F1895" s="11" t="s">
        <v>8722</v>
      </c>
      <c r="G1895" s="10" t="s">
        <v>13</v>
      </c>
      <c r="H1895" s="12">
        <v>46263</v>
      </c>
      <c r="I1895" s="10" t="s">
        <v>2793</v>
      </c>
      <c r="J1895" s="10" t="str">
        <f>IFERROR(INDEX([1]Programas!$B$2:$B$50,MATCH(LEFT(I1895,3),[1]Programas!$A$2:$A$50,0)),"")</f>
        <v>IA Aplicada y Automati</v>
      </c>
      <c r="K1895" s="10" t="s">
        <v>516</v>
      </c>
    </row>
    <row r="1896" spans="1:11" x14ac:dyDescent="0.2">
      <c r="A1896" s="10">
        <v>1895</v>
      </c>
      <c r="B1896" s="10" t="s">
        <v>2864</v>
      </c>
      <c r="C1896" s="11" t="s">
        <v>2863</v>
      </c>
      <c r="D1896" s="10" t="s">
        <v>4419</v>
      </c>
      <c r="E1896" s="10" t="s">
        <v>8723</v>
      </c>
      <c r="F1896" s="11" t="s">
        <v>8724</v>
      </c>
      <c r="G1896" s="10" t="s">
        <v>13</v>
      </c>
      <c r="H1896" s="12">
        <v>46263</v>
      </c>
      <c r="I1896" s="10" t="s">
        <v>2793</v>
      </c>
      <c r="J1896" s="10" t="str">
        <f>IFERROR(INDEX([1]Programas!$B$2:$B$50,MATCH(LEFT(I1896,3),[1]Programas!$A$2:$A$50,0)),"")</f>
        <v>IA Aplicada y Automati</v>
      </c>
      <c r="K1896" s="10" t="s">
        <v>516</v>
      </c>
    </row>
    <row r="1897" spans="1:11" x14ac:dyDescent="0.2">
      <c r="A1897" s="10">
        <v>1896</v>
      </c>
      <c r="B1897" s="10" t="s">
        <v>2866</v>
      </c>
      <c r="C1897" s="11" t="s">
        <v>2865</v>
      </c>
      <c r="D1897" s="10" t="s">
        <v>4419</v>
      </c>
      <c r="E1897" s="10" t="s">
        <v>8725</v>
      </c>
      <c r="F1897" s="11" t="s">
        <v>8726</v>
      </c>
      <c r="G1897" s="10" t="s">
        <v>13</v>
      </c>
      <c r="H1897" s="12">
        <v>46276</v>
      </c>
      <c r="I1897" s="10" t="s">
        <v>2793</v>
      </c>
      <c r="J1897" s="10" t="str">
        <f>IFERROR(INDEX([1]Programas!$B$2:$B$50,MATCH(LEFT(I1897,3),[1]Programas!$A$2:$A$50,0)),"")</f>
        <v>IA Aplicada y Automati</v>
      </c>
      <c r="K1897" s="10" t="s">
        <v>516</v>
      </c>
    </row>
    <row r="1898" spans="1:11" x14ac:dyDescent="0.2">
      <c r="A1898" s="10">
        <v>1897</v>
      </c>
      <c r="B1898" s="10" t="s">
        <v>8727</v>
      </c>
      <c r="C1898" s="11" t="s">
        <v>2867</v>
      </c>
      <c r="D1898" s="10" t="s">
        <v>4453</v>
      </c>
      <c r="E1898" s="10" t="s">
        <v>8728</v>
      </c>
      <c r="F1898" s="11" t="s">
        <v>8729</v>
      </c>
      <c r="G1898" s="10" t="s">
        <v>13</v>
      </c>
      <c r="H1898" s="12">
        <v>46263</v>
      </c>
      <c r="I1898" s="10" t="s">
        <v>2870</v>
      </c>
      <c r="J1898" s="10" t="str">
        <f>IFERROR(INDEX([1]Programas!$B$2:$B$50,MATCH(LEFT(I1898,3),[1]Programas!$A$2:$A$50,0)),"")</f>
        <v>IA Aplicada y Automati</v>
      </c>
      <c r="K1898" s="10" t="s">
        <v>516</v>
      </c>
    </row>
    <row r="1899" spans="1:11" x14ac:dyDescent="0.2">
      <c r="A1899" s="10">
        <v>1898</v>
      </c>
      <c r="B1899" s="10" t="s">
        <v>2872</v>
      </c>
      <c r="C1899" s="11" t="s">
        <v>2871</v>
      </c>
      <c r="D1899" s="10" t="s">
        <v>4419</v>
      </c>
      <c r="E1899" s="10" t="s">
        <v>8730</v>
      </c>
      <c r="F1899" s="11" t="s">
        <v>8731</v>
      </c>
      <c r="G1899" s="10" t="s">
        <v>13</v>
      </c>
      <c r="H1899" s="12">
        <v>46263</v>
      </c>
      <c r="I1899" s="10" t="s">
        <v>2870</v>
      </c>
      <c r="J1899" s="10" t="str">
        <f>IFERROR(INDEX([1]Programas!$B$2:$B$50,MATCH(LEFT(I1899,3),[1]Programas!$A$2:$A$50,0)),"")</f>
        <v>IA Aplicada y Automati</v>
      </c>
      <c r="K1899" s="10" t="s">
        <v>516</v>
      </c>
    </row>
    <row r="1900" spans="1:11" x14ac:dyDescent="0.2">
      <c r="A1900" s="10">
        <v>1899</v>
      </c>
      <c r="B1900" s="10" t="s">
        <v>2874</v>
      </c>
      <c r="C1900" s="11" t="s">
        <v>2873</v>
      </c>
      <c r="D1900" s="10" t="s">
        <v>4419</v>
      </c>
      <c r="E1900" s="10" t="s">
        <v>8732</v>
      </c>
      <c r="F1900" s="11" t="s">
        <v>8733</v>
      </c>
      <c r="G1900" s="10" t="s">
        <v>13</v>
      </c>
      <c r="H1900" s="12">
        <v>46263</v>
      </c>
      <c r="I1900" s="10" t="s">
        <v>2870</v>
      </c>
      <c r="J1900" s="10" t="str">
        <f>IFERROR(INDEX([1]Programas!$B$2:$B$50,MATCH(LEFT(I1900,3),[1]Programas!$A$2:$A$50,0)),"")</f>
        <v>IA Aplicada y Automati</v>
      </c>
      <c r="K1900" s="10" t="s">
        <v>516</v>
      </c>
    </row>
    <row r="1901" spans="1:11" x14ac:dyDescent="0.2">
      <c r="A1901" s="10">
        <v>1900</v>
      </c>
      <c r="B1901" s="10" t="s">
        <v>2876</v>
      </c>
      <c r="C1901" s="11" t="s">
        <v>2875</v>
      </c>
      <c r="D1901" s="10" t="s">
        <v>4419</v>
      </c>
      <c r="E1901" s="10" t="s">
        <v>8734</v>
      </c>
      <c r="F1901" s="11" t="s">
        <v>8735</v>
      </c>
      <c r="G1901" s="10" t="s">
        <v>13</v>
      </c>
      <c r="H1901" s="12">
        <v>46263</v>
      </c>
      <c r="I1901" s="10" t="s">
        <v>2870</v>
      </c>
      <c r="J1901" s="10" t="str">
        <f>IFERROR(INDEX([1]Programas!$B$2:$B$50,MATCH(LEFT(I1901,3),[1]Programas!$A$2:$A$50,0)),"")</f>
        <v>IA Aplicada y Automati</v>
      </c>
      <c r="K1901" s="10" t="s">
        <v>516</v>
      </c>
    </row>
    <row r="1902" spans="1:11" x14ac:dyDescent="0.2">
      <c r="A1902" s="10">
        <v>1901</v>
      </c>
      <c r="B1902" s="10" t="s">
        <v>2878</v>
      </c>
      <c r="C1902" s="11" t="s">
        <v>2877</v>
      </c>
      <c r="D1902" s="10" t="s">
        <v>4419</v>
      </c>
      <c r="E1902" s="10" t="s">
        <v>8736</v>
      </c>
      <c r="F1902" s="11" t="s">
        <v>8737</v>
      </c>
      <c r="G1902" s="10" t="s">
        <v>13</v>
      </c>
      <c r="H1902" s="12">
        <v>46263</v>
      </c>
      <c r="I1902" s="10" t="s">
        <v>2870</v>
      </c>
      <c r="J1902" s="10" t="str">
        <f>IFERROR(INDEX([1]Programas!$B$2:$B$50,MATCH(LEFT(I1902,3),[1]Programas!$A$2:$A$50,0)),"")</f>
        <v>IA Aplicada y Automati</v>
      </c>
      <c r="K1902" s="10" t="s">
        <v>516</v>
      </c>
    </row>
    <row r="1903" spans="1:11" x14ac:dyDescent="0.2">
      <c r="A1903" s="10">
        <v>1902</v>
      </c>
      <c r="B1903" s="10" t="s">
        <v>2880</v>
      </c>
      <c r="C1903" s="11" t="s">
        <v>2879</v>
      </c>
      <c r="D1903" s="10" t="s">
        <v>4419</v>
      </c>
      <c r="E1903" s="10" t="s">
        <v>8738</v>
      </c>
      <c r="F1903" s="11" t="s">
        <v>8739</v>
      </c>
      <c r="G1903" s="10" t="s">
        <v>13</v>
      </c>
      <c r="H1903" s="12">
        <v>46263</v>
      </c>
      <c r="I1903" s="10" t="s">
        <v>2870</v>
      </c>
      <c r="J1903" s="10" t="str">
        <f>IFERROR(INDEX([1]Programas!$B$2:$B$50,MATCH(LEFT(I1903,3),[1]Programas!$A$2:$A$50,0)),"")</f>
        <v>IA Aplicada y Automati</v>
      </c>
      <c r="K1903" s="10" t="s">
        <v>516</v>
      </c>
    </row>
    <row r="1904" spans="1:11" x14ac:dyDescent="0.2">
      <c r="A1904" s="10">
        <v>1903</v>
      </c>
      <c r="B1904" s="10" t="s">
        <v>2882</v>
      </c>
      <c r="C1904" s="11" t="s">
        <v>2881</v>
      </c>
      <c r="D1904" s="10" t="s">
        <v>4419</v>
      </c>
      <c r="E1904" s="10" t="s">
        <v>8740</v>
      </c>
      <c r="F1904" s="11" t="s">
        <v>8741</v>
      </c>
      <c r="G1904" s="10" t="s">
        <v>13</v>
      </c>
      <c r="H1904" s="12">
        <v>46263</v>
      </c>
      <c r="I1904" s="10" t="s">
        <v>2870</v>
      </c>
      <c r="J1904" s="10" t="str">
        <f>IFERROR(INDEX([1]Programas!$B$2:$B$50,MATCH(LEFT(I1904,3),[1]Programas!$A$2:$A$50,0)),"")</f>
        <v>IA Aplicada y Automati</v>
      </c>
      <c r="K1904" s="10" t="s">
        <v>516</v>
      </c>
    </row>
    <row r="1905" spans="1:11" x14ac:dyDescent="0.2">
      <c r="A1905" s="10">
        <v>1904</v>
      </c>
      <c r="B1905" s="10" t="s">
        <v>2884</v>
      </c>
      <c r="C1905" s="11" t="s">
        <v>2883</v>
      </c>
      <c r="D1905" s="10" t="s">
        <v>4419</v>
      </c>
      <c r="E1905" s="10" t="s">
        <v>8742</v>
      </c>
      <c r="F1905" s="11" t="s">
        <v>8743</v>
      </c>
      <c r="G1905" s="10" t="s">
        <v>13</v>
      </c>
      <c r="H1905" s="12">
        <v>46263</v>
      </c>
      <c r="I1905" s="10" t="s">
        <v>2870</v>
      </c>
      <c r="J1905" s="10" t="str">
        <f>IFERROR(INDEX([1]Programas!$B$2:$B$50,MATCH(LEFT(I1905,3),[1]Programas!$A$2:$A$50,0)),"")</f>
        <v>IA Aplicada y Automati</v>
      </c>
      <c r="K1905" s="10" t="s">
        <v>516</v>
      </c>
    </row>
    <row r="1906" spans="1:11" x14ac:dyDescent="0.2">
      <c r="A1906" s="10">
        <v>1905</v>
      </c>
      <c r="B1906" s="10" t="s">
        <v>2886</v>
      </c>
      <c r="C1906" s="11" t="s">
        <v>2885</v>
      </c>
      <c r="D1906" s="10" t="s">
        <v>4419</v>
      </c>
      <c r="E1906" s="10" t="s">
        <v>8744</v>
      </c>
      <c r="F1906" s="11" t="s">
        <v>8745</v>
      </c>
      <c r="G1906" s="10" t="s">
        <v>13</v>
      </c>
      <c r="H1906" s="12">
        <v>46263</v>
      </c>
      <c r="I1906" s="10" t="s">
        <v>2870</v>
      </c>
      <c r="J1906" s="10" t="str">
        <f>IFERROR(INDEX([1]Programas!$B$2:$B$50,MATCH(LEFT(I1906,3),[1]Programas!$A$2:$A$50,0)),"")</f>
        <v>IA Aplicada y Automati</v>
      </c>
      <c r="K1906" s="10" t="s">
        <v>516</v>
      </c>
    </row>
    <row r="1907" spans="1:11" x14ac:dyDescent="0.2">
      <c r="A1907" s="10">
        <v>1906</v>
      </c>
      <c r="B1907" s="10" t="s">
        <v>2888</v>
      </c>
      <c r="C1907" s="11" t="s">
        <v>2887</v>
      </c>
      <c r="D1907" s="10" t="s">
        <v>4453</v>
      </c>
      <c r="E1907" s="10" t="s">
        <v>8746</v>
      </c>
      <c r="F1907" s="11" t="s">
        <v>8747</v>
      </c>
      <c r="G1907" s="10" t="s">
        <v>13</v>
      </c>
      <c r="H1907" s="12">
        <v>46263</v>
      </c>
      <c r="I1907" s="10" t="s">
        <v>2870</v>
      </c>
      <c r="J1907" s="10" t="str">
        <f>IFERROR(INDEX([1]Programas!$B$2:$B$50,MATCH(LEFT(I1907,3),[1]Programas!$A$2:$A$50,0)),"")</f>
        <v>IA Aplicada y Automati</v>
      </c>
      <c r="K1907" s="10" t="s">
        <v>516</v>
      </c>
    </row>
    <row r="1908" spans="1:11" x14ac:dyDescent="0.2">
      <c r="A1908" s="10">
        <v>1907</v>
      </c>
      <c r="B1908" s="10" t="s">
        <v>2890</v>
      </c>
      <c r="C1908" s="11" t="s">
        <v>2889</v>
      </c>
      <c r="D1908" s="10" t="s">
        <v>4419</v>
      </c>
      <c r="E1908" s="10" t="s">
        <v>8748</v>
      </c>
      <c r="F1908" s="11" t="s">
        <v>8749</v>
      </c>
      <c r="G1908" s="10" t="s">
        <v>13</v>
      </c>
      <c r="H1908" s="12">
        <v>46263</v>
      </c>
      <c r="I1908" s="10" t="s">
        <v>2870</v>
      </c>
      <c r="J1908" s="10" t="str">
        <f>IFERROR(INDEX([1]Programas!$B$2:$B$50,MATCH(LEFT(I1908,3),[1]Programas!$A$2:$A$50,0)),"")</f>
        <v>IA Aplicada y Automati</v>
      </c>
      <c r="K1908" s="10" t="s">
        <v>516</v>
      </c>
    </row>
    <row r="1909" spans="1:11" x14ac:dyDescent="0.2">
      <c r="A1909" s="10">
        <v>1908</v>
      </c>
      <c r="B1909" s="10" t="s">
        <v>8750</v>
      </c>
      <c r="C1909" s="11" t="s">
        <v>2891</v>
      </c>
      <c r="D1909" s="10" t="s">
        <v>4419</v>
      </c>
      <c r="E1909" s="10" t="s">
        <v>8751</v>
      </c>
      <c r="F1909" s="11" t="s">
        <v>8752</v>
      </c>
      <c r="G1909" s="10" t="s">
        <v>13</v>
      </c>
      <c r="H1909" s="12">
        <v>46263</v>
      </c>
      <c r="I1909" s="10" t="s">
        <v>2870</v>
      </c>
      <c r="J1909" s="10" t="str">
        <f>IFERROR(INDEX([1]Programas!$B$2:$B$50,MATCH(LEFT(I1909,3),[1]Programas!$A$2:$A$50,0)),"")</f>
        <v>IA Aplicada y Automati</v>
      </c>
      <c r="K1909" s="10" t="s">
        <v>516</v>
      </c>
    </row>
    <row r="1910" spans="1:11" x14ac:dyDescent="0.2">
      <c r="A1910" s="10">
        <v>1909</v>
      </c>
      <c r="B1910" s="10" t="s">
        <v>2894</v>
      </c>
      <c r="C1910" s="11" t="s">
        <v>2893</v>
      </c>
      <c r="D1910" s="10" t="s">
        <v>4419</v>
      </c>
      <c r="E1910" s="10" t="s">
        <v>8753</v>
      </c>
      <c r="F1910" s="11" t="s">
        <v>8754</v>
      </c>
      <c r="G1910" s="10" t="s">
        <v>13</v>
      </c>
      <c r="H1910" s="12">
        <v>46263</v>
      </c>
      <c r="I1910" s="10" t="s">
        <v>2870</v>
      </c>
      <c r="J1910" s="10" t="str">
        <f>IFERROR(INDEX([1]Programas!$B$2:$B$50,MATCH(LEFT(I1910,3),[1]Programas!$A$2:$A$50,0)),"")</f>
        <v>IA Aplicada y Automati</v>
      </c>
      <c r="K1910" s="10" t="s">
        <v>516</v>
      </c>
    </row>
    <row r="1911" spans="1:11" x14ac:dyDescent="0.2">
      <c r="A1911" s="10">
        <v>1910</v>
      </c>
      <c r="B1911" s="10" t="s">
        <v>2896</v>
      </c>
      <c r="C1911" s="11" t="s">
        <v>2895</v>
      </c>
      <c r="D1911" s="10" t="s">
        <v>4419</v>
      </c>
      <c r="E1911" s="10" t="s">
        <v>8755</v>
      </c>
      <c r="F1911" s="11" t="s">
        <v>8756</v>
      </c>
      <c r="G1911" s="10" t="s">
        <v>13</v>
      </c>
      <c r="H1911" s="12">
        <v>46263</v>
      </c>
      <c r="I1911" s="10" t="s">
        <v>2870</v>
      </c>
      <c r="J1911" s="10" t="str">
        <f>IFERROR(INDEX([1]Programas!$B$2:$B$50,MATCH(LEFT(I1911,3),[1]Programas!$A$2:$A$50,0)),"")</f>
        <v>IA Aplicada y Automati</v>
      </c>
      <c r="K1911" s="10" t="s">
        <v>516</v>
      </c>
    </row>
    <row r="1912" spans="1:11" x14ac:dyDescent="0.2">
      <c r="A1912" s="10">
        <v>1911</v>
      </c>
      <c r="B1912" s="10" t="s">
        <v>2898</v>
      </c>
      <c r="C1912" s="11" t="s">
        <v>2897</v>
      </c>
      <c r="D1912" s="10" t="s">
        <v>4419</v>
      </c>
      <c r="E1912" s="10" t="s">
        <v>8757</v>
      </c>
      <c r="F1912" s="11" t="s">
        <v>8758</v>
      </c>
      <c r="G1912" s="10" t="s">
        <v>13</v>
      </c>
      <c r="H1912" s="12">
        <v>46263</v>
      </c>
      <c r="I1912" s="10" t="s">
        <v>2870</v>
      </c>
      <c r="J1912" s="10" t="str">
        <f>IFERROR(INDEX([1]Programas!$B$2:$B$50,MATCH(LEFT(I1912,3),[1]Programas!$A$2:$A$50,0)),"")</f>
        <v>IA Aplicada y Automati</v>
      </c>
      <c r="K1912" s="10" t="s">
        <v>516</v>
      </c>
    </row>
    <row r="1913" spans="1:11" x14ac:dyDescent="0.2">
      <c r="A1913" s="10">
        <v>1912</v>
      </c>
      <c r="B1913" s="10" t="s">
        <v>2900</v>
      </c>
      <c r="C1913" s="11" t="s">
        <v>2899</v>
      </c>
      <c r="D1913" s="10" t="s">
        <v>4419</v>
      </c>
      <c r="E1913" s="10" t="s">
        <v>8759</v>
      </c>
      <c r="F1913" s="11" t="s">
        <v>8760</v>
      </c>
      <c r="G1913" s="10" t="s">
        <v>13</v>
      </c>
      <c r="H1913" s="12">
        <v>46263</v>
      </c>
      <c r="I1913" s="10" t="s">
        <v>2870</v>
      </c>
      <c r="J1913" s="10" t="str">
        <f>IFERROR(INDEX([1]Programas!$B$2:$B$50,MATCH(LEFT(I1913,3),[1]Programas!$A$2:$A$50,0)),"")</f>
        <v>IA Aplicada y Automati</v>
      </c>
      <c r="K1913" s="10" t="s">
        <v>516</v>
      </c>
    </row>
    <row r="1914" spans="1:11" x14ac:dyDescent="0.2">
      <c r="A1914" s="10">
        <v>1913</v>
      </c>
      <c r="B1914" s="10" t="s">
        <v>8761</v>
      </c>
      <c r="C1914" s="11" t="s">
        <v>2901</v>
      </c>
      <c r="D1914" s="10" t="s">
        <v>4419</v>
      </c>
      <c r="E1914" s="10" t="s">
        <v>8762</v>
      </c>
      <c r="F1914" s="11" t="s">
        <v>8763</v>
      </c>
      <c r="G1914" s="10" t="s">
        <v>13</v>
      </c>
      <c r="H1914" s="12">
        <v>46263</v>
      </c>
      <c r="I1914" s="10" t="s">
        <v>2870</v>
      </c>
      <c r="J1914" s="10" t="str">
        <f>IFERROR(INDEX([1]Programas!$B$2:$B$50,MATCH(LEFT(I1914,3),[1]Programas!$A$2:$A$50,0)),"")</f>
        <v>IA Aplicada y Automati</v>
      </c>
      <c r="K1914" s="10" t="s">
        <v>516</v>
      </c>
    </row>
    <row r="1915" spans="1:11" x14ac:dyDescent="0.2">
      <c r="A1915" s="10">
        <v>1914</v>
      </c>
      <c r="B1915" s="10" t="s">
        <v>2904</v>
      </c>
      <c r="C1915" s="11" t="s">
        <v>2903</v>
      </c>
      <c r="D1915" s="10" t="s">
        <v>4419</v>
      </c>
      <c r="E1915" s="10" t="s">
        <v>8764</v>
      </c>
      <c r="F1915" s="11" t="s">
        <v>8765</v>
      </c>
      <c r="G1915" s="10" t="s">
        <v>13</v>
      </c>
      <c r="H1915" s="12">
        <v>46263</v>
      </c>
      <c r="I1915" s="10" t="s">
        <v>2870</v>
      </c>
      <c r="J1915" s="10" t="str">
        <f>IFERROR(INDEX([1]Programas!$B$2:$B$50,MATCH(LEFT(I1915,3),[1]Programas!$A$2:$A$50,0)),"")</f>
        <v>IA Aplicada y Automati</v>
      </c>
      <c r="K1915" s="10" t="s">
        <v>516</v>
      </c>
    </row>
    <row r="1916" spans="1:11" x14ac:dyDescent="0.2">
      <c r="A1916" s="10">
        <v>1915</v>
      </c>
      <c r="B1916" s="10" t="s">
        <v>2908</v>
      </c>
      <c r="C1916" s="11" t="s">
        <v>2907</v>
      </c>
      <c r="D1916" s="10" t="s">
        <v>4419</v>
      </c>
      <c r="E1916" s="10" t="s">
        <v>8766</v>
      </c>
      <c r="F1916" s="11" t="s">
        <v>8767</v>
      </c>
      <c r="G1916" s="10" t="s">
        <v>13</v>
      </c>
      <c r="H1916" s="12">
        <v>46263</v>
      </c>
      <c r="I1916" s="10" t="s">
        <v>2870</v>
      </c>
      <c r="J1916" s="10" t="str">
        <f>IFERROR(INDEX([1]Programas!$B$2:$B$50,MATCH(LEFT(I1916,3),[1]Programas!$A$2:$A$50,0)),"")</f>
        <v>IA Aplicada y Automati</v>
      </c>
      <c r="K1916" s="10" t="s">
        <v>516</v>
      </c>
    </row>
    <row r="1917" spans="1:11" x14ac:dyDescent="0.2">
      <c r="A1917" s="10">
        <v>1916</v>
      </c>
      <c r="B1917" s="10" t="s">
        <v>2910</v>
      </c>
      <c r="C1917" s="11" t="s">
        <v>2909</v>
      </c>
      <c r="D1917" s="10" t="s">
        <v>4419</v>
      </c>
      <c r="E1917" s="10" t="s">
        <v>8768</v>
      </c>
      <c r="F1917" s="11" t="s">
        <v>8769</v>
      </c>
      <c r="G1917" s="10" t="s">
        <v>13</v>
      </c>
      <c r="H1917" s="12">
        <v>46263</v>
      </c>
      <c r="I1917" s="10" t="s">
        <v>2870</v>
      </c>
      <c r="J1917" s="10" t="str">
        <f>IFERROR(INDEX([1]Programas!$B$2:$B$50,MATCH(LEFT(I1917,3),[1]Programas!$A$2:$A$50,0)),"")</f>
        <v>IA Aplicada y Automati</v>
      </c>
      <c r="K1917" s="10" t="s">
        <v>516</v>
      </c>
    </row>
    <row r="1918" spans="1:11" x14ac:dyDescent="0.2">
      <c r="A1918" s="10">
        <v>1917</v>
      </c>
      <c r="B1918" s="10" t="s">
        <v>2912</v>
      </c>
      <c r="C1918" s="11" t="s">
        <v>2911</v>
      </c>
      <c r="D1918" s="10" t="s">
        <v>4419</v>
      </c>
      <c r="E1918" s="10" t="s">
        <v>8770</v>
      </c>
      <c r="F1918" s="11" t="s">
        <v>8771</v>
      </c>
      <c r="G1918" s="10" t="s">
        <v>13</v>
      </c>
      <c r="H1918" s="12">
        <v>46263</v>
      </c>
      <c r="I1918" s="10" t="s">
        <v>2870</v>
      </c>
      <c r="J1918" s="10" t="str">
        <f>IFERROR(INDEX([1]Programas!$B$2:$B$50,MATCH(LEFT(I1918,3),[1]Programas!$A$2:$A$50,0)),"")</f>
        <v>IA Aplicada y Automati</v>
      </c>
      <c r="K1918" s="10" t="s">
        <v>516</v>
      </c>
    </row>
    <row r="1919" spans="1:11" x14ac:dyDescent="0.2">
      <c r="A1919" s="10">
        <v>1918</v>
      </c>
      <c r="B1919" s="10" t="s">
        <v>2914</v>
      </c>
      <c r="C1919" s="11" t="s">
        <v>2913</v>
      </c>
      <c r="D1919" s="10" t="s">
        <v>4419</v>
      </c>
      <c r="E1919" s="10" t="s">
        <v>8772</v>
      </c>
      <c r="F1919" s="11" t="s">
        <v>8773</v>
      </c>
      <c r="G1919" s="10" t="s">
        <v>13</v>
      </c>
      <c r="H1919" s="12">
        <v>46263</v>
      </c>
      <c r="I1919" s="10" t="s">
        <v>2870</v>
      </c>
      <c r="J1919" s="10" t="str">
        <f>IFERROR(INDEX([1]Programas!$B$2:$B$50,MATCH(LEFT(I1919,3),[1]Programas!$A$2:$A$50,0)),"")</f>
        <v>IA Aplicada y Automati</v>
      </c>
      <c r="K1919" s="10" t="s">
        <v>516</v>
      </c>
    </row>
    <row r="1920" spans="1:11" x14ac:dyDescent="0.2">
      <c r="A1920" s="10">
        <v>1919</v>
      </c>
      <c r="B1920" s="10" t="s">
        <v>2916</v>
      </c>
      <c r="C1920" s="11" t="s">
        <v>2915</v>
      </c>
      <c r="D1920" s="10" t="s">
        <v>4419</v>
      </c>
      <c r="E1920" s="10" t="s">
        <v>8774</v>
      </c>
      <c r="F1920" s="11" t="s">
        <v>8775</v>
      </c>
      <c r="G1920" s="10" t="s">
        <v>13</v>
      </c>
      <c r="H1920" s="12">
        <v>46263</v>
      </c>
      <c r="I1920" s="10" t="s">
        <v>2870</v>
      </c>
      <c r="J1920" s="10" t="str">
        <f>IFERROR(INDEX([1]Programas!$B$2:$B$50,MATCH(LEFT(I1920,3),[1]Programas!$A$2:$A$50,0)),"")</f>
        <v>IA Aplicada y Automati</v>
      </c>
      <c r="K1920" s="10" t="s">
        <v>516</v>
      </c>
    </row>
    <row r="1921" spans="1:11" x14ac:dyDescent="0.2">
      <c r="A1921" s="10">
        <v>1920</v>
      </c>
      <c r="B1921" s="10" t="s">
        <v>2918</v>
      </c>
      <c r="C1921" s="11" t="s">
        <v>2917</v>
      </c>
      <c r="D1921" s="10" t="s">
        <v>4419</v>
      </c>
      <c r="E1921" s="10" t="s">
        <v>8776</v>
      </c>
      <c r="F1921" s="11" t="s">
        <v>8777</v>
      </c>
      <c r="G1921" s="10" t="s">
        <v>13</v>
      </c>
      <c r="H1921" s="12">
        <v>46263</v>
      </c>
      <c r="I1921" s="10" t="s">
        <v>2870</v>
      </c>
      <c r="J1921" s="10" t="str">
        <f>IFERROR(INDEX([1]Programas!$B$2:$B$50,MATCH(LEFT(I1921,3),[1]Programas!$A$2:$A$50,0)),"")</f>
        <v>IA Aplicada y Automati</v>
      </c>
      <c r="K1921" s="10" t="s">
        <v>516</v>
      </c>
    </row>
    <row r="1922" spans="1:11" x14ac:dyDescent="0.2">
      <c r="A1922" s="10">
        <v>1921</v>
      </c>
      <c r="B1922" s="10" t="s">
        <v>2920</v>
      </c>
      <c r="C1922" s="11" t="s">
        <v>2919</v>
      </c>
      <c r="D1922" s="10" t="s">
        <v>4419</v>
      </c>
      <c r="E1922" s="10" t="s">
        <v>8778</v>
      </c>
      <c r="F1922" s="11" t="s">
        <v>8779</v>
      </c>
      <c r="G1922" s="10" t="s">
        <v>13</v>
      </c>
      <c r="H1922" s="12">
        <v>46263</v>
      </c>
      <c r="I1922" s="10" t="s">
        <v>2870</v>
      </c>
      <c r="J1922" s="10" t="str">
        <f>IFERROR(INDEX([1]Programas!$B$2:$B$50,MATCH(LEFT(I1922,3),[1]Programas!$A$2:$A$50,0)),"")</f>
        <v>IA Aplicada y Automati</v>
      </c>
      <c r="K1922" s="10" t="s">
        <v>516</v>
      </c>
    </row>
    <row r="1923" spans="1:11" x14ac:dyDescent="0.2">
      <c r="A1923" s="10">
        <v>1922</v>
      </c>
      <c r="B1923" s="10" t="s">
        <v>2922</v>
      </c>
      <c r="C1923" s="11" t="s">
        <v>2921</v>
      </c>
      <c r="D1923" s="10" t="s">
        <v>4419</v>
      </c>
      <c r="E1923" s="10" t="s">
        <v>8780</v>
      </c>
      <c r="F1923" s="11" t="s">
        <v>8781</v>
      </c>
      <c r="G1923" s="10" t="s">
        <v>13</v>
      </c>
      <c r="H1923" s="12">
        <v>46263</v>
      </c>
      <c r="I1923" s="10" t="s">
        <v>2870</v>
      </c>
      <c r="J1923" s="10" t="str">
        <f>IFERROR(INDEX([1]Programas!$B$2:$B$50,MATCH(LEFT(I1923,3),[1]Programas!$A$2:$A$50,0)),"")</f>
        <v>IA Aplicada y Automati</v>
      </c>
      <c r="K1923" s="10" t="s">
        <v>516</v>
      </c>
    </row>
    <row r="1924" spans="1:11" x14ac:dyDescent="0.2">
      <c r="A1924" s="10">
        <v>1923</v>
      </c>
      <c r="B1924" s="10" t="s">
        <v>2924</v>
      </c>
      <c r="C1924" s="11" t="s">
        <v>2923</v>
      </c>
      <c r="D1924" s="10" t="s">
        <v>4419</v>
      </c>
      <c r="E1924" s="10" t="s">
        <v>8782</v>
      </c>
      <c r="F1924" s="11" t="s">
        <v>8783</v>
      </c>
      <c r="G1924" s="10" t="s">
        <v>13</v>
      </c>
      <c r="H1924" s="12">
        <v>46263</v>
      </c>
      <c r="I1924" s="10" t="s">
        <v>2870</v>
      </c>
      <c r="J1924" s="10" t="str">
        <f>IFERROR(INDEX([1]Programas!$B$2:$B$50,MATCH(LEFT(I1924,3),[1]Programas!$A$2:$A$50,0)),"")</f>
        <v>IA Aplicada y Automati</v>
      </c>
      <c r="K1924" s="10" t="s">
        <v>516</v>
      </c>
    </row>
    <row r="1925" spans="1:11" x14ac:dyDescent="0.2">
      <c r="A1925" s="10">
        <v>1924</v>
      </c>
      <c r="B1925" s="10" t="s">
        <v>2926</v>
      </c>
      <c r="C1925" s="11" t="s">
        <v>2925</v>
      </c>
      <c r="D1925" s="10" t="s">
        <v>4419</v>
      </c>
      <c r="E1925" s="10" t="s">
        <v>8784</v>
      </c>
      <c r="F1925" s="11" t="s">
        <v>8785</v>
      </c>
      <c r="G1925" s="10" t="s">
        <v>13</v>
      </c>
      <c r="H1925" s="12">
        <v>46263</v>
      </c>
      <c r="I1925" s="10" t="s">
        <v>2870</v>
      </c>
      <c r="J1925" s="10" t="str">
        <f>IFERROR(INDEX([1]Programas!$B$2:$B$50,MATCH(LEFT(I1925,3),[1]Programas!$A$2:$A$50,0)),"")</f>
        <v>IA Aplicada y Automati</v>
      </c>
      <c r="K1925" s="10" t="s">
        <v>516</v>
      </c>
    </row>
    <row r="1926" spans="1:11" x14ac:dyDescent="0.2">
      <c r="A1926" s="10">
        <v>1925</v>
      </c>
      <c r="B1926" s="10" t="s">
        <v>2928</v>
      </c>
      <c r="C1926" s="11" t="s">
        <v>2927</v>
      </c>
      <c r="D1926" s="10" t="s">
        <v>4419</v>
      </c>
      <c r="E1926" s="10" t="s">
        <v>8786</v>
      </c>
      <c r="F1926" s="11" t="s">
        <v>8787</v>
      </c>
      <c r="G1926" s="10" t="s">
        <v>13</v>
      </c>
      <c r="H1926" s="12">
        <v>46263</v>
      </c>
      <c r="I1926" s="10" t="s">
        <v>2870</v>
      </c>
      <c r="J1926" s="10" t="str">
        <f>IFERROR(INDEX([1]Programas!$B$2:$B$50,MATCH(LEFT(I1926,3),[1]Programas!$A$2:$A$50,0)),"")</f>
        <v>IA Aplicada y Automati</v>
      </c>
      <c r="K1926" s="10" t="s">
        <v>516</v>
      </c>
    </row>
    <row r="1927" spans="1:11" x14ac:dyDescent="0.2">
      <c r="A1927" s="10">
        <v>1926</v>
      </c>
      <c r="B1927" s="10" t="s">
        <v>2930</v>
      </c>
      <c r="C1927" s="11" t="s">
        <v>2929</v>
      </c>
      <c r="D1927" s="10" t="s">
        <v>4419</v>
      </c>
      <c r="E1927" s="10" t="s">
        <v>8788</v>
      </c>
      <c r="F1927" s="11" t="s">
        <v>8789</v>
      </c>
      <c r="G1927" s="10" t="s">
        <v>13</v>
      </c>
      <c r="H1927" s="12">
        <v>46263</v>
      </c>
      <c r="I1927" s="10" t="s">
        <v>2870</v>
      </c>
      <c r="J1927" s="10" t="str">
        <f>IFERROR(INDEX([1]Programas!$B$2:$B$50,MATCH(LEFT(I1927,3),[1]Programas!$A$2:$A$50,0)),"")</f>
        <v>IA Aplicada y Automati</v>
      </c>
      <c r="K1927" s="10" t="s">
        <v>516</v>
      </c>
    </row>
    <row r="1928" spans="1:11" x14ac:dyDescent="0.2">
      <c r="A1928" s="10">
        <v>1927</v>
      </c>
      <c r="B1928" s="10" t="s">
        <v>2932</v>
      </c>
      <c r="C1928" s="11" t="s">
        <v>2931</v>
      </c>
      <c r="D1928" s="10" t="s">
        <v>4419</v>
      </c>
      <c r="E1928" s="10" t="s">
        <v>8790</v>
      </c>
      <c r="F1928" s="11" t="s">
        <v>8791</v>
      </c>
      <c r="G1928" s="10" t="s">
        <v>13</v>
      </c>
      <c r="H1928" s="12">
        <v>46263</v>
      </c>
      <c r="I1928" s="10" t="s">
        <v>2870</v>
      </c>
      <c r="J1928" s="10" t="str">
        <f>IFERROR(INDEX([1]Programas!$B$2:$B$50,MATCH(LEFT(I1928,3),[1]Programas!$A$2:$A$50,0)),"")</f>
        <v>IA Aplicada y Automati</v>
      </c>
      <c r="K1928" s="10" t="s">
        <v>516</v>
      </c>
    </row>
    <row r="1929" spans="1:11" x14ac:dyDescent="0.2">
      <c r="A1929" s="10">
        <v>1928</v>
      </c>
      <c r="B1929" s="10" t="s">
        <v>8792</v>
      </c>
      <c r="C1929" s="11" t="s">
        <v>2933</v>
      </c>
      <c r="D1929" s="10" t="s">
        <v>4419</v>
      </c>
      <c r="E1929" s="10" t="s">
        <v>8793</v>
      </c>
      <c r="F1929" s="11" t="s">
        <v>8794</v>
      </c>
      <c r="G1929" s="10" t="s">
        <v>13</v>
      </c>
      <c r="H1929" s="12">
        <v>46263</v>
      </c>
      <c r="I1929" s="10" t="s">
        <v>2870</v>
      </c>
      <c r="J1929" s="10" t="str">
        <f>IFERROR(INDEX([1]Programas!$B$2:$B$50,MATCH(LEFT(I1929,3),[1]Programas!$A$2:$A$50,0)),"")</f>
        <v>IA Aplicada y Automati</v>
      </c>
      <c r="K1929" s="10" t="s">
        <v>516</v>
      </c>
    </row>
    <row r="1930" spans="1:11" x14ac:dyDescent="0.2">
      <c r="A1930" s="10">
        <v>1929</v>
      </c>
      <c r="B1930" s="10" t="s">
        <v>2936</v>
      </c>
      <c r="C1930" s="11" t="s">
        <v>2935</v>
      </c>
      <c r="D1930" s="10" t="s">
        <v>4419</v>
      </c>
      <c r="E1930" s="10" t="s">
        <v>8795</v>
      </c>
      <c r="F1930" s="11" t="s">
        <v>8796</v>
      </c>
      <c r="G1930" s="10" t="s">
        <v>13</v>
      </c>
      <c r="H1930" s="12">
        <v>46263</v>
      </c>
      <c r="I1930" s="10" t="s">
        <v>2870</v>
      </c>
      <c r="J1930" s="10" t="str">
        <f>IFERROR(INDEX([1]Programas!$B$2:$B$50,MATCH(LEFT(I1930,3),[1]Programas!$A$2:$A$50,0)),"")</f>
        <v>IA Aplicada y Automati</v>
      </c>
      <c r="K1930" s="10" t="s">
        <v>516</v>
      </c>
    </row>
    <row r="1931" spans="1:11" x14ac:dyDescent="0.2">
      <c r="A1931" s="10">
        <v>1930</v>
      </c>
      <c r="B1931" s="10" t="s">
        <v>2938</v>
      </c>
      <c r="C1931" s="11" t="s">
        <v>2937</v>
      </c>
      <c r="D1931" s="10" t="s">
        <v>4419</v>
      </c>
      <c r="E1931" s="10" t="s">
        <v>8797</v>
      </c>
      <c r="F1931" s="11" t="s">
        <v>8798</v>
      </c>
      <c r="G1931" s="10" t="s">
        <v>13</v>
      </c>
      <c r="H1931" s="12">
        <v>46263</v>
      </c>
      <c r="I1931" s="10" t="s">
        <v>2870</v>
      </c>
      <c r="J1931" s="10" t="str">
        <f>IFERROR(INDEX([1]Programas!$B$2:$B$50,MATCH(LEFT(I1931,3),[1]Programas!$A$2:$A$50,0)),"")</f>
        <v>IA Aplicada y Automati</v>
      </c>
      <c r="K1931" s="10" t="s">
        <v>516</v>
      </c>
    </row>
    <row r="1932" spans="1:11" x14ac:dyDescent="0.2">
      <c r="A1932" s="10">
        <v>1931</v>
      </c>
      <c r="B1932" s="10" t="s">
        <v>2940</v>
      </c>
      <c r="C1932" s="11" t="s">
        <v>2939</v>
      </c>
      <c r="D1932" s="10" t="s">
        <v>4419</v>
      </c>
      <c r="E1932" s="10" t="s">
        <v>8799</v>
      </c>
      <c r="F1932" s="11" t="s">
        <v>6322</v>
      </c>
      <c r="G1932" s="10" t="s">
        <v>13</v>
      </c>
      <c r="H1932" s="12">
        <v>46263</v>
      </c>
      <c r="I1932" s="10" t="s">
        <v>2870</v>
      </c>
      <c r="J1932" s="10" t="str">
        <f>IFERROR(INDEX([1]Programas!$B$2:$B$50,MATCH(LEFT(I1932,3),[1]Programas!$A$2:$A$50,0)),"")</f>
        <v>IA Aplicada y Automati</v>
      </c>
      <c r="K1932" s="10" t="s">
        <v>516</v>
      </c>
    </row>
    <row r="1933" spans="1:11" x14ac:dyDescent="0.2">
      <c r="A1933" s="10">
        <v>1932</v>
      </c>
      <c r="B1933" s="10" t="s">
        <v>2942</v>
      </c>
      <c r="C1933" s="11" t="s">
        <v>2941</v>
      </c>
      <c r="D1933" s="10" t="s">
        <v>4419</v>
      </c>
      <c r="E1933" s="10" t="s">
        <v>8800</v>
      </c>
      <c r="F1933" s="11" t="s">
        <v>8801</v>
      </c>
      <c r="G1933" s="10" t="s">
        <v>13</v>
      </c>
      <c r="H1933" s="12">
        <v>46263</v>
      </c>
      <c r="I1933" s="10" t="s">
        <v>2870</v>
      </c>
      <c r="J1933" s="10" t="str">
        <f>IFERROR(INDEX([1]Programas!$B$2:$B$50,MATCH(LEFT(I1933,3),[1]Programas!$A$2:$A$50,0)),"")</f>
        <v>IA Aplicada y Automati</v>
      </c>
      <c r="K1933" s="10" t="s">
        <v>516</v>
      </c>
    </row>
    <row r="1934" spans="1:11" x14ac:dyDescent="0.2">
      <c r="A1934" s="10">
        <v>1933</v>
      </c>
      <c r="B1934" s="10" t="s">
        <v>8802</v>
      </c>
      <c r="C1934" s="11" t="s">
        <v>613</v>
      </c>
      <c r="D1934" s="10" t="s">
        <v>4419</v>
      </c>
      <c r="E1934" s="10" t="s">
        <v>8803</v>
      </c>
      <c r="F1934" s="11" t="s">
        <v>8804</v>
      </c>
      <c r="G1934" s="10" t="s">
        <v>13</v>
      </c>
      <c r="H1934" s="12">
        <v>46272</v>
      </c>
      <c r="I1934" s="10" t="s">
        <v>2870</v>
      </c>
      <c r="J1934" s="10" t="str">
        <f>IFERROR(INDEX([1]Programas!$B$2:$B$50,MATCH(LEFT(I1934,3),[1]Programas!$A$2:$A$50,0)),"")</f>
        <v>IA Aplicada y Automati</v>
      </c>
      <c r="K1934" s="10" t="s">
        <v>516</v>
      </c>
    </row>
    <row r="1935" spans="1:11" x14ac:dyDescent="0.2">
      <c r="A1935" s="10">
        <v>1934</v>
      </c>
      <c r="B1935" s="10" t="s">
        <v>2944</v>
      </c>
      <c r="C1935" s="11" t="s">
        <v>2943</v>
      </c>
      <c r="D1935" s="10" t="s">
        <v>4419</v>
      </c>
      <c r="E1935" s="10" t="s">
        <v>8805</v>
      </c>
      <c r="F1935" s="11" t="s">
        <v>8806</v>
      </c>
      <c r="G1935" s="10" t="s">
        <v>13</v>
      </c>
      <c r="H1935" s="12">
        <v>46263</v>
      </c>
      <c r="I1935" s="10" t="s">
        <v>2946</v>
      </c>
      <c r="J1935" s="10" t="str">
        <f>IFERROR(INDEX([1]Programas!$B$2:$B$50,MATCH(LEFT(I1935,3),[1]Programas!$A$2:$A$50,0)),"")</f>
        <v>IA Aplicada y Automati</v>
      </c>
      <c r="K1935" s="10" t="s">
        <v>649</v>
      </c>
    </row>
    <row r="1936" spans="1:11" x14ac:dyDescent="0.2">
      <c r="A1936" s="10">
        <v>1935</v>
      </c>
      <c r="B1936" s="10" t="s">
        <v>2948</v>
      </c>
      <c r="C1936" s="11" t="s">
        <v>2947</v>
      </c>
      <c r="D1936" s="10" t="s">
        <v>4419</v>
      </c>
      <c r="E1936" s="10" t="s">
        <v>8807</v>
      </c>
      <c r="F1936" s="11" t="s">
        <v>8808</v>
      </c>
      <c r="G1936" s="10" t="s">
        <v>13</v>
      </c>
      <c r="H1936" s="12">
        <v>46263</v>
      </c>
      <c r="I1936" s="10" t="s">
        <v>2946</v>
      </c>
      <c r="J1936" s="10" t="str">
        <f>IFERROR(INDEX([1]Programas!$B$2:$B$50,MATCH(LEFT(I1936,3),[1]Programas!$A$2:$A$50,0)),"")</f>
        <v>IA Aplicada y Automati</v>
      </c>
      <c r="K1936" s="10" t="s">
        <v>649</v>
      </c>
    </row>
    <row r="1937" spans="1:11" x14ac:dyDescent="0.2">
      <c r="A1937" s="10">
        <v>1936</v>
      </c>
      <c r="B1937" s="10" t="s">
        <v>2950</v>
      </c>
      <c r="C1937" s="11" t="s">
        <v>2949</v>
      </c>
      <c r="D1937" s="10" t="s">
        <v>4419</v>
      </c>
      <c r="E1937" s="10" t="s">
        <v>8809</v>
      </c>
      <c r="F1937" s="11" t="s">
        <v>8810</v>
      </c>
      <c r="G1937" s="10" t="s">
        <v>13</v>
      </c>
      <c r="H1937" s="12">
        <v>46263</v>
      </c>
      <c r="I1937" s="10" t="s">
        <v>2946</v>
      </c>
      <c r="J1937" s="10" t="str">
        <f>IFERROR(INDEX([1]Programas!$B$2:$B$50,MATCH(LEFT(I1937,3),[1]Programas!$A$2:$A$50,0)),"")</f>
        <v>IA Aplicada y Automati</v>
      </c>
      <c r="K1937" s="10" t="s">
        <v>649</v>
      </c>
    </row>
    <row r="1938" spans="1:11" x14ac:dyDescent="0.2">
      <c r="A1938" s="10">
        <v>1937</v>
      </c>
      <c r="B1938" s="10" t="s">
        <v>8811</v>
      </c>
      <c r="C1938" s="11" t="s">
        <v>2951</v>
      </c>
      <c r="D1938" s="10" t="s">
        <v>4419</v>
      </c>
      <c r="E1938" s="10" t="s">
        <v>8812</v>
      </c>
      <c r="F1938" s="11" t="s">
        <v>8813</v>
      </c>
      <c r="G1938" s="10" t="s">
        <v>13</v>
      </c>
      <c r="H1938" s="12">
        <v>46263</v>
      </c>
      <c r="I1938" s="10" t="s">
        <v>2946</v>
      </c>
      <c r="J1938" s="10" t="str">
        <f>IFERROR(INDEX([1]Programas!$B$2:$B$50,MATCH(LEFT(I1938,3),[1]Programas!$A$2:$A$50,0)),"")</f>
        <v>IA Aplicada y Automati</v>
      </c>
      <c r="K1938" s="10" t="s">
        <v>649</v>
      </c>
    </row>
    <row r="1939" spans="1:11" x14ac:dyDescent="0.2">
      <c r="A1939" s="10">
        <v>1938</v>
      </c>
      <c r="B1939" s="10" t="s">
        <v>2954</v>
      </c>
      <c r="C1939" s="11" t="s">
        <v>2953</v>
      </c>
      <c r="D1939" s="10" t="s">
        <v>4419</v>
      </c>
      <c r="E1939" s="10" t="s">
        <v>8814</v>
      </c>
      <c r="F1939" s="11" t="s">
        <v>8815</v>
      </c>
      <c r="G1939" s="10" t="s">
        <v>13</v>
      </c>
      <c r="H1939" s="12">
        <v>46263</v>
      </c>
      <c r="I1939" s="10" t="s">
        <v>2946</v>
      </c>
      <c r="J1939" s="10" t="str">
        <f>IFERROR(INDEX([1]Programas!$B$2:$B$50,MATCH(LEFT(I1939,3),[1]Programas!$A$2:$A$50,0)),"")</f>
        <v>IA Aplicada y Automati</v>
      </c>
      <c r="K1939" s="10" t="s">
        <v>649</v>
      </c>
    </row>
    <row r="1940" spans="1:11" x14ac:dyDescent="0.2">
      <c r="A1940" s="10">
        <v>1939</v>
      </c>
      <c r="B1940" s="10" t="s">
        <v>8816</v>
      </c>
      <c r="C1940" s="11" t="s">
        <v>2955</v>
      </c>
      <c r="D1940" s="10" t="s">
        <v>4419</v>
      </c>
      <c r="E1940" s="10" t="s">
        <v>8817</v>
      </c>
      <c r="F1940" s="11" t="s">
        <v>8818</v>
      </c>
      <c r="G1940" s="10" t="s">
        <v>13</v>
      </c>
      <c r="H1940" s="12">
        <v>46263</v>
      </c>
      <c r="I1940" s="10" t="s">
        <v>2946</v>
      </c>
      <c r="J1940" s="10" t="str">
        <f>IFERROR(INDEX([1]Programas!$B$2:$B$50,MATCH(LEFT(I1940,3),[1]Programas!$A$2:$A$50,0)),"")</f>
        <v>IA Aplicada y Automati</v>
      </c>
      <c r="K1940" s="10" t="s">
        <v>649</v>
      </c>
    </row>
    <row r="1941" spans="1:11" x14ac:dyDescent="0.2">
      <c r="A1941" s="10">
        <v>1940</v>
      </c>
      <c r="B1941" s="10" t="s">
        <v>8819</v>
      </c>
      <c r="C1941" s="11" t="s">
        <v>2957</v>
      </c>
      <c r="D1941" s="10" t="s">
        <v>4419</v>
      </c>
      <c r="E1941" s="10" t="s">
        <v>8820</v>
      </c>
      <c r="F1941" s="11" t="s">
        <v>8821</v>
      </c>
      <c r="G1941" s="10" t="s">
        <v>13</v>
      </c>
      <c r="H1941" s="12">
        <v>46263</v>
      </c>
      <c r="I1941" s="10" t="s">
        <v>2946</v>
      </c>
      <c r="J1941" s="10" t="str">
        <f>IFERROR(INDEX([1]Programas!$B$2:$B$50,MATCH(LEFT(I1941,3),[1]Programas!$A$2:$A$50,0)),"")</f>
        <v>IA Aplicada y Automati</v>
      </c>
      <c r="K1941" s="10" t="s">
        <v>649</v>
      </c>
    </row>
    <row r="1942" spans="1:11" x14ac:dyDescent="0.2">
      <c r="A1942" s="10">
        <v>1941</v>
      </c>
      <c r="B1942" s="10" t="s">
        <v>8822</v>
      </c>
      <c r="C1942" s="11" t="s">
        <v>2959</v>
      </c>
      <c r="D1942" s="10" t="s">
        <v>4419</v>
      </c>
      <c r="E1942" s="10" t="s">
        <v>8823</v>
      </c>
      <c r="F1942" s="11" t="s">
        <v>8824</v>
      </c>
      <c r="G1942" s="10" t="s">
        <v>13</v>
      </c>
      <c r="H1942" s="12">
        <v>46263</v>
      </c>
      <c r="I1942" s="10" t="s">
        <v>2946</v>
      </c>
      <c r="J1942" s="10" t="str">
        <f>IFERROR(INDEX([1]Programas!$B$2:$B$50,MATCH(LEFT(I1942,3),[1]Programas!$A$2:$A$50,0)),"")</f>
        <v>IA Aplicada y Automati</v>
      </c>
      <c r="K1942" s="10" t="s">
        <v>649</v>
      </c>
    </row>
    <row r="1943" spans="1:11" x14ac:dyDescent="0.2">
      <c r="A1943" s="10">
        <v>1942</v>
      </c>
      <c r="B1943" s="10" t="s">
        <v>2962</v>
      </c>
      <c r="C1943" s="11" t="s">
        <v>2961</v>
      </c>
      <c r="D1943" s="10" t="s">
        <v>4419</v>
      </c>
      <c r="E1943" s="10" t="s">
        <v>8825</v>
      </c>
      <c r="F1943" s="11" t="s">
        <v>8826</v>
      </c>
      <c r="G1943" s="10" t="s">
        <v>13</v>
      </c>
      <c r="H1943" s="12">
        <v>46263</v>
      </c>
      <c r="I1943" s="10" t="s">
        <v>2946</v>
      </c>
      <c r="J1943" s="10" t="str">
        <f>IFERROR(INDEX([1]Programas!$B$2:$B$50,MATCH(LEFT(I1943,3),[1]Programas!$A$2:$A$50,0)),"")</f>
        <v>IA Aplicada y Automati</v>
      </c>
      <c r="K1943" s="10" t="s">
        <v>649</v>
      </c>
    </row>
    <row r="1944" spans="1:11" x14ac:dyDescent="0.2">
      <c r="A1944" s="10">
        <v>1943</v>
      </c>
      <c r="B1944" s="10" t="s">
        <v>2964</v>
      </c>
      <c r="C1944" s="11" t="s">
        <v>2963</v>
      </c>
      <c r="D1944" s="10" t="s">
        <v>4419</v>
      </c>
      <c r="E1944" s="10" t="s">
        <v>8827</v>
      </c>
      <c r="F1944" s="11" t="s">
        <v>8828</v>
      </c>
      <c r="G1944" s="10" t="s">
        <v>13</v>
      </c>
      <c r="H1944" s="12">
        <v>46263</v>
      </c>
      <c r="I1944" s="10" t="s">
        <v>2946</v>
      </c>
      <c r="J1944" s="10" t="str">
        <f>IFERROR(INDEX([1]Programas!$B$2:$B$50,MATCH(LEFT(I1944,3),[1]Programas!$A$2:$A$50,0)),"")</f>
        <v>IA Aplicada y Automati</v>
      </c>
      <c r="K1944" s="10" t="s">
        <v>649</v>
      </c>
    </row>
    <row r="1945" spans="1:11" x14ac:dyDescent="0.2">
      <c r="A1945" s="10">
        <v>1944</v>
      </c>
      <c r="B1945" s="10" t="s">
        <v>2966</v>
      </c>
      <c r="C1945" s="11" t="s">
        <v>2965</v>
      </c>
      <c r="D1945" s="10" t="s">
        <v>4419</v>
      </c>
      <c r="E1945" s="10" t="s">
        <v>8829</v>
      </c>
      <c r="F1945" s="11" t="s">
        <v>8830</v>
      </c>
      <c r="G1945" s="10" t="s">
        <v>13</v>
      </c>
      <c r="H1945" s="12">
        <v>46263</v>
      </c>
      <c r="I1945" s="10" t="s">
        <v>2946</v>
      </c>
      <c r="J1945" s="10" t="str">
        <f>IFERROR(INDEX([1]Programas!$B$2:$B$50,MATCH(LEFT(I1945,3),[1]Programas!$A$2:$A$50,0)),"")</f>
        <v>IA Aplicada y Automati</v>
      </c>
      <c r="K1945" s="10" t="s">
        <v>649</v>
      </c>
    </row>
    <row r="1946" spans="1:11" x14ac:dyDescent="0.2">
      <c r="A1946" s="10">
        <v>1945</v>
      </c>
      <c r="B1946" s="10" t="s">
        <v>2968</v>
      </c>
      <c r="C1946" s="11" t="s">
        <v>2967</v>
      </c>
      <c r="D1946" s="10" t="s">
        <v>5003</v>
      </c>
      <c r="E1946" s="10" t="s">
        <v>8831</v>
      </c>
      <c r="F1946" s="11" t="s">
        <v>8832</v>
      </c>
      <c r="G1946" s="10" t="s">
        <v>13</v>
      </c>
      <c r="H1946" s="12">
        <v>46263</v>
      </c>
      <c r="I1946" s="10" t="s">
        <v>2946</v>
      </c>
      <c r="J1946" s="10" t="str">
        <f>IFERROR(INDEX([1]Programas!$B$2:$B$50,MATCH(LEFT(I1946,3),[1]Programas!$A$2:$A$50,0)),"")</f>
        <v>IA Aplicada y Automati</v>
      </c>
      <c r="K1946" s="10" t="s">
        <v>649</v>
      </c>
    </row>
    <row r="1947" spans="1:11" x14ac:dyDescent="0.2">
      <c r="A1947" s="10">
        <v>1946</v>
      </c>
      <c r="B1947" s="10" t="s">
        <v>2970</v>
      </c>
      <c r="C1947" s="11" t="s">
        <v>2969</v>
      </c>
      <c r="D1947" s="10" t="s">
        <v>4453</v>
      </c>
      <c r="E1947" s="10" t="s">
        <v>8833</v>
      </c>
      <c r="F1947" s="11" t="s">
        <v>8834</v>
      </c>
      <c r="G1947" s="10" t="s">
        <v>13</v>
      </c>
      <c r="H1947" s="12">
        <v>46263</v>
      </c>
      <c r="I1947" s="10" t="s">
        <v>2946</v>
      </c>
      <c r="J1947" s="10" t="str">
        <f>IFERROR(INDEX([1]Programas!$B$2:$B$50,MATCH(LEFT(I1947,3),[1]Programas!$A$2:$A$50,0)),"")</f>
        <v>IA Aplicada y Automati</v>
      </c>
      <c r="K1947" s="10" t="s">
        <v>649</v>
      </c>
    </row>
    <row r="1948" spans="1:11" x14ac:dyDescent="0.2">
      <c r="A1948" s="10">
        <v>1947</v>
      </c>
      <c r="B1948" s="10" t="s">
        <v>2972</v>
      </c>
      <c r="C1948" s="11" t="s">
        <v>2971</v>
      </c>
      <c r="D1948" s="10" t="s">
        <v>4419</v>
      </c>
      <c r="E1948" s="10" t="s">
        <v>8835</v>
      </c>
      <c r="F1948" s="11" t="s">
        <v>8836</v>
      </c>
      <c r="G1948" s="10" t="s">
        <v>13</v>
      </c>
      <c r="H1948" s="12">
        <v>46263</v>
      </c>
      <c r="I1948" s="10" t="s">
        <v>2946</v>
      </c>
      <c r="J1948" s="10" t="str">
        <f>IFERROR(INDEX([1]Programas!$B$2:$B$50,MATCH(LEFT(I1948,3),[1]Programas!$A$2:$A$50,0)),"")</f>
        <v>IA Aplicada y Automati</v>
      </c>
      <c r="K1948" s="10" t="s">
        <v>649</v>
      </c>
    </row>
    <row r="1949" spans="1:11" x14ac:dyDescent="0.2">
      <c r="A1949" s="10">
        <v>1948</v>
      </c>
      <c r="B1949" s="10" t="s">
        <v>2974</v>
      </c>
      <c r="C1949" s="11" t="s">
        <v>2973</v>
      </c>
      <c r="D1949" s="10" t="s">
        <v>4419</v>
      </c>
      <c r="E1949" s="10" t="s">
        <v>8837</v>
      </c>
      <c r="F1949" s="11" t="s">
        <v>8838</v>
      </c>
      <c r="G1949" s="10" t="s">
        <v>13</v>
      </c>
      <c r="H1949" s="12">
        <v>46263</v>
      </c>
      <c r="I1949" s="10" t="s">
        <v>2946</v>
      </c>
      <c r="J1949" s="10" t="str">
        <f>IFERROR(INDEX([1]Programas!$B$2:$B$50,MATCH(LEFT(I1949,3),[1]Programas!$A$2:$A$50,0)),"")</f>
        <v>IA Aplicada y Automati</v>
      </c>
      <c r="K1949" s="10" t="s">
        <v>649</v>
      </c>
    </row>
    <row r="1950" spans="1:11" x14ac:dyDescent="0.2">
      <c r="A1950" s="10">
        <v>1949</v>
      </c>
      <c r="B1950" s="10" t="s">
        <v>2976</v>
      </c>
      <c r="C1950" s="11" t="s">
        <v>2975</v>
      </c>
      <c r="D1950" s="10" t="s">
        <v>4419</v>
      </c>
      <c r="E1950" s="10" t="s">
        <v>8839</v>
      </c>
      <c r="F1950" s="11" t="s">
        <v>8840</v>
      </c>
      <c r="G1950" s="10" t="s">
        <v>13</v>
      </c>
      <c r="H1950" s="12">
        <v>46263</v>
      </c>
      <c r="I1950" s="10" t="s">
        <v>2946</v>
      </c>
      <c r="J1950" s="10" t="str">
        <f>IFERROR(INDEX([1]Programas!$B$2:$B$50,MATCH(LEFT(I1950,3),[1]Programas!$A$2:$A$50,0)),"")</f>
        <v>IA Aplicada y Automati</v>
      </c>
      <c r="K1950" s="10" t="s">
        <v>649</v>
      </c>
    </row>
    <row r="1951" spans="1:11" x14ac:dyDescent="0.2">
      <c r="A1951" s="10">
        <v>1950</v>
      </c>
      <c r="B1951" s="10" t="s">
        <v>2978</v>
      </c>
      <c r="C1951" s="11" t="s">
        <v>2977</v>
      </c>
      <c r="D1951" s="10" t="s">
        <v>4419</v>
      </c>
      <c r="E1951" s="10" t="s">
        <v>8841</v>
      </c>
      <c r="F1951" s="11" t="s">
        <v>8842</v>
      </c>
      <c r="G1951" s="10" t="s">
        <v>13</v>
      </c>
      <c r="H1951" s="12">
        <v>46263</v>
      </c>
      <c r="I1951" s="10" t="s">
        <v>2946</v>
      </c>
      <c r="J1951" s="10" t="str">
        <f>IFERROR(INDEX([1]Programas!$B$2:$B$50,MATCH(LEFT(I1951,3),[1]Programas!$A$2:$A$50,0)),"")</f>
        <v>IA Aplicada y Automati</v>
      </c>
      <c r="K1951" s="10" t="s">
        <v>649</v>
      </c>
    </row>
    <row r="1952" spans="1:11" x14ac:dyDescent="0.2">
      <c r="A1952" s="10">
        <v>1951</v>
      </c>
      <c r="B1952" s="10" t="s">
        <v>8843</v>
      </c>
      <c r="C1952" s="11" t="s">
        <v>2979</v>
      </c>
      <c r="D1952" s="10" t="s">
        <v>4419</v>
      </c>
      <c r="E1952" s="10" t="s">
        <v>8844</v>
      </c>
      <c r="F1952" s="11" t="s">
        <v>8845</v>
      </c>
      <c r="G1952" s="10" t="s">
        <v>13</v>
      </c>
      <c r="H1952" s="12">
        <v>46263</v>
      </c>
      <c r="I1952" s="10" t="s">
        <v>2946</v>
      </c>
      <c r="J1952" s="10" t="str">
        <f>IFERROR(INDEX([1]Programas!$B$2:$B$50,MATCH(LEFT(I1952,3),[1]Programas!$A$2:$A$50,0)),"")</f>
        <v>IA Aplicada y Automati</v>
      </c>
      <c r="K1952" s="10" t="s">
        <v>649</v>
      </c>
    </row>
    <row r="1953" spans="1:11" x14ac:dyDescent="0.2">
      <c r="A1953" s="10">
        <v>1952</v>
      </c>
      <c r="B1953" s="10" t="s">
        <v>2982</v>
      </c>
      <c r="C1953" s="11" t="s">
        <v>2981</v>
      </c>
      <c r="D1953" s="10" t="s">
        <v>4419</v>
      </c>
      <c r="E1953" s="10" t="s">
        <v>8846</v>
      </c>
      <c r="F1953" s="11" t="s">
        <v>8847</v>
      </c>
      <c r="G1953" s="10" t="s">
        <v>13</v>
      </c>
      <c r="H1953" s="12">
        <v>46263</v>
      </c>
      <c r="I1953" s="10" t="s">
        <v>2946</v>
      </c>
      <c r="J1953" s="10" t="str">
        <f>IFERROR(INDEX([1]Programas!$B$2:$B$50,MATCH(LEFT(I1953,3),[1]Programas!$A$2:$A$50,0)),"")</f>
        <v>IA Aplicada y Automati</v>
      </c>
      <c r="K1953" s="10" t="s">
        <v>649</v>
      </c>
    </row>
    <row r="1954" spans="1:11" x14ac:dyDescent="0.2">
      <c r="A1954" s="10">
        <v>1953</v>
      </c>
      <c r="B1954" s="10" t="s">
        <v>8848</v>
      </c>
      <c r="C1954" s="11" t="s">
        <v>2983</v>
      </c>
      <c r="D1954" s="10" t="s">
        <v>4419</v>
      </c>
      <c r="E1954" s="10" t="s">
        <v>8849</v>
      </c>
      <c r="F1954" s="11" t="s">
        <v>8850</v>
      </c>
      <c r="G1954" s="10" t="s">
        <v>13</v>
      </c>
      <c r="H1954" s="12">
        <v>46263</v>
      </c>
      <c r="I1954" s="10" t="s">
        <v>2946</v>
      </c>
      <c r="J1954" s="10" t="str">
        <f>IFERROR(INDEX([1]Programas!$B$2:$B$50,MATCH(LEFT(I1954,3),[1]Programas!$A$2:$A$50,0)),"")</f>
        <v>IA Aplicada y Automati</v>
      </c>
      <c r="K1954" s="10" t="s">
        <v>649</v>
      </c>
    </row>
    <row r="1955" spans="1:11" x14ac:dyDescent="0.2">
      <c r="A1955" s="10">
        <v>1954</v>
      </c>
      <c r="B1955" s="10" t="s">
        <v>2986</v>
      </c>
      <c r="C1955" s="11" t="s">
        <v>2985</v>
      </c>
      <c r="D1955" s="10" t="s">
        <v>4419</v>
      </c>
      <c r="E1955" s="10" t="s">
        <v>8851</v>
      </c>
      <c r="F1955" s="11" t="s">
        <v>8852</v>
      </c>
      <c r="G1955" s="10" t="s">
        <v>13</v>
      </c>
      <c r="H1955" s="12">
        <v>46263</v>
      </c>
      <c r="I1955" s="10" t="s">
        <v>2946</v>
      </c>
      <c r="J1955" s="10" t="str">
        <f>IFERROR(INDEX([1]Programas!$B$2:$B$50,MATCH(LEFT(I1955,3),[1]Programas!$A$2:$A$50,0)),"")</f>
        <v>IA Aplicada y Automati</v>
      </c>
      <c r="K1955" s="10" t="s">
        <v>649</v>
      </c>
    </row>
    <row r="1956" spans="1:11" x14ac:dyDescent="0.2">
      <c r="A1956" s="10">
        <v>1955</v>
      </c>
      <c r="B1956" s="10" t="s">
        <v>2988</v>
      </c>
      <c r="C1956" s="11" t="s">
        <v>2987</v>
      </c>
      <c r="D1956" s="10" t="s">
        <v>4419</v>
      </c>
      <c r="E1956" s="10" t="s">
        <v>8853</v>
      </c>
      <c r="F1956" s="11" t="s">
        <v>8854</v>
      </c>
      <c r="G1956" s="10" t="s">
        <v>13</v>
      </c>
      <c r="H1956" s="12">
        <v>46263</v>
      </c>
      <c r="I1956" s="10" t="s">
        <v>2946</v>
      </c>
      <c r="J1956" s="10" t="str">
        <f>IFERROR(INDEX([1]Programas!$B$2:$B$50,MATCH(LEFT(I1956,3),[1]Programas!$A$2:$A$50,0)),"")</f>
        <v>IA Aplicada y Automati</v>
      </c>
      <c r="K1956" s="10" t="s">
        <v>649</v>
      </c>
    </row>
    <row r="1957" spans="1:11" x14ac:dyDescent="0.2">
      <c r="A1957" s="10">
        <v>1956</v>
      </c>
      <c r="B1957" s="10" t="s">
        <v>8855</v>
      </c>
      <c r="C1957" s="11" t="s">
        <v>2989</v>
      </c>
      <c r="D1957" s="10" t="s">
        <v>4419</v>
      </c>
      <c r="E1957" s="10" t="s">
        <v>8856</v>
      </c>
      <c r="F1957" s="11" t="s">
        <v>8857</v>
      </c>
      <c r="G1957" s="10" t="s">
        <v>13</v>
      </c>
      <c r="H1957" s="12">
        <v>46263</v>
      </c>
      <c r="I1957" s="10" t="s">
        <v>2946</v>
      </c>
      <c r="J1957" s="10" t="str">
        <f>IFERROR(INDEX([1]Programas!$B$2:$B$50,MATCH(LEFT(I1957,3),[1]Programas!$A$2:$A$50,0)),"")</f>
        <v>IA Aplicada y Automati</v>
      </c>
      <c r="K1957" s="10" t="s">
        <v>649</v>
      </c>
    </row>
    <row r="1958" spans="1:11" x14ac:dyDescent="0.2">
      <c r="A1958" s="10">
        <v>1957</v>
      </c>
      <c r="B1958" s="10" t="s">
        <v>8858</v>
      </c>
      <c r="C1958" s="11" t="s">
        <v>2991</v>
      </c>
      <c r="D1958" s="10" t="s">
        <v>4419</v>
      </c>
      <c r="E1958" s="10" t="s">
        <v>8859</v>
      </c>
      <c r="F1958" s="11" t="s">
        <v>8860</v>
      </c>
      <c r="G1958" s="10" t="s">
        <v>13</v>
      </c>
      <c r="H1958" s="12">
        <v>46263</v>
      </c>
      <c r="I1958" s="10" t="s">
        <v>2946</v>
      </c>
      <c r="J1958" s="10" t="str">
        <f>IFERROR(INDEX([1]Programas!$B$2:$B$50,MATCH(LEFT(I1958,3),[1]Programas!$A$2:$A$50,0)),"")</f>
        <v>IA Aplicada y Automati</v>
      </c>
      <c r="K1958" s="10" t="s">
        <v>649</v>
      </c>
    </row>
    <row r="1959" spans="1:11" x14ac:dyDescent="0.2">
      <c r="A1959" s="10">
        <v>1958</v>
      </c>
      <c r="B1959" s="10" t="s">
        <v>2994</v>
      </c>
      <c r="C1959" s="11" t="s">
        <v>2993</v>
      </c>
      <c r="D1959" s="10" t="s">
        <v>4419</v>
      </c>
      <c r="E1959" s="10" t="s">
        <v>8861</v>
      </c>
      <c r="F1959" s="11" t="s">
        <v>8862</v>
      </c>
      <c r="G1959" s="10" t="s">
        <v>13</v>
      </c>
      <c r="H1959" s="12">
        <v>46263</v>
      </c>
      <c r="I1959" s="10" t="s">
        <v>2946</v>
      </c>
      <c r="J1959" s="10" t="str">
        <f>IFERROR(INDEX([1]Programas!$B$2:$B$50,MATCH(LEFT(I1959,3),[1]Programas!$A$2:$A$50,0)),"")</f>
        <v>IA Aplicada y Automati</v>
      </c>
      <c r="K1959" s="10" t="s">
        <v>649</v>
      </c>
    </row>
    <row r="1960" spans="1:11" x14ac:dyDescent="0.2">
      <c r="A1960" s="10">
        <v>1959</v>
      </c>
      <c r="B1960" s="10" t="s">
        <v>2996</v>
      </c>
      <c r="C1960" s="11" t="s">
        <v>2995</v>
      </c>
      <c r="D1960" s="10" t="s">
        <v>4419</v>
      </c>
      <c r="E1960" s="10" t="s">
        <v>8863</v>
      </c>
      <c r="F1960" s="11" t="s">
        <v>8864</v>
      </c>
      <c r="G1960" s="10" t="s">
        <v>13</v>
      </c>
      <c r="H1960" s="12">
        <v>46263</v>
      </c>
      <c r="I1960" s="10" t="s">
        <v>2946</v>
      </c>
      <c r="J1960" s="10" t="str">
        <f>IFERROR(INDEX([1]Programas!$B$2:$B$50,MATCH(LEFT(I1960,3),[1]Programas!$A$2:$A$50,0)),"")</f>
        <v>IA Aplicada y Automati</v>
      </c>
      <c r="K1960" s="10" t="s">
        <v>649</v>
      </c>
    </row>
    <row r="1961" spans="1:11" x14ac:dyDescent="0.2">
      <c r="A1961" s="10">
        <v>1960</v>
      </c>
      <c r="B1961" s="10" t="s">
        <v>2998</v>
      </c>
      <c r="C1961" s="11" t="s">
        <v>2997</v>
      </c>
      <c r="D1961" s="10" t="s">
        <v>4419</v>
      </c>
      <c r="E1961" s="10" t="s">
        <v>8865</v>
      </c>
      <c r="F1961" s="11" t="s">
        <v>8866</v>
      </c>
      <c r="G1961" s="10" t="s">
        <v>13</v>
      </c>
      <c r="H1961" s="12">
        <v>46263</v>
      </c>
      <c r="I1961" s="10" t="s">
        <v>2946</v>
      </c>
      <c r="J1961" s="10" t="str">
        <f>IFERROR(INDEX([1]Programas!$B$2:$B$50,MATCH(LEFT(I1961,3),[1]Programas!$A$2:$A$50,0)),"")</f>
        <v>IA Aplicada y Automati</v>
      </c>
      <c r="K1961" s="10" t="s">
        <v>649</v>
      </c>
    </row>
    <row r="1962" spans="1:11" x14ac:dyDescent="0.2">
      <c r="A1962" s="10">
        <v>1961</v>
      </c>
      <c r="B1962" s="10" t="s">
        <v>8867</v>
      </c>
      <c r="C1962" s="11" t="s">
        <v>2999</v>
      </c>
      <c r="D1962" s="10" t="s">
        <v>4419</v>
      </c>
      <c r="E1962" s="10" t="s">
        <v>8868</v>
      </c>
      <c r="F1962" s="11" t="s">
        <v>8869</v>
      </c>
      <c r="G1962" s="10" t="s">
        <v>13</v>
      </c>
      <c r="H1962" s="12">
        <v>46263</v>
      </c>
      <c r="I1962" s="10" t="s">
        <v>2946</v>
      </c>
      <c r="J1962" s="10" t="str">
        <f>IFERROR(INDEX([1]Programas!$B$2:$B$50,MATCH(LEFT(I1962,3),[1]Programas!$A$2:$A$50,0)),"")</f>
        <v>IA Aplicada y Automati</v>
      </c>
      <c r="K1962" s="10" t="s">
        <v>649</v>
      </c>
    </row>
    <row r="1963" spans="1:11" x14ac:dyDescent="0.2">
      <c r="A1963" s="10">
        <v>1962</v>
      </c>
      <c r="B1963" s="10" t="s">
        <v>3002</v>
      </c>
      <c r="C1963" s="11" t="s">
        <v>3001</v>
      </c>
      <c r="D1963" s="10" t="s">
        <v>4419</v>
      </c>
      <c r="E1963" s="10" t="s">
        <v>8870</v>
      </c>
      <c r="F1963" s="11" t="s">
        <v>8871</v>
      </c>
      <c r="G1963" s="10" t="s">
        <v>13</v>
      </c>
      <c r="H1963" s="12">
        <v>46263</v>
      </c>
      <c r="I1963" s="10" t="s">
        <v>2946</v>
      </c>
      <c r="J1963" s="10" t="str">
        <f>IFERROR(INDEX([1]Programas!$B$2:$B$50,MATCH(LEFT(I1963,3),[1]Programas!$A$2:$A$50,0)),"")</f>
        <v>IA Aplicada y Automati</v>
      </c>
      <c r="K1963" s="10" t="s">
        <v>649</v>
      </c>
    </row>
    <row r="1964" spans="1:11" x14ac:dyDescent="0.2">
      <c r="A1964" s="10">
        <v>1963</v>
      </c>
      <c r="B1964" s="10" t="s">
        <v>3004</v>
      </c>
      <c r="C1964" s="11" t="s">
        <v>3003</v>
      </c>
      <c r="D1964" s="10" t="s">
        <v>4419</v>
      </c>
      <c r="E1964" s="10" t="s">
        <v>8872</v>
      </c>
      <c r="F1964" s="11" t="s">
        <v>8873</v>
      </c>
      <c r="G1964" s="10" t="s">
        <v>13</v>
      </c>
      <c r="H1964" s="12">
        <v>46263</v>
      </c>
      <c r="I1964" s="10" t="s">
        <v>2946</v>
      </c>
      <c r="J1964" s="10" t="str">
        <f>IFERROR(INDEX([1]Programas!$B$2:$B$50,MATCH(LEFT(I1964,3),[1]Programas!$A$2:$A$50,0)),"")</f>
        <v>IA Aplicada y Automati</v>
      </c>
      <c r="K1964" s="10" t="s">
        <v>649</v>
      </c>
    </row>
    <row r="1965" spans="1:11" x14ac:dyDescent="0.2">
      <c r="A1965" s="10">
        <v>1964</v>
      </c>
      <c r="B1965" s="10" t="s">
        <v>3006</v>
      </c>
      <c r="C1965" s="11" t="s">
        <v>3005</v>
      </c>
      <c r="D1965" s="10" t="s">
        <v>4419</v>
      </c>
      <c r="E1965" s="10" t="s">
        <v>8874</v>
      </c>
      <c r="F1965" s="11" t="s">
        <v>8875</v>
      </c>
      <c r="G1965" s="10" t="s">
        <v>13</v>
      </c>
      <c r="H1965" s="12">
        <v>46263</v>
      </c>
      <c r="I1965" s="10" t="s">
        <v>2946</v>
      </c>
      <c r="J1965" s="10" t="str">
        <f>IFERROR(INDEX([1]Programas!$B$2:$B$50,MATCH(LEFT(I1965,3),[1]Programas!$A$2:$A$50,0)),"")</f>
        <v>IA Aplicada y Automati</v>
      </c>
      <c r="K1965" s="10" t="s">
        <v>649</v>
      </c>
    </row>
    <row r="1966" spans="1:11" x14ac:dyDescent="0.2">
      <c r="A1966" s="10">
        <v>1965</v>
      </c>
      <c r="B1966" s="10" t="s">
        <v>3008</v>
      </c>
      <c r="C1966" s="11" t="s">
        <v>3007</v>
      </c>
      <c r="D1966" s="10" t="s">
        <v>4419</v>
      </c>
      <c r="E1966" s="10" t="s">
        <v>8876</v>
      </c>
      <c r="F1966" s="11" t="s">
        <v>8877</v>
      </c>
      <c r="G1966" s="10" t="s">
        <v>13</v>
      </c>
      <c r="H1966" s="12">
        <v>46263</v>
      </c>
      <c r="I1966" s="10" t="s">
        <v>2946</v>
      </c>
      <c r="J1966" s="10" t="str">
        <f>IFERROR(INDEX([1]Programas!$B$2:$B$50,MATCH(LEFT(I1966,3),[1]Programas!$A$2:$A$50,0)),"")</f>
        <v>IA Aplicada y Automati</v>
      </c>
      <c r="K1966" s="10" t="s">
        <v>649</v>
      </c>
    </row>
    <row r="1967" spans="1:11" x14ac:dyDescent="0.2">
      <c r="A1967" s="10">
        <v>1966</v>
      </c>
      <c r="B1967" s="10" t="s">
        <v>8878</v>
      </c>
      <c r="C1967" s="11" t="s">
        <v>3009</v>
      </c>
      <c r="D1967" s="10" t="s">
        <v>4419</v>
      </c>
      <c r="E1967" s="10" t="s">
        <v>8879</v>
      </c>
      <c r="F1967" s="11" t="s">
        <v>8880</v>
      </c>
      <c r="G1967" s="10" t="s">
        <v>13</v>
      </c>
      <c r="H1967" s="12">
        <v>46263</v>
      </c>
      <c r="I1967" s="10" t="s">
        <v>2946</v>
      </c>
      <c r="J1967" s="10" t="str">
        <f>IFERROR(INDEX([1]Programas!$B$2:$B$50,MATCH(LEFT(I1967,3),[1]Programas!$A$2:$A$50,0)),"")</f>
        <v>IA Aplicada y Automati</v>
      </c>
      <c r="K1967" s="10" t="s">
        <v>649</v>
      </c>
    </row>
    <row r="1968" spans="1:11" x14ac:dyDescent="0.2">
      <c r="A1968" s="10">
        <v>1967</v>
      </c>
      <c r="B1968" s="10" t="s">
        <v>3012</v>
      </c>
      <c r="C1968" s="11" t="s">
        <v>3011</v>
      </c>
      <c r="D1968" s="10" t="s">
        <v>4419</v>
      </c>
      <c r="E1968" s="10" t="s">
        <v>8881</v>
      </c>
      <c r="F1968" s="11" t="s">
        <v>8882</v>
      </c>
      <c r="G1968" s="10" t="s">
        <v>13</v>
      </c>
      <c r="H1968" s="12">
        <v>46263</v>
      </c>
      <c r="I1968" s="10" t="s">
        <v>2946</v>
      </c>
      <c r="J1968" s="10" t="str">
        <f>IFERROR(INDEX([1]Programas!$B$2:$B$50,MATCH(LEFT(I1968,3),[1]Programas!$A$2:$A$50,0)),"")</f>
        <v>IA Aplicada y Automati</v>
      </c>
      <c r="K1968" s="10" t="s">
        <v>649</v>
      </c>
    </row>
    <row r="1969" spans="1:11" x14ac:dyDescent="0.2">
      <c r="A1969" s="10">
        <v>1968</v>
      </c>
      <c r="B1969" s="10" t="s">
        <v>8883</v>
      </c>
      <c r="C1969" s="11" t="s">
        <v>3013</v>
      </c>
      <c r="D1969" s="10" t="s">
        <v>4419</v>
      </c>
      <c r="E1969" s="10" t="s">
        <v>8884</v>
      </c>
      <c r="F1969" s="11" t="s">
        <v>8885</v>
      </c>
      <c r="G1969" s="10" t="s">
        <v>13</v>
      </c>
      <c r="H1969" s="12">
        <v>46263</v>
      </c>
      <c r="I1969" s="10" t="s">
        <v>2946</v>
      </c>
      <c r="J1969" s="10" t="str">
        <f>IFERROR(INDEX([1]Programas!$B$2:$B$50,MATCH(LEFT(I1969,3),[1]Programas!$A$2:$A$50,0)),"")</f>
        <v>IA Aplicada y Automati</v>
      </c>
      <c r="K1969" s="10" t="s">
        <v>649</v>
      </c>
    </row>
    <row r="1970" spans="1:11" x14ac:dyDescent="0.2">
      <c r="A1970" s="10">
        <v>1969</v>
      </c>
      <c r="B1970" s="10" t="s">
        <v>8886</v>
      </c>
      <c r="C1970" s="11" t="s">
        <v>3015</v>
      </c>
      <c r="D1970" s="10" t="s">
        <v>4419</v>
      </c>
      <c r="E1970" s="10" t="s">
        <v>8887</v>
      </c>
      <c r="F1970" s="11" t="s">
        <v>8888</v>
      </c>
      <c r="G1970" s="10" t="s">
        <v>13</v>
      </c>
      <c r="H1970" s="12">
        <v>46263</v>
      </c>
      <c r="I1970" s="10" t="s">
        <v>2946</v>
      </c>
      <c r="J1970" s="10" t="str">
        <f>IFERROR(INDEX([1]Programas!$B$2:$B$50,MATCH(LEFT(I1970,3),[1]Programas!$A$2:$A$50,0)),"")</f>
        <v>IA Aplicada y Automati</v>
      </c>
      <c r="K1970" s="10" t="s">
        <v>649</v>
      </c>
    </row>
    <row r="1971" spans="1:11" x14ac:dyDescent="0.2">
      <c r="A1971" s="10">
        <v>1970</v>
      </c>
      <c r="B1971" s="10" t="s">
        <v>8889</v>
      </c>
      <c r="C1971" s="11" t="s">
        <v>3017</v>
      </c>
      <c r="D1971" s="10" t="s">
        <v>4419</v>
      </c>
      <c r="E1971" s="10" t="s">
        <v>8890</v>
      </c>
      <c r="F1971" s="11" t="s">
        <v>8891</v>
      </c>
      <c r="G1971" s="10" t="s">
        <v>13</v>
      </c>
      <c r="H1971" s="12">
        <v>46263</v>
      </c>
      <c r="I1971" s="10" t="s">
        <v>2946</v>
      </c>
      <c r="J1971" s="10" t="str">
        <f>IFERROR(INDEX([1]Programas!$B$2:$B$50,MATCH(LEFT(I1971,3),[1]Programas!$A$2:$A$50,0)),"")</f>
        <v>IA Aplicada y Automati</v>
      </c>
      <c r="K1971" s="10" t="s">
        <v>649</v>
      </c>
    </row>
    <row r="1972" spans="1:11" x14ac:dyDescent="0.2">
      <c r="A1972" s="10">
        <v>1971</v>
      </c>
      <c r="B1972" s="10" t="s">
        <v>3020</v>
      </c>
      <c r="C1972" s="11" t="s">
        <v>3019</v>
      </c>
      <c r="D1972" s="10" t="s">
        <v>4419</v>
      </c>
      <c r="E1972" s="10" t="s">
        <v>8892</v>
      </c>
      <c r="F1972" s="11" t="s">
        <v>8893</v>
      </c>
      <c r="G1972" s="10" t="s">
        <v>13</v>
      </c>
      <c r="H1972" s="12">
        <v>46263</v>
      </c>
      <c r="I1972" s="10" t="s">
        <v>2946</v>
      </c>
      <c r="J1972" s="10" t="str">
        <f>IFERROR(INDEX([1]Programas!$B$2:$B$50,MATCH(LEFT(I1972,3),[1]Programas!$A$2:$A$50,0)),"")</f>
        <v>IA Aplicada y Automati</v>
      </c>
      <c r="K1972" s="10" t="s">
        <v>649</v>
      </c>
    </row>
    <row r="1973" spans="1:11" x14ac:dyDescent="0.2">
      <c r="A1973" s="10">
        <v>1972</v>
      </c>
      <c r="B1973" s="10" t="s">
        <v>8894</v>
      </c>
      <c r="C1973" s="11" t="s">
        <v>3021</v>
      </c>
      <c r="D1973" s="10" t="s">
        <v>4419</v>
      </c>
      <c r="E1973" s="10" t="s">
        <v>8895</v>
      </c>
      <c r="F1973" s="11" t="s">
        <v>8896</v>
      </c>
      <c r="G1973" s="10" t="s">
        <v>13</v>
      </c>
      <c r="H1973" s="12">
        <v>46263</v>
      </c>
      <c r="I1973" s="10" t="s">
        <v>2946</v>
      </c>
      <c r="J1973" s="10" t="str">
        <f>IFERROR(INDEX([1]Programas!$B$2:$B$50,MATCH(LEFT(I1973,3),[1]Programas!$A$2:$A$50,0)),"")</f>
        <v>IA Aplicada y Automati</v>
      </c>
      <c r="K1973" s="10" t="s">
        <v>649</v>
      </c>
    </row>
    <row r="1974" spans="1:11" x14ac:dyDescent="0.2">
      <c r="A1974" s="10">
        <v>1973</v>
      </c>
      <c r="B1974" s="10" t="s">
        <v>3024</v>
      </c>
      <c r="C1974" s="11" t="s">
        <v>3023</v>
      </c>
      <c r="D1974" s="10" t="s">
        <v>4419</v>
      </c>
      <c r="E1974" s="10" t="s">
        <v>8897</v>
      </c>
      <c r="F1974" s="11" t="s">
        <v>8898</v>
      </c>
      <c r="G1974" s="10" t="s">
        <v>13</v>
      </c>
      <c r="H1974" s="12">
        <v>46263</v>
      </c>
      <c r="I1974" s="10" t="s">
        <v>2946</v>
      </c>
      <c r="J1974" s="10" t="str">
        <f>IFERROR(INDEX([1]Programas!$B$2:$B$50,MATCH(LEFT(I1974,3),[1]Programas!$A$2:$A$50,0)),"")</f>
        <v>IA Aplicada y Automati</v>
      </c>
      <c r="K1974" s="10" t="s">
        <v>649</v>
      </c>
    </row>
    <row r="1975" spans="1:11" x14ac:dyDescent="0.2">
      <c r="A1975" s="10">
        <v>1974</v>
      </c>
      <c r="B1975" s="10" t="s">
        <v>8899</v>
      </c>
      <c r="C1975" s="11" t="s">
        <v>3026</v>
      </c>
      <c r="D1975" s="10" t="s">
        <v>4419</v>
      </c>
      <c r="E1975" s="10" t="s">
        <v>8900</v>
      </c>
      <c r="F1975" s="11" t="s">
        <v>8901</v>
      </c>
      <c r="G1975" s="10" t="s">
        <v>13</v>
      </c>
      <c r="H1975" s="12">
        <v>46263</v>
      </c>
      <c r="I1975" s="10" t="s">
        <v>3029</v>
      </c>
      <c r="J1975" s="10" t="str">
        <f>IFERROR(INDEX([1]Programas!$B$2:$B$50,MATCH(LEFT(I1975,3),[1]Programas!$A$2:$A$50,0)),"")</f>
        <v>IA Aplicada y Automati</v>
      </c>
      <c r="K1975" s="10" t="s">
        <v>649</v>
      </c>
    </row>
    <row r="1976" spans="1:11" x14ac:dyDescent="0.2">
      <c r="A1976" s="10">
        <v>1975</v>
      </c>
      <c r="B1976" s="10" t="s">
        <v>3032</v>
      </c>
      <c r="C1976" s="11" t="s">
        <v>3031</v>
      </c>
      <c r="D1976" s="10" t="s">
        <v>4419</v>
      </c>
      <c r="E1976" s="10" t="s">
        <v>8902</v>
      </c>
      <c r="F1976" s="11" t="s">
        <v>8903</v>
      </c>
      <c r="G1976" s="10" t="s">
        <v>13</v>
      </c>
      <c r="H1976" s="12">
        <v>46263</v>
      </c>
      <c r="I1976" s="10" t="s">
        <v>3029</v>
      </c>
      <c r="J1976" s="10" t="str">
        <f>IFERROR(INDEX([1]Programas!$B$2:$B$50,MATCH(LEFT(I1976,3),[1]Programas!$A$2:$A$50,0)),"")</f>
        <v>IA Aplicada y Automati</v>
      </c>
      <c r="K1976" s="10" t="s">
        <v>649</v>
      </c>
    </row>
    <row r="1977" spans="1:11" x14ac:dyDescent="0.2">
      <c r="A1977" s="10">
        <v>1976</v>
      </c>
      <c r="B1977" s="10" t="s">
        <v>8904</v>
      </c>
      <c r="C1977" s="11" t="s">
        <v>3033</v>
      </c>
      <c r="D1977" s="10" t="s">
        <v>4453</v>
      </c>
      <c r="E1977" s="10" t="s">
        <v>8905</v>
      </c>
      <c r="F1977" s="11" t="s">
        <v>8906</v>
      </c>
      <c r="G1977" s="10" t="s">
        <v>13</v>
      </c>
      <c r="H1977" s="12">
        <v>46263</v>
      </c>
      <c r="I1977" s="10" t="s">
        <v>3029</v>
      </c>
      <c r="J1977" s="10" t="str">
        <f>IFERROR(INDEX([1]Programas!$B$2:$B$50,MATCH(LEFT(I1977,3),[1]Programas!$A$2:$A$50,0)),"")</f>
        <v>IA Aplicada y Automati</v>
      </c>
      <c r="K1977" s="10" t="s">
        <v>649</v>
      </c>
    </row>
    <row r="1978" spans="1:11" x14ac:dyDescent="0.2">
      <c r="A1978" s="10">
        <v>1977</v>
      </c>
      <c r="B1978" s="10" t="s">
        <v>3036</v>
      </c>
      <c r="C1978" s="11" t="s">
        <v>3035</v>
      </c>
      <c r="D1978" s="10" t="s">
        <v>4419</v>
      </c>
      <c r="E1978" s="10" t="s">
        <v>8907</v>
      </c>
      <c r="F1978" s="11" t="s">
        <v>8908</v>
      </c>
      <c r="G1978" s="10" t="s">
        <v>13</v>
      </c>
      <c r="H1978" s="12">
        <v>46263</v>
      </c>
      <c r="I1978" s="10" t="s">
        <v>3029</v>
      </c>
      <c r="J1978" s="10" t="str">
        <f>IFERROR(INDEX([1]Programas!$B$2:$B$50,MATCH(LEFT(I1978,3),[1]Programas!$A$2:$A$50,0)),"")</f>
        <v>IA Aplicada y Automati</v>
      </c>
      <c r="K1978" s="10" t="s">
        <v>649</v>
      </c>
    </row>
    <row r="1979" spans="1:11" x14ac:dyDescent="0.2">
      <c r="A1979" s="10">
        <v>1978</v>
      </c>
      <c r="B1979" s="10" t="s">
        <v>3038</v>
      </c>
      <c r="C1979" s="11" t="s">
        <v>3037</v>
      </c>
      <c r="D1979" s="10" t="s">
        <v>4419</v>
      </c>
      <c r="E1979" s="10" t="s">
        <v>8909</v>
      </c>
      <c r="F1979" s="11" t="s">
        <v>8910</v>
      </c>
      <c r="G1979" s="10" t="s">
        <v>13</v>
      </c>
      <c r="H1979" s="12">
        <v>46263</v>
      </c>
      <c r="I1979" s="10" t="s">
        <v>3029</v>
      </c>
      <c r="J1979" s="10" t="str">
        <f>IFERROR(INDEX([1]Programas!$B$2:$B$50,MATCH(LEFT(I1979,3),[1]Programas!$A$2:$A$50,0)),"")</f>
        <v>IA Aplicada y Automati</v>
      </c>
      <c r="K1979" s="10" t="s">
        <v>649</v>
      </c>
    </row>
    <row r="1980" spans="1:11" x14ac:dyDescent="0.2">
      <c r="A1980" s="10">
        <v>1979</v>
      </c>
      <c r="B1980" s="10" t="s">
        <v>3040</v>
      </c>
      <c r="C1980" s="11" t="s">
        <v>3039</v>
      </c>
      <c r="D1980" s="10" t="s">
        <v>4419</v>
      </c>
      <c r="E1980" s="10" t="s">
        <v>8911</v>
      </c>
      <c r="F1980" s="11" t="s">
        <v>8912</v>
      </c>
      <c r="G1980" s="10" t="s">
        <v>13</v>
      </c>
      <c r="H1980" s="12">
        <v>46263</v>
      </c>
      <c r="I1980" s="10" t="s">
        <v>3029</v>
      </c>
      <c r="J1980" s="10" t="str">
        <f>IFERROR(INDEX([1]Programas!$B$2:$B$50,MATCH(LEFT(I1980,3),[1]Programas!$A$2:$A$50,0)),"")</f>
        <v>IA Aplicada y Automati</v>
      </c>
      <c r="K1980" s="10" t="s">
        <v>649</v>
      </c>
    </row>
    <row r="1981" spans="1:11" x14ac:dyDescent="0.2">
      <c r="A1981" s="10">
        <v>1980</v>
      </c>
      <c r="B1981" s="10" t="s">
        <v>3042</v>
      </c>
      <c r="C1981" s="11" t="s">
        <v>3041</v>
      </c>
      <c r="D1981" s="10" t="s">
        <v>4453</v>
      </c>
      <c r="E1981" s="10" t="s">
        <v>8913</v>
      </c>
      <c r="F1981" s="11" t="s">
        <v>8914</v>
      </c>
      <c r="G1981" s="10" t="s">
        <v>13</v>
      </c>
      <c r="H1981" s="12">
        <v>46263</v>
      </c>
      <c r="I1981" s="10" t="s">
        <v>3029</v>
      </c>
      <c r="J1981" s="10" t="str">
        <f>IFERROR(INDEX([1]Programas!$B$2:$B$50,MATCH(LEFT(I1981,3),[1]Programas!$A$2:$A$50,0)),"")</f>
        <v>IA Aplicada y Automati</v>
      </c>
      <c r="K1981" s="10" t="s">
        <v>649</v>
      </c>
    </row>
    <row r="1982" spans="1:11" x14ac:dyDescent="0.2">
      <c r="A1982" s="10">
        <v>1981</v>
      </c>
      <c r="B1982" s="10" t="s">
        <v>3044</v>
      </c>
      <c r="C1982" s="11" t="s">
        <v>3043</v>
      </c>
      <c r="D1982" s="10" t="s">
        <v>4419</v>
      </c>
      <c r="E1982" s="10" t="s">
        <v>8915</v>
      </c>
      <c r="F1982" s="11" t="s">
        <v>8916</v>
      </c>
      <c r="G1982" s="10" t="s">
        <v>13</v>
      </c>
      <c r="H1982" s="12">
        <v>46263</v>
      </c>
      <c r="I1982" s="10" t="s">
        <v>3029</v>
      </c>
      <c r="J1982" s="10" t="str">
        <f>IFERROR(INDEX([1]Programas!$B$2:$B$50,MATCH(LEFT(I1982,3),[1]Programas!$A$2:$A$50,0)),"")</f>
        <v>IA Aplicada y Automati</v>
      </c>
      <c r="K1982" s="10" t="s">
        <v>649</v>
      </c>
    </row>
    <row r="1983" spans="1:11" x14ac:dyDescent="0.2">
      <c r="A1983" s="10">
        <v>1982</v>
      </c>
      <c r="B1983" s="10" t="s">
        <v>8917</v>
      </c>
      <c r="C1983" s="11" t="s">
        <v>3045</v>
      </c>
      <c r="D1983" s="10" t="s">
        <v>4453</v>
      </c>
      <c r="E1983" s="10" t="s">
        <v>8918</v>
      </c>
      <c r="F1983" s="11" t="s">
        <v>8919</v>
      </c>
      <c r="G1983" s="10" t="s">
        <v>13</v>
      </c>
      <c r="H1983" s="12">
        <v>46263</v>
      </c>
      <c r="I1983" s="10" t="s">
        <v>3029</v>
      </c>
      <c r="J1983" s="10" t="str">
        <f>IFERROR(INDEX([1]Programas!$B$2:$B$50,MATCH(LEFT(I1983,3),[1]Programas!$A$2:$A$50,0)),"")</f>
        <v>IA Aplicada y Automati</v>
      </c>
      <c r="K1983" s="10" t="s">
        <v>649</v>
      </c>
    </row>
    <row r="1984" spans="1:11" x14ac:dyDescent="0.2">
      <c r="A1984" s="10">
        <v>1983</v>
      </c>
      <c r="B1984" s="10" t="s">
        <v>8920</v>
      </c>
      <c r="C1984" s="11" t="s">
        <v>3047</v>
      </c>
      <c r="D1984" s="10" t="s">
        <v>4419</v>
      </c>
      <c r="E1984" s="10" t="s">
        <v>8921</v>
      </c>
      <c r="F1984" s="11" t="s">
        <v>8922</v>
      </c>
      <c r="G1984" s="10" t="s">
        <v>13</v>
      </c>
      <c r="H1984" s="12">
        <v>46263</v>
      </c>
      <c r="I1984" s="10" t="s">
        <v>3029</v>
      </c>
      <c r="J1984" s="10" t="str">
        <f>IFERROR(INDEX([1]Programas!$B$2:$B$50,MATCH(LEFT(I1984,3),[1]Programas!$A$2:$A$50,0)),"")</f>
        <v>IA Aplicada y Automati</v>
      </c>
      <c r="K1984" s="10" t="s">
        <v>649</v>
      </c>
    </row>
    <row r="1985" spans="1:11" x14ac:dyDescent="0.2">
      <c r="A1985" s="10">
        <v>1984</v>
      </c>
      <c r="B1985" s="10" t="s">
        <v>3050</v>
      </c>
      <c r="C1985" s="11" t="s">
        <v>3049</v>
      </c>
      <c r="D1985" s="10" t="s">
        <v>4419</v>
      </c>
      <c r="E1985" s="10" t="s">
        <v>8923</v>
      </c>
      <c r="F1985" s="11" t="s">
        <v>8924</v>
      </c>
      <c r="G1985" s="10" t="s">
        <v>13</v>
      </c>
      <c r="H1985" s="12">
        <v>46263</v>
      </c>
      <c r="I1985" s="10" t="s">
        <v>3029</v>
      </c>
      <c r="J1985" s="10" t="str">
        <f>IFERROR(INDEX([1]Programas!$B$2:$B$50,MATCH(LEFT(I1985,3),[1]Programas!$A$2:$A$50,0)),"")</f>
        <v>IA Aplicada y Automati</v>
      </c>
      <c r="K1985" s="10" t="s">
        <v>649</v>
      </c>
    </row>
    <row r="1986" spans="1:11" x14ac:dyDescent="0.2">
      <c r="A1986" s="10">
        <v>1985</v>
      </c>
      <c r="B1986" s="10" t="s">
        <v>3052</v>
      </c>
      <c r="C1986" s="11" t="s">
        <v>3051</v>
      </c>
      <c r="D1986" s="10" t="s">
        <v>5003</v>
      </c>
      <c r="E1986" s="10" t="s">
        <v>8925</v>
      </c>
      <c r="F1986" s="11" t="s">
        <v>8926</v>
      </c>
      <c r="G1986" s="10" t="s">
        <v>13</v>
      </c>
      <c r="H1986" s="12">
        <v>46263</v>
      </c>
      <c r="I1986" s="10" t="s">
        <v>3029</v>
      </c>
      <c r="J1986" s="10" t="str">
        <f>IFERROR(INDEX([1]Programas!$B$2:$B$50,MATCH(LEFT(I1986,3),[1]Programas!$A$2:$A$50,0)),"")</f>
        <v>IA Aplicada y Automati</v>
      </c>
      <c r="K1986" s="10" t="s">
        <v>649</v>
      </c>
    </row>
    <row r="1987" spans="1:11" x14ac:dyDescent="0.2">
      <c r="A1987" s="10">
        <v>1986</v>
      </c>
      <c r="B1987" s="10" t="s">
        <v>3054</v>
      </c>
      <c r="C1987" s="11" t="s">
        <v>3053</v>
      </c>
      <c r="D1987" s="10" t="s">
        <v>4419</v>
      </c>
      <c r="E1987" s="10" t="s">
        <v>8927</v>
      </c>
      <c r="F1987" s="11" t="s">
        <v>8928</v>
      </c>
      <c r="G1987" s="10" t="s">
        <v>13</v>
      </c>
      <c r="H1987" s="12">
        <v>46263</v>
      </c>
      <c r="I1987" s="10" t="s">
        <v>3029</v>
      </c>
      <c r="J1987" s="10" t="str">
        <f>IFERROR(INDEX([1]Programas!$B$2:$B$50,MATCH(LEFT(I1987,3),[1]Programas!$A$2:$A$50,0)),"")</f>
        <v>IA Aplicada y Automati</v>
      </c>
      <c r="K1987" s="10" t="s">
        <v>649</v>
      </c>
    </row>
    <row r="1988" spans="1:11" x14ac:dyDescent="0.2">
      <c r="A1988" s="10">
        <v>1987</v>
      </c>
      <c r="B1988" s="10" t="s">
        <v>8929</v>
      </c>
      <c r="C1988" s="11" t="s">
        <v>3055</v>
      </c>
      <c r="D1988" s="10" t="s">
        <v>4419</v>
      </c>
      <c r="E1988" s="10" t="s">
        <v>8930</v>
      </c>
      <c r="F1988" s="11" t="s">
        <v>8931</v>
      </c>
      <c r="G1988" s="10" t="s">
        <v>13</v>
      </c>
      <c r="H1988" s="12">
        <v>46263</v>
      </c>
      <c r="I1988" s="10" t="s">
        <v>3029</v>
      </c>
      <c r="J1988" s="10" t="str">
        <f>IFERROR(INDEX([1]Programas!$B$2:$B$50,MATCH(LEFT(I1988,3),[1]Programas!$A$2:$A$50,0)),"")</f>
        <v>IA Aplicada y Automati</v>
      </c>
      <c r="K1988" s="10" t="s">
        <v>649</v>
      </c>
    </row>
    <row r="1989" spans="1:11" x14ac:dyDescent="0.2">
      <c r="A1989" s="10">
        <v>1988</v>
      </c>
      <c r="B1989" s="10" t="s">
        <v>8932</v>
      </c>
      <c r="C1989" s="11" t="s">
        <v>3057</v>
      </c>
      <c r="D1989" s="10" t="s">
        <v>4419</v>
      </c>
      <c r="E1989" s="10" t="s">
        <v>8933</v>
      </c>
      <c r="F1989" s="11" t="s">
        <v>8934</v>
      </c>
      <c r="G1989" s="10" t="s">
        <v>13</v>
      </c>
      <c r="H1989" s="12">
        <v>46263</v>
      </c>
      <c r="I1989" s="10" t="s">
        <v>3029</v>
      </c>
      <c r="J1989" s="10" t="str">
        <f>IFERROR(INDEX([1]Programas!$B$2:$B$50,MATCH(LEFT(I1989,3),[1]Programas!$A$2:$A$50,0)),"")</f>
        <v>IA Aplicada y Automati</v>
      </c>
      <c r="K1989" s="10" t="s">
        <v>649</v>
      </c>
    </row>
    <row r="1990" spans="1:11" x14ac:dyDescent="0.2">
      <c r="A1990" s="10">
        <v>1989</v>
      </c>
      <c r="B1990" s="10" t="s">
        <v>8935</v>
      </c>
      <c r="C1990" s="11" t="s">
        <v>3059</v>
      </c>
      <c r="D1990" s="10" t="s">
        <v>4453</v>
      </c>
      <c r="E1990" s="10" t="s">
        <v>8936</v>
      </c>
      <c r="F1990" s="11" t="s">
        <v>8937</v>
      </c>
      <c r="G1990" s="10" t="s">
        <v>13</v>
      </c>
      <c r="H1990" s="12">
        <v>46263</v>
      </c>
      <c r="I1990" s="10" t="s">
        <v>3029</v>
      </c>
      <c r="J1990" s="10" t="str">
        <f>IFERROR(INDEX([1]Programas!$B$2:$B$50,MATCH(LEFT(I1990,3),[1]Programas!$A$2:$A$50,0)),"")</f>
        <v>IA Aplicada y Automati</v>
      </c>
      <c r="K1990" s="10" t="s">
        <v>649</v>
      </c>
    </row>
    <row r="1991" spans="1:11" x14ac:dyDescent="0.2">
      <c r="A1991" s="10">
        <v>1990</v>
      </c>
      <c r="B1991" s="10" t="s">
        <v>3062</v>
      </c>
      <c r="C1991" s="11" t="s">
        <v>3061</v>
      </c>
      <c r="D1991" s="10" t="s">
        <v>4419</v>
      </c>
      <c r="E1991" s="10" t="s">
        <v>8938</v>
      </c>
      <c r="F1991" s="11" t="s">
        <v>8939</v>
      </c>
      <c r="G1991" s="10" t="s">
        <v>13</v>
      </c>
      <c r="H1991" s="12">
        <v>46263</v>
      </c>
      <c r="I1991" s="10" t="s">
        <v>3029</v>
      </c>
      <c r="J1991" s="10" t="str">
        <f>IFERROR(INDEX([1]Programas!$B$2:$B$50,MATCH(LEFT(I1991,3),[1]Programas!$A$2:$A$50,0)),"")</f>
        <v>IA Aplicada y Automati</v>
      </c>
      <c r="K1991" s="10" t="s">
        <v>649</v>
      </c>
    </row>
    <row r="1992" spans="1:11" x14ac:dyDescent="0.2">
      <c r="A1992" s="10">
        <v>1991</v>
      </c>
      <c r="B1992" s="10" t="s">
        <v>8940</v>
      </c>
      <c r="C1992" s="11" t="s">
        <v>3063</v>
      </c>
      <c r="D1992" s="10" t="s">
        <v>4419</v>
      </c>
      <c r="E1992" s="10" t="s">
        <v>8941</v>
      </c>
      <c r="F1992" s="11" t="s">
        <v>8942</v>
      </c>
      <c r="G1992" s="10" t="s">
        <v>13</v>
      </c>
      <c r="H1992" s="12">
        <v>46263</v>
      </c>
      <c r="I1992" s="10" t="s">
        <v>3029</v>
      </c>
      <c r="J1992" s="10" t="str">
        <f>IFERROR(INDEX([1]Programas!$B$2:$B$50,MATCH(LEFT(I1992,3),[1]Programas!$A$2:$A$50,0)),"")</f>
        <v>IA Aplicada y Automati</v>
      </c>
      <c r="K1992" s="10" t="s">
        <v>649</v>
      </c>
    </row>
    <row r="1993" spans="1:11" x14ac:dyDescent="0.2">
      <c r="A1993" s="10">
        <v>1992</v>
      </c>
      <c r="B1993" s="10" t="s">
        <v>8943</v>
      </c>
      <c r="C1993" s="11" t="s">
        <v>3065</v>
      </c>
      <c r="D1993" s="10" t="s">
        <v>4419</v>
      </c>
      <c r="E1993" s="10" t="s">
        <v>8944</v>
      </c>
      <c r="F1993" s="11" t="s">
        <v>8945</v>
      </c>
      <c r="G1993" s="10" t="s">
        <v>13</v>
      </c>
      <c r="H1993" s="12">
        <v>46263</v>
      </c>
      <c r="I1993" s="10" t="s">
        <v>3029</v>
      </c>
      <c r="J1993" s="10" t="str">
        <f>IFERROR(INDEX([1]Programas!$B$2:$B$50,MATCH(LEFT(I1993,3),[1]Programas!$A$2:$A$50,0)),"")</f>
        <v>IA Aplicada y Automati</v>
      </c>
      <c r="K1993" s="10" t="s">
        <v>649</v>
      </c>
    </row>
    <row r="1994" spans="1:11" x14ac:dyDescent="0.2">
      <c r="A1994" s="10">
        <v>1993</v>
      </c>
      <c r="B1994" s="10" t="s">
        <v>3068</v>
      </c>
      <c r="C1994" s="11" t="s">
        <v>3067</v>
      </c>
      <c r="D1994" s="10" t="s">
        <v>4419</v>
      </c>
      <c r="E1994" s="10" t="s">
        <v>8946</v>
      </c>
      <c r="F1994" s="11" t="s">
        <v>8947</v>
      </c>
      <c r="G1994" s="10" t="s">
        <v>13</v>
      </c>
      <c r="H1994" s="12">
        <v>46263</v>
      </c>
      <c r="I1994" s="10" t="s">
        <v>3029</v>
      </c>
      <c r="J1994" s="10" t="str">
        <f>IFERROR(INDEX([1]Programas!$B$2:$B$50,MATCH(LEFT(I1994,3),[1]Programas!$A$2:$A$50,0)),"")</f>
        <v>IA Aplicada y Automati</v>
      </c>
      <c r="K1994" s="10" t="s">
        <v>649</v>
      </c>
    </row>
    <row r="1995" spans="1:11" x14ac:dyDescent="0.2">
      <c r="A1995" s="10">
        <v>1994</v>
      </c>
      <c r="B1995" s="10" t="s">
        <v>8948</v>
      </c>
      <c r="C1995" s="11" t="s">
        <v>3069</v>
      </c>
      <c r="D1995" s="10" t="s">
        <v>4419</v>
      </c>
      <c r="E1995" s="10" t="s">
        <v>8949</v>
      </c>
      <c r="F1995" s="11" t="s">
        <v>8950</v>
      </c>
      <c r="G1995" s="10" t="s">
        <v>13</v>
      </c>
      <c r="H1995" s="12">
        <v>46263</v>
      </c>
      <c r="I1995" s="10" t="s">
        <v>3029</v>
      </c>
      <c r="J1995" s="10" t="str">
        <f>IFERROR(INDEX([1]Programas!$B$2:$B$50,MATCH(LEFT(I1995,3),[1]Programas!$A$2:$A$50,0)),"")</f>
        <v>IA Aplicada y Automati</v>
      </c>
      <c r="K1995" s="10" t="s">
        <v>649</v>
      </c>
    </row>
    <row r="1996" spans="1:11" x14ac:dyDescent="0.2">
      <c r="A1996" s="10">
        <v>1995</v>
      </c>
      <c r="B1996" s="10" t="s">
        <v>3072</v>
      </c>
      <c r="C1996" s="11" t="s">
        <v>3071</v>
      </c>
      <c r="D1996" s="10" t="s">
        <v>4419</v>
      </c>
      <c r="E1996" s="10" t="s">
        <v>8951</v>
      </c>
      <c r="F1996" s="11" t="s">
        <v>8952</v>
      </c>
      <c r="G1996" s="10" t="s">
        <v>13</v>
      </c>
      <c r="H1996" s="12">
        <v>46263</v>
      </c>
      <c r="I1996" s="10" t="s">
        <v>3029</v>
      </c>
      <c r="J1996" s="10" t="str">
        <f>IFERROR(INDEX([1]Programas!$B$2:$B$50,MATCH(LEFT(I1996,3),[1]Programas!$A$2:$A$50,0)),"")</f>
        <v>IA Aplicada y Automati</v>
      </c>
      <c r="K1996" s="10" t="s">
        <v>649</v>
      </c>
    </row>
    <row r="1997" spans="1:11" x14ac:dyDescent="0.2">
      <c r="A1997" s="10">
        <v>1996</v>
      </c>
      <c r="B1997" s="10" t="s">
        <v>8953</v>
      </c>
      <c r="C1997" s="11" t="s">
        <v>3073</v>
      </c>
      <c r="D1997" s="10" t="s">
        <v>4419</v>
      </c>
      <c r="E1997" s="10" t="s">
        <v>8954</v>
      </c>
      <c r="F1997" s="11" t="s">
        <v>8955</v>
      </c>
      <c r="G1997" s="10" t="s">
        <v>13</v>
      </c>
      <c r="H1997" s="12">
        <v>46263</v>
      </c>
      <c r="I1997" s="10" t="s">
        <v>3029</v>
      </c>
      <c r="J1997" s="10" t="str">
        <f>IFERROR(INDEX([1]Programas!$B$2:$B$50,MATCH(LEFT(I1997,3),[1]Programas!$A$2:$A$50,0)),"")</f>
        <v>IA Aplicada y Automati</v>
      </c>
      <c r="K1997" s="10" t="s">
        <v>649</v>
      </c>
    </row>
    <row r="1998" spans="1:11" x14ac:dyDescent="0.2">
      <c r="A1998" s="10">
        <v>1997</v>
      </c>
      <c r="B1998" s="10" t="s">
        <v>3076</v>
      </c>
      <c r="C1998" s="11" t="s">
        <v>3075</v>
      </c>
      <c r="D1998" s="10" t="s">
        <v>4419</v>
      </c>
      <c r="E1998" s="10" t="s">
        <v>8956</v>
      </c>
      <c r="F1998" s="11" t="s">
        <v>8957</v>
      </c>
      <c r="G1998" s="10" t="s">
        <v>13</v>
      </c>
      <c r="H1998" s="12">
        <v>46263</v>
      </c>
      <c r="I1998" s="10" t="s">
        <v>3029</v>
      </c>
      <c r="J1998" s="10" t="str">
        <f>IFERROR(INDEX([1]Programas!$B$2:$B$50,MATCH(LEFT(I1998,3),[1]Programas!$A$2:$A$50,0)),"")</f>
        <v>IA Aplicada y Automati</v>
      </c>
      <c r="K1998" s="10" t="s">
        <v>649</v>
      </c>
    </row>
    <row r="1999" spans="1:11" x14ac:dyDescent="0.2">
      <c r="A1999" s="10">
        <v>1998</v>
      </c>
      <c r="B1999" s="10" t="s">
        <v>3078</v>
      </c>
      <c r="C1999" s="11" t="s">
        <v>3077</v>
      </c>
      <c r="D1999" s="10" t="s">
        <v>4419</v>
      </c>
      <c r="E1999" s="10" t="s">
        <v>8958</v>
      </c>
      <c r="F1999" s="11" t="s">
        <v>8959</v>
      </c>
      <c r="G1999" s="10" t="s">
        <v>13</v>
      </c>
      <c r="H1999" s="12">
        <v>46263</v>
      </c>
      <c r="I1999" s="10" t="s">
        <v>3029</v>
      </c>
      <c r="J1999" s="10" t="str">
        <f>IFERROR(INDEX([1]Programas!$B$2:$B$50,MATCH(LEFT(I1999,3),[1]Programas!$A$2:$A$50,0)),"")</f>
        <v>IA Aplicada y Automati</v>
      </c>
      <c r="K1999" s="10" t="s">
        <v>649</v>
      </c>
    </row>
    <row r="2000" spans="1:11" x14ac:dyDescent="0.2">
      <c r="A2000" s="10">
        <v>1999</v>
      </c>
      <c r="B2000" s="10" t="s">
        <v>3080</v>
      </c>
      <c r="C2000" s="11" t="s">
        <v>3079</v>
      </c>
      <c r="D2000" s="10" t="s">
        <v>4419</v>
      </c>
      <c r="E2000" s="10" t="s">
        <v>8960</v>
      </c>
      <c r="F2000" s="11" t="s">
        <v>8961</v>
      </c>
      <c r="G2000" s="10" t="s">
        <v>13</v>
      </c>
      <c r="H2000" s="12">
        <v>46263</v>
      </c>
      <c r="I2000" s="10" t="s">
        <v>3029</v>
      </c>
      <c r="J2000" s="10" t="str">
        <f>IFERROR(INDEX([1]Programas!$B$2:$B$50,MATCH(LEFT(I2000,3),[1]Programas!$A$2:$A$50,0)),"")</f>
        <v>IA Aplicada y Automati</v>
      </c>
      <c r="K2000" s="10" t="s">
        <v>649</v>
      </c>
    </row>
    <row r="2001" spans="1:11" x14ac:dyDescent="0.2">
      <c r="A2001" s="10">
        <v>2000</v>
      </c>
      <c r="B2001" s="10" t="s">
        <v>3082</v>
      </c>
      <c r="C2001" s="11" t="s">
        <v>3081</v>
      </c>
      <c r="D2001" s="10" t="s">
        <v>4419</v>
      </c>
      <c r="E2001" s="10" t="s">
        <v>5637</v>
      </c>
      <c r="F2001" s="11" t="s">
        <v>5638</v>
      </c>
      <c r="G2001" s="10" t="s">
        <v>13</v>
      </c>
      <c r="H2001" s="12">
        <v>46263</v>
      </c>
      <c r="I2001" s="10" t="s">
        <v>3084</v>
      </c>
      <c r="J2001" s="10" t="str">
        <f>IFERROR(INDEX([1]Programas!$B$2:$B$50,MATCH(LEFT(I2001,3),[1]Programas!$A$2:$A$50,0)),"")</f>
        <v>IA Aplicada y Automati</v>
      </c>
      <c r="K2001" s="10" t="s">
        <v>516</v>
      </c>
    </row>
    <row r="2002" spans="1:11" x14ac:dyDescent="0.2">
      <c r="A2002" s="10">
        <v>2001</v>
      </c>
      <c r="B2002" s="10" t="s">
        <v>3086</v>
      </c>
      <c r="C2002" s="11" t="s">
        <v>3085</v>
      </c>
      <c r="D2002" s="10" t="s">
        <v>4419</v>
      </c>
      <c r="E2002" s="10" t="s">
        <v>8962</v>
      </c>
      <c r="F2002" s="11" t="s">
        <v>8963</v>
      </c>
      <c r="G2002" s="10" t="s">
        <v>13</v>
      </c>
      <c r="H2002" s="12">
        <v>46263</v>
      </c>
      <c r="I2002" s="10" t="s">
        <v>3084</v>
      </c>
      <c r="J2002" s="10" t="str">
        <f>IFERROR(INDEX([1]Programas!$B$2:$B$50,MATCH(LEFT(I2002,3),[1]Programas!$A$2:$A$50,0)),"")</f>
        <v>IA Aplicada y Automati</v>
      </c>
      <c r="K2002" s="10" t="s">
        <v>516</v>
      </c>
    </row>
    <row r="2003" spans="1:11" x14ac:dyDescent="0.2">
      <c r="A2003" s="10">
        <v>2002</v>
      </c>
      <c r="B2003" s="10" t="s">
        <v>3088</v>
      </c>
      <c r="C2003" s="11" t="s">
        <v>3087</v>
      </c>
      <c r="D2003" s="10" t="s">
        <v>4419</v>
      </c>
      <c r="E2003" s="10" t="s">
        <v>8964</v>
      </c>
      <c r="F2003" s="11" t="s">
        <v>8965</v>
      </c>
      <c r="G2003" s="10" t="s">
        <v>13</v>
      </c>
      <c r="H2003" s="12">
        <v>46263</v>
      </c>
      <c r="I2003" s="10" t="s">
        <v>3084</v>
      </c>
      <c r="J2003" s="10" t="str">
        <f>IFERROR(INDEX([1]Programas!$B$2:$B$50,MATCH(LEFT(I2003,3),[1]Programas!$A$2:$A$50,0)),"")</f>
        <v>IA Aplicada y Automati</v>
      </c>
      <c r="K2003" s="10" t="s">
        <v>516</v>
      </c>
    </row>
    <row r="2004" spans="1:11" x14ac:dyDescent="0.2">
      <c r="A2004" s="10">
        <v>2003</v>
      </c>
      <c r="B2004" s="10" t="s">
        <v>3090</v>
      </c>
      <c r="C2004" s="11" t="s">
        <v>3089</v>
      </c>
      <c r="D2004" s="10" t="s">
        <v>4419</v>
      </c>
      <c r="E2004" s="10" t="s">
        <v>8966</v>
      </c>
      <c r="F2004" s="11" t="s">
        <v>8967</v>
      </c>
      <c r="G2004" s="10" t="s">
        <v>13</v>
      </c>
      <c r="H2004" s="12">
        <v>46263</v>
      </c>
      <c r="I2004" s="10" t="s">
        <v>3084</v>
      </c>
      <c r="J2004" s="10" t="str">
        <f>IFERROR(INDEX([1]Programas!$B$2:$B$50,MATCH(LEFT(I2004,3),[1]Programas!$A$2:$A$50,0)),"")</f>
        <v>IA Aplicada y Automati</v>
      </c>
      <c r="K2004" s="10" t="s">
        <v>516</v>
      </c>
    </row>
    <row r="2005" spans="1:11" x14ac:dyDescent="0.2">
      <c r="A2005" s="10">
        <v>2004</v>
      </c>
      <c r="B2005" s="10" t="s">
        <v>3092</v>
      </c>
      <c r="C2005" s="11" t="s">
        <v>3091</v>
      </c>
      <c r="D2005" s="10" t="s">
        <v>4419</v>
      </c>
      <c r="E2005" s="10" t="s">
        <v>8968</v>
      </c>
      <c r="F2005" s="11" t="s">
        <v>8969</v>
      </c>
      <c r="G2005" s="10" t="s">
        <v>13</v>
      </c>
      <c r="H2005" s="12">
        <v>46263</v>
      </c>
      <c r="I2005" s="10" t="s">
        <v>3084</v>
      </c>
      <c r="J2005" s="10" t="str">
        <f>IFERROR(INDEX([1]Programas!$B$2:$B$50,MATCH(LEFT(I2005,3),[1]Programas!$A$2:$A$50,0)),"")</f>
        <v>IA Aplicada y Automati</v>
      </c>
      <c r="K2005" s="10" t="s">
        <v>516</v>
      </c>
    </row>
    <row r="2006" spans="1:11" x14ac:dyDescent="0.2">
      <c r="A2006" s="10">
        <v>2005</v>
      </c>
      <c r="B2006" s="10" t="s">
        <v>8970</v>
      </c>
      <c r="C2006" s="11" t="s">
        <v>3093</v>
      </c>
      <c r="D2006" s="10" t="s">
        <v>4419</v>
      </c>
      <c r="E2006" s="10" t="s">
        <v>8971</v>
      </c>
      <c r="F2006" s="11" t="s">
        <v>8972</v>
      </c>
      <c r="G2006" s="10" t="s">
        <v>13</v>
      </c>
      <c r="H2006" s="12">
        <v>46263</v>
      </c>
      <c r="I2006" s="10" t="s">
        <v>3084</v>
      </c>
      <c r="J2006" s="10" t="str">
        <f>IFERROR(INDEX([1]Programas!$B$2:$B$50,MATCH(LEFT(I2006,3),[1]Programas!$A$2:$A$50,0)),"")</f>
        <v>IA Aplicada y Automati</v>
      </c>
      <c r="K2006" s="10" t="s">
        <v>516</v>
      </c>
    </row>
    <row r="2007" spans="1:11" x14ac:dyDescent="0.2">
      <c r="A2007" s="10">
        <v>2006</v>
      </c>
      <c r="B2007" s="10" t="s">
        <v>3096</v>
      </c>
      <c r="C2007" s="11" t="s">
        <v>3095</v>
      </c>
      <c r="D2007" s="10" t="s">
        <v>4419</v>
      </c>
      <c r="E2007" s="10" t="s">
        <v>8973</v>
      </c>
      <c r="F2007" s="11" t="s">
        <v>8974</v>
      </c>
      <c r="G2007" s="10" t="s">
        <v>13</v>
      </c>
      <c r="H2007" s="12">
        <v>46263</v>
      </c>
      <c r="I2007" s="10" t="s">
        <v>3084</v>
      </c>
      <c r="J2007" s="10" t="str">
        <f>IFERROR(INDEX([1]Programas!$B$2:$B$50,MATCH(LEFT(I2007,3),[1]Programas!$A$2:$A$50,0)),"")</f>
        <v>IA Aplicada y Automati</v>
      </c>
      <c r="K2007" s="10" t="s">
        <v>516</v>
      </c>
    </row>
    <row r="2008" spans="1:11" x14ac:dyDescent="0.2">
      <c r="A2008" s="10">
        <v>2007</v>
      </c>
      <c r="B2008" s="10" t="s">
        <v>8975</v>
      </c>
      <c r="C2008" s="11" t="s">
        <v>3097</v>
      </c>
      <c r="D2008" s="10" t="s">
        <v>4419</v>
      </c>
      <c r="E2008" s="10" t="s">
        <v>8976</v>
      </c>
      <c r="F2008" s="11" t="s">
        <v>8977</v>
      </c>
      <c r="G2008" s="10" t="s">
        <v>13</v>
      </c>
      <c r="H2008" s="12">
        <v>46263</v>
      </c>
      <c r="I2008" s="10" t="s">
        <v>3084</v>
      </c>
      <c r="J2008" s="10" t="str">
        <f>IFERROR(INDEX([1]Programas!$B$2:$B$50,MATCH(LEFT(I2008,3),[1]Programas!$A$2:$A$50,0)),"")</f>
        <v>IA Aplicada y Automati</v>
      </c>
      <c r="K2008" s="10" t="s">
        <v>516</v>
      </c>
    </row>
    <row r="2009" spans="1:11" x14ac:dyDescent="0.2">
      <c r="A2009" s="10">
        <v>2008</v>
      </c>
      <c r="B2009" s="10" t="s">
        <v>8978</v>
      </c>
      <c r="C2009" s="11" t="s">
        <v>3099</v>
      </c>
      <c r="D2009" s="10" t="s">
        <v>4419</v>
      </c>
      <c r="E2009" s="10" t="s">
        <v>8979</v>
      </c>
      <c r="F2009" s="11" t="s">
        <v>8980</v>
      </c>
      <c r="G2009" s="10" t="s">
        <v>13</v>
      </c>
      <c r="H2009" s="12">
        <v>46263</v>
      </c>
      <c r="I2009" s="10" t="s">
        <v>3084</v>
      </c>
      <c r="J2009" s="10" t="str">
        <f>IFERROR(INDEX([1]Programas!$B$2:$B$50,MATCH(LEFT(I2009,3),[1]Programas!$A$2:$A$50,0)),"")</f>
        <v>IA Aplicada y Automati</v>
      </c>
      <c r="K2009" s="10" t="s">
        <v>516</v>
      </c>
    </row>
    <row r="2010" spans="1:11" x14ac:dyDescent="0.2">
      <c r="A2010" s="10">
        <v>2009</v>
      </c>
      <c r="B2010" s="10" t="s">
        <v>3102</v>
      </c>
      <c r="C2010" s="11" t="s">
        <v>3101</v>
      </c>
      <c r="D2010" s="10" t="s">
        <v>4419</v>
      </c>
      <c r="E2010" s="10" t="s">
        <v>8981</v>
      </c>
      <c r="F2010" s="11" t="s">
        <v>8982</v>
      </c>
      <c r="G2010" s="10" t="s">
        <v>13</v>
      </c>
      <c r="H2010" s="12">
        <v>46263</v>
      </c>
      <c r="I2010" s="10" t="s">
        <v>3084</v>
      </c>
      <c r="J2010" s="10" t="str">
        <f>IFERROR(INDEX([1]Programas!$B$2:$B$50,MATCH(LEFT(I2010,3),[1]Programas!$A$2:$A$50,0)),"")</f>
        <v>IA Aplicada y Automati</v>
      </c>
      <c r="K2010" s="10" t="s">
        <v>516</v>
      </c>
    </row>
    <row r="2011" spans="1:11" x14ac:dyDescent="0.2">
      <c r="A2011" s="10">
        <v>2010</v>
      </c>
      <c r="B2011" s="10" t="s">
        <v>8983</v>
      </c>
      <c r="C2011" s="11" t="s">
        <v>3103</v>
      </c>
      <c r="D2011" s="10" t="s">
        <v>4419</v>
      </c>
      <c r="E2011" s="10" t="s">
        <v>8984</v>
      </c>
      <c r="F2011" s="11" t="s">
        <v>8985</v>
      </c>
      <c r="G2011" s="10" t="s">
        <v>13</v>
      </c>
      <c r="H2011" s="12">
        <v>46263</v>
      </c>
      <c r="I2011" s="10" t="s">
        <v>3084</v>
      </c>
      <c r="J2011" s="10" t="str">
        <f>IFERROR(INDEX([1]Programas!$B$2:$B$50,MATCH(LEFT(I2011,3),[1]Programas!$A$2:$A$50,0)),"")</f>
        <v>IA Aplicada y Automati</v>
      </c>
      <c r="K2011" s="10" t="s">
        <v>516</v>
      </c>
    </row>
    <row r="2012" spans="1:11" x14ac:dyDescent="0.2">
      <c r="A2012" s="10">
        <v>2011</v>
      </c>
      <c r="B2012" s="10" t="s">
        <v>3106</v>
      </c>
      <c r="C2012" s="11" t="s">
        <v>3105</v>
      </c>
      <c r="D2012" s="10" t="s">
        <v>4419</v>
      </c>
      <c r="E2012" s="10" t="s">
        <v>8986</v>
      </c>
      <c r="F2012" s="11" t="s">
        <v>8987</v>
      </c>
      <c r="G2012" s="10" t="s">
        <v>13</v>
      </c>
      <c r="H2012" s="12">
        <v>46263</v>
      </c>
      <c r="I2012" s="10" t="s">
        <v>3084</v>
      </c>
      <c r="J2012" s="10" t="str">
        <f>IFERROR(INDEX([1]Programas!$B$2:$B$50,MATCH(LEFT(I2012,3),[1]Programas!$A$2:$A$50,0)),"")</f>
        <v>IA Aplicada y Automati</v>
      </c>
      <c r="K2012" s="10" t="s">
        <v>516</v>
      </c>
    </row>
    <row r="2013" spans="1:11" x14ac:dyDescent="0.2">
      <c r="A2013" s="10">
        <v>2012</v>
      </c>
      <c r="B2013" s="10" t="s">
        <v>3108</v>
      </c>
      <c r="C2013" s="11" t="s">
        <v>3107</v>
      </c>
      <c r="D2013" s="10" t="s">
        <v>4419</v>
      </c>
      <c r="E2013" s="10" t="s">
        <v>8988</v>
      </c>
      <c r="F2013" s="11" t="s">
        <v>8989</v>
      </c>
      <c r="G2013" s="10" t="s">
        <v>13</v>
      </c>
      <c r="H2013" s="12">
        <v>46263</v>
      </c>
      <c r="I2013" s="10" t="s">
        <v>3084</v>
      </c>
      <c r="J2013" s="10" t="str">
        <f>IFERROR(INDEX([1]Programas!$B$2:$B$50,MATCH(LEFT(I2013,3),[1]Programas!$A$2:$A$50,0)),"")</f>
        <v>IA Aplicada y Automati</v>
      </c>
      <c r="K2013" s="10" t="s">
        <v>516</v>
      </c>
    </row>
    <row r="2014" spans="1:11" x14ac:dyDescent="0.2">
      <c r="A2014" s="10">
        <v>2013</v>
      </c>
      <c r="B2014" s="10" t="s">
        <v>3110</v>
      </c>
      <c r="C2014" s="11" t="s">
        <v>3109</v>
      </c>
      <c r="D2014" s="10" t="s">
        <v>4419</v>
      </c>
      <c r="E2014" s="10" t="s">
        <v>8990</v>
      </c>
      <c r="F2014" s="11" t="s">
        <v>8991</v>
      </c>
      <c r="G2014" s="10" t="s">
        <v>13</v>
      </c>
      <c r="H2014" s="12">
        <v>46263</v>
      </c>
      <c r="I2014" s="10" t="s">
        <v>3084</v>
      </c>
      <c r="J2014" s="10" t="str">
        <f>IFERROR(INDEX([1]Programas!$B$2:$B$50,MATCH(LEFT(I2014,3),[1]Programas!$A$2:$A$50,0)),"")</f>
        <v>IA Aplicada y Automati</v>
      </c>
      <c r="K2014" s="10" t="s">
        <v>516</v>
      </c>
    </row>
    <row r="2015" spans="1:11" x14ac:dyDescent="0.2">
      <c r="A2015" s="10">
        <v>2014</v>
      </c>
      <c r="B2015" s="10" t="s">
        <v>8992</v>
      </c>
      <c r="C2015" s="11" t="s">
        <v>3111</v>
      </c>
      <c r="D2015" s="10" t="s">
        <v>4419</v>
      </c>
      <c r="E2015" s="10" t="s">
        <v>8993</v>
      </c>
      <c r="F2015" s="11" t="s">
        <v>8994</v>
      </c>
      <c r="G2015" s="10" t="s">
        <v>13</v>
      </c>
      <c r="H2015" s="12">
        <v>46263</v>
      </c>
      <c r="I2015" s="10" t="s">
        <v>3084</v>
      </c>
      <c r="J2015" s="10" t="str">
        <f>IFERROR(INDEX([1]Programas!$B$2:$B$50,MATCH(LEFT(I2015,3),[1]Programas!$A$2:$A$50,0)),"")</f>
        <v>IA Aplicada y Automati</v>
      </c>
      <c r="K2015" s="10" t="s">
        <v>516</v>
      </c>
    </row>
    <row r="2016" spans="1:11" x14ac:dyDescent="0.2">
      <c r="A2016" s="10">
        <v>2015</v>
      </c>
      <c r="B2016" s="10" t="s">
        <v>8995</v>
      </c>
      <c r="C2016" s="11" t="s">
        <v>3113</v>
      </c>
      <c r="D2016" s="10" t="s">
        <v>4419</v>
      </c>
      <c r="E2016" s="10" t="s">
        <v>8996</v>
      </c>
      <c r="F2016" s="11" t="s">
        <v>8997</v>
      </c>
      <c r="G2016" s="10" t="s">
        <v>13</v>
      </c>
      <c r="H2016" s="12">
        <v>46263</v>
      </c>
      <c r="I2016" s="10" t="s">
        <v>3084</v>
      </c>
      <c r="J2016" s="10" t="str">
        <f>IFERROR(INDEX([1]Programas!$B$2:$B$50,MATCH(LEFT(I2016,3),[1]Programas!$A$2:$A$50,0)),"")</f>
        <v>IA Aplicada y Automati</v>
      </c>
      <c r="K2016" s="10" t="s">
        <v>516</v>
      </c>
    </row>
    <row r="2017" spans="1:11" x14ac:dyDescent="0.2">
      <c r="A2017" s="10">
        <v>2016</v>
      </c>
      <c r="B2017" s="10" t="s">
        <v>3116</v>
      </c>
      <c r="C2017" s="11" t="s">
        <v>3115</v>
      </c>
      <c r="D2017" s="10" t="s">
        <v>4419</v>
      </c>
      <c r="E2017" s="10" t="s">
        <v>8998</v>
      </c>
      <c r="F2017" s="11" t="s">
        <v>8999</v>
      </c>
      <c r="G2017" s="10" t="s">
        <v>13</v>
      </c>
      <c r="H2017" s="12">
        <v>46263</v>
      </c>
      <c r="I2017" s="10" t="s">
        <v>3084</v>
      </c>
      <c r="J2017" s="10" t="str">
        <f>IFERROR(INDEX([1]Programas!$B$2:$B$50,MATCH(LEFT(I2017,3),[1]Programas!$A$2:$A$50,0)),"")</f>
        <v>IA Aplicada y Automati</v>
      </c>
      <c r="K2017" s="10" t="s">
        <v>516</v>
      </c>
    </row>
    <row r="2018" spans="1:11" x14ac:dyDescent="0.2">
      <c r="A2018" s="10">
        <v>2017</v>
      </c>
      <c r="B2018" s="10" t="s">
        <v>9000</v>
      </c>
      <c r="C2018" s="11" t="s">
        <v>3117</v>
      </c>
      <c r="D2018" s="10" t="s">
        <v>4419</v>
      </c>
      <c r="E2018" s="10" t="s">
        <v>9001</v>
      </c>
      <c r="F2018" s="11" t="s">
        <v>9002</v>
      </c>
      <c r="G2018" s="10" t="s">
        <v>13</v>
      </c>
      <c r="H2018" s="12">
        <v>46263</v>
      </c>
      <c r="I2018" s="10" t="s">
        <v>3084</v>
      </c>
      <c r="J2018" s="10" t="str">
        <f>IFERROR(INDEX([1]Programas!$B$2:$B$50,MATCH(LEFT(I2018,3),[1]Programas!$A$2:$A$50,0)),"")</f>
        <v>IA Aplicada y Automati</v>
      </c>
      <c r="K2018" s="10" t="s">
        <v>516</v>
      </c>
    </row>
    <row r="2019" spans="1:11" x14ac:dyDescent="0.2">
      <c r="A2019" s="10">
        <v>2018</v>
      </c>
      <c r="B2019" s="10" t="s">
        <v>3120</v>
      </c>
      <c r="C2019" s="11" t="s">
        <v>3119</v>
      </c>
      <c r="D2019" s="10" t="s">
        <v>4419</v>
      </c>
      <c r="E2019" s="10" t="s">
        <v>9003</v>
      </c>
      <c r="F2019" s="11" t="s">
        <v>9004</v>
      </c>
      <c r="G2019" s="10" t="s">
        <v>13</v>
      </c>
      <c r="H2019" s="12">
        <v>46263</v>
      </c>
      <c r="I2019" s="10" t="s">
        <v>3084</v>
      </c>
      <c r="J2019" s="10" t="str">
        <f>IFERROR(INDEX([1]Programas!$B$2:$B$50,MATCH(LEFT(I2019,3),[1]Programas!$A$2:$A$50,0)),"")</f>
        <v>IA Aplicada y Automati</v>
      </c>
      <c r="K2019" s="10" t="s">
        <v>516</v>
      </c>
    </row>
    <row r="2020" spans="1:11" x14ac:dyDescent="0.2">
      <c r="A2020" s="10">
        <v>2019</v>
      </c>
      <c r="B2020" s="10" t="s">
        <v>3122</v>
      </c>
      <c r="C2020" s="11" t="s">
        <v>3121</v>
      </c>
      <c r="D2020" s="10" t="s">
        <v>4419</v>
      </c>
      <c r="E2020" s="10" t="s">
        <v>9005</v>
      </c>
      <c r="F2020" s="11" t="s">
        <v>9006</v>
      </c>
      <c r="G2020" s="10" t="s">
        <v>13</v>
      </c>
      <c r="H2020" s="12">
        <v>46263</v>
      </c>
      <c r="I2020" s="10" t="s">
        <v>3084</v>
      </c>
      <c r="J2020" s="10" t="str">
        <f>IFERROR(INDEX([1]Programas!$B$2:$B$50,MATCH(LEFT(I2020,3),[1]Programas!$A$2:$A$50,0)),"")</f>
        <v>IA Aplicada y Automati</v>
      </c>
      <c r="K2020" s="10" t="s">
        <v>516</v>
      </c>
    </row>
    <row r="2021" spans="1:11" x14ac:dyDescent="0.2">
      <c r="A2021" s="10">
        <v>2020</v>
      </c>
      <c r="B2021" s="10" t="s">
        <v>9007</v>
      </c>
      <c r="C2021" s="11" t="s">
        <v>3123</v>
      </c>
      <c r="D2021" s="10" t="s">
        <v>4419</v>
      </c>
      <c r="E2021" s="10" t="s">
        <v>9008</v>
      </c>
      <c r="F2021" s="11" t="s">
        <v>9009</v>
      </c>
      <c r="G2021" s="10" t="s">
        <v>13</v>
      </c>
      <c r="H2021" s="12">
        <v>46263</v>
      </c>
      <c r="I2021" s="10" t="s">
        <v>3084</v>
      </c>
      <c r="J2021" s="10" t="str">
        <f>IFERROR(INDEX([1]Programas!$B$2:$B$50,MATCH(LEFT(I2021,3),[1]Programas!$A$2:$A$50,0)),"")</f>
        <v>IA Aplicada y Automati</v>
      </c>
      <c r="K2021" s="10" t="s">
        <v>516</v>
      </c>
    </row>
    <row r="2022" spans="1:11" x14ac:dyDescent="0.2">
      <c r="A2022" s="10">
        <v>2021</v>
      </c>
      <c r="B2022" s="10" t="s">
        <v>3126</v>
      </c>
      <c r="C2022" s="11" t="s">
        <v>3125</v>
      </c>
      <c r="D2022" s="10" t="s">
        <v>4419</v>
      </c>
      <c r="E2022" s="10" t="s">
        <v>9010</v>
      </c>
      <c r="F2022" s="11" t="s">
        <v>9011</v>
      </c>
      <c r="G2022" s="10" t="s">
        <v>13</v>
      </c>
      <c r="H2022" s="12">
        <v>46263</v>
      </c>
      <c r="I2022" s="10" t="s">
        <v>3084</v>
      </c>
      <c r="J2022" s="10" t="str">
        <f>IFERROR(INDEX([1]Programas!$B$2:$B$50,MATCH(LEFT(I2022,3),[1]Programas!$A$2:$A$50,0)),"")</f>
        <v>IA Aplicada y Automati</v>
      </c>
      <c r="K2022" s="10" t="s">
        <v>516</v>
      </c>
    </row>
    <row r="2023" spans="1:11" x14ac:dyDescent="0.2">
      <c r="A2023" s="10">
        <v>2022</v>
      </c>
      <c r="B2023" s="10" t="s">
        <v>3128</v>
      </c>
      <c r="C2023" s="11" t="s">
        <v>3127</v>
      </c>
      <c r="D2023" s="10" t="s">
        <v>4419</v>
      </c>
      <c r="E2023" s="10" t="s">
        <v>9012</v>
      </c>
      <c r="F2023" s="11" t="s">
        <v>9013</v>
      </c>
      <c r="G2023" s="10" t="s">
        <v>13</v>
      </c>
      <c r="H2023" s="12">
        <v>46263</v>
      </c>
      <c r="I2023" s="10" t="s">
        <v>3084</v>
      </c>
      <c r="J2023" s="10" t="str">
        <f>IFERROR(INDEX([1]Programas!$B$2:$B$50,MATCH(LEFT(I2023,3),[1]Programas!$A$2:$A$50,0)),"")</f>
        <v>IA Aplicada y Automati</v>
      </c>
      <c r="K2023" s="10" t="s">
        <v>516</v>
      </c>
    </row>
    <row r="2024" spans="1:11" x14ac:dyDescent="0.2">
      <c r="A2024" s="10">
        <v>2023</v>
      </c>
      <c r="B2024" s="10" t="s">
        <v>3130</v>
      </c>
      <c r="C2024" s="11" t="s">
        <v>3129</v>
      </c>
      <c r="D2024" s="10" t="s">
        <v>4419</v>
      </c>
      <c r="E2024" s="10" t="s">
        <v>9014</v>
      </c>
      <c r="F2024" s="11" t="s">
        <v>9015</v>
      </c>
      <c r="G2024" s="10" t="s">
        <v>13</v>
      </c>
      <c r="H2024" s="12">
        <v>46263</v>
      </c>
      <c r="I2024" s="10" t="s">
        <v>3084</v>
      </c>
      <c r="J2024" s="10" t="str">
        <f>IFERROR(INDEX([1]Programas!$B$2:$B$50,MATCH(LEFT(I2024,3),[1]Programas!$A$2:$A$50,0)),"")</f>
        <v>IA Aplicada y Automati</v>
      </c>
      <c r="K2024" s="10" t="s">
        <v>516</v>
      </c>
    </row>
    <row r="2025" spans="1:11" x14ac:dyDescent="0.2">
      <c r="A2025" s="10">
        <v>2024</v>
      </c>
      <c r="B2025" s="10" t="s">
        <v>3132</v>
      </c>
      <c r="C2025" s="11" t="s">
        <v>3131</v>
      </c>
      <c r="D2025" s="10" t="s">
        <v>4419</v>
      </c>
      <c r="E2025" s="10" t="s">
        <v>9016</v>
      </c>
      <c r="F2025" s="11" t="s">
        <v>9017</v>
      </c>
      <c r="G2025" s="10" t="s">
        <v>13</v>
      </c>
      <c r="H2025" s="12">
        <v>46263</v>
      </c>
      <c r="I2025" s="10" t="s">
        <v>3084</v>
      </c>
      <c r="J2025" s="10" t="str">
        <f>IFERROR(INDEX([1]Programas!$B$2:$B$50,MATCH(LEFT(I2025,3),[1]Programas!$A$2:$A$50,0)),"")</f>
        <v>IA Aplicada y Automati</v>
      </c>
      <c r="K2025" s="10" t="s">
        <v>516</v>
      </c>
    </row>
    <row r="2026" spans="1:11" x14ac:dyDescent="0.2">
      <c r="A2026" s="10">
        <v>2025</v>
      </c>
      <c r="B2026" s="10" t="s">
        <v>3134</v>
      </c>
      <c r="C2026" s="11" t="s">
        <v>3133</v>
      </c>
      <c r="D2026" s="10" t="s">
        <v>4419</v>
      </c>
      <c r="E2026" s="10" t="s">
        <v>9018</v>
      </c>
      <c r="F2026" s="11" t="s">
        <v>9019</v>
      </c>
      <c r="G2026" s="10" t="s">
        <v>13</v>
      </c>
      <c r="H2026" s="12">
        <v>46263</v>
      </c>
      <c r="I2026" s="10" t="s">
        <v>3084</v>
      </c>
      <c r="J2026" s="10" t="str">
        <f>IFERROR(INDEX([1]Programas!$B$2:$B$50,MATCH(LEFT(I2026,3),[1]Programas!$A$2:$A$50,0)),"")</f>
        <v>IA Aplicada y Automati</v>
      </c>
      <c r="K2026" s="10" t="s">
        <v>516</v>
      </c>
    </row>
    <row r="2027" spans="1:11" x14ac:dyDescent="0.2">
      <c r="A2027" s="10">
        <v>2026</v>
      </c>
      <c r="B2027" s="10" t="s">
        <v>3136</v>
      </c>
      <c r="C2027" s="11" t="s">
        <v>3135</v>
      </c>
      <c r="D2027" s="10" t="s">
        <v>4419</v>
      </c>
      <c r="E2027" s="10" t="s">
        <v>9020</v>
      </c>
      <c r="F2027" s="11" t="s">
        <v>9021</v>
      </c>
      <c r="G2027" s="10" t="s">
        <v>13</v>
      </c>
      <c r="H2027" s="12">
        <v>46263</v>
      </c>
      <c r="I2027" s="10" t="s">
        <v>3084</v>
      </c>
      <c r="J2027" s="10" t="str">
        <f>IFERROR(INDEX([1]Programas!$B$2:$B$50,MATCH(LEFT(I2027,3),[1]Programas!$A$2:$A$50,0)),"")</f>
        <v>IA Aplicada y Automati</v>
      </c>
      <c r="K2027" s="10" t="s">
        <v>516</v>
      </c>
    </row>
    <row r="2028" spans="1:11" x14ac:dyDescent="0.2">
      <c r="A2028" s="10">
        <v>2027</v>
      </c>
      <c r="B2028" s="10" t="s">
        <v>3138</v>
      </c>
      <c r="C2028" s="11" t="s">
        <v>3137</v>
      </c>
      <c r="D2028" s="10" t="s">
        <v>4419</v>
      </c>
      <c r="E2028" s="10" t="s">
        <v>9022</v>
      </c>
      <c r="F2028" s="11" t="s">
        <v>9023</v>
      </c>
      <c r="G2028" s="10" t="s">
        <v>13</v>
      </c>
      <c r="H2028" s="12">
        <v>46263</v>
      </c>
      <c r="I2028" s="10" t="s">
        <v>3084</v>
      </c>
      <c r="J2028" s="10" t="str">
        <f>IFERROR(INDEX([1]Programas!$B$2:$B$50,MATCH(LEFT(I2028,3),[1]Programas!$A$2:$A$50,0)),"")</f>
        <v>IA Aplicada y Automati</v>
      </c>
      <c r="K2028" s="10" t="s">
        <v>516</v>
      </c>
    </row>
    <row r="2029" spans="1:11" x14ac:dyDescent="0.2">
      <c r="A2029" s="10">
        <v>2028</v>
      </c>
      <c r="B2029" s="10" t="s">
        <v>3140</v>
      </c>
      <c r="C2029" s="11" t="s">
        <v>3139</v>
      </c>
      <c r="D2029" s="10" t="s">
        <v>4419</v>
      </c>
      <c r="E2029" s="10" t="s">
        <v>9024</v>
      </c>
      <c r="F2029" s="11" t="s">
        <v>9025</v>
      </c>
      <c r="G2029" s="10" t="s">
        <v>13</v>
      </c>
      <c r="H2029" s="12">
        <v>46263</v>
      </c>
      <c r="I2029" s="10" t="s">
        <v>3084</v>
      </c>
      <c r="J2029" s="10" t="str">
        <f>IFERROR(INDEX([1]Programas!$B$2:$B$50,MATCH(LEFT(I2029,3),[1]Programas!$A$2:$A$50,0)),"")</f>
        <v>IA Aplicada y Automati</v>
      </c>
      <c r="K2029" s="10" t="s">
        <v>516</v>
      </c>
    </row>
    <row r="2030" spans="1:11" x14ac:dyDescent="0.2">
      <c r="A2030" s="10">
        <v>2029</v>
      </c>
      <c r="B2030" s="10" t="s">
        <v>9026</v>
      </c>
      <c r="C2030" s="11" t="s">
        <v>3141</v>
      </c>
      <c r="D2030" s="10" t="s">
        <v>4419</v>
      </c>
      <c r="E2030" s="10" t="s">
        <v>9027</v>
      </c>
      <c r="F2030" s="11" t="s">
        <v>9028</v>
      </c>
      <c r="G2030" s="10" t="s">
        <v>13</v>
      </c>
      <c r="H2030" s="12">
        <v>46263</v>
      </c>
      <c r="I2030" s="10" t="s">
        <v>3084</v>
      </c>
      <c r="J2030" s="10" t="str">
        <f>IFERROR(INDEX([1]Programas!$B$2:$B$50,MATCH(LEFT(I2030,3),[1]Programas!$A$2:$A$50,0)),"")</f>
        <v>IA Aplicada y Automati</v>
      </c>
      <c r="K2030" s="10" t="s">
        <v>516</v>
      </c>
    </row>
    <row r="2031" spans="1:11" x14ac:dyDescent="0.2">
      <c r="A2031" s="10">
        <v>2030</v>
      </c>
      <c r="B2031" s="10" t="s">
        <v>3144</v>
      </c>
      <c r="C2031" s="11" t="s">
        <v>3143</v>
      </c>
      <c r="D2031" s="10" t="s">
        <v>4419</v>
      </c>
      <c r="E2031" s="10" t="s">
        <v>9029</v>
      </c>
      <c r="F2031" s="11" t="s">
        <v>9030</v>
      </c>
      <c r="G2031" s="10" t="s">
        <v>13</v>
      </c>
      <c r="H2031" s="12">
        <v>46263</v>
      </c>
      <c r="I2031" s="10" t="s">
        <v>3084</v>
      </c>
      <c r="J2031" s="10" t="str">
        <f>IFERROR(INDEX([1]Programas!$B$2:$B$50,MATCH(LEFT(I2031,3),[1]Programas!$A$2:$A$50,0)),"")</f>
        <v>IA Aplicada y Automati</v>
      </c>
      <c r="K2031" s="10" t="s">
        <v>516</v>
      </c>
    </row>
    <row r="2032" spans="1:11" x14ac:dyDescent="0.2">
      <c r="A2032" s="10">
        <v>2031</v>
      </c>
      <c r="B2032" s="10" t="s">
        <v>3146</v>
      </c>
      <c r="C2032" s="11" t="s">
        <v>3145</v>
      </c>
      <c r="D2032" s="10" t="s">
        <v>4419</v>
      </c>
      <c r="E2032" s="10" t="s">
        <v>9031</v>
      </c>
      <c r="F2032" s="11" t="s">
        <v>9032</v>
      </c>
      <c r="G2032" s="10" t="s">
        <v>13</v>
      </c>
      <c r="H2032" s="12">
        <v>46263</v>
      </c>
      <c r="I2032" s="10" t="s">
        <v>3084</v>
      </c>
      <c r="J2032" s="10" t="str">
        <f>IFERROR(INDEX([1]Programas!$B$2:$B$50,MATCH(LEFT(I2032,3),[1]Programas!$A$2:$A$50,0)),"")</f>
        <v>IA Aplicada y Automati</v>
      </c>
      <c r="K2032" s="10" t="s">
        <v>516</v>
      </c>
    </row>
    <row r="2033" spans="1:11" x14ac:dyDescent="0.2">
      <c r="A2033" s="10">
        <v>2032</v>
      </c>
      <c r="B2033" s="10" t="s">
        <v>3148</v>
      </c>
      <c r="C2033" s="11" t="s">
        <v>3147</v>
      </c>
      <c r="D2033" s="10" t="s">
        <v>4419</v>
      </c>
      <c r="E2033" s="10" t="s">
        <v>9033</v>
      </c>
      <c r="F2033" s="11" t="s">
        <v>9034</v>
      </c>
      <c r="G2033" s="10" t="s">
        <v>13</v>
      </c>
      <c r="H2033" s="12">
        <v>46263</v>
      </c>
      <c r="I2033" s="10" t="s">
        <v>3084</v>
      </c>
      <c r="J2033" s="10" t="str">
        <f>IFERROR(INDEX([1]Programas!$B$2:$B$50,MATCH(LEFT(I2033,3),[1]Programas!$A$2:$A$50,0)),"")</f>
        <v>IA Aplicada y Automati</v>
      </c>
      <c r="K2033" s="10" t="s">
        <v>516</v>
      </c>
    </row>
    <row r="2034" spans="1:11" x14ac:dyDescent="0.2">
      <c r="A2034" s="10">
        <v>2033</v>
      </c>
      <c r="B2034" s="10" t="s">
        <v>3150</v>
      </c>
      <c r="C2034" s="11" t="s">
        <v>3149</v>
      </c>
      <c r="D2034" s="10" t="s">
        <v>4419</v>
      </c>
      <c r="E2034" s="10" t="s">
        <v>9035</v>
      </c>
      <c r="F2034" s="11" t="s">
        <v>9036</v>
      </c>
      <c r="G2034" s="10" t="s">
        <v>13</v>
      </c>
      <c r="H2034" s="12">
        <v>46263</v>
      </c>
      <c r="I2034" s="10" t="s">
        <v>3084</v>
      </c>
      <c r="J2034" s="10" t="str">
        <f>IFERROR(INDEX([1]Programas!$B$2:$B$50,MATCH(LEFT(I2034,3),[1]Programas!$A$2:$A$50,0)),"")</f>
        <v>IA Aplicada y Automati</v>
      </c>
      <c r="K2034" s="10" t="s">
        <v>516</v>
      </c>
    </row>
    <row r="2035" spans="1:11" x14ac:dyDescent="0.2">
      <c r="A2035" s="10">
        <v>2034</v>
      </c>
      <c r="B2035" s="10" t="s">
        <v>3152</v>
      </c>
      <c r="C2035" s="11" t="s">
        <v>3151</v>
      </c>
      <c r="D2035" s="10" t="s">
        <v>4419</v>
      </c>
      <c r="E2035" s="10" t="s">
        <v>9037</v>
      </c>
      <c r="F2035" s="11" t="s">
        <v>9038</v>
      </c>
      <c r="G2035" s="10" t="s">
        <v>13</v>
      </c>
      <c r="H2035" s="12">
        <v>46263</v>
      </c>
      <c r="I2035" s="10" t="s">
        <v>3084</v>
      </c>
      <c r="J2035" s="10" t="str">
        <f>IFERROR(INDEX([1]Programas!$B$2:$B$50,MATCH(LEFT(I2035,3),[1]Programas!$A$2:$A$50,0)),"")</f>
        <v>IA Aplicada y Automati</v>
      </c>
      <c r="K2035" s="10" t="s">
        <v>516</v>
      </c>
    </row>
    <row r="2036" spans="1:11" x14ac:dyDescent="0.2">
      <c r="A2036" s="10">
        <v>2035</v>
      </c>
      <c r="B2036" s="10" t="s">
        <v>3156</v>
      </c>
      <c r="C2036" s="11" t="s">
        <v>3155</v>
      </c>
      <c r="D2036" s="10" t="s">
        <v>4419</v>
      </c>
      <c r="E2036" s="10" t="s">
        <v>9039</v>
      </c>
      <c r="F2036" s="11" t="s">
        <v>9040</v>
      </c>
      <c r="G2036" s="10" t="s">
        <v>13</v>
      </c>
      <c r="H2036" s="12">
        <v>46263</v>
      </c>
      <c r="I2036" s="10" t="s">
        <v>3084</v>
      </c>
      <c r="J2036" s="10" t="str">
        <f>IFERROR(INDEX([1]Programas!$B$2:$B$50,MATCH(LEFT(I2036,3),[1]Programas!$A$2:$A$50,0)),"")</f>
        <v>IA Aplicada y Automati</v>
      </c>
      <c r="K2036" s="10" t="s">
        <v>516</v>
      </c>
    </row>
    <row r="2037" spans="1:11" x14ac:dyDescent="0.2">
      <c r="A2037" s="10">
        <v>2036</v>
      </c>
      <c r="B2037" s="10" t="s">
        <v>3158</v>
      </c>
      <c r="C2037" s="11" t="s">
        <v>3157</v>
      </c>
      <c r="D2037" s="10" t="s">
        <v>4419</v>
      </c>
      <c r="E2037" s="10" t="s">
        <v>9041</v>
      </c>
      <c r="F2037" s="11" t="s">
        <v>9042</v>
      </c>
      <c r="G2037" s="10" t="s">
        <v>13</v>
      </c>
      <c r="H2037" s="12">
        <v>46263</v>
      </c>
      <c r="I2037" s="10" t="s">
        <v>3084</v>
      </c>
      <c r="J2037" s="10" t="str">
        <f>IFERROR(INDEX([1]Programas!$B$2:$B$50,MATCH(LEFT(I2037,3),[1]Programas!$A$2:$A$50,0)),"")</f>
        <v>IA Aplicada y Automati</v>
      </c>
      <c r="K2037" s="10" t="s">
        <v>516</v>
      </c>
    </row>
    <row r="2038" spans="1:11" x14ac:dyDescent="0.2">
      <c r="A2038" s="10">
        <v>2037</v>
      </c>
      <c r="B2038" s="10" t="s">
        <v>9043</v>
      </c>
      <c r="C2038" s="11" t="s">
        <v>3159</v>
      </c>
      <c r="D2038" s="10" t="s">
        <v>4419</v>
      </c>
      <c r="E2038" s="10" t="s">
        <v>9044</v>
      </c>
      <c r="F2038" s="11" t="s">
        <v>9045</v>
      </c>
      <c r="G2038" s="10" t="s">
        <v>13</v>
      </c>
      <c r="H2038" s="12">
        <v>46263</v>
      </c>
      <c r="I2038" s="10" t="s">
        <v>3084</v>
      </c>
      <c r="J2038" s="10" t="str">
        <f>IFERROR(INDEX([1]Programas!$B$2:$B$50,MATCH(LEFT(I2038,3),[1]Programas!$A$2:$A$50,0)),"")</f>
        <v>IA Aplicada y Automati</v>
      </c>
      <c r="K2038" s="10" t="s">
        <v>516</v>
      </c>
    </row>
    <row r="2039" spans="1:11" x14ac:dyDescent="0.2">
      <c r="A2039" s="10">
        <v>2038</v>
      </c>
      <c r="B2039" s="10" t="s">
        <v>3162</v>
      </c>
      <c r="C2039" s="11" t="s">
        <v>3161</v>
      </c>
      <c r="D2039" s="10" t="s">
        <v>4419</v>
      </c>
      <c r="E2039" s="10" t="s">
        <v>9046</v>
      </c>
      <c r="F2039" s="11" t="s">
        <v>9047</v>
      </c>
      <c r="G2039" s="10" t="s">
        <v>13</v>
      </c>
      <c r="H2039" s="12">
        <v>46263</v>
      </c>
      <c r="I2039" s="10" t="s">
        <v>3084</v>
      </c>
      <c r="J2039" s="10" t="str">
        <f>IFERROR(INDEX([1]Programas!$B$2:$B$50,MATCH(LEFT(I2039,3),[1]Programas!$A$2:$A$50,0)),"")</f>
        <v>IA Aplicada y Automati</v>
      </c>
      <c r="K2039" s="10" t="s">
        <v>516</v>
      </c>
    </row>
    <row r="2040" spans="1:11" x14ac:dyDescent="0.2">
      <c r="A2040" s="10">
        <v>2039</v>
      </c>
      <c r="B2040" s="10" t="s">
        <v>9048</v>
      </c>
      <c r="C2040" s="11" t="s">
        <v>2824</v>
      </c>
      <c r="D2040" s="10" t="s">
        <v>4419</v>
      </c>
      <c r="E2040" s="10" t="s">
        <v>9049</v>
      </c>
      <c r="F2040" s="11" t="s">
        <v>9050</v>
      </c>
      <c r="G2040" s="10" t="s">
        <v>13</v>
      </c>
      <c r="H2040" s="12">
        <v>46272</v>
      </c>
      <c r="I2040" s="10" t="s">
        <v>3084</v>
      </c>
      <c r="J2040" s="10" t="str">
        <f>IFERROR(INDEX([1]Programas!$B$2:$B$50,MATCH(LEFT(I2040,3),[1]Programas!$A$2:$A$50,0)),"")</f>
        <v>IA Aplicada y Automati</v>
      </c>
      <c r="K2040" s="10" t="s">
        <v>516</v>
      </c>
    </row>
    <row r="2041" spans="1:11" x14ac:dyDescent="0.2">
      <c r="A2041" s="10">
        <v>2040</v>
      </c>
      <c r="B2041" s="10" t="s">
        <v>9051</v>
      </c>
      <c r="C2041" s="11" t="s">
        <v>2905</v>
      </c>
      <c r="D2041" s="10" t="s">
        <v>4419</v>
      </c>
      <c r="E2041" s="10" t="s">
        <v>9052</v>
      </c>
      <c r="F2041" s="11" t="s">
        <v>9053</v>
      </c>
      <c r="G2041" s="10" t="s">
        <v>13</v>
      </c>
      <c r="H2041" s="12">
        <v>46272</v>
      </c>
      <c r="I2041" s="10" t="s">
        <v>3084</v>
      </c>
      <c r="J2041" s="10" t="str">
        <f>IFERROR(INDEX([1]Programas!$B$2:$B$50,MATCH(LEFT(I2041,3),[1]Programas!$A$2:$A$50,0)),"")</f>
        <v>IA Aplicada y Automati</v>
      </c>
      <c r="K2041" s="10" t="s">
        <v>516</v>
      </c>
    </row>
    <row r="2042" spans="1:11" x14ac:dyDescent="0.2">
      <c r="A2042" s="10">
        <v>2041</v>
      </c>
      <c r="B2042" s="10" t="s">
        <v>1053</v>
      </c>
      <c r="C2042" s="11" t="s">
        <v>1052</v>
      </c>
      <c r="D2042" s="10" t="s">
        <v>4419</v>
      </c>
      <c r="E2042" s="10" t="s">
        <v>9054</v>
      </c>
      <c r="F2042" s="11" t="s">
        <v>9055</v>
      </c>
      <c r="G2042" s="10" t="s">
        <v>13</v>
      </c>
      <c r="H2042" s="12">
        <v>46274</v>
      </c>
      <c r="I2042" s="10" t="s">
        <v>3084</v>
      </c>
      <c r="J2042" s="10" t="str">
        <f>IFERROR(INDEX([1]Programas!$B$2:$B$50,MATCH(LEFT(I2042,3),[1]Programas!$A$2:$A$50,0)),"")</f>
        <v>IA Aplicada y Automati</v>
      </c>
      <c r="K2042" s="10" t="s">
        <v>516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F3D2-F8C6-AE48-9D63-849B0DE5BFBA}">
  <sheetPr>
    <tabColor rgb="FFA6A6A6"/>
  </sheetPr>
  <dimension ref="A1:U60"/>
  <sheetViews>
    <sheetView showGridLines="0" topLeftCell="A3" workbookViewId="0">
      <pane xSplit="1" ySplit="1" topLeftCell="B4" activePane="bottomRight" state="frozen"/>
      <selection activeCell="A3" sqref="A3"/>
      <selection pane="topRight" activeCell="B3" sqref="B3"/>
      <selection pane="bottomLeft" activeCell="A4" sqref="A4"/>
      <selection pane="bottomRight" activeCell="Q4" sqref="Q4"/>
    </sheetView>
  </sheetViews>
  <sheetFormatPr baseColWidth="10" defaultRowHeight="16" x14ac:dyDescent="0.2"/>
  <cols>
    <col min="1" max="1" width="10" customWidth="1"/>
    <col min="2" max="3" width="36.6640625" customWidth="1"/>
    <col min="4" max="4" width="20" customWidth="1"/>
    <col min="5" max="5" width="26.6640625" customWidth="1"/>
    <col min="6" max="20" width="11.6640625" customWidth="1"/>
    <col min="21" max="21" width="18.33203125" customWidth="1"/>
  </cols>
  <sheetData>
    <row r="1" spans="1:21" ht="17" x14ac:dyDescent="0.2">
      <c r="A1" s="60" t="s">
        <v>9095</v>
      </c>
    </row>
    <row r="2" spans="1:21" x14ac:dyDescent="0.2">
      <c r="A2" s="18" t="s">
        <v>9096</v>
      </c>
    </row>
    <row r="3" spans="1:21" ht="32" customHeight="1" x14ac:dyDescent="0.2">
      <c r="A3" s="84" t="s">
        <v>4</v>
      </c>
      <c r="B3" s="84" t="s">
        <v>8</v>
      </c>
      <c r="C3" s="84" t="s">
        <v>3</v>
      </c>
      <c r="D3" s="84" t="s">
        <v>9</v>
      </c>
      <c r="E3" s="84" t="s">
        <v>5</v>
      </c>
      <c r="F3" s="84" t="s">
        <v>9093</v>
      </c>
      <c r="G3" s="84" t="s">
        <v>9057</v>
      </c>
      <c r="H3" s="84" t="s">
        <v>9097</v>
      </c>
      <c r="I3" s="84" t="s">
        <v>9094</v>
      </c>
      <c r="J3" s="84" t="s">
        <v>9098</v>
      </c>
      <c r="K3" s="84" t="s">
        <v>9099</v>
      </c>
      <c r="L3" s="84" t="s">
        <v>9100</v>
      </c>
      <c r="M3" s="84" t="s">
        <v>9101</v>
      </c>
      <c r="N3" s="84" t="s">
        <v>9102</v>
      </c>
      <c r="O3" s="84" t="s">
        <v>9103</v>
      </c>
      <c r="P3" s="84" t="s">
        <v>9104</v>
      </c>
      <c r="Q3" s="84" t="s">
        <v>9105</v>
      </c>
      <c r="R3" s="84" t="s">
        <v>9106</v>
      </c>
      <c r="S3" s="84" t="s">
        <v>9107</v>
      </c>
      <c r="T3" s="84" t="s">
        <v>9108</v>
      </c>
      <c r="U3" s="84" t="s">
        <v>9109</v>
      </c>
    </row>
    <row r="4" spans="1:21" x14ac:dyDescent="0.2">
      <c r="A4" s="26" t="s">
        <v>15</v>
      </c>
      <c r="B4" s="85" t="str">
        <f>_xlfn.XLOOKUP(tblGrupos[[#This Row],[Código]],tblMatriculas[Código],tblMatriculas[Programa])</f>
        <v>ANÁLISIS Y VISUALIZACIÓN DE DATOS PARA LA TOMA DE DECISIONES</v>
      </c>
      <c r="C4" s="85" t="str">
        <f>_xlfn.XLOOKUP(tblGrupos[[#This Row],[Código]],tblMatriculas[Código],tblMatriculas[Grupo])</f>
        <v>DAT-01 - Análisis y Visualización de Datos</v>
      </c>
      <c r="D4" s="85" t="str">
        <f>_xlfn.XLOOKUP(tblGrupos[[#This Row],[Código]],tblMatriculas[Código],tblMatriculas[Docente])</f>
        <v>Carlos Duran</v>
      </c>
      <c r="E4" s="85" t="str">
        <f>_xlfn.XLOOKUP(tblGrupos[[#This Row],[Código]],tblMatriculas[Código],tblMatriculas[Horario])</f>
        <v>Martes 12:00-14:00 | Miércoles 12:00-14:00 | Jueves 12:00-14:00</v>
      </c>
      <c r="F4" s="85">
        <f>_xlfn.MINIFS(tblMatriculas[Clases planeadas],tblMatriculas[Código],tblGrupos[[#This Row],[Código]])</f>
        <v>45</v>
      </c>
      <c r="G4" s="85">
        <f>_xlfn.MAXIFS(tblMatriculas[Asistidas],tblMatriculas[Código],tblGrupos[[#This Row],[Código]],tblMatriculas[Clases planeadas],tblGrupos[[#This Row],[Clases planeadas]],tblMatriculas[Estado],"activa")</f>
        <v>9</v>
      </c>
      <c r="H4" s="86"/>
      <c r="I4" s="85">
        <f>IF(tblGrupos[[#This Row],[Clases dictadas (manual)]]&lt;&gt;"",tblGrupos[[#This Row],[Clases dictadas (manual)]],tblGrupos[[#This Row],[Clases dictadas (est.)]])</f>
        <v>9</v>
      </c>
      <c r="J4" s="85">
        <f>COUNTIFS(tblMatriculas[Código],tblGrupos[[#This Row],[Código]],tblMatriculas[Estado],"activa")</f>
        <v>38</v>
      </c>
      <c r="K4" s="85">
        <f>COUNTIFS(tblMatriculas[Código],tblGrupos[[#This Row],[Código]],tblMatriculas[Incluir],TRUE)</f>
        <v>38</v>
      </c>
      <c r="L4" s="85">
        <f>SUMIFS(tblMatriculas[Asistidas],tblMatriculas[Código],tblGrupos[[#This Row],[Código]],tblMatriculas[Incluir],TRUE)</f>
        <v>257</v>
      </c>
      <c r="M4" s="85">
        <f>SUMIFS(tblMatriculas[Inasistencias],tblMatriculas[Código],tblGrupos[[#This Row],[Código]],tblMatriculas[Incluir],TRUE)</f>
        <v>85</v>
      </c>
      <c r="N4" s="87">
        <f>IFERROR(AVERAGEIFS(tblMatriculas[% asistencia],tblMatriculas[Código],tblGrupos[[#This Row],[Código]],tblMatriculas[Incluir],TRUE),"")</f>
        <v>0.15028947368421056</v>
      </c>
      <c r="O4" s="85">
        <f>COUNTIFS(tblMatriculas[Código],tblGrupos[[#This Row],[Código]],tblMatriculas[Nivel],INDEX(tblNiveles[Nivel],1))</f>
        <v>0</v>
      </c>
      <c r="P4" s="85">
        <f>COUNTIFS(tblMatriculas[Código],tblGrupos[[#This Row],[Código]],tblMatriculas[Nivel],INDEX(tblNiveles[Nivel],2))</f>
        <v>4</v>
      </c>
      <c r="Q4" s="85">
        <f>COUNTIFS(tblMatriculas[Código],tblGrupos[[#This Row],[Código]],tblMatriculas[Nivel],INDEX(tblNiveles[Nivel],3))</f>
        <v>2</v>
      </c>
      <c r="R4" s="85">
        <f>COUNTIFS(tblMatriculas[Código],tblGrupos[[#This Row],[Código]],tblMatriculas[Nivel],INDEX(tblNiveles[Nivel],4))</f>
        <v>32</v>
      </c>
      <c r="S4" s="85">
        <f>COUNTIFS(tblMatriculas[Código],tblGrupos[[#This Row],[Código]],tblMatriculas[Nivel],"⚪ SIN REGISTRO")</f>
        <v>0</v>
      </c>
      <c r="T4" s="87">
        <f>IF(tblGrupos[[#This Row],[Estudiantes evaluados]]=0,"",(tblGrupos[[#This Row],[Críticos]]+tblGrupos[[#This Row],[Alerta]]+tblGrupos[[#This Row],[Seguimiento]])/tblGrupos[[#This Row],[Estudiantes evaluados]])</f>
        <v>0.15789473684210525</v>
      </c>
      <c r="U4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" spans="1:21" x14ac:dyDescent="0.2">
      <c r="A5" s="26" t="s">
        <v>110</v>
      </c>
      <c r="B5" s="85" t="str">
        <f>_xlfn.XLOOKUP(tblGrupos[[#This Row],[Código]],tblMatriculas[Código],tblMatriculas[Programa])</f>
        <v>ANÁLISIS Y VISUALIZACIÓN DE DATOS PARA LA TOMA DE DECISIONES</v>
      </c>
      <c r="C5" s="85" t="str">
        <f>_xlfn.XLOOKUP(tblGrupos[[#This Row],[Código]],tblMatriculas[Código],tblMatriculas[Grupo])</f>
        <v>DAT-02 - Análisis y Visualización de Datos</v>
      </c>
      <c r="D5" s="85" t="str">
        <f>_xlfn.XLOOKUP(tblGrupos[[#This Row],[Código]],tblMatriculas[Código],tblMatriculas[Docente])</f>
        <v>César Diaz</v>
      </c>
      <c r="E5" s="85" t="str">
        <f>_xlfn.XLOOKUP(tblGrupos[[#This Row],[Código]],tblMatriculas[Código],tblMatriculas[Horario])</f>
        <v>Martes 18:30-21:30 | Jueves 18:30-21:30</v>
      </c>
      <c r="F5" s="85">
        <f>_xlfn.MINIFS(tblMatriculas[Clases planeadas],tblMatriculas[Código],tblGrupos[[#This Row],[Código]])</f>
        <v>30</v>
      </c>
      <c r="G5" s="85">
        <f>_xlfn.MAXIFS(tblMatriculas[Asistidas],tblMatriculas[Código],tblGrupos[[#This Row],[Código]],tblMatriculas[Clases planeadas],tblGrupos[[#This Row],[Clases planeadas]],tblMatriculas[Estado],"activa")</f>
        <v>4</v>
      </c>
      <c r="H5" s="86"/>
      <c r="I5" s="85">
        <f>IF(tblGrupos[[#This Row],[Clases dictadas (manual)]]&lt;&gt;"",tblGrupos[[#This Row],[Clases dictadas (manual)]],tblGrupos[[#This Row],[Clases dictadas (est.)]])</f>
        <v>4</v>
      </c>
      <c r="J5" s="85">
        <f>COUNTIFS(tblMatriculas[Código],tblGrupos[[#This Row],[Código]],tblMatriculas[Estado],"activa")</f>
        <v>51</v>
      </c>
      <c r="K5" s="85">
        <f>COUNTIFS(tblMatriculas[Código],tblGrupos[[#This Row],[Código]],tblMatriculas[Incluir],TRUE)</f>
        <v>51</v>
      </c>
      <c r="L5" s="85">
        <f>SUMIFS(tblMatriculas[Asistidas],tblMatriculas[Código],tblGrupos[[#This Row],[Código]],tblMatriculas[Incluir],TRUE)</f>
        <v>173</v>
      </c>
      <c r="M5" s="85">
        <f>SUMIFS(tblMatriculas[Inasistencias],tblMatriculas[Código],tblGrupos[[#This Row],[Código]],tblMatriculas[Incluir],TRUE)</f>
        <v>31</v>
      </c>
      <c r="N5" s="87">
        <f>IFERROR(AVERAGEIFS(tblMatriculas[% asistencia],tblMatriculas[Código],tblGrupos[[#This Row],[Código]],tblMatriculas[Incluir],TRUE),"")</f>
        <v>0.11294117647058821</v>
      </c>
      <c r="O5" s="85">
        <f>COUNTIFS(tblMatriculas[Código],tblGrupos[[#This Row],[Código]],tblMatriculas[Nivel],INDEX(tblNiveles[Nivel],1))</f>
        <v>0</v>
      </c>
      <c r="P5" s="85">
        <f>COUNTIFS(tblMatriculas[Código],tblGrupos[[#This Row],[Código]],tblMatriculas[Nivel],INDEX(tblNiveles[Nivel],2))</f>
        <v>0</v>
      </c>
      <c r="Q5" s="85">
        <f>COUNTIFS(tblMatriculas[Código],tblGrupos[[#This Row],[Código]],tblMatriculas[Nivel],INDEX(tblNiveles[Nivel],3))</f>
        <v>2</v>
      </c>
      <c r="R5" s="85">
        <f>COUNTIFS(tblMatriculas[Código],tblGrupos[[#This Row],[Código]],tblMatriculas[Nivel],INDEX(tblNiveles[Nivel],4))</f>
        <v>49</v>
      </c>
      <c r="S5" s="85">
        <f>COUNTIFS(tblMatriculas[Código],tblGrupos[[#This Row],[Código]],tblMatriculas[Nivel],"⚪ SIN REGISTRO")</f>
        <v>0</v>
      </c>
      <c r="T5" s="87">
        <f>IF(tblGrupos[[#This Row],[Estudiantes evaluados]]=0,"",(tblGrupos[[#This Row],[Críticos]]+tblGrupos[[#This Row],[Alerta]]+tblGrupos[[#This Row],[Seguimiento]])/tblGrupos[[#This Row],[Estudiantes evaluados]])</f>
        <v>3.9215686274509803E-2</v>
      </c>
      <c r="U5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6" spans="1:21" x14ac:dyDescent="0.2">
      <c r="A6" s="26" t="s">
        <v>224</v>
      </c>
      <c r="B6" s="85" t="str">
        <f>_xlfn.XLOOKUP(tblGrupos[[#This Row],[Código]],tblMatriculas[Código],tblMatriculas[Programa])</f>
        <v>ANÁLISIS Y VISUALIZACIÓN DE DATOS PARA LA TOMA DE DECISIONES</v>
      </c>
      <c r="C6" s="85" t="str">
        <f>_xlfn.XLOOKUP(tblGrupos[[#This Row],[Código]],tblMatriculas[Código],tblMatriculas[Grupo])</f>
        <v>DAT-03 - Análisis y Visualización de Datos</v>
      </c>
      <c r="D6" s="85" t="str">
        <f>_xlfn.XLOOKUP(tblGrupos[[#This Row],[Código]],tblMatriculas[Código],tblMatriculas[Docente])</f>
        <v>Cristian Jimenez</v>
      </c>
      <c r="E6" s="85" t="str">
        <f>_xlfn.XLOOKUP(tblGrupos[[#This Row],[Código]],tblMatriculas[Código],tblMatriculas[Horario])</f>
        <v>Martes 18:30-21:30 | Jueves 18:30-21:30</v>
      </c>
      <c r="F6" s="85">
        <f>_xlfn.MINIFS(tblMatriculas[Clases planeadas],tblMatriculas[Código],tblGrupos[[#This Row],[Código]])</f>
        <v>30</v>
      </c>
      <c r="G6" s="85">
        <f>_xlfn.MAXIFS(tblMatriculas[Asistidas],tblMatriculas[Código],tblGrupos[[#This Row],[Código]],tblMatriculas[Clases planeadas],tblGrupos[[#This Row],[Clases planeadas]],tblMatriculas[Estado],"activa")</f>
        <v>6</v>
      </c>
      <c r="H6" s="86"/>
      <c r="I6" s="85">
        <f>IF(tblGrupos[[#This Row],[Clases dictadas (manual)]]&lt;&gt;"",tblGrupos[[#This Row],[Clases dictadas (manual)]],tblGrupos[[#This Row],[Clases dictadas (est.)]])</f>
        <v>6</v>
      </c>
      <c r="J6" s="85">
        <f>COUNTIFS(tblMatriculas[Código],tblGrupos[[#This Row],[Código]],tblMatriculas[Estado],"activa")</f>
        <v>50</v>
      </c>
      <c r="K6" s="85">
        <f>COUNTIFS(tblMatriculas[Código],tblGrupos[[#This Row],[Código]],tblMatriculas[Incluir],TRUE)</f>
        <v>50</v>
      </c>
      <c r="L6" s="85">
        <f>SUMIFS(tblMatriculas[Asistidas],tblMatriculas[Código],tblGrupos[[#This Row],[Código]],tblMatriculas[Incluir],TRUE)</f>
        <v>217</v>
      </c>
      <c r="M6" s="85">
        <f>SUMIFS(tblMatriculas[Inasistencias],tblMatriculas[Código],tblGrupos[[#This Row],[Código]],tblMatriculas[Incluir],TRUE)</f>
        <v>83</v>
      </c>
      <c r="N6" s="87">
        <f>IFERROR(AVERAGEIFS(tblMatriculas[% asistencia],tblMatriculas[Código],tblGrupos[[#This Row],[Código]],tblMatriculas[Incluir],TRUE),"")</f>
        <v>0.14474000000000001</v>
      </c>
      <c r="O6" s="85">
        <f>COUNTIFS(tblMatriculas[Código],tblGrupos[[#This Row],[Código]],tblMatriculas[Nivel],INDEX(tblNiveles[Nivel],1))</f>
        <v>6</v>
      </c>
      <c r="P6" s="85">
        <f>COUNTIFS(tblMatriculas[Código],tblGrupos[[#This Row],[Código]],tblMatriculas[Nivel],INDEX(tblNiveles[Nivel],2))</f>
        <v>1</v>
      </c>
      <c r="Q6" s="85">
        <f>COUNTIFS(tblMatriculas[Código],tblGrupos[[#This Row],[Código]],tblMatriculas[Nivel],INDEX(tblNiveles[Nivel],3))</f>
        <v>3</v>
      </c>
      <c r="R6" s="85">
        <f>COUNTIFS(tblMatriculas[Código],tblGrupos[[#This Row],[Código]],tblMatriculas[Nivel],INDEX(tblNiveles[Nivel],4))</f>
        <v>40</v>
      </c>
      <c r="S6" s="85">
        <f>COUNTIFS(tblMatriculas[Código],tblGrupos[[#This Row],[Código]],tblMatriculas[Nivel],"⚪ SIN REGISTRO")</f>
        <v>0</v>
      </c>
      <c r="T6" s="87">
        <f>IF(tblGrupos[[#This Row],[Estudiantes evaluados]]=0,"",(tblGrupos[[#This Row],[Críticos]]+tblGrupos[[#This Row],[Alerta]]+tblGrupos[[#This Row],[Seguimiento]])/tblGrupos[[#This Row],[Estudiantes evaluados]])</f>
        <v>0.2</v>
      </c>
      <c r="U6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7" spans="1:21" x14ac:dyDescent="0.2">
      <c r="A7" s="26" t="s">
        <v>334</v>
      </c>
      <c r="B7" s="85" t="str">
        <f>_xlfn.XLOOKUP(tblGrupos[[#This Row],[Código]],tblMatriculas[Código],tblMatriculas[Programa])</f>
        <v>ANÁLISIS Y VISUALIZACIÓN DE DATOS PARA LA TOMA DE DECISIONES</v>
      </c>
      <c r="C7" s="85" t="str">
        <f>_xlfn.XLOOKUP(tblGrupos[[#This Row],[Código]],tblMatriculas[Código],tblMatriculas[Grupo])</f>
        <v>DAT-04 - Análisis y Visualización de Datos</v>
      </c>
      <c r="D7" s="85" t="str">
        <f>_xlfn.XLOOKUP(tblGrupos[[#This Row],[Código]],tblMatriculas[Código],tblMatriculas[Docente])</f>
        <v>Alvaro Viloria</v>
      </c>
      <c r="E7" s="85" t="str">
        <f>_xlfn.XLOOKUP(tblGrupos[[#This Row],[Código]],tblMatriculas[Código],tblMatriculas[Horario])</f>
        <v>Miércoles 18:30-21:30 | Viernes 18:30-21:30</v>
      </c>
      <c r="F7" s="85">
        <f>_xlfn.MINIFS(tblMatriculas[Clases planeadas],tblMatriculas[Código],tblGrupos[[#This Row],[Código]])</f>
        <v>30</v>
      </c>
      <c r="G7" s="85">
        <f>_xlfn.MAXIFS(tblMatriculas[Asistidas],tblMatriculas[Código],tblGrupos[[#This Row],[Código]],tblMatriculas[Clases planeadas],tblGrupos[[#This Row],[Clases planeadas]],tblMatriculas[Estado],"activa")</f>
        <v>5</v>
      </c>
      <c r="H7" s="86"/>
      <c r="I7" s="85">
        <f>IF(tblGrupos[[#This Row],[Clases dictadas (manual)]]&lt;&gt;"",tblGrupos[[#This Row],[Clases dictadas (manual)]],tblGrupos[[#This Row],[Clases dictadas (est.)]])</f>
        <v>5</v>
      </c>
      <c r="J7" s="85">
        <f>COUNTIFS(tblMatriculas[Código],tblGrupos[[#This Row],[Código]],tblMatriculas[Estado],"activa")</f>
        <v>42</v>
      </c>
      <c r="K7" s="85">
        <f>COUNTIFS(tblMatriculas[Código],tblGrupos[[#This Row],[Código]],tblMatriculas[Incluir],TRUE)</f>
        <v>42</v>
      </c>
      <c r="L7" s="85">
        <f>SUMIFS(tblMatriculas[Asistidas],tblMatriculas[Código],tblGrupos[[#This Row],[Código]],tblMatriculas[Incluir],TRUE)</f>
        <v>154</v>
      </c>
      <c r="M7" s="85">
        <f>SUMIFS(tblMatriculas[Inasistencias],tblMatriculas[Código],tblGrupos[[#This Row],[Código]],tblMatriculas[Incluir],TRUE)</f>
        <v>60</v>
      </c>
      <c r="N7" s="87">
        <f>IFERROR(AVERAGEIFS(tblMatriculas[% asistencia],tblMatriculas[Código],tblGrupos[[#This Row],[Código]],tblMatriculas[Incluir],TRUE),"")</f>
        <v>0.12114285714285711</v>
      </c>
      <c r="O7" s="85">
        <f>COUNTIFS(tblMatriculas[Código],tblGrupos[[#This Row],[Código]],tblMatriculas[Nivel],INDEX(tblNiveles[Nivel],1))</f>
        <v>5</v>
      </c>
      <c r="P7" s="85">
        <f>COUNTIFS(tblMatriculas[Código],tblGrupos[[#This Row],[Código]],tblMatriculas[Nivel],INDEX(tblNiveles[Nivel],2))</f>
        <v>3</v>
      </c>
      <c r="Q7" s="85">
        <f>COUNTIFS(tblMatriculas[Código],tblGrupos[[#This Row],[Código]],tblMatriculas[Nivel],INDEX(tblNiveles[Nivel],3))</f>
        <v>3</v>
      </c>
      <c r="R7" s="85">
        <f>COUNTIFS(tblMatriculas[Código],tblGrupos[[#This Row],[Código]],tblMatriculas[Nivel],INDEX(tblNiveles[Nivel],4))</f>
        <v>31</v>
      </c>
      <c r="S7" s="85">
        <f>COUNTIFS(tblMatriculas[Código],tblGrupos[[#This Row],[Código]],tblMatriculas[Nivel],"⚪ SIN REGISTRO")</f>
        <v>0</v>
      </c>
      <c r="T7" s="87">
        <f>IF(tblGrupos[[#This Row],[Estudiantes evaluados]]=0,"",(tblGrupos[[#This Row],[Críticos]]+tblGrupos[[#This Row],[Alerta]]+tblGrupos[[#This Row],[Seguimiento]])/tblGrupos[[#This Row],[Estudiantes evaluados]])</f>
        <v>0.26190476190476192</v>
      </c>
      <c r="U7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8" spans="1:21" x14ac:dyDescent="0.2">
      <c r="A8" s="26" t="s">
        <v>430</v>
      </c>
      <c r="B8" s="85" t="str">
        <f>_xlfn.XLOOKUP(tblGrupos[[#This Row],[Código]],tblMatriculas[Código],tblMatriculas[Programa])</f>
        <v>ANÁLISIS Y VISUALIZACIÓN DE DATOS PARA LA TOMA DE DECISIONES</v>
      </c>
      <c r="C8" s="85" t="str">
        <f>_xlfn.XLOOKUP(tblGrupos[[#This Row],[Código]],tblMatriculas[Código],tblMatriculas[Grupo])</f>
        <v>DAT-05 - Análisis y Visualización de Datos</v>
      </c>
      <c r="D8" s="85" t="str">
        <f>_xlfn.XLOOKUP(tblGrupos[[#This Row],[Código]],tblMatriculas[Código],tblMatriculas[Docente])</f>
        <v>Johan Muriel</v>
      </c>
      <c r="E8" s="85" t="str">
        <f>_xlfn.XLOOKUP(tblGrupos[[#This Row],[Código]],tblMatriculas[Código],tblMatriculas[Horario])</f>
        <v>Miércoles 18:30-21:30 | Viernes 18:30-21:30</v>
      </c>
      <c r="F8" s="85">
        <f>_xlfn.MINIFS(tblMatriculas[Clases planeadas],tblMatriculas[Código],tblGrupos[[#This Row],[Código]])</f>
        <v>30</v>
      </c>
      <c r="G8" s="85">
        <f>_xlfn.MAXIFS(tblMatriculas[Asistidas],tblMatriculas[Código],tblGrupos[[#This Row],[Código]],tblMatriculas[Clases planeadas],tblGrupos[[#This Row],[Clases planeadas]],tblMatriculas[Estado],"activa")</f>
        <v>5</v>
      </c>
      <c r="H8" s="86"/>
      <c r="I8" s="85">
        <f>IF(tblGrupos[[#This Row],[Clases dictadas (manual)]]&lt;&gt;"",tblGrupos[[#This Row],[Clases dictadas (manual)]],tblGrupos[[#This Row],[Clases dictadas (est.)]])</f>
        <v>5</v>
      </c>
      <c r="J8" s="85">
        <f>COUNTIFS(tblMatriculas[Código],tblGrupos[[#This Row],[Código]],tblMatriculas[Estado],"activa")</f>
        <v>39</v>
      </c>
      <c r="K8" s="85">
        <f>COUNTIFS(tblMatriculas[Código],tblGrupos[[#This Row],[Código]],tblMatriculas[Incluir],TRUE)</f>
        <v>39</v>
      </c>
      <c r="L8" s="85">
        <f>SUMIFS(tblMatriculas[Asistidas],tblMatriculas[Código],tblGrupos[[#This Row],[Código]],tblMatriculas[Incluir],TRUE)</f>
        <v>150</v>
      </c>
      <c r="M8" s="85">
        <f>SUMIFS(tblMatriculas[Inasistencias],tblMatriculas[Código],tblGrupos[[#This Row],[Código]],tblMatriculas[Incluir],TRUE)</f>
        <v>50</v>
      </c>
      <c r="N8" s="87">
        <f>IFERROR(AVERAGEIFS(tblMatriculas[% asistencia],tblMatriculas[Código],tblGrupos[[#This Row],[Código]],tblMatriculas[Incluir],TRUE),"")</f>
        <v>0.12576923076923072</v>
      </c>
      <c r="O8" s="85">
        <f>COUNTIFS(tblMatriculas[Código],tblGrupos[[#This Row],[Código]],tblMatriculas[Nivel],INDEX(tblNiveles[Nivel],1))</f>
        <v>7</v>
      </c>
      <c r="P8" s="85">
        <f>COUNTIFS(tblMatriculas[Código],tblGrupos[[#This Row],[Código]],tblMatriculas[Nivel],INDEX(tblNiveles[Nivel],2))</f>
        <v>0</v>
      </c>
      <c r="Q8" s="85">
        <f>COUNTIFS(tblMatriculas[Código],tblGrupos[[#This Row],[Código]],tblMatriculas[Nivel],INDEX(tblNiveles[Nivel],3))</f>
        <v>0</v>
      </c>
      <c r="R8" s="85">
        <f>COUNTIFS(tblMatriculas[Código],tblGrupos[[#This Row],[Código]],tblMatriculas[Nivel],INDEX(tblNiveles[Nivel],4))</f>
        <v>32</v>
      </c>
      <c r="S8" s="85">
        <f>COUNTIFS(tblMatriculas[Código],tblGrupos[[#This Row],[Código]],tblMatriculas[Nivel],"⚪ SIN REGISTRO")</f>
        <v>0</v>
      </c>
      <c r="T8" s="87">
        <f>IF(tblGrupos[[#This Row],[Estudiantes evaluados]]=0,"",(tblGrupos[[#This Row],[Críticos]]+tblGrupos[[#This Row],[Alerta]]+tblGrupos[[#This Row],[Seguimiento]])/tblGrupos[[#This Row],[Estudiantes evaluados]])</f>
        <v>0.17948717948717949</v>
      </c>
      <c r="U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9" spans="1:21" x14ac:dyDescent="0.2">
      <c r="A9" s="26" t="s">
        <v>515</v>
      </c>
      <c r="B9" s="85" t="str">
        <f>_xlfn.XLOOKUP(tblGrupos[[#This Row],[Código]],tblMatriculas[Código],tblMatriculas[Programa])</f>
        <v>ANÁLISIS Y VISUALIZACIÓN DE DATOS PARA LA TOMA DE DECISIONES</v>
      </c>
      <c r="C9" s="85" t="str">
        <f>_xlfn.XLOOKUP(tblGrupos[[#This Row],[Código]],tblMatriculas[Código],tblMatriculas[Grupo])</f>
        <v>DAT-06 - Análisis y Visualización de Datos</v>
      </c>
      <c r="D9" s="85" t="str">
        <f>_xlfn.XLOOKUP(tblGrupos[[#This Row],[Código]],tblMatriculas[Código],tblMatriculas[Docente])</f>
        <v>Alvaro Viloria</v>
      </c>
      <c r="E9" s="85" t="str">
        <f>_xlfn.XLOOKUP(tblGrupos[[#This Row],[Código]],tblMatriculas[Código],tblMatriculas[Horario])</f>
        <v>Sábado 09:00-12:00 | Sábado 13:00-16:00</v>
      </c>
      <c r="F9" s="85">
        <f>_xlfn.MINIFS(tblMatriculas[Clases planeadas],tblMatriculas[Código],tblGrupos[[#This Row],[Código]])</f>
        <v>30</v>
      </c>
      <c r="G9" s="85">
        <f>_xlfn.MAXIFS(tblMatriculas[Asistidas],tblMatriculas[Código],tblGrupos[[#This Row],[Código]],tblMatriculas[Clases planeadas],tblGrupos[[#This Row],[Clases planeadas]],tblMatriculas[Estado],"activa")</f>
        <v>2</v>
      </c>
      <c r="H9" s="86"/>
      <c r="I9" s="85">
        <f>IF(tblGrupos[[#This Row],[Clases dictadas (manual)]]&lt;&gt;"",tblGrupos[[#This Row],[Clases dictadas (manual)]],tblGrupos[[#This Row],[Clases dictadas (est.)]])</f>
        <v>2</v>
      </c>
      <c r="J9" s="85">
        <f>COUNTIFS(tblMatriculas[Código],tblGrupos[[#This Row],[Código]],tblMatriculas[Estado],"activa")</f>
        <v>31</v>
      </c>
      <c r="K9" s="85">
        <f>COUNTIFS(tblMatriculas[Código],tblGrupos[[#This Row],[Código]],tblMatriculas[Incluir],TRUE)</f>
        <v>31</v>
      </c>
      <c r="L9" s="85">
        <f>SUMIFS(tblMatriculas[Asistidas],tblMatriculas[Código],tblGrupos[[#This Row],[Código]],tblMatriculas[Incluir],TRUE)</f>
        <v>45</v>
      </c>
      <c r="M9" s="85">
        <f>SUMIFS(tblMatriculas[Inasistencias],tblMatriculas[Código],tblGrupos[[#This Row],[Código]],tblMatriculas[Incluir],TRUE)</f>
        <v>21</v>
      </c>
      <c r="N9" s="87">
        <f>IFERROR(AVERAGEIFS(tblMatriculas[% asistencia],tblMatriculas[Código],tblGrupos[[#This Row],[Código]],tblMatriculas[Incluir],TRUE),"")</f>
        <v>4.7999999999999973E-2</v>
      </c>
      <c r="O9" s="85">
        <f>COUNTIFS(tblMatriculas[Código],tblGrupos[[#This Row],[Código]],tblMatriculas[Nivel],INDEX(tblNiveles[Nivel],1))</f>
        <v>5</v>
      </c>
      <c r="P9" s="85">
        <f>COUNTIFS(tblMatriculas[Código],tblGrupos[[#This Row],[Código]],tblMatriculas[Nivel],INDEX(tblNiveles[Nivel],2))</f>
        <v>7</v>
      </c>
      <c r="Q9" s="85">
        <f>COUNTIFS(tblMatriculas[Código],tblGrupos[[#This Row],[Código]],tblMatriculas[Nivel],INDEX(tblNiveles[Nivel],3))</f>
        <v>19</v>
      </c>
      <c r="R9" s="85">
        <f>COUNTIFS(tblMatriculas[Código],tblGrupos[[#This Row],[Código]],tblMatriculas[Nivel],INDEX(tblNiveles[Nivel],4))</f>
        <v>0</v>
      </c>
      <c r="S9" s="85">
        <f>COUNTIFS(tblMatriculas[Código],tblGrupos[[#This Row],[Código]],tblMatriculas[Nivel],"⚪ SIN REGISTRO")</f>
        <v>0</v>
      </c>
      <c r="T9" s="87">
        <f>IF(tblGrupos[[#This Row],[Estudiantes evaluados]]=0,"",(tblGrupos[[#This Row],[Críticos]]+tblGrupos[[#This Row],[Alerta]]+tblGrupos[[#This Row],[Seguimiento]])/tblGrupos[[#This Row],[Estudiantes evaluados]])</f>
        <v>1</v>
      </c>
      <c r="U9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10" spans="1:21" x14ac:dyDescent="0.2">
      <c r="A10" s="26" t="s">
        <v>582</v>
      </c>
      <c r="B10" s="85" t="str">
        <f>_xlfn.XLOOKUP(tblGrupos[[#This Row],[Código]],tblMatriculas[Código],tblMatriculas[Programa])</f>
        <v>ANÁLISIS Y VISUALIZACIÓN DE DATOS PARA LA TOMA DE DECISIONES</v>
      </c>
      <c r="C10" s="85" t="str">
        <f>_xlfn.XLOOKUP(tblGrupos[[#This Row],[Código]],tblMatriculas[Código],tblMatriculas[Grupo])</f>
        <v>DAT-07 - Análisis y Visualización de Datos</v>
      </c>
      <c r="D10" s="85" t="str">
        <f>_xlfn.XLOOKUP(tblGrupos[[#This Row],[Código]],tblMatriculas[Código],tblMatriculas[Docente])</f>
        <v>César Diaz</v>
      </c>
      <c r="E10" s="85" t="str">
        <f>_xlfn.XLOOKUP(tblGrupos[[#This Row],[Código]],tblMatriculas[Código],tblMatriculas[Horario])</f>
        <v>Sábado 09:00-12:00 | Sábado 13:00-16:00</v>
      </c>
      <c r="F10" s="85">
        <f>_xlfn.MINIFS(tblMatriculas[Clases planeadas],tblMatriculas[Código],tblGrupos[[#This Row],[Código]])</f>
        <v>30</v>
      </c>
      <c r="G10" s="85">
        <f>_xlfn.MAXIFS(tblMatriculas[Asistidas],tblMatriculas[Código],tblGrupos[[#This Row],[Código]],tblMatriculas[Clases planeadas],tblGrupos[[#This Row],[Clases planeadas]],tblMatriculas[Estado],"activa")</f>
        <v>2</v>
      </c>
      <c r="H10" s="86"/>
      <c r="I10" s="85">
        <f>IF(tblGrupos[[#This Row],[Clases dictadas (manual)]]&lt;&gt;"",tblGrupos[[#This Row],[Clases dictadas (manual)]],tblGrupos[[#This Row],[Clases dictadas (est.)]])</f>
        <v>2</v>
      </c>
      <c r="J10" s="85">
        <f>COUNTIFS(tblMatriculas[Código],tblGrupos[[#This Row],[Código]],tblMatriculas[Estado],"activa")</f>
        <v>31</v>
      </c>
      <c r="K10" s="85">
        <f>COUNTIFS(tblMatriculas[Código],tblGrupos[[#This Row],[Código]],tblMatriculas[Incluir],TRUE)</f>
        <v>31</v>
      </c>
      <c r="L10" s="85">
        <f>SUMIFS(tblMatriculas[Asistidas],tblMatriculas[Código],tblGrupos[[#This Row],[Código]],tblMatriculas[Incluir],TRUE)</f>
        <v>52</v>
      </c>
      <c r="M10" s="85">
        <f>SUMIFS(tblMatriculas[Inasistencias],tblMatriculas[Código],tblGrupos[[#This Row],[Código]],tblMatriculas[Incluir],TRUE)</f>
        <v>10</v>
      </c>
      <c r="N10" s="87">
        <f>IFERROR(AVERAGEIFS(tblMatriculas[% asistencia],tblMatriculas[Código],tblGrupos[[#This Row],[Código]],tblMatriculas[Incluir],TRUE),"")</f>
        <v>5.6096774193548353E-2</v>
      </c>
      <c r="O10" s="85">
        <f>COUNTIFS(tblMatriculas[Código],tblGrupos[[#This Row],[Código]],tblMatriculas[Nivel],INDEX(tblNiveles[Nivel],1))</f>
        <v>2</v>
      </c>
      <c r="P10" s="85">
        <f>COUNTIFS(tblMatriculas[Código],tblGrupos[[#This Row],[Código]],tblMatriculas[Nivel],INDEX(tblNiveles[Nivel],2))</f>
        <v>6</v>
      </c>
      <c r="Q10" s="85">
        <f>COUNTIFS(tblMatriculas[Código],tblGrupos[[#This Row],[Código]],tblMatriculas[Nivel],INDEX(tblNiveles[Nivel],3))</f>
        <v>23</v>
      </c>
      <c r="R10" s="85">
        <f>COUNTIFS(tblMatriculas[Código],tblGrupos[[#This Row],[Código]],tblMatriculas[Nivel],INDEX(tblNiveles[Nivel],4))</f>
        <v>0</v>
      </c>
      <c r="S10" s="85">
        <f>COUNTIFS(tblMatriculas[Código],tblGrupos[[#This Row],[Código]],tblMatriculas[Nivel],"⚪ SIN REGISTRO")</f>
        <v>0</v>
      </c>
      <c r="T10" s="87">
        <f>IF(tblGrupos[[#This Row],[Estudiantes evaluados]]=0,"",(tblGrupos[[#This Row],[Críticos]]+tblGrupos[[#This Row],[Alerta]]+tblGrupos[[#This Row],[Seguimiento]])/tblGrupos[[#This Row],[Estudiantes evaluados]])</f>
        <v>1</v>
      </c>
      <c r="U10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11" spans="1:21" x14ac:dyDescent="0.2">
      <c r="A11" s="26" t="s">
        <v>648</v>
      </c>
      <c r="B11" s="85" t="str">
        <f>_xlfn.XLOOKUP(tblGrupos[[#This Row],[Código]],tblMatriculas[Código],tblMatriculas[Programa])</f>
        <v>ANÁLISIS Y VISUALIZACIÓN DE DATOS PARA LA TOMA DE DECISIONES</v>
      </c>
      <c r="C11" s="85" t="str">
        <f>_xlfn.XLOOKUP(tblGrupos[[#This Row],[Código]],tblMatriculas[Código],tblMatriculas[Grupo])</f>
        <v>DAT-08 - Análisis y Visualización de Datos</v>
      </c>
      <c r="D11" s="85" t="str">
        <f>_xlfn.XLOOKUP(tblGrupos[[#This Row],[Código]],tblMatriculas[Código],tblMatriculas[Docente])</f>
        <v>Cristian Jimenez</v>
      </c>
      <c r="E11" s="85" t="str">
        <f>_xlfn.XLOOKUP(tblGrupos[[#This Row],[Código]],tblMatriculas[Código],tblMatriculas[Horario])</f>
        <v>Sábado 09:00-12:00 | Domingo 09:00-12:00</v>
      </c>
      <c r="F11" s="85">
        <f>_xlfn.MINIFS(tblMatriculas[Clases planeadas],tblMatriculas[Código],tblGrupos[[#This Row],[Código]])</f>
        <v>30</v>
      </c>
      <c r="G11" s="85">
        <f>_xlfn.MAXIFS(tblMatriculas[Asistidas],tblMatriculas[Código],tblGrupos[[#This Row],[Código]],tblMatriculas[Clases planeadas],tblGrupos[[#This Row],[Clases planeadas]],tblMatriculas[Estado],"activa")</f>
        <v>4</v>
      </c>
      <c r="H11" s="86"/>
      <c r="I11" s="85">
        <f>IF(tblGrupos[[#This Row],[Clases dictadas (manual)]]&lt;&gt;"",tblGrupos[[#This Row],[Clases dictadas (manual)]],tblGrupos[[#This Row],[Clases dictadas (est.)]])</f>
        <v>4</v>
      </c>
      <c r="J11" s="85">
        <f>COUNTIFS(tblMatriculas[Código],tblGrupos[[#This Row],[Código]],tblMatriculas[Estado],"activa")</f>
        <v>47</v>
      </c>
      <c r="K11" s="85">
        <f>COUNTIFS(tblMatriculas[Código],tblGrupos[[#This Row],[Código]],tblMatriculas[Incluir],TRUE)</f>
        <v>47</v>
      </c>
      <c r="L11" s="85">
        <f>SUMIFS(tblMatriculas[Asistidas],tblMatriculas[Código],tblGrupos[[#This Row],[Código]],tblMatriculas[Incluir],TRUE)</f>
        <v>155</v>
      </c>
      <c r="M11" s="85">
        <f>SUMIFS(tblMatriculas[Inasistencias],tblMatriculas[Código],tblGrupos[[#This Row],[Código]],tblMatriculas[Incluir],TRUE)</f>
        <v>33</v>
      </c>
      <c r="N11" s="87">
        <f>IFERROR(AVERAGEIFS(tblMatriculas[% asistencia],tblMatriculas[Código],tblGrupos[[#This Row],[Código]],tblMatriculas[Incluir],TRUE),"")</f>
        <v>0.10976595744680855</v>
      </c>
      <c r="O11" s="85">
        <f>COUNTIFS(tblMatriculas[Código],tblGrupos[[#This Row],[Código]],tblMatriculas[Nivel],INDEX(tblNiveles[Nivel],1))</f>
        <v>0</v>
      </c>
      <c r="P11" s="85">
        <f>COUNTIFS(tblMatriculas[Código],tblGrupos[[#This Row],[Código]],tblMatriculas[Nivel],INDEX(tblNiveles[Nivel],2))</f>
        <v>3</v>
      </c>
      <c r="Q11" s="85">
        <f>COUNTIFS(tblMatriculas[Código],tblGrupos[[#This Row],[Código]],tblMatriculas[Nivel],INDEX(tblNiveles[Nivel],3))</f>
        <v>6</v>
      </c>
      <c r="R11" s="85">
        <f>COUNTIFS(tblMatriculas[Código],tblGrupos[[#This Row],[Código]],tblMatriculas[Nivel],INDEX(tblNiveles[Nivel],4))</f>
        <v>38</v>
      </c>
      <c r="S11" s="85">
        <f>COUNTIFS(tblMatriculas[Código],tblGrupos[[#This Row],[Código]],tblMatriculas[Nivel],"⚪ SIN REGISTRO")</f>
        <v>0</v>
      </c>
      <c r="T11" s="87">
        <f>IF(tblGrupos[[#This Row],[Estudiantes evaluados]]=0,"",(tblGrupos[[#This Row],[Críticos]]+tblGrupos[[#This Row],[Alerta]]+tblGrupos[[#This Row],[Seguimiento]])/tblGrupos[[#This Row],[Estudiantes evaluados]])</f>
        <v>0.19148936170212766</v>
      </c>
      <c r="U11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2" spans="1:21" x14ac:dyDescent="0.2">
      <c r="A12" s="26" t="s">
        <v>749</v>
      </c>
      <c r="B12" s="85" t="str">
        <f>_xlfn.XLOOKUP(tblGrupos[[#This Row],[Código]],tblMatriculas[Código],tblMatriculas[Programa])</f>
        <v>ANÁLISIS Y VISUALIZACIÓN DE DATOS PARA LA TOMA DE DECISIONES</v>
      </c>
      <c r="C12" s="85" t="str">
        <f>_xlfn.XLOOKUP(tblGrupos[[#This Row],[Código]],tblMatriculas[Código],tblMatriculas[Grupo])</f>
        <v>DAT-09 - Análisis y Visualización de Datos</v>
      </c>
      <c r="D12" s="85" t="str">
        <f>_xlfn.XLOOKUP(tblGrupos[[#This Row],[Código]],tblMatriculas[Código],tblMatriculas[Docente])</f>
        <v>Alvaro Viloria</v>
      </c>
      <c r="E12" s="85" t="str">
        <f>_xlfn.XLOOKUP(tblGrupos[[#This Row],[Código]],tblMatriculas[Código],tblMatriculas[Horario])</f>
        <v>Domingo 09:00-12:00 | Domingo 13:00-16:00</v>
      </c>
      <c r="F12" s="85">
        <f>_xlfn.MINIFS(tblMatriculas[Clases planeadas],tblMatriculas[Código],tblGrupos[[#This Row],[Código]])</f>
        <v>30</v>
      </c>
      <c r="G12" s="85">
        <f>_xlfn.MAXIFS(tblMatriculas[Asistidas],tblMatriculas[Código],tblGrupos[[#This Row],[Código]],tblMatriculas[Clases planeadas],tblGrupos[[#This Row],[Clases planeadas]],tblMatriculas[Estado],"activa")</f>
        <v>2</v>
      </c>
      <c r="H12" s="86"/>
      <c r="I12" s="85">
        <f>IF(tblGrupos[[#This Row],[Clases dictadas (manual)]]&lt;&gt;"",tblGrupos[[#This Row],[Clases dictadas (manual)]],tblGrupos[[#This Row],[Clases dictadas (est.)]])</f>
        <v>2</v>
      </c>
      <c r="J12" s="85">
        <f>COUNTIFS(tblMatriculas[Código],tblGrupos[[#This Row],[Código]],tblMatriculas[Estado],"activa")</f>
        <v>27</v>
      </c>
      <c r="K12" s="85">
        <f>COUNTIFS(tblMatriculas[Código],tblGrupos[[#This Row],[Código]],tblMatriculas[Incluir],TRUE)</f>
        <v>27</v>
      </c>
      <c r="L12" s="85">
        <f>SUMIFS(tblMatriculas[Asistidas],tblMatriculas[Código],tblGrupos[[#This Row],[Código]],tblMatriculas[Incluir],TRUE)</f>
        <v>40</v>
      </c>
      <c r="M12" s="85">
        <f>SUMIFS(tblMatriculas[Inasistencias],tblMatriculas[Código],tblGrupos[[#This Row],[Código]],tblMatriculas[Incluir],TRUE)</f>
        <v>14</v>
      </c>
      <c r="N12" s="87">
        <f>IFERROR(AVERAGEIFS(tblMatriculas[% asistencia],tblMatriculas[Código],tblGrupos[[#This Row],[Código]],tblMatriculas[Incluir],TRUE),"")</f>
        <v>4.948148148148146E-2</v>
      </c>
      <c r="O12" s="85">
        <f>COUNTIFS(tblMatriculas[Código],tblGrupos[[#This Row],[Código]],tblMatriculas[Nivel],INDEX(tblNiveles[Nivel],1))</f>
        <v>3</v>
      </c>
      <c r="P12" s="85">
        <f>COUNTIFS(tblMatriculas[Código],tblGrupos[[#This Row],[Código]],tblMatriculas[Nivel],INDEX(tblNiveles[Nivel],2))</f>
        <v>8</v>
      </c>
      <c r="Q12" s="85">
        <f>COUNTIFS(tblMatriculas[Código],tblGrupos[[#This Row],[Código]],tblMatriculas[Nivel],INDEX(tblNiveles[Nivel],3))</f>
        <v>16</v>
      </c>
      <c r="R12" s="85">
        <f>COUNTIFS(tblMatriculas[Código],tblGrupos[[#This Row],[Código]],tblMatriculas[Nivel],INDEX(tblNiveles[Nivel],4))</f>
        <v>0</v>
      </c>
      <c r="S12" s="85">
        <f>COUNTIFS(tblMatriculas[Código],tblGrupos[[#This Row],[Código]],tblMatriculas[Nivel],"⚪ SIN REGISTRO")</f>
        <v>0</v>
      </c>
      <c r="T12" s="87">
        <f>IF(tblGrupos[[#This Row],[Estudiantes evaluados]]=0,"",(tblGrupos[[#This Row],[Críticos]]+tblGrupos[[#This Row],[Alerta]]+tblGrupos[[#This Row],[Seguimiento]])/tblGrupos[[#This Row],[Estudiantes evaluados]])</f>
        <v>1</v>
      </c>
      <c r="U12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13" spans="1:21" x14ac:dyDescent="0.2">
      <c r="A13" s="26" t="s">
        <v>806</v>
      </c>
      <c r="B13" s="85" t="str">
        <f>_xlfn.XLOOKUP(tblGrupos[[#This Row],[Código]],tblMatriculas[Código],tblMatriculas[Programa])</f>
        <v>ANÁLISIS Y VISUALIZACIÓN DE DATOS PARA LA TOMA DE DECISIONES</v>
      </c>
      <c r="C13" s="85" t="str">
        <f>_xlfn.XLOOKUP(tblGrupos[[#This Row],[Código]],tblMatriculas[Código],tblMatriculas[Grupo])</f>
        <v>DAT-10 - Análisis y Visualización de Datos</v>
      </c>
      <c r="D13" s="85" t="str">
        <f>_xlfn.XLOOKUP(tblGrupos[[#This Row],[Código]],tblMatriculas[Código],tblMatriculas[Docente])</f>
        <v>César Diaz</v>
      </c>
      <c r="E13" s="85" t="str">
        <f>_xlfn.XLOOKUP(tblGrupos[[#This Row],[Código]],tblMatriculas[Código],tblMatriculas[Horario])</f>
        <v>Miércoles 08:00-11:00 | Viernes 08:00-11:00</v>
      </c>
      <c r="F13" s="85">
        <f>_xlfn.MINIFS(tblMatriculas[Clases planeadas],tblMatriculas[Código],tblGrupos[[#This Row],[Código]])</f>
        <v>30</v>
      </c>
      <c r="G13" s="85">
        <f>_xlfn.MAXIFS(tblMatriculas[Asistidas],tblMatriculas[Código],tblGrupos[[#This Row],[Código]],tblMatriculas[Clases planeadas],tblGrupos[[#This Row],[Clases planeadas]],tblMatriculas[Estado],"activa")</f>
        <v>4</v>
      </c>
      <c r="H13" s="86"/>
      <c r="I13" s="85">
        <f>IF(tblGrupos[[#This Row],[Clases dictadas (manual)]]&lt;&gt;"",tblGrupos[[#This Row],[Clases dictadas (manual)]],tblGrupos[[#This Row],[Clases dictadas (est.)]])</f>
        <v>4</v>
      </c>
      <c r="J13" s="85">
        <f>COUNTIFS(tblMatriculas[Código],tblGrupos[[#This Row],[Código]],tblMatriculas[Estado],"activa")</f>
        <v>21</v>
      </c>
      <c r="K13" s="85">
        <f>COUNTIFS(tblMatriculas[Código],tblGrupos[[#This Row],[Código]],tblMatriculas[Incluir],TRUE)</f>
        <v>21</v>
      </c>
      <c r="L13" s="85">
        <f>SUMIFS(tblMatriculas[Asistidas],tblMatriculas[Código],tblGrupos[[#This Row],[Código]],tblMatriculas[Incluir],TRUE)</f>
        <v>61</v>
      </c>
      <c r="M13" s="85">
        <f>SUMIFS(tblMatriculas[Inasistencias],tblMatriculas[Código],tblGrupos[[#This Row],[Código]],tblMatriculas[Incluir],TRUE)</f>
        <v>23</v>
      </c>
      <c r="N13" s="87">
        <f>IFERROR(AVERAGEIFS(tblMatriculas[% asistencia],tblMatriculas[Código],tblGrupos[[#This Row],[Código]],tblMatriculas[Incluir],TRUE),"")</f>
        <v>9.6761904761904757E-2</v>
      </c>
      <c r="O13" s="85">
        <f>COUNTIFS(tblMatriculas[Código],tblGrupos[[#This Row],[Código]],tblMatriculas[Nivel],INDEX(tblNiveles[Nivel],1))</f>
        <v>0</v>
      </c>
      <c r="P13" s="85">
        <f>COUNTIFS(tblMatriculas[Código],tblGrupos[[#This Row],[Código]],tblMatriculas[Nivel],INDEX(tblNiveles[Nivel],2))</f>
        <v>2</v>
      </c>
      <c r="Q13" s="85">
        <f>COUNTIFS(tblMatriculas[Código],tblGrupos[[#This Row],[Código]],tblMatriculas[Nivel],INDEX(tblNiveles[Nivel],3))</f>
        <v>7</v>
      </c>
      <c r="R13" s="85">
        <f>COUNTIFS(tblMatriculas[Código],tblGrupos[[#This Row],[Código]],tblMatriculas[Nivel],INDEX(tblNiveles[Nivel],4))</f>
        <v>12</v>
      </c>
      <c r="S13" s="85">
        <f>COUNTIFS(tblMatriculas[Código],tblGrupos[[#This Row],[Código]],tblMatriculas[Nivel],"⚪ SIN REGISTRO")</f>
        <v>0</v>
      </c>
      <c r="T13" s="87">
        <f>IF(tblGrupos[[#This Row],[Estudiantes evaluados]]=0,"",(tblGrupos[[#This Row],[Críticos]]+tblGrupos[[#This Row],[Alerta]]+tblGrupos[[#This Row],[Seguimiento]])/tblGrupos[[#This Row],[Estudiantes evaluados]])</f>
        <v>0.42857142857142855</v>
      </c>
      <c r="U13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4" spans="1:21" x14ac:dyDescent="0.2">
      <c r="A14" s="26" t="s">
        <v>851</v>
      </c>
      <c r="B14" s="85" t="str">
        <f>_xlfn.XLOOKUP(tblGrupos[[#This Row],[Código]],tblMatriculas[Código],tblMatriculas[Programa])</f>
        <v>CLOUD COMPUTING, REDES Y CIBERSEGURIDAD ESENCIAL</v>
      </c>
      <c r="C14" s="85" t="str">
        <f>_xlfn.XLOOKUP(tblGrupos[[#This Row],[Código]],tblMatriculas[Código],tblMatriculas[Grupo])</f>
        <v>RED-01 - Cloud Computing, Redes y Ciberseguridad</v>
      </c>
      <c r="D14" s="85" t="str">
        <f>_xlfn.XLOOKUP(tblGrupos[[#This Row],[Código]],tblMatriculas[Código],tblMatriculas[Docente])</f>
        <v>Alejandro Barrera Correa</v>
      </c>
      <c r="E14" s="85" t="str">
        <f>_xlfn.XLOOKUP(tblGrupos[[#This Row],[Código]],tblMatriculas[Código],tblMatriculas[Horario])</f>
        <v>Martes 18:30-21:30 | Jueves 18:30-21:30</v>
      </c>
      <c r="F14" s="85">
        <f>_xlfn.MINIFS(tblMatriculas[Clases planeadas],tblMatriculas[Código],tblGrupos[[#This Row],[Código]])</f>
        <v>40</v>
      </c>
      <c r="G14" s="85">
        <f>_xlfn.MAXIFS(tblMatriculas[Asistidas],tblMatriculas[Código],tblGrupos[[#This Row],[Código]],tblMatriculas[Clases planeadas],tblGrupos[[#This Row],[Clases planeadas]],tblMatriculas[Estado],"activa")</f>
        <v>6</v>
      </c>
      <c r="H14" s="86"/>
      <c r="I14" s="85">
        <f>IF(tblGrupos[[#This Row],[Clases dictadas (manual)]]&lt;&gt;"",tblGrupos[[#This Row],[Clases dictadas (manual)]],tblGrupos[[#This Row],[Clases dictadas (est.)]])</f>
        <v>6</v>
      </c>
      <c r="J14" s="85">
        <f>COUNTIFS(tblMatriculas[Código],tblGrupos[[#This Row],[Código]],tblMatriculas[Estado],"activa")</f>
        <v>44</v>
      </c>
      <c r="K14" s="85">
        <f>COUNTIFS(tblMatriculas[Código],tblGrupos[[#This Row],[Código]],tblMatriculas[Incluir],TRUE)</f>
        <v>44</v>
      </c>
      <c r="L14" s="85">
        <f>SUMIFS(tblMatriculas[Asistidas],tblMatriculas[Código],tblGrupos[[#This Row],[Código]],tblMatriculas[Incluir],TRUE)</f>
        <v>211</v>
      </c>
      <c r="M14" s="85">
        <f>SUMIFS(tblMatriculas[Inasistencias],tblMatriculas[Código],tblGrupos[[#This Row],[Código]],tblMatriculas[Incluir],TRUE)</f>
        <v>57</v>
      </c>
      <c r="N14" s="87">
        <f>IFERROR(AVERAGEIFS(tblMatriculas[% asistencia],tblMatriculas[Código],tblGrupos[[#This Row],[Código]],tblMatriculas[Incluir],TRUE),"")</f>
        <v>0.11940909090909092</v>
      </c>
      <c r="O14" s="85">
        <f>COUNTIFS(tblMatriculas[Código],tblGrupos[[#This Row],[Código]],tblMatriculas[Nivel],INDEX(tblNiveles[Nivel],1))</f>
        <v>1</v>
      </c>
      <c r="P14" s="85">
        <f>COUNTIFS(tblMatriculas[Código],tblGrupos[[#This Row],[Código]],tblMatriculas[Nivel],INDEX(tblNiveles[Nivel],2))</f>
        <v>2</v>
      </c>
      <c r="Q14" s="85">
        <f>COUNTIFS(tblMatriculas[Código],tblGrupos[[#This Row],[Código]],tblMatriculas[Nivel],INDEX(tblNiveles[Nivel],3))</f>
        <v>3</v>
      </c>
      <c r="R14" s="85">
        <f>COUNTIFS(tblMatriculas[Código],tblGrupos[[#This Row],[Código]],tblMatriculas[Nivel],INDEX(tblNiveles[Nivel],4))</f>
        <v>38</v>
      </c>
      <c r="S14" s="85">
        <f>COUNTIFS(tblMatriculas[Código],tblGrupos[[#This Row],[Código]],tblMatriculas[Nivel],"⚪ SIN REGISTRO")</f>
        <v>0</v>
      </c>
      <c r="T14" s="87">
        <f>IF(tblGrupos[[#This Row],[Estudiantes evaluados]]=0,"",(tblGrupos[[#This Row],[Críticos]]+tblGrupos[[#This Row],[Alerta]]+tblGrupos[[#This Row],[Seguimiento]])/tblGrupos[[#This Row],[Estudiantes evaluados]])</f>
        <v>0.13636363636363635</v>
      </c>
      <c r="U14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5" spans="1:21" x14ac:dyDescent="0.2">
      <c r="A15" s="26" t="s">
        <v>957</v>
      </c>
      <c r="B15" s="85" t="str">
        <f>_xlfn.XLOOKUP(tblGrupos[[#This Row],[Código]],tblMatriculas[Código],tblMatriculas[Programa])</f>
        <v>CLOUD COMPUTING, REDES Y CIBERSEGURIDAD ESENCIAL</v>
      </c>
      <c r="C15" s="85" t="str">
        <f>_xlfn.XLOOKUP(tblGrupos[[#This Row],[Código]],tblMatriculas[Código],tblMatriculas[Grupo])</f>
        <v>RED-02 - Cloud Computing, Redes y Ciberseguridad</v>
      </c>
      <c r="D15" s="85" t="str">
        <f>_xlfn.XLOOKUP(tblGrupos[[#This Row],[Código]],tblMatriculas[Código],tblMatriculas[Docente])</f>
        <v>Alejandro Barrera Correa</v>
      </c>
      <c r="E15" s="85" t="str">
        <f>_xlfn.XLOOKUP(tblGrupos[[#This Row],[Código]],tblMatriculas[Código],tblMatriculas[Horario])</f>
        <v>Miércoles 18:30-21:30 | Viernes 18:30-21:30</v>
      </c>
      <c r="F15" s="85">
        <f>_xlfn.MINIFS(tblMatriculas[Clases planeadas],tblMatriculas[Código],tblGrupos[[#This Row],[Código]])</f>
        <v>30</v>
      </c>
      <c r="G15" s="85">
        <f>_xlfn.MAXIFS(tblMatriculas[Asistidas],tblMatriculas[Código],tblGrupos[[#This Row],[Código]],tblMatriculas[Clases planeadas],tblGrupos[[#This Row],[Clases planeadas]],tblMatriculas[Estado],"activa")</f>
        <v>4</v>
      </c>
      <c r="H15" s="86"/>
      <c r="I15" s="85">
        <f>IF(tblGrupos[[#This Row],[Clases dictadas (manual)]]&lt;&gt;"",tblGrupos[[#This Row],[Clases dictadas (manual)]],tblGrupos[[#This Row],[Clases dictadas (est.)]])</f>
        <v>4</v>
      </c>
      <c r="J15" s="85">
        <f>COUNTIFS(tblMatriculas[Código],tblGrupos[[#This Row],[Código]],tblMatriculas[Estado],"activa")</f>
        <v>24</v>
      </c>
      <c r="K15" s="85">
        <f>COUNTIFS(tblMatriculas[Código],tblGrupos[[#This Row],[Código]],tblMatriculas[Incluir],TRUE)</f>
        <v>24</v>
      </c>
      <c r="L15" s="85">
        <f>SUMIFS(tblMatriculas[Asistidas],tblMatriculas[Código],tblGrupos[[#This Row],[Código]],tblMatriculas[Incluir],TRUE)</f>
        <v>78</v>
      </c>
      <c r="M15" s="85">
        <f>SUMIFS(tblMatriculas[Inasistencias],tblMatriculas[Código],tblGrupos[[#This Row],[Código]],tblMatriculas[Incluir],TRUE)</f>
        <v>18</v>
      </c>
      <c r="N15" s="87">
        <f>IFERROR(AVERAGEIFS(tblMatriculas[% asistencia],tblMatriculas[Código],tblGrupos[[#This Row],[Código]],tblMatriculas[Incluir],TRUE),"")</f>
        <v>0.10812500000000001</v>
      </c>
      <c r="O15" s="85">
        <f>COUNTIFS(tblMatriculas[Código],tblGrupos[[#This Row],[Código]],tblMatriculas[Nivel],INDEX(tblNiveles[Nivel],1))</f>
        <v>2</v>
      </c>
      <c r="P15" s="85">
        <f>COUNTIFS(tblMatriculas[Código],tblGrupos[[#This Row],[Código]],tblMatriculas[Nivel],INDEX(tblNiveles[Nivel],2))</f>
        <v>1</v>
      </c>
      <c r="Q15" s="85">
        <f>COUNTIFS(tblMatriculas[Código],tblGrupos[[#This Row],[Código]],tblMatriculas[Nivel],INDEX(tblNiveles[Nivel],3))</f>
        <v>0</v>
      </c>
      <c r="R15" s="85">
        <f>COUNTIFS(tblMatriculas[Código],tblGrupos[[#This Row],[Código]],tblMatriculas[Nivel],INDEX(tblNiveles[Nivel],4))</f>
        <v>21</v>
      </c>
      <c r="S15" s="85">
        <f>COUNTIFS(tblMatriculas[Código],tblGrupos[[#This Row],[Código]],tblMatriculas[Nivel],"⚪ SIN REGISTRO")</f>
        <v>0</v>
      </c>
      <c r="T15" s="87">
        <f>IF(tblGrupos[[#This Row],[Estudiantes evaluados]]=0,"",(tblGrupos[[#This Row],[Críticos]]+tblGrupos[[#This Row],[Alerta]]+tblGrupos[[#This Row],[Seguimiento]])/tblGrupos[[#This Row],[Estudiantes evaluados]])</f>
        <v>0.125</v>
      </c>
      <c r="U15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6" spans="1:21" x14ac:dyDescent="0.2">
      <c r="A16" s="26" t="s">
        <v>1010</v>
      </c>
      <c r="B16" s="85" t="str">
        <f>_xlfn.XLOOKUP(tblGrupos[[#This Row],[Código]],tblMatriculas[Código],tblMatriculas[Programa])</f>
        <v>CLOUD COMPUTING, REDES Y CIBERSEGURIDAD ESENCIAL</v>
      </c>
      <c r="C16" s="85" t="str">
        <f>_xlfn.XLOOKUP(tblGrupos[[#This Row],[Código]],tblMatriculas[Código],tblMatriculas[Grupo])</f>
        <v>RED-03 - Cloud Computing, Redes y Ciberseguridad</v>
      </c>
      <c r="D16" s="85" t="str">
        <f>_xlfn.XLOOKUP(tblGrupos[[#This Row],[Código]],tblMatriculas[Código],tblMatriculas[Docente])</f>
        <v>Camilo Andrés Mejía</v>
      </c>
      <c r="E16" s="85" t="str">
        <f>_xlfn.XLOOKUP(tblGrupos[[#This Row],[Código]],tblMatriculas[Código],tblMatriculas[Horario])</f>
        <v>Sábado 09:00-12:00 | Sábado 13:00-16:00</v>
      </c>
      <c r="F16" s="85">
        <f>_xlfn.MINIFS(tblMatriculas[Clases planeadas],tblMatriculas[Código],tblGrupos[[#This Row],[Código]])</f>
        <v>30</v>
      </c>
      <c r="G16" s="85">
        <f>_xlfn.MAXIFS(tblMatriculas[Asistidas],tblMatriculas[Código],tblGrupos[[#This Row],[Código]],tblMatriculas[Clases planeadas],tblGrupos[[#This Row],[Clases planeadas]],tblMatriculas[Estado],"activa")</f>
        <v>2</v>
      </c>
      <c r="H16" s="86"/>
      <c r="I16" s="85">
        <f>IF(tblGrupos[[#This Row],[Clases dictadas (manual)]]&lt;&gt;"",tblGrupos[[#This Row],[Clases dictadas (manual)]],tblGrupos[[#This Row],[Clases dictadas (est.)]])</f>
        <v>2</v>
      </c>
      <c r="J16" s="85">
        <f>COUNTIFS(tblMatriculas[Código],tblGrupos[[#This Row],[Código]],tblMatriculas[Estado],"activa")</f>
        <v>30</v>
      </c>
      <c r="K16" s="85">
        <f>COUNTIFS(tblMatriculas[Código],tblGrupos[[#This Row],[Código]],tblMatriculas[Incluir],TRUE)</f>
        <v>30</v>
      </c>
      <c r="L16" s="85">
        <f>SUMIFS(tblMatriculas[Asistidas],tblMatriculas[Código],tblGrupos[[#This Row],[Código]],tblMatriculas[Incluir],TRUE)</f>
        <v>39</v>
      </c>
      <c r="M16" s="85">
        <f>SUMIFS(tblMatriculas[Inasistencias],tblMatriculas[Código],tblGrupos[[#This Row],[Código]],tblMatriculas[Incluir],TRUE)</f>
        <v>25</v>
      </c>
      <c r="N16" s="87">
        <f>IFERROR(AVERAGEIFS(tblMatriculas[% asistencia],tblMatriculas[Código],tblGrupos[[#This Row],[Código]],tblMatriculas[Incluir],TRUE),"")</f>
        <v>4.286666666666665E-2</v>
      </c>
      <c r="O16" s="85">
        <f>COUNTIFS(tblMatriculas[Código],tblGrupos[[#This Row],[Código]],tblMatriculas[Nivel],INDEX(tblNiveles[Nivel],1))</f>
        <v>6</v>
      </c>
      <c r="P16" s="85">
        <f>COUNTIFS(tblMatriculas[Código],tblGrupos[[#This Row],[Código]],tblMatriculas[Nivel],INDEX(tblNiveles[Nivel],2))</f>
        <v>9</v>
      </c>
      <c r="Q16" s="85">
        <f>COUNTIFS(tblMatriculas[Código],tblGrupos[[#This Row],[Código]],tblMatriculas[Nivel],INDEX(tblNiveles[Nivel],3))</f>
        <v>15</v>
      </c>
      <c r="R16" s="85">
        <f>COUNTIFS(tblMatriculas[Código],tblGrupos[[#This Row],[Código]],tblMatriculas[Nivel],INDEX(tblNiveles[Nivel],4))</f>
        <v>0</v>
      </c>
      <c r="S16" s="85">
        <f>COUNTIFS(tblMatriculas[Código],tblGrupos[[#This Row],[Código]],tblMatriculas[Nivel],"⚪ SIN REGISTRO")</f>
        <v>0</v>
      </c>
      <c r="T16" s="87">
        <f>IF(tblGrupos[[#This Row],[Estudiantes evaluados]]=0,"",(tblGrupos[[#This Row],[Críticos]]+tblGrupos[[#This Row],[Alerta]]+tblGrupos[[#This Row],[Seguimiento]])/tblGrupos[[#This Row],[Estudiantes evaluados]])</f>
        <v>1</v>
      </c>
      <c r="U16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17" spans="1:21" x14ac:dyDescent="0.2">
      <c r="A17" s="26" t="s">
        <v>1076</v>
      </c>
      <c r="B17" s="85" t="str">
        <f>_xlfn.XLOOKUP(tblGrupos[[#This Row],[Código]],tblMatriculas[Código],tblMatriculas[Programa])</f>
        <v>CLOUD COMPUTING, REDES Y CIBERSEGURIDAD ESENCIAL</v>
      </c>
      <c r="C17" s="85" t="str">
        <f>_xlfn.XLOOKUP(tblGrupos[[#This Row],[Código]],tblMatriculas[Código],tblMatriculas[Grupo])</f>
        <v>RED-04 - Cloud Computing, Redes y Ciberseguridad</v>
      </c>
      <c r="D17" s="85" t="str">
        <f>_xlfn.XLOOKUP(tblGrupos[[#This Row],[Código]],tblMatriculas[Código],tblMatriculas[Docente])</f>
        <v>Walter Alzate Medina</v>
      </c>
      <c r="E17" s="85" t="str">
        <f>_xlfn.XLOOKUP(tblGrupos[[#This Row],[Código]],tblMatriculas[Código],tblMatriculas[Horario])</f>
        <v>Sábado 09:00-12:00 | Domingo 09:00-12:00</v>
      </c>
      <c r="F17" s="85">
        <f>_xlfn.MINIFS(tblMatriculas[Clases planeadas],tblMatriculas[Código],tblGrupos[[#This Row],[Código]])</f>
        <v>30</v>
      </c>
      <c r="G17" s="85">
        <f>_xlfn.MAXIFS(tblMatriculas[Asistidas],tblMatriculas[Código],tblGrupos[[#This Row],[Código]],tblMatriculas[Clases planeadas],tblGrupos[[#This Row],[Clases planeadas]],tblMatriculas[Estado],"activa")</f>
        <v>4</v>
      </c>
      <c r="H17" s="86"/>
      <c r="I17" s="85">
        <f>IF(tblGrupos[[#This Row],[Clases dictadas (manual)]]&lt;&gt;"",tblGrupos[[#This Row],[Clases dictadas (manual)]],tblGrupos[[#This Row],[Clases dictadas (est.)]])</f>
        <v>4</v>
      </c>
      <c r="J17" s="85">
        <f>COUNTIFS(tblMatriculas[Código],tblGrupos[[#This Row],[Código]],tblMatriculas[Estado],"activa")</f>
        <v>31</v>
      </c>
      <c r="K17" s="85">
        <f>COUNTIFS(tblMatriculas[Código],tblGrupos[[#This Row],[Código]],tblMatriculas[Incluir],TRUE)</f>
        <v>31</v>
      </c>
      <c r="L17" s="85">
        <f>SUMIFS(tblMatriculas[Asistidas],tblMatriculas[Código],tblGrupos[[#This Row],[Código]],tblMatriculas[Incluir],TRUE)</f>
        <v>97</v>
      </c>
      <c r="M17" s="85">
        <f>SUMIFS(tblMatriculas[Inasistencias],tblMatriculas[Código],tblGrupos[[#This Row],[Código]],tblMatriculas[Incluir],TRUE)</f>
        <v>31</v>
      </c>
      <c r="N17" s="87">
        <f>IFERROR(AVERAGEIFS(tblMatriculas[% asistencia],tblMatriculas[Código],tblGrupos[[#This Row],[Código]],tblMatriculas[Incluir],TRUE),"")</f>
        <v>0.10409677419354842</v>
      </c>
      <c r="O17" s="85">
        <f>COUNTIFS(tblMatriculas[Código],tblGrupos[[#This Row],[Código]],tblMatriculas[Nivel],INDEX(tblNiveles[Nivel],1))</f>
        <v>2</v>
      </c>
      <c r="P17" s="85">
        <f>COUNTIFS(tblMatriculas[Código],tblGrupos[[#This Row],[Código]],tblMatriculas[Nivel],INDEX(tblNiveles[Nivel],2))</f>
        <v>3</v>
      </c>
      <c r="Q17" s="85">
        <f>COUNTIFS(tblMatriculas[Código],tblGrupos[[#This Row],[Código]],tblMatriculas[Nivel],INDEX(tblNiveles[Nivel],3))</f>
        <v>2</v>
      </c>
      <c r="R17" s="85">
        <f>COUNTIFS(tblMatriculas[Código],tblGrupos[[#This Row],[Código]],tblMatriculas[Nivel],INDEX(tblNiveles[Nivel],4))</f>
        <v>24</v>
      </c>
      <c r="S17" s="85">
        <f>COUNTIFS(tblMatriculas[Código],tblGrupos[[#This Row],[Código]],tblMatriculas[Nivel],"⚪ SIN REGISTRO")</f>
        <v>0</v>
      </c>
      <c r="T17" s="87">
        <f>IF(tblGrupos[[#This Row],[Estudiantes evaluados]]=0,"",(tblGrupos[[#This Row],[Críticos]]+tblGrupos[[#This Row],[Alerta]]+tblGrupos[[#This Row],[Seguimiento]])/tblGrupos[[#This Row],[Estudiantes evaluados]])</f>
        <v>0.22580645161290322</v>
      </c>
      <c r="U17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8" spans="1:21" x14ac:dyDescent="0.2">
      <c r="A18" s="26" t="s">
        <v>1144</v>
      </c>
      <c r="B18" s="85" t="str">
        <f>_xlfn.XLOOKUP(tblGrupos[[#This Row],[Código]],tblMatriculas[Código],tblMatriculas[Programa])</f>
        <v>DESARROLLO WEB Y APLICACIONES CON JAVASCRIPT FULL STACK</v>
      </c>
      <c r="C18" s="85" t="str">
        <f>_xlfn.XLOOKUP(tblGrupos[[#This Row],[Código]],tblMatriculas[Código],tblMatriculas[Grupo])</f>
        <v>WEB-01 - Desarrollo Web y Aplicaciones</v>
      </c>
      <c r="D18" s="85" t="str">
        <f>_xlfn.XLOOKUP(tblGrupos[[#This Row],[Código]],tblMatriculas[Código],tblMatriculas[Docente])</f>
        <v>Jose Luis Murillo</v>
      </c>
      <c r="E18" s="85" t="str">
        <f>_xlfn.XLOOKUP(tblGrupos[[#This Row],[Código]],tblMatriculas[Código],tblMatriculas[Horario])</f>
        <v>Martes 12:00-14:00 | Miércoles 12:00-14:00 | Jueves 12:00-14:00</v>
      </c>
      <c r="F18" s="85">
        <f>_xlfn.MINIFS(tblMatriculas[Clases planeadas],tblMatriculas[Código],tblGrupos[[#This Row],[Código]])</f>
        <v>45</v>
      </c>
      <c r="G18" s="85">
        <f>_xlfn.MAXIFS(tblMatriculas[Asistidas],tblMatriculas[Código],tblGrupos[[#This Row],[Código]],tblMatriculas[Clases planeadas],tblGrupos[[#This Row],[Clases planeadas]],tblMatriculas[Estado],"activa")</f>
        <v>7</v>
      </c>
      <c r="H18" s="86"/>
      <c r="I18" s="85">
        <f>IF(tblGrupos[[#This Row],[Clases dictadas (manual)]]&lt;&gt;"",tblGrupos[[#This Row],[Clases dictadas (manual)]],tblGrupos[[#This Row],[Clases dictadas (est.)]])</f>
        <v>7</v>
      </c>
      <c r="J18" s="85">
        <f>COUNTIFS(tblMatriculas[Código],tblGrupos[[#This Row],[Código]],tblMatriculas[Estado],"activa")</f>
        <v>32</v>
      </c>
      <c r="K18" s="85">
        <f>COUNTIFS(tblMatriculas[Código],tblGrupos[[#This Row],[Código]],tblMatriculas[Incluir],TRUE)</f>
        <v>32</v>
      </c>
      <c r="L18" s="85">
        <f>SUMIFS(tblMatriculas[Asistidas],tblMatriculas[Código],tblGrupos[[#This Row],[Código]],tblMatriculas[Incluir],TRUE)</f>
        <v>148</v>
      </c>
      <c r="M18" s="85">
        <f>SUMIFS(tblMatriculas[Inasistencias],tblMatriculas[Código],tblGrupos[[#This Row],[Código]],tblMatriculas[Incluir],TRUE)</f>
        <v>76</v>
      </c>
      <c r="N18" s="87">
        <f>IFERROR(AVERAGEIFS(tblMatriculas[% asistencia],tblMatriculas[Código],tblGrupos[[#This Row],[Código]],tblMatriculas[Incluir],TRUE),"")</f>
        <v>0.10287500000000002</v>
      </c>
      <c r="O18" s="85">
        <f>COUNTIFS(tblMatriculas[Código],tblGrupos[[#This Row],[Código]],tblMatriculas[Nivel],INDEX(tblNiveles[Nivel],1))</f>
        <v>5</v>
      </c>
      <c r="P18" s="85">
        <f>COUNTIFS(tblMatriculas[Código],tblGrupos[[#This Row],[Código]],tblMatriculas[Nivel],INDEX(tblNiveles[Nivel],2))</f>
        <v>2</v>
      </c>
      <c r="Q18" s="85">
        <f>COUNTIFS(tblMatriculas[Código],tblGrupos[[#This Row],[Código]],tblMatriculas[Nivel],INDEX(tblNiveles[Nivel],3))</f>
        <v>3</v>
      </c>
      <c r="R18" s="85">
        <f>COUNTIFS(tblMatriculas[Código],tblGrupos[[#This Row],[Código]],tblMatriculas[Nivel],INDEX(tblNiveles[Nivel],4))</f>
        <v>22</v>
      </c>
      <c r="S18" s="85">
        <f>COUNTIFS(tblMatriculas[Código],tblGrupos[[#This Row],[Código]],tblMatriculas[Nivel],"⚪ SIN REGISTRO")</f>
        <v>0</v>
      </c>
      <c r="T18" s="87">
        <f>IF(tblGrupos[[#This Row],[Estudiantes evaluados]]=0,"",(tblGrupos[[#This Row],[Críticos]]+tblGrupos[[#This Row],[Alerta]]+tblGrupos[[#This Row],[Seguimiento]])/tblGrupos[[#This Row],[Estudiantes evaluados]])</f>
        <v>0.3125</v>
      </c>
      <c r="U1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19" spans="1:21" x14ac:dyDescent="0.2">
      <c r="A19" s="26" t="s">
        <v>1218</v>
      </c>
      <c r="B19" s="85" t="str">
        <f>_xlfn.XLOOKUP(tblGrupos[[#This Row],[Código]],tblMatriculas[Código],tblMatriculas[Programa])</f>
        <v>DESARROLLO WEB Y APLICACIONES CON JAVASCRIPT FULL STACK</v>
      </c>
      <c r="C19" s="85" t="str">
        <f>_xlfn.XLOOKUP(tblGrupos[[#This Row],[Código]],tblMatriculas[Código],tblMatriculas[Grupo])</f>
        <v>WEB-02 - Desarrollo Web y Aplicaciones</v>
      </c>
      <c r="D19" s="85" t="str">
        <f>_xlfn.XLOOKUP(tblGrupos[[#This Row],[Código]],tblMatriculas[Código],tblMatriculas[Docente])</f>
        <v>Brahiam Acosta</v>
      </c>
      <c r="E19" s="85" t="str">
        <f>_xlfn.XLOOKUP(tblGrupos[[#This Row],[Código]],tblMatriculas[Código],tblMatriculas[Horario])</f>
        <v>Miércoles 18:30-21:30 | Viernes 18:30-21:30</v>
      </c>
      <c r="F19" s="85">
        <f>_xlfn.MINIFS(tblMatriculas[Clases planeadas],tblMatriculas[Código],tblGrupos[[#This Row],[Código]])</f>
        <v>30</v>
      </c>
      <c r="G19" s="85">
        <f>_xlfn.MAXIFS(tblMatriculas[Asistidas],tblMatriculas[Código],tblGrupos[[#This Row],[Código]],tblMatriculas[Clases planeadas],tblGrupos[[#This Row],[Clases planeadas]],tblMatriculas[Estado],"activa")</f>
        <v>5</v>
      </c>
      <c r="H19" s="86"/>
      <c r="I19" s="85">
        <f>IF(tblGrupos[[#This Row],[Clases dictadas (manual)]]&lt;&gt;"",tblGrupos[[#This Row],[Clases dictadas (manual)]],tblGrupos[[#This Row],[Clases dictadas (est.)]])</f>
        <v>5</v>
      </c>
      <c r="J19" s="85">
        <f>COUNTIFS(tblMatriculas[Código],tblGrupos[[#This Row],[Código]],tblMatriculas[Estado],"activa")</f>
        <v>36</v>
      </c>
      <c r="K19" s="85">
        <f>COUNTIFS(tblMatriculas[Código],tblGrupos[[#This Row],[Código]],tblMatriculas[Incluir],TRUE)</f>
        <v>36</v>
      </c>
      <c r="L19" s="85">
        <f>SUMIFS(tblMatriculas[Asistidas],tblMatriculas[Código],tblGrupos[[#This Row],[Código]],tblMatriculas[Incluir],TRUE)</f>
        <v>148</v>
      </c>
      <c r="M19" s="85">
        <f>SUMIFS(tblMatriculas[Inasistencias],tblMatriculas[Código],tblGrupos[[#This Row],[Código]],tblMatriculas[Incluir],TRUE)</f>
        <v>32</v>
      </c>
      <c r="N19" s="87">
        <f>IFERROR(AVERAGEIFS(tblMatriculas[% asistencia],tblMatriculas[Código],tblGrupos[[#This Row],[Código]],tblMatriculas[Incluir],TRUE),"")</f>
        <v>0.13711111111111107</v>
      </c>
      <c r="O19" s="85">
        <f>COUNTIFS(tblMatriculas[Código],tblGrupos[[#This Row],[Código]],tblMatriculas[Nivel],INDEX(tblNiveles[Nivel],1))</f>
        <v>0</v>
      </c>
      <c r="P19" s="85">
        <f>COUNTIFS(tblMatriculas[Código],tblGrupos[[#This Row],[Código]],tblMatriculas[Nivel],INDEX(tblNiveles[Nivel],2))</f>
        <v>5</v>
      </c>
      <c r="Q19" s="85">
        <f>COUNTIFS(tblMatriculas[Código],tblGrupos[[#This Row],[Código]],tblMatriculas[Nivel],INDEX(tblNiveles[Nivel],3))</f>
        <v>0</v>
      </c>
      <c r="R19" s="85">
        <f>COUNTIFS(tblMatriculas[Código],tblGrupos[[#This Row],[Código]],tblMatriculas[Nivel],INDEX(tblNiveles[Nivel],4))</f>
        <v>31</v>
      </c>
      <c r="S19" s="85">
        <f>COUNTIFS(tblMatriculas[Código],tblGrupos[[#This Row],[Código]],tblMatriculas[Nivel],"⚪ SIN REGISTRO")</f>
        <v>0</v>
      </c>
      <c r="T19" s="87">
        <f>IF(tblGrupos[[#This Row],[Estudiantes evaluados]]=0,"",(tblGrupos[[#This Row],[Críticos]]+tblGrupos[[#This Row],[Alerta]]+tblGrupos[[#This Row],[Seguimiento]])/tblGrupos[[#This Row],[Estudiantes evaluados]])</f>
        <v>0.1388888888888889</v>
      </c>
      <c r="U19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0" spans="1:21" x14ac:dyDescent="0.2">
      <c r="A20" s="26" t="s">
        <v>1296</v>
      </c>
      <c r="B20" s="85" t="str">
        <f>_xlfn.XLOOKUP(tblGrupos[[#This Row],[Código]],tblMatriculas[Código],tblMatriculas[Programa])</f>
        <v>DESARROLLO WEB Y APLICACIONES CON JAVASCRIPT FULL STACK</v>
      </c>
      <c r="C20" s="85" t="str">
        <f>_xlfn.XLOOKUP(tblGrupos[[#This Row],[Código]],tblMatriculas[Código],tblMatriculas[Grupo])</f>
        <v>WEB-03 - Desarrollo Web y Aplicaciones</v>
      </c>
      <c r="D20" s="85" t="str">
        <f>_xlfn.XLOOKUP(tblGrupos[[#This Row],[Código]],tblMatriculas[Código],tblMatriculas[Docente])</f>
        <v>Brahiam Acosta</v>
      </c>
      <c r="E20" s="85" t="str">
        <f>_xlfn.XLOOKUP(tblGrupos[[#This Row],[Código]],tblMatriculas[Código],tblMatriculas[Horario])</f>
        <v>Martes 18:30-21:30 | Jueves 18:30-21:30</v>
      </c>
      <c r="F20" s="85">
        <f>_xlfn.MINIFS(tblMatriculas[Clases planeadas],tblMatriculas[Código],tblGrupos[[#This Row],[Código]])</f>
        <v>30</v>
      </c>
      <c r="G20" s="85">
        <f>_xlfn.MAXIFS(tblMatriculas[Asistidas],tblMatriculas[Código],tblGrupos[[#This Row],[Código]],tblMatriculas[Clases planeadas],tblGrupos[[#This Row],[Clases planeadas]],tblMatriculas[Estado],"activa")</f>
        <v>6</v>
      </c>
      <c r="H20" s="86"/>
      <c r="I20" s="85">
        <f>IF(tblGrupos[[#This Row],[Clases dictadas (manual)]]&lt;&gt;"",tblGrupos[[#This Row],[Clases dictadas (manual)]],tblGrupos[[#This Row],[Clases dictadas (est.)]])</f>
        <v>6</v>
      </c>
      <c r="J20" s="85">
        <f>COUNTIFS(tblMatriculas[Código],tblGrupos[[#This Row],[Código]],tblMatriculas[Estado],"activa")</f>
        <v>40</v>
      </c>
      <c r="K20" s="85">
        <f>COUNTIFS(tblMatriculas[Código],tblGrupos[[#This Row],[Código]],tblMatriculas[Incluir],TRUE)</f>
        <v>40</v>
      </c>
      <c r="L20" s="85">
        <f>SUMIFS(tblMatriculas[Asistidas],tblMatriculas[Código],tblGrupos[[#This Row],[Código]],tblMatriculas[Incluir],TRUE)</f>
        <v>160</v>
      </c>
      <c r="M20" s="85">
        <f>SUMIFS(tblMatriculas[Inasistencias],tblMatriculas[Código],tblGrupos[[#This Row],[Código]],tblMatriculas[Incluir],TRUE)</f>
        <v>91</v>
      </c>
      <c r="N20" s="87">
        <f>IFERROR(AVERAGEIFS(tblMatriculas[% asistencia],tblMatriculas[Código],tblGrupos[[#This Row],[Código]],tblMatriculas[Incluir],TRUE),"")</f>
        <v>0.12942499999999998</v>
      </c>
      <c r="O20" s="85">
        <f>COUNTIFS(tblMatriculas[Código],tblGrupos[[#This Row],[Código]],tblMatriculas[Nivel],INDEX(tblNiveles[Nivel],1))</f>
        <v>5</v>
      </c>
      <c r="P20" s="85">
        <f>COUNTIFS(tblMatriculas[Código],tblGrupos[[#This Row],[Código]],tblMatriculas[Nivel],INDEX(tblNiveles[Nivel],2))</f>
        <v>1</v>
      </c>
      <c r="Q20" s="85">
        <f>COUNTIFS(tblMatriculas[Código],tblGrupos[[#This Row],[Código]],tblMatriculas[Nivel],INDEX(tblNiveles[Nivel],3))</f>
        <v>5</v>
      </c>
      <c r="R20" s="85">
        <f>COUNTIFS(tblMatriculas[Código],tblGrupos[[#This Row],[Código]],tblMatriculas[Nivel],INDEX(tblNiveles[Nivel],4))</f>
        <v>29</v>
      </c>
      <c r="S20" s="85">
        <f>COUNTIFS(tblMatriculas[Código],tblGrupos[[#This Row],[Código]],tblMatriculas[Nivel],"⚪ SIN REGISTRO")</f>
        <v>0</v>
      </c>
      <c r="T20" s="87">
        <f>IF(tblGrupos[[#This Row],[Estudiantes evaluados]]=0,"",(tblGrupos[[#This Row],[Críticos]]+tblGrupos[[#This Row],[Alerta]]+tblGrupos[[#This Row],[Seguimiento]])/tblGrupos[[#This Row],[Estudiantes evaluados]])</f>
        <v>0.27500000000000002</v>
      </c>
      <c r="U20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1" spans="1:21" x14ac:dyDescent="0.2">
      <c r="A21" s="26" t="s">
        <v>1382</v>
      </c>
      <c r="B21" s="85" t="str">
        <f>_xlfn.XLOOKUP(tblGrupos[[#This Row],[Código]],tblMatriculas[Código],tblMatriculas[Programa])</f>
        <v>DESARROLLO WEB Y APLICACIONES CON JAVASCRIPT FULL STACK</v>
      </c>
      <c r="C21" s="85" t="str">
        <f>_xlfn.XLOOKUP(tblGrupos[[#This Row],[Código]],tblMatriculas[Código],tblMatriculas[Grupo])</f>
        <v>WEB-04 - Desarrollo Web y Aplicaciones</v>
      </c>
      <c r="D21" s="85" t="str">
        <f>_xlfn.XLOOKUP(tblGrupos[[#This Row],[Código]],tblMatriculas[Código],tblMatriculas[Docente])</f>
        <v>Sofia Vanegas</v>
      </c>
      <c r="E21" s="85" t="str">
        <f>_xlfn.XLOOKUP(tblGrupos[[#This Row],[Código]],tblMatriculas[Código],tblMatriculas[Horario])</f>
        <v>Domingo 09:00-12:00 | Domingo 13:00-16:00</v>
      </c>
      <c r="F21" s="85">
        <f>_xlfn.MINIFS(tblMatriculas[Clases planeadas],tblMatriculas[Código],tblGrupos[[#This Row],[Código]])</f>
        <v>30</v>
      </c>
      <c r="G21" s="85">
        <f>_xlfn.MAXIFS(tblMatriculas[Asistidas],tblMatriculas[Código],tblGrupos[[#This Row],[Código]],tblMatriculas[Clases planeadas],tblGrupos[[#This Row],[Clases planeadas]],tblMatriculas[Estado],"activa")</f>
        <v>4</v>
      </c>
      <c r="H21" s="86"/>
      <c r="I21" s="85">
        <f>IF(tblGrupos[[#This Row],[Clases dictadas (manual)]]&lt;&gt;"",tblGrupos[[#This Row],[Clases dictadas (manual)]],tblGrupos[[#This Row],[Clases dictadas (est.)]])</f>
        <v>4</v>
      </c>
      <c r="J21" s="85">
        <f>COUNTIFS(tblMatriculas[Código],tblGrupos[[#This Row],[Código]],tblMatriculas[Estado],"activa")</f>
        <v>31</v>
      </c>
      <c r="K21" s="85">
        <f>COUNTIFS(tblMatriculas[Código],tblGrupos[[#This Row],[Código]],tblMatriculas[Incluir],TRUE)</f>
        <v>31</v>
      </c>
      <c r="L21" s="85">
        <f>SUMIFS(tblMatriculas[Asistidas],tblMatriculas[Código],tblGrupos[[#This Row],[Código]],tblMatriculas[Incluir],TRUE)</f>
        <v>78</v>
      </c>
      <c r="M21" s="85">
        <f>SUMIFS(tblMatriculas[Inasistencias],tblMatriculas[Código],tblGrupos[[#This Row],[Código]],tblMatriculas[Incluir],TRUE)</f>
        <v>46</v>
      </c>
      <c r="N21" s="87">
        <f>IFERROR(AVERAGEIFS(tblMatriculas[% asistencia],tblMatriculas[Código],tblGrupos[[#This Row],[Código]],tblMatriculas[Incluir],TRUE),"")</f>
        <v>8.3774193548387096E-2</v>
      </c>
      <c r="O21" s="85">
        <f>COUNTIFS(tblMatriculas[Código],tblGrupos[[#This Row],[Código]],tblMatriculas[Nivel],INDEX(tblNiveles[Nivel],1))</f>
        <v>8</v>
      </c>
      <c r="P21" s="85">
        <f>COUNTIFS(tblMatriculas[Código],tblGrupos[[#This Row],[Código]],tblMatriculas[Nivel],INDEX(tblNiveles[Nivel],2))</f>
        <v>0</v>
      </c>
      <c r="Q21" s="85">
        <f>COUNTIFS(tblMatriculas[Código],tblGrupos[[#This Row],[Código]],tblMatriculas[Nivel],INDEX(tblNiveles[Nivel],3))</f>
        <v>7</v>
      </c>
      <c r="R21" s="85">
        <f>COUNTIFS(tblMatriculas[Código],tblGrupos[[#This Row],[Código]],tblMatriculas[Nivel],INDEX(tblNiveles[Nivel],4))</f>
        <v>16</v>
      </c>
      <c r="S21" s="85">
        <f>COUNTIFS(tblMatriculas[Código],tblGrupos[[#This Row],[Código]],tblMatriculas[Nivel],"⚪ SIN REGISTRO")</f>
        <v>0</v>
      </c>
      <c r="T21" s="87">
        <f>IF(tblGrupos[[#This Row],[Estudiantes evaluados]]=0,"",(tblGrupos[[#This Row],[Críticos]]+tblGrupos[[#This Row],[Alerta]]+tblGrupos[[#This Row],[Seguimiento]])/tblGrupos[[#This Row],[Estudiantes evaluados]])</f>
        <v>0.4838709677419355</v>
      </c>
      <c r="U21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2" spans="1:21" x14ac:dyDescent="0.2">
      <c r="A22" s="26" t="s">
        <v>1452</v>
      </c>
      <c r="B22" s="85" t="str">
        <f>_xlfn.XLOOKUP(tblGrupos[[#This Row],[Código]],tblMatriculas[Código],tblMatriculas[Programa])</f>
        <v>DESARROLLO WEB Y APLICACIONES CON JAVASCRIPT FULL STACK</v>
      </c>
      <c r="C22" s="85" t="str">
        <f>_xlfn.XLOOKUP(tblGrupos[[#This Row],[Código]],tblMatriculas[Código],tblMatriculas[Grupo])</f>
        <v>WEB-05 - Desarrollo Web y Aplicaciones</v>
      </c>
      <c r="D22" s="85" t="str">
        <f>_xlfn.XLOOKUP(tblGrupos[[#This Row],[Código]],tblMatriculas[Código],tblMatriculas[Docente])</f>
        <v>Brahiam Acosta</v>
      </c>
      <c r="E22" s="85" t="str">
        <f>_xlfn.XLOOKUP(tblGrupos[[#This Row],[Código]],tblMatriculas[Código],tblMatriculas[Horario])</f>
        <v>Martes 14:00-17:00 | Jueves 14:00-17:00</v>
      </c>
      <c r="F22" s="85">
        <f>_xlfn.MINIFS(tblMatriculas[Clases planeadas],tblMatriculas[Código],tblGrupos[[#This Row],[Código]])</f>
        <v>30</v>
      </c>
      <c r="G22" s="85">
        <f>_xlfn.MAXIFS(tblMatriculas[Asistidas],tblMatriculas[Código],tblGrupos[[#This Row],[Código]],tblMatriculas[Clases planeadas],tblGrupos[[#This Row],[Clases planeadas]],tblMatriculas[Estado],"activa")</f>
        <v>6</v>
      </c>
      <c r="H22" s="86"/>
      <c r="I22" s="85">
        <f>IF(tblGrupos[[#This Row],[Clases dictadas (manual)]]&lt;&gt;"",tblGrupos[[#This Row],[Clases dictadas (manual)]],tblGrupos[[#This Row],[Clases dictadas (est.)]])</f>
        <v>6</v>
      </c>
      <c r="J22" s="85">
        <f>COUNTIFS(tblMatriculas[Código],tblGrupos[[#This Row],[Código]],tblMatriculas[Estado],"activa")</f>
        <v>27</v>
      </c>
      <c r="K22" s="85">
        <f>COUNTIFS(tblMatriculas[Código],tblGrupos[[#This Row],[Código]],tblMatriculas[Incluir],TRUE)</f>
        <v>27</v>
      </c>
      <c r="L22" s="85">
        <f>SUMIFS(tblMatriculas[Asistidas],tblMatriculas[Código],tblGrupos[[#This Row],[Código]],tblMatriculas[Incluir],TRUE)</f>
        <v>117</v>
      </c>
      <c r="M22" s="85">
        <f>SUMIFS(tblMatriculas[Inasistencias],tblMatriculas[Código],tblGrupos[[#This Row],[Código]],tblMatriculas[Incluir],TRUE)</f>
        <v>59</v>
      </c>
      <c r="N22" s="87">
        <f>IFERROR(AVERAGEIFS(tblMatriculas[% asistencia],tblMatriculas[Código],tblGrupos[[#This Row],[Código]],tblMatriculas[Incluir],TRUE),"")</f>
        <v>0.13559259259259263</v>
      </c>
      <c r="O22" s="85">
        <f>COUNTIFS(tblMatriculas[Código],tblGrupos[[#This Row],[Código]],tblMatriculas[Nivel],INDEX(tblNiveles[Nivel],1))</f>
        <v>2</v>
      </c>
      <c r="P22" s="85">
        <f>COUNTIFS(tblMatriculas[Código],tblGrupos[[#This Row],[Código]],tblMatriculas[Nivel],INDEX(tblNiveles[Nivel],2))</f>
        <v>3</v>
      </c>
      <c r="Q22" s="85">
        <f>COUNTIFS(tblMatriculas[Código],tblGrupos[[#This Row],[Código]],tblMatriculas[Nivel],INDEX(tblNiveles[Nivel],3))</f>
        <v>2</v>
      </c>
      <c r="R22" s="85">
        <f>COUNTIFS(tblMatriculas[Código],tblGrupos[[#This Row],[Código]],tblMatriculas[Nivel],INDEX(tblNiveles[Nivel],4))</f>
        <v>20</v>
      </c>
      <c r="S22" s="85">
        <f>COUNTIFS(tblMatriculas[Código],tblGrupos[[#This Row],[Código]],tblMatriculas[Nivel],"⚪ SIN REGISTRO")</f>
        <v>0</v>
      </c>
      <c r="T22" s="87">
        <f>IF(tblGrupos[[#This Row],[Estudiantes evaluados]]=0,"",(tblGrupos[[#This Row],[Críticos]]+tblGrupos[[#This Row],[Alerta]]+tblGrupos[[#This Row],[Seguimiento]])/tblGrupos[[#This Row],[Estudiantes evaluados]])</f>
        <v>0.25925925925925924</v>
      </c>
      <c r="U22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3" spans="1:21" x14ac:dyDescent="0.2">
      <c r="A23" s="26" t="s">
        <v>1510</v>
      </c>
      <c r="B23" s="85" t="str">
        <f>_xlfn.XLOOKUP(tblGrupos[[#This Row],[Código]],tblMatriculas[Código],tblMatriculas[Programa])</f>
        <v>DESARROLLO WEB Y APLICACIONES CON JAVASCRIPT FULL STACK</v>
      </c>
      <c r="C23" s="85" t="str">
        <f>_xlfn.XLOOKUP(tblGrupos[[#This Row],[Código]],tblMatriculas[Código],tblMatriculas[Grupo])</f>
        <v>WEB-06 - Desarrollo Web y Aplicaciones</v>
      </c>
      <c r="D23" s="85" t="str">
        <f>_xlfn.XLOOKUP(tblGrupos[[#This Row],[Código]],tblMatriculas[Código],tblMatriculas[Docente])</f>
        <v>WILLIAM MEJIA</v>
      </c>
      <c r="E23" s="85" t="str">
        <f>_xlfn.XLOOKUP(tblGrupos[[#This Row],[Código]],tblMatriculas[Código],tblMatriculas[Horario])</f>
        <v>Sábado 09:00-12:00 | Sábado 13:00-16:00</v>
      </c>
      <c r="F23" s="85">
        <f>_xlfn.MINIFS(tblMatriculas[Clases planeadas],tblMatriculas[Código],tblGrupos[[#This Row],[Código]])</f>
        <v>30</v>
      </c>
      <c r="G23" s="85">
        <f>_xlfn.MAXIFS(tblMatriculas[Asistidas],tblMatriculas[Código],tblGrupos[[#This Row],[Código]],tblMatriculas[Clases planeadas],tblGrupos[[#This Row],[Clases planeadas]],tblMatriculas[Estado],"activa")</f>
        <v>2</v>
      </c>
      <c r="H23" s="86"/>
      <c r="I23" s="85">
        <f>IF(tblGrupos[[#This Row],[Clases dictadas (manual)]]&lt;&gt;"",tblGrupos[[#This Row],[Clases dictadas (manual)]],tblGrupos[[#This Row],[Clases dictadas (est.)]])</f>
        <v>2</v>
      </c>
      <c r="J23" s="85">
        <f>COUNTIFS(tblMatriculas[Código],tblGrupos[[#This Row],[Código]],tblMatriculas[Estado],"activa")</f>
        <v>33</v>
      </c>
      <c r="K23" s="85">
        <f>COUNTIFS(tblMatriculas[Código],tblGrupos[[#This Row],[Código]],tblMatriculas[Incluir],TRUE)</f>
        <v>33</v>
      </c>
      <c r="L23" s="85">
        <f>SUMIFS(tblMatriculas[Asistidas],tblMatriculas[Código],tblGrupos[[#This Row],[Código]],tblMatriculas[Incluir],TRUE)</f>
        <v>54</v>
      </c>
      <c r="M23" s="85">
        <f>SUMIFS(tblMatriculas[Inasistencias],tblMatriculas[Código],tblGrupos[[#This Row],[Código]],tblMatriculas[Incluir],TRUE)</f>
        <v>12</v>
      </c>
      <c r="N23" s="87">
        <f>IFERROR(AVERAGEIFS(tblMatriculas[% asistencia],tblMatriculas[Código],tblGrupos[[#This Row],[Código]],tblMatriculas[Incluir],TRUE),"")</f>
        <v>5.4787878787878753E-2</v>
      </c>
      <c r="O23" s="85">
        <f>COUNTIFS(tblMatriculas[Código],tblGrupos[[#This Row],[Código]],tblMatriculas[Nivel],INDEX(tblNiveles[Nivel],1))</f>
        <v>5</v>
      </c>
      <c r="P23" s="85">
        <f>COUNTIFS(tblMatriculas[Código],tblGrupos[[#This Row],[Código]],tblMatriculas[Nivel],INDEX(tblNiveles[Nivel],2))</f>
        <v>2</v>
      </c>
      <c r="Q23" s="85">
        <f>COUNTIFS(tblMatriculas[Código],tblGrupos[[#This Row],[Código]],tblMatriculas[Nivel],INDEX(tblNiveles[Nivel],3))</f>
        <v>26</v>
      </c>
      <c r="R23" s="85">
        <f>COUNTIFS(tblMatriculas[Código],tblGrupos[[#This Row],[Código]],tblMatriculas[Nivel],INDEX(tblNiveles[Nivel],4))</f>
        <v>0</v>
      </c>
      <c r="S23" s="85">
        <f>COUNTIFS(tblMatriculas[Código],tblGrupos[[#This Row],[Código]],tblMatriculas[Nivel],"⚪ SIN REGISTRO")</f>
        <v>0</v>
      </c>
      <c r="T23" s="87">
        <f>IF(tblGrupos[[#This Row],[Estudiantes evaluados]]=0,"",(tblGrupos[[#This Row],[Críticos]]+tblGrupos[[#This Row],[Alerta]]+tblGrupos[[#This Row],[Seguimiento]])/tblGrupos[[#This Row],[Estudiantes evaluados]])</f>
        <v>1</v>
      </c>
      <c r="U23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24" spans="1:21" x14ac:dyDescent="0.2">
      <c r="A24" s="26" t="s">
        <v>1579</v>
      </c>
      <c r="B24" s="85" t="str">
        <f>_xlfn.XLOOKUP(tblGrupos[[#This Row],[Código]],tblMatriculas[Código],tblMatriculas[Programa])</f>
        <v>IA APLICADA Y AUTOMATIZACIÓN DE PROCESOS CON IA GENERATIVA</v>
      </c>
      <c r="C24" s="85" t="str">
        <f>_xlfn.XLOOKUP(tblGrupos[[#This Row],[Código]],tblMatriculas[Código],tblMatriculas[Grupo])</f>
        <v>IAA-01 - IA Aplicada y Automatización</v>
      </c>
      <c r="D24" s="85" t="str">
        <f>_xlfn.XLOOKUP(tblGrupos[[#This Row],[Código]],tblMatriculas[Código],tblMatriculas[Docente])</f>
        <v>Julio Pastor</v>
      </c>
      <c r="E24" s="85" t="str">
        <f>_xlfn.XLOOKUP(tblGrupos[[#This Row],[Código]],tblMatriculas[Código],tblMatriculas[Horario])</f>
        <v>Martes 12:00-14:00 | Miércoles 12:00-14:00 | Jueves 12:00-14:00</v>
      </c>
      <c r="F24" s="85">
        <f>_xlfn.MINIFS(tblMatriculas[Clases planeadas],tblMatriculas[Código],tblGrupos[[#This Row],[Código]])</f>
        <v>45</v>
      </c>
      <c r="G24" s="85">
        <f>_xlfn.MAXIFS(tblMatriculas[Asistidas],tblMatriculas[Código],tblGrupos[[#This Row],[Código]],tblMatriculas[Clases planeadas],tblGrupos[[#This Row],[Clases planeadas]],tblMatriculas[Estado],"activa")</f>
        <v>6</v>
      </c>
      <c r="H24" s="86"/>
      <c r="I24" s="85">
        <f>IF(tblGrupos[[#This Row],[Clases dictadas (manual)]]&lt;&gt;"",tblGrupos[[#This Row],[Clases dictadas (manual)]],tblGrupos[[#This Row],[Clases dictadas (est.)]])</f>
        <v>6</v>
      </c>
      <c r="J24" s="85">
        <f>COUNTIFS(tblMatriculas[Código],tblGrupos[[#This Row],[Código]],tblMatriculas[Estado],"activa")</f>
        <v>34</v>
      </c>
      <c r="K24" s="85">
        <f>COUNTIFS(tblMatriculas[Código],tblGrupos[[#This Row],[Código]],tblMatriculas[Incluir],TRUE)</f>
        <v>33</v>
      </c>
      <c r="L24" s="85">
        <f>SUMIFS(tblMatriculas[Asistidas],tblMatriculas[Código],tblGrupos[[#This Row],[Código]],tblMatriculas[Incluir],TRUE)</f>
        <v>130</v>
      </c>
      <c r="M24" s="85">
        <f>SUMIFS(tblMatriculas[Inasistencias],tblMatriculas[Código],tblGrupos[[#This Row],[Código]],tblMatriculas[Incluir],TRUE)</f>
        <v>70</v>
      </c>
      <c r="N24" s="87">
        <f>IFERROR(AVERAGEIFS(tblMatriculas[% asistencia],tblMatriculas[Código],tblGrupos[[#This Row],[Código]],tblMatriculas[Incluir],TRUE),"")</f>
        <v>8.5757575757575782E-2</v>
      </c>
      <c r="O24" s="85">
        <f>COUNTIFS(tblMatriculas[Código],tblGrupos[[#This Row],[Código]],tblMatriculas[Nivel],INDEX(tblNiveles[Nivel],1))</f>
        <v>6</v>
      </c>
      <c r="P24" s="85">
        <f>COUNTIFS(tblMatriculas[Código],tblGrupos[[#This Row],[Código]],tblMatriculas[Nivel],INDEX(tblNiveles[Nivel],2))</f>
        <v>2</v>
      </c>
      <c r="Q24" s="85">
        <f>COUNTIFS(tblMatriculas[Código],tblGrupos[[#This Row],[Código]],tblMatriculas[Nivel],INDEX(tblNiveles[Nivel],3))</f>
        <v>2</v>
      </c>
      <c r="R24" s="85">
        <f>COUNTIFS(tblMatriculas[Código],tblGrupos[[#This Row],[Código]],tblMatriculas[Nivel],INDEX(tblNiveles[Nivel],4))</f>
        <v>23</v>
      </c>
      <c r="S24" s="85">
        <f>COUNTIFS(tblMatriculas[Código],tblGrupos[[#This Row],[Código]],tblMatriculas[Nivel],"⚪ SIN REGISTRO")</f>
        <v>1</v>
      </c>
      <c r="T24" s="87">
        <f>IF(tblGrupos[[#This Row],[Estudiantes evaluados]]=0,"",(tblGrupos[[#This Row],[Críticos]]+tblGrupos[[#This Row],[Alerta]]+tblGrupos[[#This Row],[Seguimiento]])/tblGrupos[[#This Row],[Estudiantes evaluados]])</f>
        <v>0.30303030303030304</v>
      </c>
      <c r="U24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5" spans="1:21" x14ac:dyDescent="0.2">
      <c r="A25" s="26" t="s">
        <v>1653</v>
      </c>
      <c r="B25" s="85" t="str">
        <f>_xlfn.XLOOKUP(tblGrupos[[#This Row],[Código]],tblMatriculas[Código],tblMatriculas[Programa])</f>
        <v>IA APLICADA Y AUTOMATIZACIÓN DE PROCESOS CON IA GENERATIVA</v>
      </c>
      <c r="C25" s="85" t="str">
        <f>_xlfn.XLOOKUP(tblGrupos[[#This Row],[Código]],tblMatriculas[Código],tblMatriculas[Grupo])</f>
        <v>IAA-02 - IA Aplicada y Automatización</v>
      </c>
      <c r="D25" s="85" t="str">
        <f>_xlfn.XLOOKUP(tblGrupos[[#This Row],[Código]],tblMatriculas[Código],tblMatriculas[Docente])</f>
        <v>Hernán Felipe García</v>
      </c>
      <c r="E25" s="85" t="str">
        <f>_xlfn.XLOOKUP(tblGrupos[[#This Row],[Código]],tblMatriculas[Código],tblMatriculas[Horario])</f>
        <v>Martes 12:00-14:00 | Miércoles 12:00-14:00 | Jueves 12:00-14:00</v>
      </c>
      <c r="F25" s="85">
        <f>_xlfn.MINIFS(tblMatriculas[Clases planeadas],tblMatriculas[Código],tblGrupos[[#This Row],[Código]])</f>
        <v>45</v>
      </c>
      <c r="G25" s="85">
        <f>_xlfn.MAXIFS(tblMatriculas[Asistidas],tblMatriculas[Código],tblGrupos[[#This Row],[Código]],tblMatriculas[Clases planeadas],tblGrupos[[#This Row],[Clases planeadas]],tblMatriculas[Estado],"activa")</f>
        <v>1</v>
      </c>
      <c r="H25" s="86"/>
      <c r="I25" s="85">
        <f>IF(tblGrupos[[#This Row],[Clases dictadas (manual)]]&lt;&gt;"",tblGrupos[[#This Row],[Clases dictadas (manual)]],tblGrupos[[#This Row],[Clases dictadas (est.)]])</f>
        <v>1</v>
      </c>
      <c r="J25" s="85">
        <f>COUNTIFS(tblMatriculas[Código],tblGrupos[[#This Row],[Código]],tblMatriculas[Estado],"activa")</f>
        <v>27</v>
      </c>
      <c r="K25" s="85">
        <f>COUNTIFS(tblMatriculas[Código],tblGrupos[[#This Row],[Código]],tblMatriculas[Incluir],TRUE)</f>
        <v>1</v>
      </c>
      <c r="L25" s="85">
        <f>SUMIFS(tblMatriculas[Asistidas],tblMatriculas[Código],tblGrupos[[#This Row],[Código]],tblMatriculas[Incluir],TRUE)</f>
        <v>1</v>
      </c>
      <c r="M25" s="85">
        <f>SUMIFS(tblMatriculas[Inasistencias],tblMatriculas[Código],tblGrupos[[#This Row],[Código]],tblMatriculas[Incluir],TRUE)</f>
        <v>0</v>
      </c>
      <c r="N25" s="87">
        <f>IFERROR(AVERAGEIFS(tblMatriculas[% asistencia],tblMatriculas[Código],tblGrupos[[#This Row],[Código]],tblMatriculas[Incluir],TRUE),"")</f>
        <v>2.2000000000000002E-2</v>
      </c>
      <c r="O25" s="85">
        <f>COUNTIFS(tblMatriculas[Código],tblGrupos[[#This Row],[Código]],tblMatriculas[Nivel],INDEX(tblNiveles[Nivel],1))</f>
        <v>0</v>
      </c>
      <c r="P25" s="85">
        <f>COUNTIFS(tblMatriculas[Código],tblGrupos[[#This Row],[Código]],tblMatriculas[Nivel],INDEX(tblNiveles[Nivel],2))</f>
        <v>1</v>
      </c>
      <c r="Q25" s="85">
        <f>COUNTIFS(tblMatriculas[Código],tblGrupos[[#This Row],[Código]],tblMatriculas[Nivel],INDEX(tblNiveles[Nivel],3))</f>
        <v>0</v>
      </c>
      <c r="R25" s="85">
        <f>COUNTIFS(tblMatriculas[Código],tblGrupos[[#This Row],[Código]],tblMatriculas[Nivel],INDEX(tblNiveles[Nivel],4))</f>
        <v>0</v>
      </c>
      <c r="S25" s="85">
        <f>COUNTIFS(tblMatriculas[Código],tblGrupos[[#This Row],[Código]],tblMatriculas[Nivel],"⚪ SIN REGISTRO")</f>
        <v>26</v>
      </c>
      <c r="T25" s="87">
        <f>IF(tblGrupos[[#This Row],[Estudiantes evaluados]]=0,"",(tblGrupos[[#This Row],[Críticos]]+tblGrupos[[#This Row],[Alerta]]+tblGrupos[[#This Row],[Seguimiento]])/tblGrupos[[#This Row],[Estudiantes evaluados]])</f>
        <v>1</v>
      </c>
      <c r="U25" s="85" t="str">
        <f>IF(tblGrupos[[#This Row],[% asistencia]]="","⚪ SIN REGISTRO",_xlfn.XLOOKUP(ROUND(tblGrupos[[#This Row],[% asistencia]],3),tblNiveles[Hasta (% asistencia, incluido)],tblNiveles[Nivel],,1))</f>
        <v>🟠 ALERTA</v>
      </c>
    </row>
    <row r="26" spans="1:21" x14ac:dyDescent="0.2">
      <c r="A26" s="26" t="s">
        <v>1714</v>
      </c>
      <c r="B26" s="85" t="str">
        <f>_xlfn.XLOOKUP(tblGrupos[[#This Row],[Código]],tblMatriculas[Código],tblMatriculas[Programa])</f>
        <v>IA APLICADA Y AUTOMATIZACIÓN DE PROCESOS CON IA GENERATIVA</v>
      </c>
      <c r="C26" s="85" t="str">
        <f>_xlfn.XLOOKUP(tblGrupos[[#This Row],[Código]],tblMatriculas[Código],tblMatriculas[Grupo])</f>
        <v>IAA-03 - IA Aplicada y Automatización</v>
      </c>
      <c r="D26" s="85" t="str">
        <f>_xlfn.XLOOKUP(tblGrupos[[#This Row],[Código]],tblMatriculas[Código],tblMatriculas[Docente])</f>
        <v>Julio Pastor</v>
      </c>
      <c r="E26" s="85" t="str">
        <f>_xlfn.XLOOKUP(tblGrupos[[#This Row],[Código]],tblMatriculas[Código],tblMatriculas[Horario])</f>
        <v>Martes 14:00-17:00 | Jueves 14:00-17:00</v>
      </c>
      <c r="F26" s="85">
        <f>_xlfn.MINIFS(tblMatriculas[Clases planeadas],tblMatriculas[Código],tblGrupos[[#This Row],[Código]])</f>
        <v>45</v>
      </c>
      <c r="G26" s="85">
        <f>_xlfn.MAXIFS(tblMatriculas[Asistidas],tblMatriculas[Código],tblGrupos[[#This Row],[Código]],tblMatriculas[Clases planeadas],tblGrupos[[#This Row],[Clases planeadas]],tblMatriculas[Estado],"activa")</f>
        <v>3</v>
      </c>
      <c r="H26" s="86"/>
      <c r="I26" s="85">
        <f>IF(tblGrupos[[#This Row],[Clases dictadas (manual)]]&lt;&gt;"",tblGrupos[[#This Row],[Clases dictadas (manual)]],tblGrupos[[#This Row],[Clases dictadas (est.)]])</f>
        <v>3</v>
      </c>
      <c r="J26" s="85">
        <f>COUNTIFS(tblMatriculas[Código],tblGrupos[[#This Row],[Código]],tblMatriculas[Estado],"activa")</f>
        <v>27</v>
      </c>
      <c r="K26" s="85">
        <f>COUNTIFS(tblMatriculas[Código],tblGrupos[[#This Row],[Código]],tblMatriculas[Incluir],TRUE)</f>
        <v>27</v>
      </c>
      <c r="L26" s="85">
        <f>SUMIFS(tblMatriculas[Asistidas],tblMatriculas[Código],tblGrupos[[#This Row],[Código]],tblMatriculas[Incluir],TRUE)</f>
        <v>59</v>
      </c>
      <c r="M26" s="85">
        <f>SUMIFS(tblMatriculas[Inasistencias],tblMatriculas[Código],tblGrupos[[#This Row],[Código]],tblMatriculas[Incluir],TRUE)</f>
        <v>22</v>
      </c>
      <c r="N26" s="87">
        <f>IFERROR(AVERAGEIFS(tblMatriculas[% asistencia],tblMatriculas[Código],tblGrupos[[#This Row],[Código]],tblMatriculas[Incluir],TRUE),"")</f>
        <v>4.8592592592592583E-2</v>
      </c>
      <c r="O26" s="85">
        <f>COUNTIFS(tblMatriculas[Código],tblGrupos[[#This Row],[Código]],tblMatriculas[Nivel],INDEX(tblNiveles[Nivel],1))</f>
        <v>1</v>
      </c>
      <c r="P26" s="85">
        <f>COUNTIFS(tblMatriculas[Código],tblGrupos[[#This Row],[Código]],tblMatriculas[Nivel],INDEX(tblNiveles[Nivel],2))</f>
        <v>7</v>
      </c>
      <c r="Q26" s="85">
        <f>COUNTIFS(tblMatriculas[Código],tblGrupos[[#This Row],[Código]],tblMatriculas[Nivel],INDEX(tblNiveles[Nivel],3))</f>
        <v>19</v>
      </c>
      <c r="R26" s="85">
        <f>COUNTIFS(tblMatriculas[Código],tblGrupos[[#This Row],[Código]],tblMatriculas[Nivel],INDEX(tblNiveles[Nivel],4))</f>
        <v>0</v>
      </c>
      <c r="S26" s="85">
        <f>COUNTIFS(tblMatriculas[Código],tblGrupos[[#This Row],[Código]],tblMatriculas[Nivel],"⚪ SIN REGISTRO")</f>
        <v>0</v>
      </c>
      <c r="T26" s="87">
        <f>IF(tblGrupos[[#This Row],[Estudiantes evaluados]]=0,"",(tblGrupos[[#This Row],[Críticos]]+tblGrupos[[#This Row],[Alerta]]+tblGrupos[[#This Row],[Seguimiento]])/tblGrupos[[#This Row],[Estudiantes evaluados]])</f>
        <v>1</v>
      </c>
      <c r="U26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27" spans="1:21" x14ac:dyDescent="0.2">
      <c r="A27" s="26" t="s">
        <v>1776</v>
      </c>
      <c r="B27" s="85" t="str">
        <f>_xlfn.XLOOKUP(tblGrupos[[#This Row],[Código]],tblMatriculas[Código],tblMatriculas[Programa])</f>
        <v>IA APLICADA Y AUTOMATIZACIÓN DE PROCESOS CON IA GENERATIVA</v>
      </c>
      <c r="C27" s="85" t="str">
        <f>_xlfn.XLOOKUP(tblGrupos[[#This Row],[Código]],tblMatriculas[Código],tblMatriculas[Grupo])</f>
        <v>IAA-04 - IA Aplicada y Automatización</v>
      </c>
      <c r="D27" s="85" t="str">
        <f>_xlfn.XLOOKUP(tblGrupos[[#This Row],[Código]],tblMatriculas[Código],tblMatriculas[Docente])</f>
        <v>Diego Fernando Velez</v>
      </c>
      <c r="E27" s="85" t="str">
        <f>_xlfn.XLOOKUP(tblGrupos[[#This Row],[Código]],tblMatriculas[Código],tblMatriculas[Horario])</f>
        <v>Martes 14:00-17:00 | Jueves 14:00-17:00</v>
      </c>
      <c r="F27" s="85">
        <f>_xlfn.MINIFS(tblMatriculas[Clases planeadas],tblMatriculas[Código],tblGrupos[[#This Row],[Código]])</f>
        <v>30</v>
      </c>
      <c r="G27" s="85">
        <f>_xlfn.MAXIFS(tblMatriculas[Asistidas],tblMatriculas[Código],tblGrupos[[#This Row],[Código]],tblMatriculas[Clases planeadas],tblGrupos[[#This Row],[Clases planeadas]],tblMatriculas[Estado],"activa")</f>
        <v>6</v>
      </c>
      <c r="H27" s="86"/>
      <c r="I27" s="85">
        <f>IF(tblGrupos[[#This Row],[Clases dictadas (manual)]]&lt;&gt;"",tblGrupos[[#This Row],[Clases dictadas (manual)]],tblGrupos[[#This Row],[Clases dictadas (est.)]])</f>
        <v>6</v>
      </c>
      <c r="J27" s="85">
        <f>COUNTIFS(tblMatriculas[Código],tblGrupos[[#This Row],[Código]],tblMatriculas[Estado],"activa")</f>
        <v>38</v>
      </c>
      <c r="K27" s="85">
        <f>COUNTIFS(tblMatriculas[Código],tblGrupos[[#This Row],[Código]],tblMatriculas[Incluir],TRUE)</f>
        <v>38</v>
      </c>
      <c r="L27" s="85">
        <f>SUMIFS(tblMatriculas[Asistidas],tblMatriculas[Código],tblGrupos[[#This Row],[Código]],tblMatriculas[Incluir],TRUE)</f>
        <v>162</v>
      </c>
      <c r="M27" s="85">
        <f>SUMIFS(tblMatriculas[Inasistencias],tblMatriculas[Código],tblGrupos[[#This Row],[Código]],tblMatriculas[Incluir],TRUE)</f>
        <v>75</v>
      </c>
      <c r="N27" s="87">
        <f>IFERROR(AVERAGEIFS(tblMatriculas[% asistencia],tblMatriculas[Código],tblGrupos[[#This Row],[Código]],tblMatriculas[Incluir],TRUE),"")</f>
        <v>0.13844736842105265</v>
      </c>
      <c r="O27" s="85">
        <f>COUNTIFS(tblMatriculas[Código],tblGrupos[[#This Row],[Código]],tblMatriculas[Nivel],INDEX(tblNiveles[Nivel],1))</f>
        <v>1</v>
      </c>
      <c r="P27" s="85">
        <f>COUNTIFS(tblMatriculas[Código],tblGrupos[[#This Row],[Código]],tblMatriculas[Nivel],INDEX(tblNiveles[Nivel],2))</f>
        <v>4</v>
      </c>
      <c r="Q27" s="85">
        <f>COUNTIFS(tblMatriculas[Código],tblGrupos[[#This Row],[Código]],tblMatriculas[Nivel],INDEX(tblNiveles[Nivel],3))</f>
        <v>3</v>
      </c>
      <c r="R27" s="85">
        <f>COUNTIFS(tblMatriculas[Código],tblGrupos[[#This Row],[Código]],tblMatriculas[Nivel],INDEX(tblNiveles[Nivel],4))</f>
        <v>30</v>
      </c>
      <c r="S27" s="85">
        <f>COUNTIFS(tblMatriculas[Código],tblGrupos[[#This Row],[Código]],tblMatriculas[Nivel],"⚪ SIN REGISTRO")</f>
        <v>0</v>
      </c>
      <c r="T27" s="87">
        <f>IF(tblGrupos[[#This Row],[Estudiantes evaluados]]=0,"",(tblGrupos[[#This Row],[Críticos]]+tblGrupos[[#This Row],[Alerta]]+tblGrupos[[#This Row],[Seguimiento]])/tblGrupos[[#This Row],[Estudiantes evaluados]])</f>
        <v>0.21052631578947367</v>
      </c>
      <c r="U27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8" spans="1:21" x14ac:dyDescent="0.2">
      <c r="A28" s="26" t="s">
        <v>1862</v>
      </c>
      <c r="B28" s="85" t="str">
        <f>_xlfn.XLOOKUP(tblGrupos[[#This Row],[Código]],tblMatriculas[Código],tblMatriculas[Programa])</f>
        <v>IA APLICADA Y AUTOMATIZACIÓN DE PROCESOS CON IA GENERATIVA</v>
      </c>
      <c r="C28" s="85" t="str">
        <f>_xlfn.XLOOKUP(tblGrupos[[#This Row],[Código]],tblMatriculas[Código],tblMatriculas[Grupo])</f>
        <v>IAA-05 - IA Aplicada y Automatización</v>
      </c>
      <c r="D28" s="85" t="str">
        <f>_xlfn.XLOOKUP(tblGrupos[[#This Row],[Código]],tblMatriculas[Código],tblMatriculas[Docente])</f>
        <v>Julio Pastor</v>
      </c>
      <c r="E28" s="85" t="str">
        <f>_xlfn.XLOOKUP(tblGrupos[[#This Row],[Código]],tblMatriculas[Código],tblMatriculas[Horario])</f>
        <v>Martes 06:00-08:00 | Miércoles 06:00-08:00 | Jueves 06:00-08:00</v>
      </c>
      <c r="F28" s="85">
        <f>_xlfn.MINIFS(tblMatriculas[Clases planeadas],tblMatriculas[Código],tblGrupos[[#This Row],[Código]])</f>
        <v>30</v>
      </c>
      <c r="G28" s="85">
        <f>_xlfn.MAXIFS(tblMatriculas[Asistidas],tblMatriculas[Código],tblGrupos[[#This Row],[Código]],tblMatriculas[Clases planeadas],tblGrupos[[#This Row],[Clases planeadas]],tblMatriculas[Estado],"activa")</f>
        <v>5</v>
      </c>
      <c r="H28" s="86"/>
      <c r="I28" s="85">
        <f>IF(tblGrupos[[#This Row],[Clases dictadas (manual)]]&lt;&gt;"",tblGrupos[[#This Row],[Clases dictadas (manual)]],tblGrupos[[#This Row],[Clases dictadas (est.)]])</f>
        <v>5</v>
      </c>
      <c r="J28" s="85">
        <f>COUNTIFS(tblMatriculas[Código],tblGrupos[[#This Row],[Código]],tblMatriculas[Estado],"activa")</f>
        <v>27</v>
      </c>
      <c r="K28" s="85">
        <f>COUNTIFS(tblMatriculas[Código],tblGrupos[[#This Row],[Código]],tblMatriculas[Incluir],TRUE)</f>
        <v>27</v>
      </c>
      <c r="L28" s="85">
        <f>SUMIFS(tblMatriculas[Asistidas],tblMatriculas[Código],tblGrupos[[#This Row],[Código]],tblMatriculas[Incluir],TRUE)</f>
        <v>94</v>
      </c>
      <c r="M28" s="85">
        <f>SUMIFS(tblMatriculas[Inasistencias],tblMatriculas[Código],tblGrupos[[#This Row],[Código]],tblMatriculas[Incluir],TRUE)</f>
        <v>47</v>
      </c>
      <c r="N28" s="87">
        <f>IFERROR(AVERAGEIFS(tblMatriculas[% asistencia],tblMatriculas[Código],tblGrupos[[#This Row],[Código]],tblMatriculas[Incluir],TRUE),"")</f>
        <v>0.11296296296296296</v>
      </c>
      <c r="O28" s="85">
        <f>COUNTIFS(tblMatriculas[Código],tblGrupos[[#This Row],[Código]],tblMatriculas[Nivel],INDEX(tblNiveles[Nivel],1))</f>
        <v>0</v>
      </c>
      <c r="P28" s="85">
        <f>COUNTIFS(tblMatriculas[Código],tblGrupos[[#This Row],[Código]],tblMatriculas[Nivel],INDEX(tblNiveles[Nivel],2))</f>
        <v>6</v>
      </c>
      <c r="Q28" s="85">
        <f>COUNTIFS(tblMatriculas[Código],tblGrupos[[#This Row],[Código]],tblMatriculas[Nivel],INDEX(tblNiveles[Nivel],3))</f>
        <v>2</v>
      </c>
      <c r="R28" s="85">
        <f>COUNTIFS(tblMatriculas[Código],tblGrupos[[#This Row],[Código]],tblMatriculas[Nivel],INDEX(tblNiveles[Nivel],4))</f>
        <v>19</v>
      </c>
      <c r="S28" s="85">
        <f>COUNTIFS(tblMatriculas[Código],tblGrupos[[#This Row],[Código]],tblMatriculas[Nivel],"⚪ SIN REGISTRO")</f>
        <v>0</v>
      </c>
      <c r="T28" s="87">
        <f>IF(tblGrupos[[#This Row],[Estudiantes evaluados]]=0,"",(tblGrupos[[#This Row],[Críticos]]+tblGrupos[[#This Row],[Alerta]]+tblGrupos[[#This Row],[Seguimiento]])/tblGrupos[[#This Row],[Estudiantes evaluados]])</f>
        <v>0.29629629629629628</v>
      </c>
      <c r="U2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29" spans="1:21" x14ac:dyDescent="0.2">
      <c r="A29" s="26" t="s">
        <v>1922</v>
      </c>
      <c r="B29" s="85" t="str">
        <f>_xlfn.XLOOKUP(tblGrupos[[#This Row],[Código]],tblMatriculas[Código],tblMatriculas[Programa])</f>
        <v>IA APLICADA Y AUTOMATIZACIÓN DE PROCESOS CON IA GENERATIVA</v>
      </c>
      <c r="C29" s="85" t="str">
        <f>_xlfn.XLOOKUP(tblGrupos[[#This Row],[Código]],tblMatriculas[Código],tblMatriculas[Grupo])</f>
        <v>IAA-06 - IA Aplicada y Automatización</v>
      </c>
      <c r="D29" s="85" t="str">
        <f>_xlfn.XLOOKUP(tblGrupos[[#This Row],[Código]],tblMatriculas[Código],tblMatriculas[Docente])</f>
        <v>Hernán Felipe García</v>
      </c>
      <c r="E29" s="85" t="str">
        <f>_xlfn.XLOOKUP(tblGrupos[[#This Row],[Código]],tblMatriculas[Código],tblMatriculas[Horario])</f>
        <v>Martes 06:00-08:00 | Miércoles 06:00-08:00 | Jueves 06:00-08:00</v>
      </c>
      <c r="F29" s="85">
        <f>_xlfn.MINIFS(tblMatriculas[Clases planeadas],tblMatriculas[Código],tblGrupos[[#This Row],[Código]])</f>
        <v>30</v>
      </c>
      <c r="G29" s="85">
        <f>_xlfn.MAXIFS(tblMatriculas[Asistidas],tblMatriculas[Código],tblGrupos[[#This Row],[Código]],tblMatriculas[Clases planeadas],tblGrupos[[#This Row],[Clases planeadas]],tblMatriculas[Estado],"activa")</f>
        <v>3</v>
      </c>
      <c r="H29" s="86"/>
      <c r="I29" s="85">
        <f>IF(tblGrupos[[#This Row],[Clases dictadas (manual)]]&lt;&gt;"",tblGrupos[[#This Row],[Clases dictadas (manual)]],tblGrupos[[#This Row],[Clases dictadas (est.)]])</f>
        <v>3</v>
      </c>
      <c r="J29" s="85">
        <f>COUNTIFS(tblMatriculas[Código],tblGrupos[[#This Row],[Código]],tblMatriculas[Estado],"activa")</f>
        <v>22</v>
      </c>
      <c r="K29" s="85">
        <f>COUNTIFS(tblMatriculas[Código],tblGrupos[[#This Row],[Código]],tblMatriculas[Incluir],TRUE)</f>
        <v>1</v>
      </c>
      <c r="L29" s="85">
        <f>SUMIFS(tblMatriculas[Asistidas],tblMatriculas[Código],tblGrupos[[#This Row],[Código]],tblMatriculas[Incluir],TRUE)</f>
        <v>3</v>
      </c>
      <c r="M29" s="85">
        <f>SUMIFS(tblMatriculas[Inasistencias],tblMatriculas[Código],tblGrupos[[#This Row],[Código]],tblMatriculas[Incluir],TRUE)</f>
        <v>0</v>
      </c>
      <c r="N29" s="87">
        <f>IFERROR(AVERAGEIFS(tblMatriculas[% asistencia],tblMatriculas[Código],tblGrupos[[#This Row],[Código]],tblMatriculas[Incluir],TRUE),"")</f>
        <v>0.1</v>
      </c>
      <c r="O29" s="85">
        <f>COUNTIFS(tblMatriculas[Código],tblGrupos[[#This Row],[Código]],tblMatriculas[Nivel],INDEX(tblNiveles[Nivel],1))</f>
        <v>0</v>
      </c>
      <c r="P29" s="85">
        <f>COUNTIFS(tblMatriculas[Código],tblGrupos[[#This Row],[Código]],tblMatriculas[Nivel],INDEX(tblNiveles[Nivel],2))</f>
        <v>0</v>
      </c>
      <c r="Q29" s="85">
        <f>COUNTIFS(tblMatriculas[Código],tblGrupos[[#This Row],[Código]],tblMatriculas[Nivel],INDEX(tblNiveles[Nivel],3))</f>
        <v>0</v>
      </c>
      <c r="R29" s="85">
        <f>COUNTIFS(tblMatriculas[Código],tblGrupos[[#This Row],[Código]],tblMatriculas[Nivel],INDEX(tblNiveles[Nivel],4))</f>
        <v>1</v>
      </c>
      <c r="S29" s="85">
        <f>COUNTIFS(tblMatriculas[Código],tblGrupos[[#This Row],[Código]],tblMatriculas[Nivel],"⚪ SIN REGISTRO")</f>
        <v>21</v>
      </c>
      <c r="T29" s="87">
        <f>IF(tblGrupos[[#This Row],[Estudiantes evaluados]]=0,"",(tblGrupos[[#This Row],[Críticos]]+tblGrupos[[#This Row],[Alerta]]+tblGrupos[[#This Row],[Seguimiento]])/tblGrupos[[#This Row],[Estudiantes evaluados]])</f>
        <v>0</v>
      </c>
      <c r="U29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0" spans="1:21" x14ac:dyDescent="0.2">
      <c r="A30" s="26" t="s">
        <v>1966</v>
      </c>
      <c r="B30" s="85" t="str">
        <f>_xlfn.XLOOKUP(tblGrupos[[#This Row],[Código]],tblMatriculas[Código],tblMatriculas[Programa])</f>
        <v>IA APLICADA Y AUTOMATIZACIÓN DE PROCESOS CON IA GENERATIVA</v>
      </c>
      <c r="C30" s="85" t="str">
        <f>_xlfn.XLOOKUP(tblGrupos[[#This Row],[Código]],tblMatriculas[Código],tblMatriculas[Grupo])</f>
        <v>IAA-07 - IA Aplicada y Automatización</v>
      </c>
      <c r="D30" s="85" t="str">
        <f>_xlfn.XLOOKUP(tblGrupos[[#This Row],[Código]],tblMatriculas[Código],tblMatriculas[Docente])</f>
        <v>Carlos Duran</v>
      </c>
      <c r="E30" s="85" t="str">
        <f>_xlfn.XLOOKUP(tblGrupos[[#This Row],[Código]],tblMatriculas[Código],tblMatriculas[Horario])</f>
        <v>Martes 18:30-21:30 | Jueves 18:30-21:30</v>
      </c>
      <c r="F30" s="85">
        <f>_xlfn.MINIFS(tblMatriculas[Clases planeadas],tblMatriculas[Código],tblGrupos[[#This Row],[Código]])</f>
        <v>30</v>
      </c>
      <c r="G30" s="85">
        <f>_xlfn.MAXIFS(tblMatriculas[Asistidas],tblMatriculas[Código],tblGrupos[[#This Row],[Código]],tblMatriculas[Clases planeadas],tblGrupos[[#This Row],[Clases planeadas]],tblMatriculas[Estado],"activa")</f>
        <v>4</v>
      </c>
      <c r="H30" s="86"/>
      <c r="I30" s="85">
        <f>IF(tblGrupos[[#This Row],[Clases dictadas (manual)]]&lt;&gt;"",tblGrupos[[#This Row],[Clases dictadas (manual)]],tblGrupos[[#This Row],[Clases dictadas (est.)]])</f>
        <v>4</v>
      </c>
      <c r="J30" s="85">
        <f>COUNTIFS(tblMatriculas[Código],tblGrupos[[#This Row],[Código]],tblMatriculas[Estado],"activa")</f>
        <v>51</v>
      </c>
      <c r="K30" s="85">
        <f>COUNTIFS(tblMatriculas[Código],tblGrupos[[#This Row],[Código]],tblMatriculas[Incluir],TRUE)</f>
        <v>51</v>
      </c>
      <c r="L30" s="85">
        <f>SUMIFS(tblMatriculas[Asistidas],tblMatriculas[Código],tblGrupos[[#This Row],[Código]],tblMatriculas[Incluir],TRUE)</f>
        <v>160</v>
      </c>
      <c r="M30" s="85">
        <f>SUMIFS(tblMatriculas[Inasistencias],tblMatriculas[Código],tblGrupos[[#This Row],[Código]],tblMatriculas[Incluir],TRUE)</f>
        <v>56</v>
      </c>
      <c r="N30" s="87">
        <f>IFERROR(AVERAGEIFS(tblMatriculas[% asistencia],tblMatriculas[Código],tblGrupos[[#This Row],[Código]],tblMatriculas[Incluir],TRUE),"")</f>
        <v>0.10043137254901963</v>
      </c>
      <c r="O30" s="85">
        <f>COUNTIFS(tblMatriculas[Código],tblGrupos[[#This Row],[Código]],tblMatriculas[Nivel],INDEX(tblNiveles[Nivel],1))</f>
        <v>2</v>
      </c>
      <c r="P30" s="85">
        <f>COUNTIFS(tblMatriculas[Código],tblGrupos[[#This Row],[Código]],tblMatriculas[Nivel],INDEX(tblNiveles[Nivel],2))</f>
        <v>8</v>
      </c>
      <c r="Q30" s="85">
        <f>COUNTIFS(tblMatriculas[Código],tblGrupos[[#This Row],[Código]],tblMatriculas[Nivel],INDEX(tblNiveles[Nivel],3))</f>
        <v>4</v>
      </c>
      <c r="R30" s="85">
        <f>COUNTIFS(tblMatriculas[Código],tblGrupos[[#This Row],[Código]],tblMatriculas[Nivel],INDEX(tblNiveles[Nivel],4))</f>
        <v>37</v>
      </c>
      <c r="S30" s="85">
        <f>COUNTIFS(tblMatriculas[Código],tblGrupos[[#This Row],[Código]],tblMatriculas[Nivel],"⚪ SIN REGISTRO")</f>
        <v>0</v>
      </c>
      <c r="T30" s="87">
        <f>IF(tblGrupos[[#This Row],[Estudiantes evaluados]]=0,"",(tblGrupos[[#This Row],[Críticos]]+tblGrupos[[#This Row],[Alerta]]+tblGrupos[[#This Row],[Seguimiento]])/tblGrupos[[#This Row],[Estudiantes evaluados]])</f>
        <v>0.27450980392156865</v>
      </c>
      <c r="U30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1" spans="1:21" x14ac:dyDescent="0.2">
      <c r="A31" s="26" t="s">
        <v>2076</v>
      </c>
      <c r="B31" s="85" t="str">
        <f>_xlfn.XLOOKUP(tblGrupos[[#This Row],[Código]],tblMatriculas[Código],tblMatriculas[Programa])</f>
        <v>IA APLICADA Y AUTOMATIZACIÓN DE PROCESOS CON IA GENERATIVA</v>
      </c>
      <c r="C31" s="85" t="str">
        <f>_xlfn.XLOOKUP(tblGrupos[[#This Row],[Código]],tblMatriculas[Código],tblMatriculas[Grupo])</f>
        <v>IAA-08 - IA Aplicada y Automatización</v>
      </c>
      <c r="D31" s="85" t="str">
        <f>_xlfn.XLOOKUP(tblGrupos[[#This Row],[Código]],tblMatriculas[Código],tblMatriculas[Docente])</f>
        <v>Erick Ruiz</v>
      </c>
      <c r="E31" s="85" t="str">
        <f>_xlfn.XLOOKUP(tblGrupos[[#This Row],[Código]],tblMatriculas[Código],tblMatriculas[Horario])</f>
        <v>Martes 18:30-21:30 | Jueves 18:30-21:30</v>
      </c>
      <c r="F31" s="85">
        <f>_xlfn.MINIFS(tblMatriculas[Clases planeadas],tblMatriculas[Código],tblGrupos[[#This Row],[Código]])</f>
        <v>30</v>
      </c>
      <c r="G31" s="85">
        <f>_xlfn.MAXIFS(tblMatriculas[Asistidas],tblMatriculas[Código],tblGrupos[[#This Row],[Código]],tblMatriculas[Clases planeadas],tblGrupos[[#This Row],[Clases planeadas]],tblMatriculas[Estado],"activa")</f>
        <v>6</v>
      </c>
      <c r="H31" s="86"/>
      <c r="I31" s="85">
        <f>IF(tblGrupos[[#This Row],[Clases dictadas (manual)]]&lt;&gt;"",tblGrupos[[#This Row],[Clases dictadas (manual)]],tblGrupos[[#This Row],[Clases dictadas (est.)]])</f>
        <v>6</v>
      </c>
      <c r="J31" s="85">
        <f>COUNTIFS(tblMatriculas[Código],tblGrupos[[#This Row],[Código]],tblMatriculas[Estado],"activa")</f>
        <v>47</v>
      </c>
      <c r="K31" s="85">
        <f>COUNTIFS(tblMatriculas[Código],tblGrupos[[#This Row],[Código]],tblMatriculas[Incluir],TRUE)</f>
        <v>47</v>
      </c>
      <c r="L31" s="85">
        <f>SUMIFS(tblMatriculas[Asistidas],tblMatriculas[Código],tblGrupos[[#This Row],[Código]],tblMatriculas[Incluir],TRUE)</f>
        <v>220</v>
      </c>
      <c r="M31" s="85">
        <f>SUMIFS(tblMatriculas[Inasistencias],tblMatriculas[Código],tblGrupos[[#This Row],[Código]],tblMatriculas[Incluir],TRUE)</f>
        <v>62</v>
      </c>
      <c r="N31" s="87">
        <f>IFERROR(AVERAGEIFS(tblMatriculas[% asistencia],tblMatriculas[Código],tblGrupos[[#This Row],[Código]],tblMatriculas[Incluir],TRUE),"")</f>
        <v>0.15604255319148941</v>
      </c>
      <c r="O31" s="85">
        <f>COUNTIFS(tblMatriculas[Código],tblGrupos[[#This Row],[Código]],tblMatriculas[Nivel],INDEX(tblNiveles[Nivel],1))</f>
        <v>1</v>
      </c>
      <c r="P31" s="85">
        <f>COUNTIFS(tblMatriculas[Código],tblGrupos[[#This Row],[Código]],tblMatriculas[Nivel],INDEX(tblNiveles[Nivel],2))</f>
        <v>4</v>
      </c>
      <c r="Q31" s="85">
        <f>COUNTIFS(tblMatriculas[Código],tblGrupos[[#This Row],[Código]],tblMatriculas[Nivel],INDEX(tblNiveles[Nivel],3))</f>
        <v>2</v>
      </c>
      <c r="R31" s="85">
        <f>COUNTIFS(tblMatriculas[Código],tblGrupos[[#This Row],[Código]],tblMatriculas[Nivel],INDEX(tblNiveles[Nivel],4))</f>
        <v>40</v>
      </c>
      <c r="S31" s="85">
        <f>COUNTIFS(tblMatriculas[Código],tblGrupos[[#This Row],[Código]],tblMatriculas[Nivel],"⚪ SIN REGISTRO")</f>
        <v>0</v>
      </c>
      <c r="T31" s="87">
        <f>IF(tblGrupos[[#This Row],[Estudiantes evaluados]]=0,"",(tblGrupos[[#This Row],[Críticos]]+tblGrupos[[#This Row],[Alerta]]+tblGrupos[[#This Row],[Seguimiento]])/tblGrupos[[#This Row],[Estudiantes evaluados]])</f>
        <v>0.14893617021276595</v>
      </c>
      <c r="U31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2" spans="1:21" x14ac:dyDescent="0.2">
      <c r="A32" s="26" t="s">
        <v>2170</v>
      </c>
      <c r="B32" s="85" t="str">
        <f>_xlfn.XLOOKUP(tblGrupos[[#This Row],[Código]],tblMatriculas[Código],tblMatriculas[Programa])</f>
        <v>IA APLICADA Y AUTOMATIZACIÓN DE PROCESOS CON IA GENERATIVA</v>
      </c>
      <c r="C32" s="85" t="str">
        <f>_xlfn.XLOOKUP(tblGrupos[[#This Row],[Código]],tblMatriculas[Código],tblMatriculas[Grupo])</f>
        <v>IAA-09 - IA Aplicada y Automatización</v>
      </c>
      <c r="D32" s="85" t="str">
        <f>_xlfn.XLOOKUP(tblGrupos[[#This Row],[Código]],tblMatriculas[Código],tblMatriculas[Docente])</f>
        <v>Walter Alzate Medina</v>
      </c>
      <c r="E32" s="85" t="str">
        <f>_xlfn.XLOOKUP(tblGrupos[[#This Row],[Código]],tblMatriculas[Código],tblMatriculas[Horario])</f>
        <v>Martes 18:30-21:30 | Jueves 18:30-21:30</v>
      </c>
      <c r="F32" s="85">
        <f>_xlfn.MINIFS(tblMatriculas[Clases planeadas],tblMatriculas[Código],tblGrupos[[#This Row],[Código]])</f>
        <v>30</v>
      </c>
      <c r="G32" s="85">
        <f>_xlfn.MAXIFS(tblMatriculas[Asistidas],tblMatriculas[Código],tblGrupos[[#This Row],[Código]],tblMatriculas[Clases planeadas],tblGrupos[[#This Row],[Clases planeadas]],tblMatriculas[Estado],"activa")</f>
        <v>6</v>
      </c>
      <c r="H32" s="86"/>
      <c r="I32" s="85">
        <f>IF(tblGrupos[[#This Row],[Clases dictadas (manual)]]&lt;&gt;"",tblGrupos[[#This Row],[Clases dictadas (manual)]],tblGrupos[[#This Row],[Clases dictadas (est.)]])</f>
        <v>6</v>
      </c>
      <c r="J32" s="85">
        <f>COUNTIFS(tblMatriculas[Código],tblGrupos[[#This Row],[Código]],tblMatriculas[Estado],"activa")</f>
        <v>42</v>
      </c>
      <c r="K32" s="85">
        <f>COUNTIFS(tblMatriculas[Código],tblGrupos[[#This Row],[Código]],tblMatriculas[Incluir],TRUE)</f>
        <v>42</v>
      </c>
      <c r="L32" s="85">
        <f>SUMIFS(tblMatriculas[Asistidas],tblMatriculas[Código],tblGrupos[[#This Row],[Código]],tblMatriculas[Incluir],TRUE)</f>
        <v>227</v>
      </c>
      <c r="M32" s="85">
        <f>SUMIFS(tblMatriculas[Inasistencias],tblMatriculas[Código],tblGrupos[[#This Row],[Código]],tblMatriculas[Incluir],TRUE)</f>
        <v>46</v>
      </c>
      <c r="N32" s="87">
        <f>IFERROR(AVERAGEIFS(tblMatriculas[% asistencia],tblMatriculas[Código],tblGrupos[[#This Row],[Código]],tblMatriculas[Incluir],TRUE),"")</f>
        <v>0.16985714285714296</v>
      </c>
      <c r="O32" s="85">
        <f>COUNTIFS(tblMatriculas[Código],tblGrupos[[#This Row],[Código]],tblMatriculas[Nivel],INDEX(tblNiveles[Nivel],1))</f>
        <v>1</v>
      </c>
      <c r="P32" s="85">
        <f>COUNTIFS(tblMatriculas[Código],tblGrupos[[#This Row],[Código]],tblMatriculas[Nivel],INDEX(tblNiveles[Nivel],2))</f>
        <v>1</v>
      </c>
      <c r="Q32" s="85">
        <f>COUNTIFS(tblMatriculas[Código],tblGrupos[[#This Row],[Código]],tblMatriculas[Nivel],INDEX(tblNiveles[Nivel],3))</f>
        <v>2</v>
      </c>
      <c r="R32" s="85">
        <f>COUNTIFS(tblMatriculas[Código],tblGrupos[[#This Row],[Código]],tblMatriculas[Nivel],INDEX(tblNiveles[Nivel],4))</f>
        <v>38</v>
      </c>
      <c r="S32" s="85">
        <f>COUNTIFS(tblMatriculas[Código],tblGrupos[[#This Row],[Código]],tblMatriculas[Nivel],"⚪ SIN REGISTRO")</f>
        <v>0</v>
      </c>
      <c r="T32" s="87">
        <f>IF(tblGrupos[[#This Row],[Estudiantes evaluados]]=0,"",(tblGrupos[[#This Row],[Críticos]]+tblGrupos[[#This Row],[Alerta]]+tblGrupos[[#This Row],[Seguimiento]])/tblGrupos[[#This Row],[Estudiantes evaluados]])</f>
        <v>9.5238095238095233E-2</v>
      </c>
      <c r="U32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3" spans="1:21" x14ac:dyDescent="0.2">
      <c r="A33" s="26" t="s">
        <v>2259</v>
      </c>
      <c r="B33" s="85" t="str">
        <f>_xlfn.XLOOKUP(tblGrupos[[#This Row],[Código]],tblMatriculas[Código],tblMatriculas[Programa])</f>
        <v>IA APLICADA Y AUTOMATIZACIÓN DE PROCESOS CON IA GENERATIVA</v>
      </c>
      <c r="C33" s="85" t="str">
        <f>_xlfn.XLOOKUP(tblGrupos[[#This Row],[Código]],tblMatriculas[Código],tblMatriculas[Grupo])</f>
        <v>IAA-10 - IA Aplicada y Automatización</v>
      </c>
      <c r="D33" s="85" t="str">
        <f>_xlfn.XLOOKUP(tblGrupos[[#This Row],[Código]],tblMatriculas[Código],tblMatriculas[Docente])</f>
        <v>Deiner Alonso Rivera</v>
      </c>
      <c r="E33" s="85" t="str">
        <f>_xlfn.XLOOKUP(tblGrupos[[#This Row],[Código]],tblMatriculas[Código],tblMatriculas[Horario])</f>
        <v>Martes 18:30-21:30 | Jueves 18:30-21:30</v>
      </c>
      <c r="F33" s="85">
        <f>_xlfn.MINIFS(tblMatriculas[Clases planeadas],tblMatriculas[Código],tblGrupos[[#This Row],[Código]])</f>
        <v>30</v>
      </c>
      <c r="G33" s="85">
        <f>_xlfn.MAXIFS(tblMatriculas[Asistidas],tblMatriculas[Código],tblGrupos[[#This Row],[Código]],tblMatriculas[Clases planeadas],tblGrupos[[#This Row],[Clases planeadas]],tblMatriculas[Estado],"activa")</f>
        <v>3</v>
      </c>
      <c r="H33" s="86"/>
      <c r="I33" s="85">
        <f>IF(tblGrupos[[#This Row],[Clases dictadas (manual)]]&lt;&gt;"",tblGrupos[[#This Row],[Clases dictadas (manual)]],tblGrupos[[#This Row],[Clases dictadas (est.)]])</f>
        <v>3</v>
      </c>
      <c r="J33" s="85">
        <f>COUNTIFS(tblMatriculas[Código],tblGrupos[[#This Row],[Código]],tblMatriculas[Estado],"activa")</f>
        <v>43</v>
      </c>
      <c r="K33" s="85">
        <f>COUNTIFS(tblMatriculas[Código],tblGrupos[[#This Row],[Código]],tblMatriculas[Incluir],TRUE)</f>
        <v>43</v>
      </c>
      <c r="L33" s="85">
        <f>SUMIFS(tblMatriculas[Asistidas],tblMatriculas[Código],tblGrupos[[#This Row],[Código]],tblMatriculas[Incluir],TRUE)</f>
        <v>85</v>
      </c>
      <c r="M33" s="85">
        <f>SUMIFS(tblMatriculas[Inasistencias],tblMatriculas[Código],tblGrupos[[#This Row],[Código]],tblMatriculas[Incluir],TRUE)</f>
        <v>44</v>
      </c>
      <c r="N33" s="87">
        <f>IFERROR(AVERAGEIFS(tblMatriculas[% asistencia],tblMatriculas[Código],tblGrupos[[#This Row],[Código]],tblMatriculas[Incluir],TRUE),"")</f>
        <v>6.5953488372093041E-2</v>
      </c>
      <c r="O33" s="85">
        <f>COUNTIFS(tblMatriculas[Código],tblGrupos[[#This Row],[Código]],tblMatriculas[Nivel],INDEX(tblNiveles[Nivel],1))</f>
        <v>7</v>
      </c>
      <c r="P33" s="85">
        <f>COUNTIFS(tblMatriculas[Código],tblGrupos[[#This Row],[Código]],tblMatriculas[Nivel],INDEX(tblNiveles[Nivel],2))</f>
        <v>5</v>
      </c>
      <c r="Q33" s="85">
        <f>COUNTIFS(tblMatriculas[Código],tblGrupos[[#This Row],[Código]],tblMatriculas[Nivel],INDEX(tblNiveles[Nivel],3))</f>
        <v>13</v>
      </c>
      <c r="R33" s="85">
        <f>COUNTIFS(tblMatriculas[Código],tblGrupos[[#This Row],[Código]],tblMatriculas[Nivel],INDEX(tblNiveles[Nivel],4))</f>
        <v>18</v>
      </c>
      <c r="S33" s="85">
        <f>COUNTIFS(tblMatriculas[Código],tblGrupos[[#This Row],[Código]],tblMatriculas[Nivel],"⚪ SIN REGISTRO")</f>
        <v>0</v>
      </c>
      <c r="T33" s="87">
        <f>IF(tblGrupos[[#This Row],[Estudiantes evaluados]]=0,"",(tblGrupos[[#This Row],[Críticos]]+tblGrupos[[#This Row],[Alerta]]+tblGrupos[[#This Row],[Seguimiento]])/tblGrupos[[#This Row],[Estudiantes evaluados]])</f>
        <v>0.58139534883720934</v>
      </c>
      <c r="U33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34" spans="1:21" x14ac:dyDescent="0.2">
      <c r="A34" s="26" t="s">
        <v>2350</v>
      </c>
      <c r="B34" s="85" t="str">
        <f>_xlfn.XLOOKUP(tblGrupos[[#This Row],[Código]],tblMatriculas[Código],tblMatriculas[Programa])</f>
        <v>IA APLICADA Y AUTOMATIZACIÓN DE PROCESOS CON IA GENERATIVA</v>
      </c>
      <c r="C34" s="85" t="str">
        <f>_xlfn.XLOOKUP(tblGrupos[[#This Row],[Código]],tblMatriculas[Código],tblMatriculas[Grupo])</f>
        <v>IAA-11 - IA Aplicada y Automatización</v>
      </c>
      <c r="D34" s="85" t="str">
        <f>_xlfn.XLOOKUP(tblGrupos[[#This Row],[Código]],tblMatriculas[Código],tblMatriculas[Docente])</f>
        <v>Mateo Ramirez</v>
      </c>
      <c r="E34" s="85" t="str">
        <f>_xlfn.XLOOKUP(tblGrupos[[#This Row],[Código]],tblMatriculas[Código],tblMatriculas[Horario])</f>
        <v>Miércoles 18:30-21:30 | Viernes 18:30-21:30</v>
      </c>
      <c r="F34" s="85">
        <f>_xlfn.MINIFS(tblMatriculas[Clases planeadas],tblMatriculas[Código],tblGrupos[[#This Row],[Código]])</f>
        <v>30</v>
      </c>
      <c r="G34" s="85">
        <f>_xlfn.MAXIFS(tblMatriculas[Asistidas],tblMatriculas[Código],tblGrupos[[#This Row],[Código]],tblMatriculas[Clases planeadas],tblGrupos[[#This Row],[Clases planeadas]],tblMatriculas[Estado],"activa")</f>
        <v>5</v>
      </c>
      <c r="H34" s="86"/>
      <c r="I34" s="85">
        <f>IF(tblGrupos[[#This Row],[Clases dictadas (manual)]]&lt;&gt;"",tblGrupos[[#This Row],[Clases dictadas (manual)]],tblGrupos[[#This Row],[Clases dictadas (est.)]])</f>
        <v>5</v>
      </c>
      <c r="J34" s="85">
        <f>COUNTIFS(tblMatriculas[Código],tblGrupos[[#This Row],[Código]],tblMatriculas[Estado],"activa")</f>
        <v>50</v>
      </c>
      <c r="K34" s="85">
        <f>COUNTIFS(tblMatriculas[Código],tblGrupos[[#This Row],[Código]],tblMatriculas[Incluir],TRUE)</f>
        <v>50</v>
      </c>
      <c r="L34" s="85">
        <f>SUMIFS(tblMatriculas[Asistidas],tblMatriculas[Código],tblGrupos[[#This Row],[Código]],tblMatriculas[Incluir],TRUE)</f>
        <v>173</v>
      </c>
      <c r="M34" s="85">
        <f>SUMIFS(tblMatriculas[Inasistencias],tblMatriculas[Código],tblGrupos[[#This Row],[Código]],tblMatriculas[Incluir],TRUE)</f>
        <v>90</v>
      </c>
      <c r="N34" s="87">
        <f>IFERROR(AVERAGEIFS(tblMatriculas[% asistencia],tblMatriculas[Código],tblGrupos[[#This Row],[Código]],tblMatriculas[Incluir],TRUE),"")</f>
        <v>0.10945999999999995</v>
      </c>
      <c r="O34" s="85">
        <f>COUNTIFS(tblMatriculas[Código],tblGrupos[[#This Row],[Código]],tblMatriculas[Nivel],INDEX(tblNiveles[Nivel],1))</f>
        <v>7</v>
      </c>
      <c r="P34" s="85">
        <f>COUNTIFS(tblMatriculas[Código],tblGrupos[[#This Row],[Código]],tblMatriculas[Nivel],INDEX(tblNiveles[Nivel],2))</f>
        <v>2</v>
      </c>
      <c r="Q34" s="85">
        <f>COUNTIFS(tblMatriculas[Código],tblGrupos[[#This Row],[Código]],tblMatriculas[Nivel],INDEX(tblNiveles[Nivel],3))</f>
        <v>4</v>
      </c>
      <c r="R34" s="85">
        <f>COUNTIFS(tblMatriculas[Código],tblGrupos[[#This Row],[Código]],tblMatriculas[Nivel],INDEX(tblNiveles[Nivel],4))</f>
        <v>37</v>
      </c>
      <c r="S34" s="85">
        <f>COUNTIFS(tblMatriculas[Código],tblGrupos[[#This Row],[Código]],tblMatriculas[Nivel],"⚪ SIN REGISTRO")</f>
        <v>0</v>
      </c>
      <c r="T34" s="87">
        <f>IF(tblGrupos[[#This Row],[Estudiantes evaluados]]=0,"",(tblGrupos[[#This Row],[Críticos]]+tblGrupos[[#This Row],[Alerta]]+tblGrupos[[#This Row],[Seguimiento]])/tblGrupos[[#This Row],[Estudiantes evaluados]])</f>
        <v>0.26</v>
      </c>
      <c r="U34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5" spans="1:21" x14ac:dyDescent="0.2">
      <c r="A35" s="26" t="s">
        <v>2450</v>
      </c>
      <c r="B35" s="85" t="str">
        <f>_xlfn.XLOOKUP(tblGrupos[[#This Row],[Código]],tblMatriculas[Código],tblMatriculas[Programa])</f>
        <v>IA APLICADA Y AUTOMATIZACIÓN DE PROCESOS CON IA GENERATIVA</v>
      </c>
      <c r="C35" s="85" t="str">
        <f>_xlfn.XLOOKUP(tblGrupos[[#This Row],[Código]],tblMatriculas[Código],tblMatriculas[Grupo])</f>
        <v>IAA-12 - IA Aplicada y Automatización</v>
      </c>
      <c r="D35" s="85" t="str">
        <f>_xlfn.XLOOKUP(tblGrupos[[#This Row],[Código]],tblMatriculas[Código],tblMatriculas[Docente])</f>
        <v>Efrain Vargas</v>
      </c>
      <c r="E35" s="85" t="str">
        <f>_xlfn.XLOOKUP(tblGrupos[[#This Row],[Código]],tblMatriculas[Código],tblMatriculas[Horario])</f>
        <v>Miércoles 18:30-21:30 | Viernes 18:30-21:30</v>
      </c>
      <c r="F35" s="85">
        <f>_xlfn.MINIFS(tblMatriculas[Clases planeadas],tblMatriculas[Código],tblGrupos[[#This Row],[Código]])</f>
        <v>40</v>
      </c>
      <c r="G35" s="85">
        <f>_xlfn.MAXIFS(tblMatriculas[Asistidas],tblMatriculas[Código],tblGrupos[[#This Row],[Código]],tblMatriculas[Clases planeadas],tblGrupos[[#This Row],[Clases planeadas]],tblMatriculas[Estado],"activa")</f>
        <v>4</v>
      </c>
      <c r="H35" s="86"/>
      <c r="I35" s="85">
        <f>IF(tblGrupos[[#This Row],[Clases dictadas (manual)]]&lt;&gt;"",tblGrupos[[#This Row],[Clases dictadas (manual)]],tblGrupos[[#This Row],[Clases dictadas (est.)]])</f>
        <v>4</v>
      </c>
      <c r="J35" s="85">
        <f>COUNTIFS(tblMatriculas[Código],tblGrupos[[#This Row],[Código]],tblMatriculas[Estado],"activa")</f>
        <v>31</v>
      </c>
      <c r="K35" s="85">
        <f>COUNTIFS(tblMatriculas[Código],tblGrupos[[#This Row],[Código]],tblMatriculas[Incluir],TRUE)</f>
        <v>31</v>
      </c>
      <c r="L35" s="85">
        <f>SUMIFS(tblMatriculas[Asistidas],tblMatriculas[Código],tblGrupos[[#This Row],[Código]],tblMatriculas[Incluir],TRUE)</f>
        <v>113</v>
      </c>
      <c r="M35" s="85">
        <f>SUMIFS(tblMatriculas[Inasistencias],tblMatriculas[Código],tblGrupos[[#This Row],[Código]],tblMatriculas[Incluir],TRUE)</f>
        <v>11</v>
      </c>
      <c r="N35" s="87">
        <f>IFERROR(AVERAGEIFS(tblMatriculas[% asistencia],tblMatriculas[Código],tblGrupos[[#This Row],[Código]],tblMatriculas[Incluir],TRUE),"")</f>
        <v>9.1129032258064555E-2</v>
      </c>
      <c r="O35" s="85">
        <f>COUNTIFS(tblMatriculas[Código],tblGrupos[[#This Row],[Código]],tblMatriculas[Nivel],INDEX(tblNiveles[Nivel],1))</f>
        <v>0</v>
      </c>
      <c r="P35" s="85">
        <f>COUNTIFS(tblMatriculas[Código],tblGrupos[[#This Row],[Código]],tblMatriculas[Nivel],INDEX(tblNiveles[Nivel],2))</f>
        <v>3</v>
      </c>
      <c r="Q35" s="85">
        <f>COUNTIFS(tblMatriculas[Código],tblGrupos[[#This Row],[Código]],tblMatriculas[Nivel],INDEX(tblNiveles[Nivel],3))</f>
        <v>0</v>
      </c>
      <c r="R35" s="85">
        <f>COUNTIFS(tblMatriculas[Código],tblGrupos[[#This Row],[Código]],tblMatriculas[Nivel],INDEX(tblNiveles[Nivel],4))</f>
        <v>28</v>
      </c>
      <c r="S35" s="85">
        <f>COUNTIFS(tblMatriculas[Código],tblGrupos[[#This Row],[Código]],tblMatriculas[Nivel],"⚪ SIN REGISTRO")</f>
        <v>0</v>
      </c>
      <c r="T35" s="87">
        <f>IF(tblGrupos[[#This Row],[Estudiantes evaluados]]=0,"",(tblGrupos[[#This Row],[Críticos]]+tblGrupos[[#This Row],[Alerta]]+tblGrupos[[#This Row],[Seguimiento]])/tblGrupos[[#This Row],[Estudiantes evaluados]])</f>
        <v>9.6774193548387094E-2</v>
      </c>
      <c r="U35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6" spans="1:21" x14ac:dyDescent="0.2">
      <c r="A36" s="26" t="s">
        <v>2523</v>
      </c>
      <c r="B36" s="85" t="str">
        <f>_xlfn.XLOOKUP(tblGrupos[[#This Row],[Código]],tblMatriculas[Código],tblMatriculas[Programa])</f>
        <v>IA APLICADA Y AUTOMATIZACIÓN DE PROCESOS CON IA GENERATIVA</v>
      </c>
      <c r="C36" s="85" t="str">
        <f>_xlfn.XLOOKUP(tblGrupos[[#This Row],[Código]],tblMatriculas[Código],tblMatriculas[Grupo])</f>
        <v>IAA-13 - IA Aplicada y Automatización</v>
      </c>
      <c r="D36" s="85" t="str">
        <f>_xlfn.XLOOKUP(tblGrupos[[#This Row],[Código]],tblMatriculas[Código],tblMatriculas[Docente])</f>
        <v>Erick Ruiz</v>
      </c>
      <c r="E36" s="85" t="str">
        <f>_xlfn.XLOOKUP(tblGrupos[[#This Row],[Código]],tblMatriculas[Código],tblMatriculas[Horario])</f>
        <v>Miércoles 18:30-21:30 | Viernes 18:30-21:30</v>
      </c>
      <c r="F36" s="85">
        <f>_xlfn.MINIFS(tblMatriculas[Clases planeadas],tblMatriculas[Código],tblGrupos[[#This Row],[Código]])</f>
        <v>30</v>
      </c>
      <c r="G36" s="85">
        <f>_xlfn.MAXIFS(tblMatriculas[Asistidas],tblMatriculas[Código],tblGrupos[[#This Row],[Código]],tblMatriculas[Clases planeadas],tblGrupos[[#This Row],[Clases planeadas]],tblMatriculas[Estado],"activa")</f>
        <v>5</v>
      </c>
      <c r="H36" s="86"/>
      <c r="I36" s="85">
        <f>IF(tblGrupos[[#This Row],[Clases dictadas (manual)]]&lt;&gt;"",tblGrupos[[#This Row],[Clases dictadas (manual)]],tblGrupos[[#This Row],[Clases dictadas (est.)]])</f>
        <v>5</v>
      </c>
      <c r="J36" s="85">
        <f>COUNTIFS(tblMatriculas[Código],tblGrupos[[#This Row],[Código]],tblMatriculas[Estado],"activa")</f>
        <v>35</v>
      </c>
      <c r="K36" s="85">
        <f>COUNTIFS(tblMatriculas[Código],tblGrupos[[#This Row],[Código]],tblMatriculas[Incluir],TRUE)</f>
        <v>35</v>
      </c>
      <c r="L36" s="85">
        <f>SUMIFS(tblMatriculas[Asistidas],tblMatriculas[Código],tblGrupos[[#This Row],[Código]],tblMatriculas[Incluir],TRUE)</f>
        <v>125</v>
      </c>
      <c r="M36" s="85">
        <f>SUMIFS(tblMatriculas[Inasistencias],tblMatriculas[Código],tblGrupos[[#This Row],[Código]],tblMatriculas[Incluir],TRUE)</f>
        <v>58</v>
      </c>
      <c r="N36" s="87">
        <f>IFERROR(AVERAGEIFS(tblMatriculas[% asistencia],tblMatriculas[Código],tblGrupos[[#This Row],[Código]],tblMatriculas[Incluir],TRUE),"")</f>
        <v>0.1153142857142857</v>
      </c>
      <c r="O36" s="85">
        <f>COUNTIFS(tblMatriculas[Código],tblGrupos[[#This Row],[Código]],tblMatriculas[Nivel],INDEX(tblNiveles[Nivel],1))</f>
        <v>2</v>
      </c>
      <c r="P36" s="85">
        <f>COUNTIFS(tblMatriculas[Código],tblGrupos[[#This Row],[Código]],tblMatriculas[Nivel],INDEX(tblNiveles[Nivel],2))</f>
        <v>4</v>
      </c>
      <c r="Q36" s="85">
        <f>COUNTIFS(tblMatriculas[Código],tblGrupos[[#This Row],[Código]],tblMatriculas[Nivel],INDEX(tblNiveles[Nivel],3))</f>
        <v>4</v>
      </c>
      <c r="R36" s="85">
        <f>COUNTIFS(tblMatriculas[Código],tblGrupos[[#This Row],[Código]],tblMatriculas[Nivel],INDEX(tblNiveles[Nivel],4))</f>
        <v>25</v>
      </c>
      <c r="S36" s="85">
        <f>COUNTIFS(tblMatriculas[Código],tblGrupos[[#This Row],[Código]],tblMatriculas[Nivel],"⚪ SIN REGISTRO")</f>
        <v>0</v>
      </c>
      <c r="T36" s="87">
        <f>IF(tblGrupos[[#This Row],[Estudiantes evaluados]]=0,"",(tblGrupos[[#This Row],[Críticos]]+tblGrupos[[#This Row],[Alerta]]+tblGrupos[[#This Row],[Seguimiento]])/tblGrupos[[#This Row],[Estudiantes evaluados]])</f>
        <v>0.2857142857142857</v>
      </c>
      <c r="U36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7" spans="1:21" x14ac:dyDescent="0.2">
      <c r="A37" s="26" t="s">
        <v>2593</v>
      </c>
      <c r="B37" s="85" t="str">
        <f>_xlfn.XLOOKUP(tblGrupos[[#This Row],[Código]],tblMatriculas[Código],tblMatriculas[Programa])</f>
        <v>IA APLICADA Y AUTOMATIZACIÓN DE PROCESOS CON IA GENERATIVA</v>
      </c>
      <c r="C37" s="85" t="str">
        <f>_xlfn.XLOOKUP(tblGrupos[[#This Row],[Código]],tblMatriculas[Código],tblMatriculas[Grupo])</f>
        <v>IAA-14 - IA Aplicada y Automatización</v>
      </c>
      <c r="D37" s="85" t="str">
        <f>_xlfn.XLOOKUP(tblGrupos[[#This Row],[Código]],tblMatriculas[Código],tblMatriculas[Docente])</f>
        <v>Diego Fernando Velez</v>
      </c>
      <c r="E37" s="85" t="str">
        <f>_xlfn.XLOOKUP(tblGrupos[[#This Row],[Código]],tblMatriculas[Código],tblMatriculas[Horario])</f>
        <v>Martes 08:00-11:00 | Jueves 08:00-11:00</v>
      </c>
      <c r="F37" s="85">
        <f>_xlfn.MINIFS(tblMatriculas[Clases planeadas],tblMatriculas[Código],tblGrupos[[#This Row],[Código]])</f>
        <v>30</v>
      </c>
      <c r="G37" s="85">
        <f>_xlfn.MAXIFS(tblMatriculas[Asistidas],tblMatriculas[Código],tblGrupos[[#This Row],[Código]],tblMatriculas[Clases planeadas],tblGrupos[[#This Row],[Clases planeadas]],tblMatriculas[Estado],"activa")</f>
        <v>6</v>
      </c>
      <c r="H37" s="86"/>
      <c r="I37" s="85">
        <f>IF(tblGrupos[[#This Row],[Clases dictadas (manual)]]&lt;&gt;"",tblGrupos[[#This Row],[Clases dictadas (manual)]],tblGrupos[[#This Row],[Clases dictadas (est.)]])</f>
        <v>6</v>
      </c>
      <c r="J37" s="85">
        <f>COUNTIFS(tblMatriculas[Código],tblGrupos[[#This Row],[Código]],tblMatriculas[Estado],"activa")</f>
        <v>26</v>
      </c>
      <c r="K37" s="85">
        <f>COUNTIFS(tblMatriculas[Código],tblGrupos[[#This Row],[Código]],tblMatriculas[Incluir],TRUE)</f>
        <v>26</v>
      </c>
      <c r="L37" s="85">
        <f>SUMIFS(tblMatriculas[Asistidas],tblMatriculas[Código],tblGrupos[[#This Row],[Código]],tblMatriculas[Incluir],TRUE)</f>
        <v>114</v>
      </c>
      <c r="M37" s="85">
        <f>SUMIFS(tblMatriculas[Inasistencias],tblMatriculas[Código],tblGrupos[[#This Row],[Código]],tblMatriculas[Incluir],TRUE)</f>
        <v>53</v>
      </c>
      <c r="N37" s="87">
        <f>IFERROR(AVERAGEIFS(tblMatriculas[% asistencia],tblMatriculas[Código],tblGrupos[[#This Row],[Código]],tblMatriculas[Incluir],TRUE),"")</f>
        <v>0.14230769230769236</v>
      </c>
      <c r="O37" s="85">
        <f>COUNTIFS(tblMatriculas[Código],tblGrupos[[#This Row],[Código]],tblMatriculas[Nivel],INDEX(tblNiveles[Nivel],1))</f>
        <v>3</v>
      </c>
      <c r="P37" s="85">
        <f>COUNTIFS(tblMatriculas[Código],tblGrupos[[#This Row],[Código]],tblMatriculas[Nivel],INDEX(tblNiveles[Nivel],2))</f>
        <v>1</v>
      </c>
      <c r="Q37" s="85">
        <f>COUNTIFS(tblMatriculas[Código],tblGrupos[[#This Row],[Código]],tblMatriculas[Nivel],INDEX(tblNiveles[Nivel],3))</f>
        <v>1</v>
      </c>
      <c r="R37" s="85">
        <f>COUNTIFS(tblMatriculas[Código],tblGrupos[[#This Row],[Código]],tblMatriculas[Nivel],INDEX(tblNiveles[Nivel],4))</f>
        <v>21</v>
      </c>
      <c r="S37" s="85">
        <f>COUNTIFS(tblMatriculas[Código],tblGrupos[[#This Row],[Código]],tblMatriculas[Nivel],"⚪ SIN REGISTRO")</f>
        <v>0</v>
      </c>
      <c r="T37" s="87">
        <f>IF(tblGrupos[[#This Row],[Estudiantes evaluados]]=0,"",(tblGrupos[[#This Row],[Críticos]]+tblGrupos[[#This Row],[Alerta]]+tblGrupos[[#This Row],[Seguimiento]])/tblGrupos[[#This Row],[Estudiantes evaluados]])</f>
        <v>0.19230769230769232</v>
      </c>
      <c r="U37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8" spans="1:21" x14ac:dyDescent="0.2">
      <c r="A38" s="26" t="s">
        <v>2648</v>
      </c>
      <c r="B38" s="85" t="str">
        <f>_xlfn.XLOOKUP(tblGrupos[[#This Row],[Código]],tblMatriculas[Código],tblMatriculas[Programa])</f>
        <v>IA APLICADA Y AUTOMATIZACIÓN DE PROCESOS CON IA GENERATIVA</v>
      </c>
      <c r="C38" s="85" t="str">
        <f>_xlfn.XLOOKUP(tblGrupos[[#This Row],[Código]],tblMatriculas[Código],tblMatriculas[Grupo])</f>
        <v>IAA-15 - IA Aplicada y Automatización</v>
      </c>
      <c r="D38" s="85" t="str">
        <f>_xlfn.XLOOKUP(tblGrupos[[#This Row],[Código]],tblMatriculas[Código],tblMatriculas[Docente])</f>
        <v>Carlos Jaramillo</v>
      </c>
      <c r="E38" s="85" t="str">
        <f>_xlfn.XLOOKUP(tblGrupos[[#This Row],[Código]],tblMatriculas[Código],tblMatriculas[Horario])</f>
        <v>Martes 08:00-11:00 | Jueves 08:00-11:00</v>
      </c>
      <c r="F38" s="85">
        <f>_xlfn.MINIFS(tblMatriculas[Clases planeadas],tblMatriculas[Código],tblGrupos[[#This Row],[Código]])</f>
        <v>30</v>
      </c>
      <c r="G38" s="85">
        <f>_xlfn.MAXIFS(tblMatriculas[Asistidas],tblMatriculas[Código],tblGrupos[[#This Row],[Código]],tblMatriculas[Clases planeadas],tblGrupos[[#This Row],[Clases planeadas]],tblMatriculas[Estado],"activa")</f>
        <v>5</v>
      </c>
      <c r="H38" s="86"/>
      <c r="I38" s="85">
        <f>IF(tblGrupos[[#This Row],[Clases dictadas (manual)]]&lt;&gt;"",tblGrupos[[#This Row],[Clases dictadas (manual)]],tblGrupos[[#This Row],[Clases dictadas (est.)]])</f>
        <v>5</v>
      </c>
      <c r="J38" s="85">
        <f>COUNTIFS(tblMatriculas[Código],tblGrupos[[#This Row],[Código]],tblMatriculas[Estado],"activa")</f>
        <v>22</v>
      </c>
      <c r="K38" s="85">
        <f>COUNTIFS(tblMatriculas[Código],tblGrupos[[#This Row],[Código]],tblMatriculas[Incluir],TRUE)</f>
        <v>22</v>
      </c>
      <c r="L38" s="85">
        <f>SUMIFS(tblMatriculas[Asistidas],tblMatriculas[Código],tblGrupos[[#This Row],[Código]],tblMatriculas[Incluir],TRUE)</f>
        <v>80</v>
      </c>
      <c r="M38" s="85">
        <f>SUMIFS(tblMatriculas[Inasistencias],tblMatriculas[Código],tblGrupos[[#This Row],[Código]],tblMatriculas[Incluir],TRUE)</f>
        <v>30</v>
      </c>
      <c r="N38" s="87">
        <f>IFERROR(AVERAGEIFS(tblMatriculas[% asistencia],tblMatriculas[Código],tblGrupos[[#This Row],[Código]],tblMatriculas[Incluir],TRUE),"")</f>
        <v>0.12136363636363635</v>
      </c>
      <c r="O38" s="85">
        <f>COUNTIFS(tblMatriculas[Código],tblGrupos[[#This Row],[Código]],tblMatriculas[Nivel],INDEX(tblNiveles[Nivel],1))</f>
        <v>2</v>
      </c>
      <c r="P38" s="85">
        <f>COUNTIFS(tblMatriculas[Código],tblGrupos[[#This Row],[Código]],tblMatriculas[Nivel],INDEX(tblNiveles[Nivel],2))</f>
        <v>1</v>
      </c>
      <c r="Q38" s="85">
        <f>COUNTIFS(tblMatriculas[Código],tblGrupos[[#This Row],[Código]],tblMatriculas[Nivel],INDEX(tblNiveles[Nivel],3))</f>
        <v>3</v>
      </c>
      <c r="R38" s="85">
        <f>COUNTIFS(tblMatriculas[Código],tblGrupos[[#This Row],[Código]],tblMatriculas[Nivel],INDEX(tblNiveles[Nivel],4))</f>
        <v>16</v>
      </c>
      <c r="S38" s="85">
        <f>COUNTIFS(tblMatriculas[Código],tblGrupos[[#This Row],[Código]],tblMatriculas[Nivel],"⚪ SIN REGISTRO")</f>
        <v>0</v>
      </c>
      <c r="T38" s="87">
        <f>IF(tblGrupos[[#This Row],[Estudiantes evaluados]]=0,"",(tblGrupos[[#This Row],[Críticos]]+tblGrupos[[#This Row],[Alerta]]+tblGrupos[[#This Row],[Seguimiento]])/tblGrupos[[#This Row],[Estudiantes evaluados]])</f>
        <v>0.27272727272727271</v>
      </c>
      <c r="U3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39" spans="1:21" x14ac:dyDescent="0.2">
      <c r="A39" s="26" t="s">
        <v>2697</v>
      </c>
      <c r="B39" s="85" t="str">
        <f>_xlfn.XLOOKUP(tblGrupos[[#This Row],[Código]],tblMatriculas[Código],tblMatriculas[Programa])</f>
        <v>IA APLICADA Y AUTOMATIZACIÓN DE PROCESOS CON IA GENERATIVA</v>
      </c>
      <c r="C39" s="85" t="str">
        <f>_xlfn.XLOOKUP(tblGrupos[[#This Row],[Código]],tblMatriculas[Código],tblMatriculas[Grupo])</f>
        <v>IAA-16 - IA Aplicada y Automatización</v>
      </c>
      <c r="D39" s="85" t="str">
        <f>_xlfn.XLOOKUP(tblGrupos[[#This Row],[Código]],tblMatriculas[Código],tblMatriculas[Docente])</f>
        <v>Efrain Vargas</v>
      </c>
      <c r="E39" s="85" t="str">
        <f>_xlfn.XLOOKUP(tblGrupos[[#This Row],[Código]],tblMatriculas[Código],tblMatriculas[Horario])</f>
        <v>Domingo 09:00-12:00 | Domingo 13:00-16:00</v>
      </c>
      <c r="F39" s="85">
        <f>_xlfn.MINIFS(tblMatriculas[Clases planeadas],tblMatriculas[Código],tblGrupos[[#This Row],[Código]])</f>
        <v>30</v>
      </c>
      <c r="G39" s="85">
        <f>_xlfn.MAXIFS(tblMatriculas[Asistidas],tblMatriculas[Código],tblGrupos[[#This Row],[Código]],tblMatriculas[Clases planeadas],tblGrupos[[#This Row],[Clases planeadas]],tblMatriculas[Estado],"activa")</f>
        <v>2</v>
      </c>
      <c r="H39" s="86"/>
      <c r="I39" s="85">
        <f>IF(tblGrupos[[#This Row],[Clases dictadas (manual)]]&lt;&gt;"",tblGrupos[[#This Row],[Clases dictadas (manual)]],tblGrupos[[#This Row],[Clases dictadas (est.)]])</f>
        <v>2</v>
      </c>
      <c r="J39" s="85">
        <f>COUNTIFS(tblMatriculas[Código],tblGrupos[[#This Row],[Código]],tblMatriculas[Estado],"activa")</f>
        <v>45</v>
      </c>
      <c r="K39" s="85">
        <f>COUNTIFS(tblMatriculas[Código],tblGrupos[[#This Row],[Código]],tblMatriculas[Incluir],TRUE)</f>
        <v>45</v>
      </c>
      <c r="L39" s="85">
        <f>SUMIFS(tblMatriculas[Asistidas],tblMatriculas[Código],tblGrupos[[#This Row],[Código]],tblMatriculas[Incluir],TRUE)</f>
        <v>74</v>
      </c>
      <c r="M39" s="85">
        <f>SUMIFS(tblMatriculas[Inasistencias],tblMatriculas[Código],tblGrupos[[#This Row],[Código]],tblMatriculas[Incluir],TRUE)</f>
        <v>27</v>
      </c>
      <c r="N39" s="87">
        <f>IFERROR(AVERAGEIFS(tblMatriculas[% asistencia],tblMatriculas[Código],tblGrupos[[#This Row],[Código]],tblMatriculas[Incluir],TRUE),"")</f>
        <v>5.2111111111111108E-2</v>
      </c>
      <c r="O39" s="85">
        <f>COUNTIFS(tblMatriculas[Código],tblGrupos[[#This Row],[Código]],tblMatriculas[Nivel],INDEX(tblNiveles[Nivel],1))</f>
        <v>10</v>
      </c>
      <c r="P39" s="85">
        <f>COUNTIFS(tblMatriculas[Código],tblGrupos[[#This Row],[Código]],tblMatriculas[Nivel],INDEX(tblNiveles[Nivel],2))</f>
        <v>0</v>
      </c>
      <c r="Q39" s="85">
        <f>COUNTIFS(tblMatriculas[Código],tblGrupos[[#This Row],[Código]],tblMatriculas[Nivel],INDEX(tblNiveles[Nivel],3))</f>
        <v>35</v>
      </c>
      <c r="R39" s="85">
        <f>COUNTIFS(tblMatriculas[Código],tblGrupos[[#This Row],[Código]],tblMatriculas[Nivel],INDEX(tblNiveles[Nivel],4))</f>
        <v>0</v>
      </c>
      <c r="S39" s="85">
        <f>COUNTIFS(tblMatriculas[Código],tblGrupos[[#This Row],[Código]],tblMatriculas[Nivel],"⚪ SIN REGISTRO")</f>
        <v>0</v>
      </c>
      <c r="T39" s="87">
        <f>IF(tblGrupos[[#This Row],[Estudiantes evaluados]]=0,"",(tblGrupos[[#This Row],[Críticos]]+tblGrupos[[#This Row],[Alerta]]+tblGrupos[[#This Row],[Seguimiento]])/tblGrupos[[#This Row],[Estudiantes evaluados]])</f>
        <v>1</v>
      </c>
      <c r="U39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40" spans="1:21" x14ac:dyDescent="0.2">
      <c r="A40" s="26" t="s">
        <v>2793</v>
      </c>
      <c r="B40" s="85" t="str">
        <f>_xlfn.XLOOKUP(tblGrupos[[#This Row],[Código]],tblMatriculas[Código],tblMatriculas[Programa])</f>
        <v>IA APLICADA Y AUTOMATIZACIÓN DE PROCESOS CON IA GENERATIVA</v>
      </c>
      <c r="C40" s="85" t="str">
        <f>_xlfn.XLOOKUP(tblGrupos[[#This Row],[Código]],tblMatriculas[Código],tblMatriculas[Grupo])</f>
        <v>IAA-17 - IA Aplicada y Automatización</v>
      </c>
      <c r="D40" s="85" t="str">
        <f>_xlfn.XLOOKUP(tblGrupos[[#This Row],[Código]],tblMatriculas[Código],tblMatriculas[Docente])</f>
        <v>Efrain Vargas</v>
      </c>
      <c r="E40" s="85" t="str">
        <f>_xlfn.XLOOKUP(tblGrupos[[#This Row],[Código]],tblMatriculas[Código],tblMatriculas[Horario])</f>
        <v>Sábado 09:00-12:00 | Sábado 13:00-16:00</v>
      </c>
      <c r="F40" s="85">
        <f>_xlfn.MINIFS(tblMatriculas[Clases planeadas],tblMatriculas[Código],tblGrupos[[#This Row],[Código]])</f>
        <v>30</v>
      </c>
      <c r="G40" s="85">
        <f>_xlfn.MAXIFS(tblMatriculas[Asistidas],tblMatriculas[Código],tblGrupos[[#This Row],[Código]],tblMatriculas[Clases planeadas],tblGrupos[[#This Row],[Clases planeadas]],tblMatriculas[Estado],"activa")</f>
        <v>4</v>
      </c>
      <c r="H40" s="86"/>
      <c r="I40" s="85">
        <f>IF(tblGrupos[[#This Row],[Clases dictadas (manual)]]&lt;&gt;"",tblGrupos[[#This Row],[Clases dictadas (manual)]],tblGrupos[[#This Row],[Clases dictadas (est.)]])</f>
        <v>4</v>
      </c>
      <c r="J40" s="85">
        <f>COUNTIFS(tblMatriculas[Código],tblGrupos[[#This Row],[Código]],tblMatriculas[Estado],"activa")</f>
        <v>33</v>
      </c>
      <c r="K40" s="85">
        <f>COUNTIFS(tblMatriculas[Código],tblGrupos[[#This Row],[Código]],tblMatriculas[Incluir],TRUE)</f>
        <v>33</v>
      </c>
      <c r="L40" s="85">
        <f>SUMIFS(tblMatriculas[Asistidas],tblMatriculas[Código],tblGrupos[[#This Row],[Código]],tblMatriculas[Incluir],TRUE)</f>
        <v>104</v>
      </c>
      <c r="M40" s="85">
        <f>SUMIFS(tblMatriculas[Inasistencias],tblMatriculas[Código],tblGrupos[[#This Row],[Código]],tblMatriculas[Incluir],TRUE)</f>
        <v>38</v>
      </c>
      <c r="N40" s="87">
        <f>IFERROR(AVERAGEIFS(tblMatriculas[% asistencia],tblMatriculas[Código],tblGrupos[[#This Row],[Código]],tblMatriculas[Incluir],TRUE),"")</f>
        <v>0.10478787878787879</v>
      </c>
      <c r="O40" s="85">
        <f>COUNTIFS(tblMatriculas[Código],tblGrupos[[#This Row],[Código]],tblMatriculas[Nivel],INDEX(tblNiveles[Nivel],1))</f>
        <v>7</v>
      </c>
      <c r="P40" s="85">
        <f>COUNTIFS(tblMatriculas[Código],tblGrupos[[#This Row],[Código]],tblMatriculas[Nivel],INDEX(tblNiveles[Nivel],2))</f>
        <v>0</v>
      </c>
      <c r="Q40" s="85">
        <f>COUNTIFS(tblMatriculas[Código],tblGrupos[[#This Row],[Código]],tblMatriculas[Nivel],INDEX(tblNiveles[Nivel],3))</f>
        <v>0</v>
      </c>
      <c r="R40" s="85">
        <f>COUNTIFS(tblMatriculas[Código],tblGrupos[[#This Row],[Código]],tblMatriculas[Nivel],INDEX(tblNiveles[Nivel],4))</f>
        <v>26</v>
      </c>
      <c r="S40" s="85">
        <f>COUNTIFS(tblMatriculas[Código],tblGrupos[[#This Row],[Código]],tblMatriculas[Nivel],"⚪ SIN REGISTRO")</f>
        <v>0</v>
      </c>
      <c r="T40" s="87">
        <f>IF(tblGrupos[[#This Row],[Estudiantes evaluados]]=0,"",(tblGrupos[[#This Row],[Críticos]]+tblGrupos[[#This Row],[Alerta]]+tblGrupos[[#This Row],[Seguimiento]])/tblGrupos[[#This Row],[Estudiantes evaluados]])</f>
        <v>0.21212121212121213</v>
      </c>
      <c r="U40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41" spans="1:21" x14ac:dyDescent="0.2">
      <c r="A41" s="26" t="s">
        <v>2870</v>
      </c>
      <c r="B41" s="85" t="str">
        <f>_xlfn.XLOOKUP(tblGrupos[[#This Row],[Código]],tblMatriculas[Código],tblMatriculas[Programa])</f>
        <v>IA APLICADA Y AUTOMATIZACIÓN DE PROCESOS CON IA GENERATIVA</v>
      </c>
      <c r="C41" s="85" t="str">
        <f>_xlfn.XLOOKUP(tblGrupos[[#This Row],[Código]],tblMatriculas[Código],tblMatriculas[Grupo])</f>
        <v>IAA-18 - IA Aplicada y Automatización</v>
      </c>
      <c r="D41" s="85" t="str">
        <f>_xlfn.XLOOKUP(tblGrupos[[#This Row],[Código]],tblMatriculas[Código],tblMatriculas[Docente])</f>
        <v>Deiner Alonso Rivera</v>
      </c>
      <c r="E41" s="85" t="str">
        <f>_xlfn.XLOOKUP(tblGrupos[[#This Row],[Código]],tblMatriculas[Código],tblMatriculas[Horario])</f>
        <v>Sábado 09:00-12:00 | Sábado 13:00-16:00</v>
      </c>
      <c r="F41" s="85">
        <f>_xlfn.MINIFS(tblMatriculas[Clases planeadas],tblMatriculas[Código],tblGrupos[[#This Row],[Código]])</f>
        <v>30</v>
      </c>
      <c r="G41" s="85">
        <f>_xlfn.MAXIFS(tblMatriculas[Asistidas],tblMatriculas[Código],tblGrupos[[#This Row],[Código]],tblMatriculas[Clases planeadas],tblGrupos[[#This Row],[Clases planeadas]],tblMatriculas[Estado],"activa")</f>
        <v>2</v>
      </c>
      <c r="H41" s="86"/>
      <c r="I41" s="85">
        <f>IF(tblGrupos[[#This Row],[Clases dictadas (manual)]]&lt;&gt;"",tblGrupos[[#This Row],[Clases dictadas (manual)]],tblGrupos[[#This Row],[Clases dictadas (est.)]])</f>
        <v>2</v>
      </c>
      <c r="J41" s="85">
        <f>COUNTIFS(tblMatriculas[Código],tblGrupos[[#This Row],[Código]],tblMatriculas[Estado],"activa")</f>
        <v>37</v>
      </c>
      <c r="K41" s="85">
        <f>COUNTIFS(tblMatriculas[Código],tblGrupos[[#This Row],[Código]],tblMatriculas[Incluir],TRUE)</f>
        <v>37</v>
      </c>
      <c r="L41" s="85">
        <f>SUMIFS(tblMatriculas[Asistidas],tblMatriculas[Código],tblGrupos[[#This Row],[Código]],tblMatriculas[Incluir],TRUE)</f>
        <v>50</v>
      </c>
      <c r="M41" s="85">
        <f>SUMIFS(tblMatriculas[Inasistencias],tblMatriculas[Código],tblGrupos[[#This Row],[Código]],tblMatriculas[Incluir],TRUE)</f>
        <v>24</v>
      </c>
      <c r="N41" s="87">
        <f>IFERROR(AVERAGEIFS(tblMatriculas[% asistencia],tblMatriculas[Código],tblGrupos[[#This Row],[Código]],tblMatriculas[Incluir],TRUE),"")</f>
        <v>4.5162162162162137E-2</v>
      </c>
      <c r="O41" s="85">
        <f>COUNTIFS(tblMatriculas[Código],tblGrupos[[#This Row],[Código]],tblMatriculas[Nivel],INDEX(tblNiveles[Nivel],1))</f>
        <v>8</v>
      </c>
      <c r="P41" s="85">
        <f>COUNTIFS(tblMatriculas[Código],tblGrupos[[#This Row],[Código]],tblMatriculas[Nivel],INDEX(tblNiveles[Nivel],2))</f>
        <v>8</v>
      </c>
      <c r="Q41" s="85">
        <f>COUNTIFS(tblMatriculas[Código],tblGrupos[[#This Row],[Código]],tblMatriculas[Nivel],INDEX(tblNiveles[Nivel],3))</f>
        <v>21</v>
      </c>
      <c r="R41" s="85">
        <f>COUNTIFS(tblMatriculas[Código],tblGrupos[[#This Row],[Código]],tblMatriculas[Nivel],INDEX(tblNiveles[Nivel],4))</f>
        <v>0</v>
      </c>
      <c r="S41" s="85">
        <f>COUNTIFS(tblMatriculas[Código],tblGrupos[[#This Row],[Código]],tblMatriculas[Nivel],"⚪ SIN REGISTRO")</f>
        <v>0</v>
      </c>
      <c r="T41" s="87">
        <f>IF(tblGrupos[[#This Row],[Estudiantes evaluados]]=0,"",(tblGrupos[[#This Row],[Críticos]]+tblGrupos[[#This Row],[Alerta]]+tblGrupos[[#This Row],[Seguimiento]])/tblGrupos[[#This Row],[Estudiantes evaluados]])</f>
        <v>1</v>
      </c>
      <c r="U41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42" spans="1:21" x14ac:dyDescent="0.2">
      <c r="A42" s="26" t="s">
        <v>2946</v>
      </c>
      <c r="B42" s="85" t="str">
        <f>_xlfn.XLOOKUP(tblGrupos[[#This Row],[Código]],tblMatriculas[Código],tblMatriculas[Programa])</f>
        <v>IA APLICADA Y AUTOMATIZACIÓN DE PROCESOS CON IA GENERATIVA</v>
      </c>
      <c r="C42" s="85" t="str">
        <f>_xlfn.XLOOKUP(tblGrupos[[#This Row],[Código]],tblMatriculas[Código],tblMatriculas[Grupo])</f>
        <v>IAA-19 - IA Aplicada y Automatización</v>
      </c>
      <c r="D42" s="85" t="str">
        <f>_xlfn.XLOOKUP(tblGrupos[[#This Row],[Código]],tblMatriculas[Código],tblMatriculas[Docente])</f>
        <v>Erick Ruiz</v>
      </c>
      <c r="E42" s="85" t="str">
        <f>_xlfn.XLOOKUP(tblGrupos[[#This Row],[Código]],tblMatriculas[Código],tblMatriculas[Horario])</f>
        <v>Sábado 09:00-12:00 | Domingo 09:00-12:00</v>
      </c>
      <c r="F42" s="85">
        <f>_xlfn.MINIFS(tblMatriculas[Clases planeadas],tblMatriculas[Código],tblGrupos[[#This Row],[Código]])</f>
        <v>30</v>
      </c>
      <c r="G42" s="85">
        <f>_xlfn.MAXIFS(tblMatriculas[Asistidas],tblMatriculas[Código],tblGrupos[[#This Row],[Código]],tblMatriculas[Clases planeadas],tblGrupos[[#This Row],[Clases planeadas]],tblMatriculas[Estado],"activa")</f>
        <v>4</v>
      </c>
      <c r="H42" s="86"/>
      <c r="I42" s="85">
        <f>IF(tblGrupos[[#This Row],[Clases dictadas (manual)]]&lt;&gt;"",tblGrupos[[#This Row],[Clases dictadas (manual)]],tblGrupos[[#This Row],[Clases dictadas (est.)]])</f>
        <v>4</v>
      </c>
      <c r="J42" s="85">
        <f>COUNTIFS(tblMatriculas[Código],tblGrupos[[#This Row],[Código]],tblMatriculas[Estado],"activa")</f>
        <v>40</v>
      </c>
      <c r="K42" s="85">
        <f>COUNTIFS(tblMatriculas[Código],tblGrupos[[#This Row],[Código]],tblMatriculas[Incluir],TRUE)</f>
        <v>40</v>
      </c>
      <c r="L42" s="85">
        <f>SUMIFS(tblMatriculas[Asistidas],tblMatriculas[Código],tblGrupos[[#This Row],[Código]],tblMatriculas[Incluir],TRUE)</f>
        <v>118</v>
      </c>
      <c r="M42" s="85">
        <f>SUMIFS(tblMatriculas[Inasistencias],tblMatriculas[Código],tblGrupos[[#This Row],[Código]],tblMatriculas[Incluir],TRUE)</f>
        <v>48</v>
      </c>
      <c r="N42" s="87">
        <f>IFERROR(AVERAGEIFS(tblMatriculas[% asistencia],tblMatriculas[Código],tblGrupos[[#This Row],[Código]],tblMatriculas[Incluir],TRUE),"")</f>
        <v>9.6050000000000024E-2</v>
      </c>
      <c r="O42" s="85">
        <f>COUNTIFS(tblMatriculas[Código],tblGrupos[[#This Row],[Código]],tblMatriculas[Nivel],INDEX(tblNiveles[Nivel],1))</f>
        <v>0</v>
      </c>
      <c r="P42" s="85">
        <f>COUNTIFS(tblMatriculas[Código],tblGrupos[[#This Row],[Código]],tblMatriculas[Nivel],INDEX(tblNiveles[Nivel],2))</f>
        <v>9</v>
      </c>
      <c r="Q42" s="85">
        <f>COUNTIFS(tblMatriculas[Código],tblGrupos[[#This Row],[Código]],tblMatriculas[Nivel],INDEX(tblNiveles[Nivel],3))</f>
        <v>4</v>
      </c>
      <c r="R42" s="85">
        <f>COUNTIFS(tblMatriculas[Código],tblGrupos[[#This Row],[Código]],tblMatriculas[Nivel],INDEX(tblNiveles[Nivel],4))</f>
        <v>27</v>
      </c>
      <c r="S42" s="85">
        <f>COUNTIFS(tblMatriculas[Código],tblGrupos[[#This Row],[Código]],tblMatriculas[Nivel],"⚪ SIN REGISTRO")</f>
        <v>0</v>
      </c>
      <c r="T42" s="87">
        <f>IF(tblGrupos[[#This Row],[Estudiantes evaluados]]=0,"",(tblGrupos[[#This Row],[Críticos]]+tblGrupos[[#This Row],[Alerta]]+tblGrupos[[#This Row],[Seguimiento]])/tblGrupos[[#This Row],[Estudiantes evaluados]])</f>
        <v>0.32500000000000001</v>
      </c>
      <c r="U42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43" spans="1:21" x14ac:dyDescent="0.2">
      <c r="A43" s="26" t="s">
        <v>3029</v>
      </c>
      <c r="B43" s="85" t="str">
        <f>_xlfn.XLOOKUP(tblGrupos[[#This Row],[Código]],tblMatriculas[Código],tblMatriculas[Programa])</f>
        <v>IA APLICADA Y AUTOMATIZACIÓN DE PROCESOS CON IA GENERATIVA</v>
      </c>
      <c r="C43" s="85" t="str">
        <f>_xlfn.XLOOKUP(tblGrupos[[#This Row],[Código]],tblMatriculas[Código],tblMatriculas[Grupo])</f>
        <v>IAA-20 - IA Aplicada y Automatización</v>
      </c>
      <c r="D43" s="85" t="str">
        <f>_xlfn.XLOOKUP(tblGrupos[[#This Row],[Código]],tblMatriculas[Código],tblMatriculas[Docente])</f>
        <v>David Hincapié</v>
      </c>
      <c r="E43" s="85" t="str">
        <f>_xlfn.XLOOKUP(tblGrupos[[#This Row],[Código]],tblMatriculas[Código],tblMatriculas[Horario])</f>
        <v>Sábado 09:00-12:00 | Domingo 09:00-12:00</v>
      </c>
      <c r="F43" s="85">
        <f>_xlfn.MINIFS(tblMatriculas[Clases planeadas],tblMatriculas[Código],tblGrupos[[#This Row],[Código]])</f>
        <v>30</v>
      </c>
      <c r="G43" s="85">
        <f>_xlfn.MAXIFS(tblMatriculas[Asistidas],tblMatriculas[Código],tblGrupos[[#This Row],[Código]],tblMatriculas[Clases planeadas],tblGrupos[[#This Row],[Clases planeadas]],tblMatriculas[Estado],"activa")</f>
        <v>1</v>
      </c>
      <c r="H43" s="86"/>
      <c r="I43" s="85">
        <f>IF(tblGrupos[[#This Row],[Clases dictadas (manual)]]&lt;&gt;"",tblGrupos[[#This Row],[Clases dictadas (manual)]],tblGrupos[[#This Row],[Clases dictadas (est.)]])</f>
        <v>1</v>
      </c>
      <c r="J43" s="85">
        <f>COUNTIFS(tblMatriculas[Código],tblGrupos[[#This Row],[Código]],tblMatriculas[Estado],"activa")</f>
        <v>26</v>
      </c>
      <c r="K43" s="85">
        <f>COUNTIFS(tblMatriculas[Código],tblGrupos[[#This Row],[Código]],tblMatriculas[Incluir],TRUE)</f>
        <v>26</v>
      </c>
      <c r="L43" s="85">
        <f>SUMIFS(tblMatriculas[Asistidas],tblMatriculas[Código],tblGrupos[[#This Row],[Código]],tblMatriculas[Incluir],TRUE)</f>
        <v>17</v>
      </c>
      <c r="M43" s="85">
        <f>SUMIFS(tblMatriculas[Inasistencias],tblMatriculas[Código],tblGrupos[[#This Row],[Código]],tblMatriculas[Incluir],TRUE)</f>
        <v>9</v>
      </c>
      <c r="N43" s="87">
        <f>IFERROR(AVERAGEIFS(tblMatriculas[% asistencia],tblMatriculas[Código],tblGrupos[[#This Row],[Código]],tblMatriculas[Incluir],TRUE),"")</f>
        <v>2.1576923076923087E-2</v>
      </c>
      <c r="O43" s="85">
        <f>COUNTIFS(tblMatriculas[Código],tblGrupos[[#This Row],[Código]],tblMatriculas[Nivel],INDEX(tblNiveles[Nivel],1))</f>
        <v>9</v>
      </c>
      <c r="P43" s="85">
        <f>COUNTIFS(tblMatriculas[Código],tblGrupos[[#This Row],[Código]],tblMatriculas[Nivel],INDEX(tblNiveles[Nivel],2))</f>
        <v>17</v>
      </c>
      <c r="Q43" s="85">
        <f>COUNTIFS(tblMatriculas[Código],tblGrupos[[#This Row],[Código]],tblMatriculas[Nivel],INDEX(tblNiveles[Nivel],3))</f>
        <v>0</v>
      </c>
      <c r="R43" s="85">
        <f>COUNTIFS(tblMatriculas[Código],tblGrupos[[#This Row],[Código]],tblMatriculas[Nivel],INDEX(tblNiveles[Nivel],4))</f>
        <v>0</v>
      </c>
      <c r="S43" s="85">
        <f>COUNTIFS(tblMatriculas[Código],tblGrupos[[#This Row],[Código]],tblMatriculas[Nivel],"⚪ SIN REGISTRO")</f>
        <v>0</v>
      </c>
      <c r="T43" s="87">
        <f>IF(tblGrupos[[#This Row],[Estudiantes evaluados]]=0,"",(tblGrupos[[#This Row],[Críticos]]+tblGrupos[[#This Row],[Alerta]]+tblGrupos[[#This Row],[Seguimiento]])/tblGrupos[[#This Row],[Estudiantes evaluados]])</f>
        <v>1</v>
      </c>
      <c r="U43" s="85" t="str">
        <f>IF(tblGrupos[[#This Row],[% asistencia]]="","⚪ SIN REGISTRO",_xlfn.XLOOKUP(ROUND(tblGrupos[[#This Row],[% asistencia]],3),tblNiveles[Hasta (% asistencia, incluido)],tblNiveles[Nivel],,1))</f>
        <v>🟠 ALERTA</v>
      </c>
    </row>
    <row r="44" spans="1:21" x14ac:dyDescent="0.2">
      <c r="A44" s="26" t="s">
        <v>3084</v>
      </c>
      <c r="B44" s="85" t="str">
        <f>_xlfn.XLOOKUP(tblGrupos[[#This Row],[Código]],tblMatriculas[Código],tblMatriculas[Programa])</f>
        <v>IA APLICADA Y AUTOMATIZACIÓN DE PROCESOS CON IA GENERATIVA</v>
      </c>
      <c r="C44" s="85" t="str">
        <f>_xlfn.XLOOKUP(tblGrupos[[#This Row],[Código]],tblMatriculas[Código],tblMatriculas[Grupo])</f>
        <v>IAA-21 - IA Aplicada y Automatización</v>
      </c>
      <c r="D44" s="85" t="str">
        <f>_xlfn.XLOOKUP(tblGrupos[[#This Row],[Código]],tblMatriculas[Código],tblMatriculas[Docente])</f>
        <v>Carlos Jaramillo</v>
      </c>
      <c r="E44" s="85" t="str">
        <f>_xlfn.XLOOKUP(tblGrupos[[#This Row],[Código]],tblMatriculas[Código],tblMatriculas[Horario])</f>
        <v>Sábado 09:00-12:00 | Sábado 13:00-16:00</v>
      </c>
      <c r="F44" s="85">
        <f>_xlfn.MINIFS(tblMatriculas[Clases planeadas],tblMatriculas[Código],tblGrupos[[#This Row],[Código]])</f>
        <v>30</v>
      </c>
      <c r="G44" s="85">
        <f>_xlfn.MAXIFS(tblMatriculas[Asistidas],tblMatriculas[Código],tblGrupos[[#This Row],[Código]],tblMatriculas[Clases planeadas],tblGrupos[[#This Row],[Clases planeadas]],tblMatriculas[Estado],"activa")</f>
        <v>2</v>
      </c>
      <c r="H44" s="86"/>
      <c r="I44" s="85">
        <f>IF(tblGrupos[[#This Row],[Clases dictadas (manual)]]&lt;&gt;"",tblGrupos[[#This Row],[Clases dictadas (manual)]],tblGrupos[[#This Row],[Clases dictadas (est.)]])</f>
        <v>2</v>
      </c>
      <c r="J44" s="85">
        <f>COUNTIFS(tblMatriculas[Código],tblGrupos[[#This Row],[Código]],tblMatriculas[Estado],"activa")</f>
        <v>42</v>
      </c>
      <c r="K44" s="85">
        <f>COUNTIFS(tblMatriculas[Código],tblGrupos[[#This Row],[Código]],tblMatriculas[Incluir],TRUE)</f>
        <v>41</v>
      </c>
      <c r="L44" s="85">
        <f>SUMIFS(tblMatriculas[Asistidas],tblMatriculas[Código],tblGrupos[[#This Row],[Código]],tblMatriculas[Incluir],TRUE)</f>
        <v>73</v>
      </c>
      <c r="M44" s="85">
        <f>SUMIFS(tblMatriculas[Inasistencias],tblMatriculas[Código],tblGrupos[[#This Row],[Código]],tblMatriculas[Incluir],TRUE)</f>
        <v>18</v>
      </c>
      <c r="N44" s="87">
        <f>IFERROR(AVERAGEIFS(tblMatriculas[% asistencia],tblMatriculas[Código],tblGrupos[[#This Row],[Código]],tblMatriculas[Incluir],TRUE),"")</f>
        <v>5.6243902439024378E-2</v>
      </c>
      <c r="O44" s="85">
        <f>COUNTIFS(tblMatriculas[Código],tblGrupos[[#This Row],[Código]],tblMatriculas[Nivel],INDEX(tblNiveles[Nivel],1))</f>
        <v>0</v>
      </c>
      <c r="P44" s="85">
        <f>COUNTIFS(tblMatriculas[Código],tblGrupos[[#This Row],[Código]],tblMatriculas[Nivel],INDEX(tblNiveles[Nivel],2))</f>
        <v>12</v>
      </c>
      <c r="Q44" s="85">
        <f>COUNTIFS(tblMatriculas[Código],tblGrupos[[#This Row],[Código]],tblMatriculas[Nivel],INDEX(tblNiveles[Nivel],3))</f>
        <v>29</v>
      </c>
      <c r="R44" s="85">
        <f>COUNTIFS(tblMatriculas[Código],tblGrupos[[#This Row],[Código]],tblMatriculas[Nivel],INDEX(tblNiveles[Nivel],4))</f>
        <v>0</v>
      </c>
      <c r="S44" s="85">
        <f>COUNTIFS(tblMatriculas[Código],tblGrupos[[#This Row],[Código]],tblMatriculas[Nivel],"⚪ SIN REGISTRO")</f>
        <v>0</v>
      </c>
      <c r="T44" s="87">
        <f>IF(tblGrupos[[#This Row],[Estudiantes evaluados]]=0,"",(tblGrupos[[#This Row],[Críticos]]+tblGrupos[[#This Row],[Alerta]]+tblGrupos[[#This Row],[Seguimiento]])/tblGrupos[[#This Row],[Estudiantes evaluados]])</f>
        <v>1</v>
      </c>
      <c r="U44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45" spans="1:21" x14ac:dyDescent="0.2">
      <c r="A45" s="26" t="s">
        <v>3168</v>
      </c>
      <c r="B45" s="85" t="str">
        <f>_xlfn.XLOOKUP(tblGrupos[[#This Row],[Código]],tblMatriculas[Código],tblMatriculas[Programa])</f>
        <v>CREACIÓN Y PRODUCCIÓN ESTRATÉGICA DE CONTENIDOS DIGITALES</v>
      </c>
      <c r="C45" s="85" t="str">
        <f>_xlfn.XLOOKUP(tblGrupos[[#This Row],[Código]],tblMatriculas[Código],tblMatriculas[Grupo])</f>
        <v>PRO-01 - Creación y Producción de Contenidos</v>
      </c>
      <c r="D45" s="85" t="str">
        <f>_xlfn.XLOOKUP(tblGrupos[[#This Row],[Código]],tblMatriculas[Código],tblMatriculas[Docente])</f>
        <v>Magda Gámez Cuartas</v>
      </c>
      <c r="E45" s="85" t="str">
        <f>_xlfn.XLOOKUP(tblGrupos[[#This Row],[Código]],tblMatriculas[Código],tblMatriculas[Horario])</f>
        <v>Martes 14:00-17:00 | Jueves 14:00-17:00</v>
      </c>
      <c r="F45" s="85">
        <f>_xlfn.MINIFS(tblMatriculas[Clases planeadas],tblMatriculas[Código],tblGrupos[[#This Row],[Código]])</f>
        <v>30</v>
      </c>
      <c r="G45" s="85">
        <f>_xlfn.MAXIFS(tblMatriculas[Asistidas],tblMatriculas[Código],tblGrupos[[#This Row],[Código]],tblMatriculas[Clases planeadas],tblGrupos[[#This Row],[Clases planeadas]],tblMatriculas[Estado],"activa")</f>
        <v>6</v>
      </c>
      <c r="H45" s="86"/>
      <c r="I45" s="85">
        <f>IF(tblGrupos[[#This Row],[Clases dictadas (manual)]]&lt;&gt;"",tblGrupos[[#This Row],[Clases dictadas (manual)]],tblGrupos[[#This Row],[Clases dictadas (est.)]])</f>
        <v>6</v>
      </c>
      <c r="J45" s="85">
        <f>COUNTIFS(tblMatriculas[Código],tblGrupos[[#This Row],[Código]],tblMatriculas[Estado],"activa")</f>
        <v>29</v>
      </c>
      <c r="K45" s="85">
        <f>COUNTIFS(tblMatriculas[Código],tblGrupos[[#This Row],[Código]],tblMatriculas[Incluir],TRUE)</f>
        <v>29</v>
      </c>
      <c r="L45" s="85">
        <f>SUMIFS(tblMatriculas[Asistidas],tblMatriculas[Código],tblGrupos[[#This Row],[Código]],tblMatriculas[Incluir],TRUE)</f>
        <v>124</v>
      </c>
      <c r="M45" s="85">
        <f>SUMIFS(tblMatriculas[Inasistencias],tblMatriculas[Código],tblGrupos[[#This Row],[Código]],tblMatriculas[Incluir],TRUE)</f>
        <v>52</v>
      </c>
      <c r="N45" s="87">
        <f>IFERROR(AVERAGEIFS(tblMatriculas[% asistencia],tblMatriculas[Código],tblGrupos[[#This Row],[Código]],tblMatriculas[Incluir],TRUE),"")</f>
        <v>0.13962068965517246</v>
      </c>
      <c r="O45" s="85">
        <f>COUNTIFS(tblMatriculas[Código],tblGrupos[[#This Row],[Código]],tblMatriculas[Nivel],INDEX(tblNiveles[Nivel],1))</f>
        <v>6</v>
      </c>
      <c r="P45" s="85">
        <f>COUNTIFS(tblMatriculas[Código],tblGrupos[[#This Row],[Código]],tblMatriculas[Nivel],INDEX(tblNiveles[Nivel],2))</f>
        <v>1</v>
      </c>
      <c r="Q45" s="85">
        <f>COUNTIFS(tblMatriculas[Código],tblGrupos[[#This Row],[Código]],tblMatriculas[Nivel],INDEX(tblNiveles[Nivel],3))</f>
        <v>0</v>
      </c>
      <c r="R45" s="85">
        <f>COUNTIFS(tblMatriculas[Código],tblGrupos[[#This Row],[Código]],tblMatriculas[Nivel],INDEX(tblNiveles[Nivel],4))</f>
        <v>22</v>
      </c>
      <c r="S45" s="85">
        <f>COUNTIFS(tblMatriculas[Código],tblGrupos[[#This Row],[Código]],tblMatriculas[Nivel],"⚪ SIN REGISTRO")</f>
        <v>0</v>
      </c>
      <c r="T45" s="87">
        <f>IF(tblGrupos[[#This Row],[Estudiantes evaluados]]=0,"",(tblGrupos[[#This Row],[Críticos]]+tblGrupos[[#This Row],[Alerta]]+tblGrupos[[#This Row],[Seguimiento]])/tblGrupos[[#This Row],[Estudiantes evaluados]])</f>
        <v>0.2413793103448276</v>
      </c>
      <c r="U45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46" spans="1:21" x14ac:dyDescent="0.2">
      <c r="A46" s="26" t="s">
        <v>3241</v>
      </c>
      <c r="B46" s="85" t="str">
        <f>_xlfn.XLOOKUP(tblGrupos[[#This Row],[Código]],tblMatriculas[Código],tblMatriculas[Programa])</f>
        <v>CREACIÓN Y PRODUCCIÓN ESTRATÉGICA DE CONTENIDOS DIGITALES</v>
      </c>
      <c r="C46" s="85" t="str">
        <f>_xlfn.XLOOKUP(tblGrupos[[#This Row],[Código]],tblMatriculas[Código],tblMatriculas[Grupo])</f>
        <v>PRO-02 - Creación y Producción de Contenidos</v>
      </c>
      <c r="D46" s="85" t="str">
        <f>_xlfn.XLOOKUP(tblGrupos[[#This Row],[Código]],tblMatriculas[Código],tblMatriculas[Docente])</f>
        <v>Hamilton Andrés Palacios Ortega</v>
      </c>
      <c r="E46" s="85" t="str">
        <f>_xlfn.XLOOKUP(tblGrupos[[#This Row],[Código]],tblMatriculas[Código],tblMatriculas[Horario])</f>
        <v>Miércoles 18:30-21:30 | Viernes 18:30-21:30</v>
      </c>
      <c r="F46" s="85">
        <f>_xlfn.MINIFS(tblMatriculas[Clases planeadas],tblMatriculas[Código],tblGrupos[[#This Row],[Código]])</f>
        <v>30</v>
      </c>
      <c r="G46" s="85">
        <f>_xlfn.MAXIFS(tblMatriculas[Asistidas],tblMatriculas[Código],tblGrupos[[#This Row],[Código]],tblMatriculas[Clases planeadas],tblGrupos[[#This Row],[Clases planeadas]],tblMatriculas[Estado],"activa")</f>
        <v>5</v>
      </c>
      <c r="H46" s="86"/>
      <c r="I46" s="85">
        <f>IF(tblGrupos[[#This Row],[Clases dictadas (manual)]]&lt;&gt;"",tblGrupos[[#This Row],[Clases dictadas (manual)]],tblGrupos[[#This Row],[Clases dictadas (est.)]])</f>
        <v>5</v>
      </c>
      <c r="J46" s="85">
        <f>COUNTIFS(tblMatriculas[Código],tblGrupos[[#This Row],[Código]],tblMatriculas[Estado],"activa")</f>
        <v>57</v>
      </c>
      <c r="K46" s="85">
        <f>COUNTIFS(tblMatriculas[Código],tblGrupos[[#This Row],[Código]],tblMatriculas[Incluir],TRUE)</f>
        <v>56</v>
      </c>
      <c r="L46" s="85">
        <f>SUMIFS(tblMatriculas[Asistidas],tblMatriculas[Código],tblGrupos[[#This Row],[Código]],tblMatriculas[Incluir],TRUE)</f>
        <v>230</v>
      </c>
      <c r="M46" s="85">
        <f>SUMIFS(tblMatriculas[Inasistencias],tblMatriculas[Código],tblGrupos[[#This Row],[Código]],tblMatriculas[Incluir],TRUE)</f>
        <v>59</v>
      </c>
      <c r="N46" s="87">
        <f>IFERROR(AVERAGEIFS(tblMatriculas[% asistencia],tblMatriculas[Código],tblGrupos[[#This Row],[Código]],tblMatriculas[Incluir],TRUE),"")</f>
        <v>0.13414285714285709</v>
      </c>
      <c r="O46" s="85">
        <f>COUNTIFS(tblMatriculas[Código],tblGrupos[[#This Row],[Código]],tblMatriculas[Nivel],INDEX(tblNiveles[Nivel],1))</f>
        <v>0</v>
      </c>
      <c r="P46" s="85">
        <f>COUNTIFS(tblMatriculas[Código],tblGrupos[[#This Row],[Código]],tblMatriculas[Nivel],INDEX(tblNiveles[Nivel],2))</f>
        <v>2</v>
      </c>
      <c r="Q46" s="85">
        <f>COUNTIFS(tblMatriculas[Código],tblGrupos[[#This Row],[Código]],tblMatriculas[Nivel],INDEX(tblNiveles[Nivel],3))</f>
        <v>6</v>
      </c>
      <c r="R46" s="85">
        <f>COUNTIFS(tblMatriculas[Código],tblGrupos[[#This Row],[Código]],tblMatriculas[Nivel],INDEX(tblNiveles[Nivel],4))</f>
        <v>48</v>
      </c>
      <c r="S46" s="85">
        <f>COUNTIFS(tblMatriculas[Código],tblGrupos[[#This Row],[Código]],tblMatriculas[Nivel],"⚪ SIN REGISTRO")</f>
        <v>0</v>
      </c>
      <c r="T46" s="87">
        <f>IF(tblGrupos[[#This Row],[Estudiantes evaluados]]=0,"",(tblGrupos[[#This Row],[Críticos]]+tblGrupos[[#This Row],[Alerta]]+tblGrupos[[#This Row],[Seguimiento]])/tblGrupos[[#This Row],[Estudiantes evaluados]])</f>
        <v>0.14285714285714285</v>
      </c>
      <c r="U46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47" spans="1:21" x14ac:dyDescent="0.2">
      <c r="A47" s="26" t="s">
        <v>3361</v>
      </c>
      <c r="B47" s="85" t="str">
        <f>_xlfn.XLOOKUP(tblGrupos[[#This Row],[Código]],tblMatriculas[Código],tblMatriculas[Programa])</f>
        <v>CREACIÓN Y PRODUCCIÓN ESTRATÉGICA DE CONTENIDOS DIGITALES</v>
      </c>
      <c r="C47" s="85" t="str">
        <f>_xlfn.XLOOKUP(tblGrupos[[#This Row],[Código]],tblMatriculas[Código],tblMatriculas[Grupo])</f>
        <v>PRO-03 - Creación y Producción de Contenidos</v>
      </c>
      <c r="D47" s="85" t="str">
        <f>_xlfn.XLOOKUP(tblGrupos[[#This Row],[Código]],tblMatriculas[Código],tblMatriculas[Docente])</f>
        <v>Sara Catalina Tangarife Gómez</v>
      </c>
      <c r="E47" s="85" t="str">
        <f>_xlfn.XLOOKUP(tblGrupos[[#This Row],[Código]],tblMatriculas[Código],tblMatriculas[Horario])</f>
        <v>Sábado 09:00-12:00 | Sábado 13:00-16:00</v>
      </c>
      <c r="F47" s="85">
        <f>_xlfn.MINIFS(tblMatriculas[Clases planeadas],tblMatriculas[Código],tblGrupos[[#This Row],[Código]])</f>
        <v>30</v>
      </c>
      <c r="G47" s="85">
        <f>_xlfn.MAXIFS(tblMatriculas[Asistidas],tblMatriculas[Código],tblGrupos[[#This Row],[Código]],tblMatriculas[Clases planeadas],tblGrupos[[#This Row],[Clases planeadas]],tblMatriculas[Estado],"activa")</f>
        <v>2</v>
      </c>
      <c r="H47" s="86"/>
      <c r="I47" s="85">
        <f>IF(tblGrupos[[#This Row],[Clases dictadas (manual)]]&lt;&gt;"",tblGrupos[[#This Row],[Clases dictadas (manual)]],tblGrupos[[#This Row],[Clases dictadas (est.)]])</f>
        <v>2</v>
      </c>
      <c r="J47" s="85">
        <f>COUNTIFS(tblMatriculas[Código],tblGrupos[[#This Row],[Código]],tblMatriculas[Estado],"activa")</f>
        <v>37</v>
      </c>
      <c r="K47" s="85">
        <f>COUNTIFS(tblMatriculas[Código],tblGrupos[[#This Row],[Código]],tblMatriculas[Incluir],TRUE)</f>
        <v>37</v>
      </c>
      <c r="L47" s="85">
        <f>SUMIFS(tblMatriculas[Asistidas],tblMatriculas[Código],tblGrupos[[#This Row],[Código]],tblMatriculas[Incluir],TRUE)</f>
        <v>48</v>
      </c>
      <c r="M47" s="85">
        <f>SUMIFS(tblMatriculas[Inasistencias],tblMatriculas[Código],tblGrupos[[#This Row],[Código]],tblMatriculas[Incluir],TRUE)</f>
        <v>26</v>
      </c>
      <c r="N47" s="87">
        <f>IFERROR(AVERAGEIFS(tblMatriculas[% asistencia],tblMatriculas[Código],tblGrupos[[#This Row],[Código]],tblMatriculas[Incluir],TRUE),"")</f>
        <v>4.3459459459459435E-2</v>
      </c>
      <c r="O47" s="85">
        <f>COUNTIFS(tblMatriculas[Código],tblGrupos[[#This Row],[Código]],tblMatriculas[Nivel],INDEX(tblNiveles[Nivel],1))</f>
        <v>13</v>
      </c>
      <c r="P47" s="85">
        <f>COUNTIFS(tblMatriculas[Código],tblGrupos[[#This Row],[Código]],tblMatriculas[Nivel],INDEX(tblNiveles[Nivel],2))</f>
        <v>0</v>
      </c>
      <c r="Q47" s="85">
        <f>COUNTIFS(tblMatriculas[Código],tblGrupos[[#This Row],[Código]],tblMatriculas[Nivel],INDEX(tblNiveles[Nivel],3))</f>
        <v>24</v>
      </c>
      <c r="R47" s="85">
        <f>COUNTIFS(tblMatriculas[Código],tblGrupos[[#This Row],[Código]],tblMatriculas[Nivel],INDEX(tblNiveles[Nivel],4))</f>
        <v>0</v>
      </c>
      <c r="S47" s="85">
        <f>COUNTIFS(tblMatriculas[Código],tblGrupos[[#This Row],[Código]],tblMatriculas[Nivel],"⚪ SIN REGISTRO")</f>
        <v>0</v>
      </c>
      <c r="T47" s="87">
        <f>IF(tblGrupos[[#This Row],[Estudiantes evaluados]]=0,"",(tblGrupos[[#This Row],[Críticos]]+tblGrupos[[#This Row],[Alerta]]+tblGrupos[[#This Row],[Seguimiento]])/tblGrupos[[#This Row],[Estudiantes evaluados]])</f>
        <v>1</v>
      </c>
      <c r="U47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48" spans="1:21" x14ac:dyDescent="0.2">
      <c r="A48" s="26" t="s">
        <v>3440</v>
      </c>
      <c r="B48" s="85" t="str">
        <f>_xlfn.XLOOKUP(tblGrupos[[#This Row],[Código]],tblMatriculas[Código],tblMatriculas[Programa])</f>
        <v>CREACIÓN Y PRODUCCIÓN ESTRATÉGICA DE CONTENIDOS DIGITALES</v>
      </c>
      <c r="C48" s="85" t="str">
        <f>_xlfn.XLOOKUP(tblGrupos[[#This Row],[Código]],tblMatriculas[Código],tblMatriculas[Grupo])</f>
        <v>PRO-04 - Creación y Producción de Contenidos</v>
      </c>
      <c r="D48" s="85" t="str">
        <f>_xlfn.XLOOKUP(tblGrupos[[#This Row],[Código]],tblMatriculas[Código],tblMatriculas[Docente])</f>
        <v>Magda Gámez Cuartas</v>
      </c>
      <c r="E48" s="85" t="str">
        <f>_xlfn.XLOOKUP(tblGrupos[[#This Row],[Código]],tblMatriculas[Código],tblMatriculas[Horario])</f>
        <v>Martes 12:00-14:00 | Miércoles 12:00-14:00 | Jueves 12:00-14:00</v>
      </c>
      <c r="F48" s="85">
        <f>_xlfn.MINIFS(tblMatriculas[Clases planeadas],tblMatriculas[Código],tblGrupos[[#This Row],[Código]])</f>
        <v>45</v>
      </c>
      <c r="G48" s="85">
        <f>_xlfn.MAXIFS(tblMatriculas[Asistidas],tblMatriculas[Código],tblGrupos[[#This Row],[Código]],tblMatriculas[Clases planeadas],tblGrupos[[#This Row],[Clases planeadas]],tblMatriculas[Estado],"activa")</f>
        <v>9</v>
      </c>
      <c r="H48" s="86"/>
      <c r="I48" s="85">
        <f>IF(tblGrupos[[#This Row],[Clases dictadas (manual)]]&lt;&gt;"",tblGrupos[[#This Row],[Clases dictadas (manual)]],tblGrupos[[#This Row],[Clases dictadas (est.)]])</f>
        <v>9</v>
      </c>
      <c r="J48" s="85">
        <f>COUNTIFS(tblMatriculas[Código],tblGrupos[[#This Row],[Código]],tblMatriculas[Estado],"activa")</f>
        <v>29</v>
      </c>
      <c r="K48" s="85">
        <f>COUNTIFS(tblMatriculas[Código],tblGrupos[[#This Row],[Código]],tblMatriculas[Incluir],TRUE)</f>
        <v>29</v>
      </c>
      <c r="L48" s="85">
        <f>SUMIFS(tblMatriculas[Asistidas],tblMatriculas[Código],tblGrupos[[#This Row],[Código]],tblMatriculas[Incluir],TRUE)</f>
        <v>171</v>
      </c>
      <c r="M48" s="85">
        <f>SUMIFS(tblMatriculas[Inasistencias],tblMatriculas[Código],tblGrupos[[#This Row],[Código]],tblMatriculas[Incluir],TRUE)</f>
        <v>90</v>
      </c>
      <c r="N48" s="87">
        <f>IFERROR(AVERAGEIFS(tblMatriculas[% asistencia],tblMatriculas[Código],tblGrupos[[#This Row],[Código]],tblMatriculas[Incluir],TRUE),"")</f>
        <v>0.13110344827586209</v>
      </c>
      <c r="O48" s="85">
        <f>COUNTIFS(tblMatriculas[Código],tblGrupos[[#This Row],[Código]],tblMatriculas[Nivel],INDEX(tblNiveles[Nivel],1))</f>
        <v>6</v>
      </c>
      <c r="P48" s="85">
        <f>COUNTIFS(tblMatriculas[Código],tblGrupos[[#This Row],[Código]],tblMatriculas[Nivel],INDEX(tblNiveles[Nivel],2))</f>
        <v>2</v>
      </c>
      <c r="Q48" s="85">
        <f>COUNTIFS(tblMatriculas[Código],tblGrupos[[#This Row],[Código]],tblMatriculas[Nivel],INDEX(tblNiveles[Nivel],3))</f>
        <v>1</v>
      </c>
      <c r="R48" s="85">
        <f>COUNTIFS(tblMatriculas[Código],tblGrupos[[#This Row],[Código]],tblMatriculas[Nivel],INDEX(tblNiveles[Nivel],4))</f>
        <v>20</v>
      </c>
      <c r="S48" s="85">
        <f>COUNTIFS(tblMatriculas[Código],tblGrupos[[#This Row],[Código]],tblMatriculas[Nivel],"⚪ SIN REGISTRO")</f>
        <v>0</v>
      </c>
      <c r="T48" s="87">
        <f>IF(tblGrupos[[#This Row],[Estudiantes evaluados]]=0,"",(tblGrupos[[#This Row],[Críticos]]+tblGrupos[[#This Row],[Alerta]]+tblGrupos[[#This Row],[Seguimiento]])/tblGrupos[[#This Row],[Estudiantes evaluados]])</f>
        <v>0.31034482758620691</v>
      </c>
      <c r="U4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49" spans="1:21" x14ac:dyDescent="0.2">
      <c r="A49" s="26" t="s">
        <v>3504</v>
      </c>
      <c r="B49" s="85" t="str">
        <f>_xlfn.XLOOKUP(tblGrupos[[#This Row],[Código]],tblMatriculas[Código],tblMatriculas[Programa])</f>
        <v>E-COMMERCE, EMPRENDIMIENTO E INNOVACIÓN DIGITAL</v>
      </c>
      <c r="C49" s="85" t="str">
        <f>_xlfn.XLOOKUP(tblGrupos[[#This Row],[Código]],tblMatriculas[Código],tblMatriculas[Grupo])</f>
        <v>COM-01 - E-Commerce, Emprendimiento e Innovación Digital</v>
      </c>
      <c r="D49" s="85" t="str">
        <f>_xlfn.XLOOKUP(tblGrupos[[#This Row],[Código]],tblMatriculas[Código],tblMatriculas[Docente])</f>
        <v>EDY ALBERTO RAMIREZ GARCIA</v>
      </c>
      <c r="E49" s="85" t="str">
        <f>_xlfn.XLOOKUP(tblGrupos[[#This Row],[Código]],tblMatriculas[Código],tblMatriculas[Horario])</f>
        <v>Martes 06:00-08:00 | Miércoles 06:00-08:00 | Jueves 06:00-08:00</v>
      </c>
      <c r="F49" s="85">
        <f>_xlfn.MINIFS(tblMatriculas[Clases planeadas],tblMatriculas[Código],tblGrupos[[#This Row],[Código]])</f>
        <v>45</v>
      </c>
      <c r="G49" s="85">
        <f>_xlfn.MAXIFS(tblMatriculas[Asistidas],tblMatriculas[Código],tblGrupos[[#This Row],[Código]],tblMatriculas[Clases planeadas],tblGrupos[[#This Row],[Clases planeadas]],tblMatriculas[Estado],"activa")</f>
        <v>6</v>
      </c>
      <c r="H49" s="86"/>
      <c r="I49" s="85">
        <f>IF(tblGrupos[[#This Row],[Clases dictadas (manual)]]&lt;&gt;"",tblGrupos[[#This Row],[Clases dictadas (manual)]],tblGrupos[[#This Row],[Clases dictadas (est.)]])</f>
        <v>6</v>
      </c>
      <c r="J49" s="85">
        <f>COUNTIFS(tblMatriculas[Código],tblGrupos[[#This Row],[Código]],tblMatriculas[Estado],"activa")</f>
        <v>22</v>
      </c>
      <c r="K49" s="85">
        <f>COUNTIFS(tblMatriculas[Código],tblGrupos[[#This Row],[Código]],tblMatriculas[Incluir],TRUE)</f>
        <v>22</v>
      </c>
      <c r="L49" s="85">
        <f>SUMIFS(tblMatriculas[Asistidas],tblMatriculas[Código],tblGrupos[[#This Row],[Código]],tblMatriculas[Incluir],TRUE)</f>
        <v>97</v>
      </c>
      <c r="M49" s="85">
        <f>SUMIFS(tblMatriculas[Inasistencias],tblMatriculas[Código],tblGrupos[[#This Row],[Código]],tblMatriculas[Incluir],TRUE)</f>
        <v>35</v>
      </c>
      <c r="N49" s="87">
        <f>IFERROR(AVERAGEIFS(tblMatriculas[% asistencia],tblMatriculas[Código],tblGrupos[[#This Row],[Código]],tblMatriculas[Incluir],TRUE),"")</f>
        <v>9.7727272727272718E-2</v>
      </c>
      <c r="O49" s="85">
        <f>COUNTIFS(tblMatriculas[Código],tblGrupos[[#This Row],[Código]],tblMatriculas[Nivel],INDEX(tblNiveles[Nivel],1))</f>
        <v>1</v>
      </c>
      <c r="P49" s="85">
        <f>COUNTIFS(tblMatriculas[Código],tblGrupos[[#This Row],[Código]],tblMatriculas[Nivel],INDEX(tblNiveles[Nivel],2))</f>
        <v>4</v>
      </c>
      <c r="Q49" s="85">
        <f>COUNTIFS(tblMatriculas[Código],tblGrupos[[#This Row],[Código]],tblMatriculas[Nivel],INDEX(tblNiveles[Nivel],3))</f>
        <v>1</v>
      </c>
      <c r="R49" s="85">
        <f>COUNTIFS(tblMatriculas[Código],tblGrupos[[#This Row],[Código]],tblMatriculas[Nivel],INDEX(tblNiveles[Nivel],4))</f>
        <v>16</v>
      </c>
      <c r="S49" s="85">
        <f>COUNTIFS(tblMatriculas[Código],tblGrupos[[#This Row],[Código]],tblMatriculas[Nivel],"⚪ SIN REGISTRO")</f>
        <v>0</v>
      </c>
      <c r="T49" s="87">
        <f>IF(tblGrupos[[#This Row],[Estudiantes evaluados]]=0,"",(tblGrupos[[#This Row],[Críticos]]+tblGrupos[[#This Row],[Alerta]]+tblGrupos[[#This Row],[Seguimiento]])/tblGrupos[[#This Row],[Estudiantes evaluados]])</f>
        <v>0.27272727272727271</v>
      </c>
      <c r="U49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0" spans="1:21" x14ac:dyDescent="0.2">
      <c r="A50" s="26" t="s">
        <v>3551</v>
      </c>
      <c r="B50" s="85" t="str">
        <f>_xlfn.XLOOKUP(tblGrupos[[#This Row],[Código]],tblMatriculas[Código],tblMatriculas[Programa])</f>
        <v>E-COMMERCE, EMPRENDIMIENTO E INNOVACIÓN DIGITAL</v>
      </c>
      <c r="C50" s="85" t="str">
        <f>_xlfn.XLOOKUP(tblGrupos[[#This Row],[Código]],tblMatriculas[Código],tblMatriculas[Grupo])</f>
        <v>COM-02 - E-Commerce, Emprendimiento e Innovación Digital</v>
      </c>
      <c r="D50" s="85" t="str">
        <f>_xlfn.XLOOKUP(tblGrupos[[#This Row],[Código]],tblMatriculas[Código],tblMatriculas[Docente])</f>
        <v>Sara Catalina Tangarife Gómez</v>
      </c>
      <c r="E50" s="85" t="str">
        <f>_xlfn.XLOOKUP(tblGrupos[[#This Row],[Código]],tblMatriculas[Código],tblMatriculas[Horario])</f>
        <v>Miércoles 18:30-21:30 | Viernes 18:30-21:30</v>
      </c>
      <c r="F50" s="85">
        <f>_xlfn.MINIFS(tblMatriculas[Clases planeadas],tblMatriculas[Código],tblGrupos[[#This Row],[Código]])</f>
        <v>30</v>
      </c>
      <c r="G50" s="85">
        <f>_xlfn.MAXIFS(tblMatriculas[Asistidas],tblMatriculas[Código],tblGrupos[[#This Row],[Código]],tblMatriculas[Clases planeadas],tblGrupos[[#This Row],[Clases planeadas]],tblMatriculas[Estado],"activa")</f>
        <v>5</v>
      </c>
      <c r="H50" s="86"/>
      <c r="I50" s="85">
        <f>IF(tblGrupos[[#This Row],[Clases dictadas (manual)]]&lt;&gt;"",tblGrupos[[#This Row],[Clases dictadas (manual)]],tblGrupos[[#This Row],[Clases dictadas (est.)]])</f>
        <v>5</v>
      </c>
      <c r="J50" s="85">
        <f>COUNTIFS(tblMatriculas[Código],tblGrupos[[#This Row],[Código]],tblMatriculas[Estado],"activa")</f>
        <v>36</v>
      </c>
      <c r="K50" s="85">
        <f>COUNTIFS(tblMatriculas[Código],tblGrupos[[#This Row],[Código]],tblMatriculas[Incluir],TRUE)</f>
        <v>35</v>
      </c>
      <c r="L50" s="85">
        <f>SUMIFS(tblMatriculas[Asistidas],tblMatriculas[Código],tblGrupos[[#This Row],[Código]],tblMatriculas[Incluir],TRUE)</f>
        <v>157</v>
      </c>
      <c r="M50" s="85">
        <f>SUMIFS(tblMatriculas[Inasistencias],tblMatriculas[Código],tblGrupos[[#This Row],[Código]],tblMatriculas[Incluir],TRUE)</f>
        <v>23</v>
      </c>
      <c r="N50" s="87">
        <f>IFERROR(AVERAGEIFS(tblMatriculas[% asistencia],tblMatriculas[Código],tblGrupos[[#This Row],[Código]],tblMatriculas[Incluir],TRUE),"")</f>
        <v>0.14579999999999993</v>
      </c>
      <c r="O50" s="85">
        <f>COUNTIFS(tblMatriculas[Código],tblGrupos[[#This Row],[Código]],tblMatriculas[Nivel],INDEX(tblNiveles[Nivel],1))</f>
        <v>0</v>
      </c>
      <c r="P50" s="85">
        <f>COUNTIFS(tblMatriculas[Código],tblGrupos[[#This Row],[Código]],tblMatriculas[Nivel],INDEX(tblNiveles[Nivel],2))</f>
        <v>2</v>
      </c>
      <c r="Q50" s="85">
        <f>COUNTIFS(tblMatriculas[Código],tblGrupos[[#This Row],[Código]],tblMatriculas[Nivel],INDEX(tblNiveles[Nivel],3))</f>
        <v>0</v>
      </c>
      <c r="R50" s="85">
        <f>COUNTIFS(tblMatriculas[Código],tblGrupos[[#This Row],[Código]],tblMatriculas[Nivel],INDEX(tblNiveles[Nivel],4))</f>
        <v>33</v>
      </c>
      <c r="S50" s="85">
        <f>COUNTIFS(tblMatriculas[Código],tblGrupos[[#This Row],[Código]],tblMatriculas[Nivel],"⚪ SIN REGISTRO")</f>
        <v>0</v>
      </c>
      <c r="T50" s="87">
        <f>IF(tblGrupos[[#This Row],[Estudiantes evaluados]]=0,"",(tblGrupos[[#This Row],[Críticos]]+tblGrupos[[#This Row],[Alerta]]+tblGrupos[[#This Row],[Seguimiento]])/tblGrupos[[#This Row],[Estudiantes evaluados]])</f>
        <v>5.7142857142857141E-2</v>
      </c>
      <c r="U50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1" spans="1:21" x14ac:dyDescent="0.2">
      <c r="A51" s="26" t="s">
        <v>3627</v>
      </c>
      <c r="B51" s="85" t="str">
        <f>_xlfn.XLOOKUP(tblGrupos[[#This Row],[Código]],tblMatriculas[Código],tblMatriculas[Programa])</f>
        <v>E-COMMERCE, EMPRENDIMIENTO E INNOVACIÓN DIGITAL</v>
      </c>
      <c r="C51" s="85" t="str">
        <f>_xlfn.XLOOKUP(tblGrupos[[#This Row],[Código]],tblMatriculas[Código],tblMatriculas[Grupo])</f>
        <v>COM-03 - E-Commerce, Emprendimiento e Innovación Digital</v>
      </c>
      <c r="D51" s="85" t="str">
        <f>_xlfn.XLOOKUP(tblGrupos[[#This Row],[Código]],tblMatriculas[Código],tblMatriculas[Docente])</f>
        <v>Hamilton Andrés Palacios Ortega</v>
      </c>
      <c r="E51" s="85" t="str">
        <f>_xlfn.XLOOKUP(tblGrupos[[#This Row],[Código]],tblMatriculas[Código],tblMatriculas[Horario])</f>
        <v>Martes 14:00-17:00 | Jueves 14:00-17:00</v>
      </c>
      <c r="F51" s="85">
        <f>_xlfn.MINIFS(tblMatriculas[Clases planeadas],tblMatriculas[Código],tblGrupos[[#This Row],[Código]])</f>
        <v>30</v>
      </c>
      <c r="G51" s="85">
        <f>_xlfn.MAXIFS(tblMatriculas[Asistidas],tblMatriculas[Código],tblGrupos[[#This Row],[Código]],tblMatriculas[Clases planeadas],tblGrupos[[#This Row],[Clases planeadas]],tblMatriculas[Estado],"activa")</f>
        <v>6</v>
      </c>
      <c r="H51" s="86"/>
      <c r="I51" s="85">
        <f>IF(tblGrupos[[#This Row],[Clases dictadas (manual)]]&lt;&gt;"",tblGrupos[[#This Row],[Clases dictadas (manual)]],tblGrupos[[#This Row],[Clases dictadas (est.)]])</f>
        <v>6</v>
      </c>
      <c r="J51" s="85">
        <f>COUNTIFS(tblMatriculas[Código],tblGrupos[[#This Row],[Código]],tblMatriculas[Estado],"activa")</f>
        <v>34</v>
      </c>
      <c r="K51" s="85">
        <f>COUNTIFS(tblMatriculas[Código],tblGrupos[[#This Row],[Código]],tblMatriculas[Incluir],TRUE)</f>
        <v>34</v>
      </c>
      <c r="L51" s="85">
        <f>SUMIFS(tblMatriculas[Asistidas],tblMatriculas[Código],tblGrupos[[#This Row],[Código]],tblMatriculas[Incluir],TRUE)</f>
        <v>145</v>
      </c>
      <c r="M51" s="85">
        <f>SUMIFS(tblMatriculas[Inasistencias],tblMatriculas[Código],tblGrupos[[#This Row],[Código]],tblMatriculas[Incluir],TRUE)</f>
        <v>59</v>
      </c>
      <c r="N51" s="87">
        <f>IFERROR(AVERAGEIFS(tblMatriculas[% asistencia],tblMatriculas[Código],tblGrupos[[#This Row],[Código]],tblMatriculas[Incluir],TRUE),"")</f>
        <v>0.14214705882352943</v>
      </c>
      <c r="O51" s="85">
        <f>COUNTIFS(tblMatriculas[Código],tblGrupos[[#This Row],[Código]],tblMatriculas[Nivel],INDEX(tblNiveles[Nivel],1))</f>
        <v>2</v>
      </c>
      <c r="P51" s="85">
        <f>COUNTIFS(tblMatriculas[Código],tblGrupos[[#This Row],[Código]],tblMatriculas[Nivel],INDEX(tblNiveles[Nivel],2))</f>
        <v>5</v>
      </c>
      <c r="Q51" s="85">
        <f>COUNTIFS(tblMatriculas[Código],tblGrupos[[#This Row],[Código]],tblMatriculas[Nivel],INDEX(tblNiveles[Nivel],3))</f>
        <v>1</v>
      </c>
      <c r="R51" s="85">
        <f>COUNTIFS(tblMatriculas[Código],tblGrupos[[#This Row],[Código]],tblMatriculas[Nivel],INDEX(tblNiveles[Nivel],4))</f>
        <v>26</v>
      </c>
      <c r="S51" s="85">
        <f>COUNTIFS(tblMatriculas[Código],tblGrupos[[#This Row],[Código]],tblMatriculas[Nivel],"⚪ SIN REGISTRO")</f>
        <v>0</v>
      </c>
      <c r="T51" s="87">
        <f>IF(tblGrupos[[#This Row],[Estudiantes evaluados]]=0,"",(tblGrupos[[#This Row],[Críticos]]+tblGrupos[[#This Row],[Alerta]]+tblGrupos[[#This Row],[Seguimiento]])/tblGrupos[[#This Row],[Estudiantes evaluados]])</f>
        <v>0.23529411764705882</v>
      </c>
      <c r="U51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2" spans="1:21" x14ac:dyDescent="0.2">
      <c r="A52" s="26" t="s">
        <v>3699</v>
      </c>
      <c r="B52" s="85" t="str">
        <f>_xlfn.XLOOKUP(tblGrupos[[#This Row],[Código]],tblMatriculas[Código],tblMatriculas[Programa])</f>
        <v>E-COMMERCE, EMPRENDIMIENTO E INNOVACIÓN DIGITAL</v>
      </c>
      <c r="C52" s="85" t="str">
        <f>_xlfn.XLOOKUP(tblGrupos[[#This Row],[Código]],tblMatriculas[Código],tblMatriculas[Grupo])</f>
        <v>COM-04 - E-Commerce, Emprendimiento e Innovación Digital</v>
      </c>
      <c r="D52" s="85" t="str">
        <f>_xlfn.XLOOKUP(tblGrupos[[#This Row],[Código]],tblMatriculas[Código],tblMatriculas[Docente])</f>
        <v>Hamilton Andrés Palacios Ortega</v>
      </c>
      <c r="E52" s="85" t="str">
        <f>_xlfn.XLOOKUP(tblGrupos[[#This Row],[Código]],tblMatriculas[Código],tblMatriculas[Horario])</f>
        <v>Martes 18:30-21:30 | Jueves 18:30-21:30</v>
      </c>
      <c r="F52" s="85">
        <f>_xlfn.MINIFS(tblMatriculas[Clases planeadas],tblMatriculas[Código],tblGrupos[[#This Row],[Código]])</f>
        <v>30</v>
      </c>
      <c r="G52" s="85">
        <f>_xlfn.MAXIFS(tblMatriculas[Asistidas],tblMatriculas[Código],tblGrupos[[#This Row],[Código]],tblMatriculas[Clases planeadas],tblGrupos[[#This Row],[Clases planeadas]],tblMatriculas[Estado],"activa")</f>
        <v>5</v>
      </c>
      <c r="H52" s="86"/>
      <c r="I52" s="85">
        <f>IF(tblGrupos[[#This Row],[Clases dictadas (manual)]]&lt;&gt;"",tblGrupos[[#This Row],[Clases dictadas (manual)]],tblGrupos[[#This Row],[Clases dictadas (est.)]])</f>
        <v>5</v>
      </c>
      <c r="J52" s="85">
        <f>COUNTIFS(tblMatriculas[Código],tblGrupos[[#This Row],[Código]],tblMatriculas[Estado],"activa")</f>
        <v>36</v>
      </c>
      <c r="K52" s="85">
        <f>COUNTIFS(tblMatriculas[Código],tblGrupos[[#This Row],[Código]],tblMatriculas[Incluir],TRUE)</f>
        <v>36</v>
      </c>
      <c r="L52" s="85">
        <f>SUMIFS(tblMatriculas[Asistidas],tblMatriculas[Código],tblGrupos[[#This Row],[Código]],tblMatriculas[Incluir],TRUE)</f>
        <v>149</v>
      </c>
      <c r="M52" s="85">
        <f>SUMIFS(tblMatriculas[Inasistencias],tblMatriculas[Código],tblGrupos[[#This Row],[Código]],tblMatriculas[Incluir],TRUE)</f>
        <v>37</v>
      </c>
      <c r="N52" s="87">
        <f>IFERROR(AVERAGEIFS(tblMatriculas[% asistencia],tblMatriculas[Código],tblGrupos[[#This Row],[Código]],tblMatriculas[Incluir],TRUE),"")</f>
        <v>0.13638888888888881</v>
      </c>
      <c r="O52" s="85">
        <f>COUNTIFS(tblMatriculas[Código],tblGrupos[[#This Row],[Código]],tblMatriculas[Nivel],INDEX(tblNiveles[Nivel],1))</f>
        <v>1</v>
      </c>
      <c r="P52" s="85">
        <f>COUNTIFS(tblMatriculas[Código],tblGrupos[[#This Row],[Código]],tblMatriculas[Nivel],INDEX(tblNiveles[Nivel],2))</f>
        <v>1</v>
      </c>
      <c r="Q52" s="85">
        <f>COUNTIFS(tblMatriculas[Código],tblGrupos[[#This Row],[Código]],tblMatriculas[Nivel],INDEX(tblNiveles[Nivel],3))</f>
        <v>1</v>
      </c>
      <c r="R52" s="85">
        <f>COUNTIFS(tblMatriculas[Código],tblGrupos[[#This Row],[Código]],tblMatriculas[Nivel],INDEX(tblNiveles[Nivel],4))</f>
        <v>33</v>
      </c>
      <c r="S52" s="85">
        <f>COUNTIFS(tblMatriculas[Código],tblGrupos[[#This Row],[Código]],tblMatriculas[Nivel],"⚪ SIN REGISTRO")</f>
        <v>0</v>
      </c>
      <c r="T52" s="87">
        <f>IF(tblGrupos[[#This Row],[Estudiantes evaluados]]=0,"",(tblGrupos[[#This Row],[Críticos]]+tblGrupos[[#This Row],[Alerta]]+tblGrupos[[#This Row],[Seguimiento]])/tblGrupos[[#This Row],[Estudiantes evaluados]])</f>
        <v>8.3333333333333329E-2</v>
      </c>
      <c r="U52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3" spans="1:21" x14ac:dyDescent="0.2">
      <c r="A53" s="26" t="s">
        <v>3773</v>
      </c>
      <c r="B53" s="85" t="str">
        <f>_xlfn.XLOOKUP(tblGrupos[[#This Row],[Código]],tblMatriculas[Código],tblMatriculas[Programa])</f>
        <v>E-COMMERCE, EMPRENDIMIENTO E INNOVACIÓN DIGITAL</v>
      </c>
      <c r="C53" s="85" t="str">
        <f>_xlfn.XLOOKUP(tblGrupos[[#This Row],[Código]],tblMatriculas[Código],tblMatriculas[Grupo])</f>
        <v>COM-05 - E-Commerce, Emprendimiento e Innovación Digital</v>
      </c>
      <c r="D53" s="85" t="str">
        <f>_xlfn.XLOOKUP(tblGrupos[[#This Row],[Código]],tblMatriculas[Código],tblMatriculas[Docente])</f>
        <v>Julián David Tobón Jiménez</v>
      </c>
      <c r="E53" s="85" t="str">
        <f>_xlfn.XLOOKUP(tblGrupos[[#This Row],[Código]],tblMatriculas[Código],tblMatriculas[Horario])</f>
        <v>Miércoles 08:00-11:00 | Viernes 08:00-11:00</v>
      </c>
      <c r="F53" s="85">
        <f>_xlfn.MINIFS(tblMatriculas[Clases planeadas],tblMatriculas[Código],tblGrupos[[#This Row],[Código]])</f>
        <v>30</v>
      </c>
      <c r="G53" s="85">
        <f>_xlfn.MAXIFS(tblMatriculas[Asistidas],tblMatriculas[Código],tblGrupos[[#This Row],[Código]],tblMatriculas[Clases planeadas],tblGrupos[[#This Row],[Clases planeadas]],tblMatriculas[Estado],"activa")</f>
        <v>4</v>
      </c>
      <c r="H53" s="86"/>
      <c r="I53" s="85">
        <f>IF(tblGrupos[[#This Row],[Clases dictadas (manual)]]&lt;&gt;"",tblGrupos[[#This Row],[Clases dictadas (manual)]],tblGrupos[[#This Row],[Clases dictadas (est.)]])</f>
        <v>4</v>
      </c>
      <c r="J53" s="85">
        <f>COUNTIFS(tblMatriculas[Código],tblGrupos[[#This Row],[Código]],tblMatriculas[Estado],"activa")</f>
        <v>28</v>
      </c>
      <c r="K53" s="85">
        <f>COUNTIFS(tblMatriculas[Código],tblGrupos[[#This Row],[Código]],tblMatriculas[Incluir],TRUE)</f>
        <v>28</v>
      </c>
      <c r="L53" s="85">
        <f>SUMIFS(tblMatriculas[Asistidas],tblMatriculas[Código],tblGrupos[[#This Row],[Código]],tblMatriculas[Incluir],TRUE)</f>
        <v>81</v>
      </c>
      <c r="M53" s="85">
        <f>SUMIFS(tblMatriculas[Inasistencias],tblMatriculas[Código],tblGrupos[[#This Row],[Código]],tblMatriculas[Incluir],TRUE)</f>
        <v>31</v>
      </c>
      <c r="N53" s="87">
        <f>IFERROR(AVERAGEIFS(tblMatriculas[% asistencia],tblMatriculas[Código],tblGrupos[[#This Row],[Código]],tblMatriculas[Incluir],TRUE),"")</f>
        <v>9.6285714285714294E-2</v>
      </c>
      <c r="O53" s="85">
        <f>COUNTIFS(tblMatriculas[Código],tblGrupos[[#This Row],[Código]],tblMatriculas[Nivel],INDEX(tblNiveles[Nivel],1))</f>
        <v>4</v>
      </c>
      <c r="P53" s="85">
        <f>COUNTIFS(tblMatriculas[Código],tblGrupos[[#This Row],[Código]],tblMatriculas[Nivel],INDEX(tblNiveles[Nivel],2))</f>
        <v>1</v>
      </c>
      <c r="Q53" s="85">
        <f>COUNTIFS(tblMatriculas[Código],tblGrupos[[#This Row],[Código]],tblMatriculas[Nivel],INDEX(tblNiveles[Nivel],3))</f>
        <v>4</v>
      </c>
      <c r="R53" s="85">
        <f>COUNTIFS(tblMatriculas[Código],tblGrupos[[#This Row],[Código]],tblMatriculas[Nivel],INDEX(tblNiveles[Nivel],4))</f>
        <v>19</v>
      </c>
      <c r="S53" s="85">
        <f>COUNTIFS(tblMatriculas[Código],tblGrupos[[#This Row],[Código]],tblMatriculas[Nivel],"⚪ SIN REGISTRO")</f>
        <v>0</v>
      </c>
      <c r="T53" s="87">
        <f>IF(tblGrupos[[#This Row],[Estudiantes evaluados]]=0,"",(tblGrupos[[#This Row],[Críticos]]+tblGrupos[[#This Row],[Alerta]]+tblGrupos[[#This Row],[Seguimiento]])/tblGrupos[[#This Row],[Estudiantes evaluados]])</f>
        <v>0.32142857142857145</v>
      </c>
      <c r="U53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4" spans="1:21" x14ac:dyDescent="0.2">
      <c r="A54" s="26" t="s">
        <v>3832</v>
      </c>
      <c r="B54" s="85" t="str">
        <f>_xlfn.XLOOKUP(tblGrupos[[#This Row],[Código]],tblMatriculas[Código],tblMatriculas[Programa])</f>
        <v>MARKETING DIGITAL INTEGRAL Y GESTIÓN DE COMUNIDADES</v>
      </c>
      <c r="C54" s="85" t="str">
        <f>_xlfn.XLOOKUP(tblGrupos[[#This Row],[Código]],tblMatriculas[Código],tblMatriculas[Grupo])</f>
        <v>MAR-01 - Marketing Digital y Gestión de Comunidades</v>
      </c>
      <c r="D54" s="85" t="str">
        <f>_xlfn.XLOOKUP(tblGrupos[[#This Row],[Código]],tblMatriculas[Código],tblMatriculas[Docente])</f>
        <v>Carolina Velásquez Vásquez</v>
      </c>
      <c r="E54" s="85" t="str">
        <f>_xlfn.XLOOKUP(tblGrupos[[#This Row],[Código]],tblMatriculas[Código],tblMatriculas[Horario])</f>
        <v>Martes 14:00-17:00 | Jueves 14:00-17:00</v>
      </c>
      <c r="F54" s="85">
        <f>_xlfn.MINIFS(tblMatriculas[Clases planeadas],tblMatriculas[Código],tblGrupos[[#This Row],[Código]])</f>
        <v>40</v>
      </c>
      <c r="G54" s="85">
        <f>_xlfn.MAXIFS(tblMatriculas[Asistidas],tblMatriculas[Código],tblGrupos[[#This Row],[Código]],tblMatriculas[Clases planeadas],tblGrupos[[#This Row],[Clases planeadas]],tblMatriculas[Estado],"activa")</f>
        <v>6</v>
      </c>
      <c r="H54" s="86"/>
      <c r="I54" s="85">
        <f>IF(tblGrupos[[#This Row],[Clases dictadas (manual)]]&lt;&gt;"",tblGrupos[[#This Row],[Clases dictadas (manual)]],tblGrupos[[#This Row],[Clases dictadas (est.)]])</f>
        <v>6</v>
      </c>
      <c r="J54" s="85">
        <f>COUNTIFS(tblMatriculas[Código],tblGrupos[[#This Row],[Código]],tblMatriculas[Estado],"activa")</f>
        <v>44</v>
      </c>
      <c r="K54" s="85">
        <f>COUNTIFS(tblMatriculas[Código],tblGrupos[[#This Row],[Código]],tblMatriculas[Incluir],TRUE)</f>
        <v>44</v>
      </c>
      <c r="L54" s="85">
        <f>SUMIFS(tblMatriculas[Asistidas],tblMatriculas[Código],tblGrupos[[#This Row],[Código]],tblMatriculas[Incluir],TRUE)</f>
        <v>181</v>
      </c>
      <c r="M54" s="85">
        <f>SUMIFS(tblMatriculas[Inasistencias],tblMatriculas[Código],tblGrupos[[#This Row],[Código]],tblMatriculas[Incluir],TRUE)</f>
        <v>93</v>
      </c>
      <c r="N54" s="87">
        <f>IFERROR(AVERAGEIFS(tblMatriculas[% asistencia],tblMatriculas[Código],tblGrupos[[#This Row],[Código]],tblMatriculas[Incluir],TRUE),"")</f>
        <v>0.10040909090909091</v>
      </c>
      <c r="O54" s="85">
        <f>COUNTIFS(tblMatriculas[Código],tblGrupos[[#This Row],[Código]],tblMatriculas[Nivel],INDEX(tblNiveles[Nivel],1))</f>
        <v>7</v>
      </c>
      <c r="P54" s="85">
        <f>COUNTIFS(tblMatriculas[Código],tblGrupos[[#This Row],[Código]],tblMatriculas[Nivel],INDEX(tblNiveles[Nivel],2))</f>
        <v>0</v>
      </c>
      <c r="Q54" s="85">
        <f>COUNTIFS(tblMatriculas[Código],tblGrupos[[#This Row],[Código]],tblMatriculas[Nivel],INDEX(tblNiveles[Nivel],3))</f>
        <v>4</v>
      </c>
      <c r="R54" s="85">
        <f>COUNTIFS(tblMatriculas[Código],tblGrupos[[#This Row],[Código]],tblMatriculas[Nivel],INDEX(tblNiveles[Nivel],4))</f>
        <v>33</v>
      </c>
      <c r="S54" s="85">
        <f>COUNTIFS(tblMatriculas[Código],tblGrupos[[#This Row],[Código]],tblMatriculas[Nivel],"⚪ SIN REGISTRO")</f>
        <v>0</v>
      </c>
      <c r="T54" s="87">
        <f>IF(tblGrupos[[#This Row],[Estudiantes evaluados]]=0,"",(tblGrupos[[#This Row],[Críticos]]+tblGrupos[[#This Row],[Alerta]]+tblGrupos[[#This Row],[Seguimiento]])/tblGrupos[[#This Row],[Estudiantes evaluados]])</f>
        <v>0.25</v>
      </c>
      <c r="U54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5" spans="1:21" x14ac:dyDescent="0.2">
      <c r="A55" s="26" t="s">
        <v>3924</v>
      </c>
      <c r="B55" s="85" t="str">
        <f>_xlfn.XLOOKUP(tblGrupos[[#This Row],[Código]],tblMatriculas[Código],tblMatriculas[Programa])</f>
        <v>MARKETING DIGITAL INTEGRAL Y GESTIÓN DE COMUNIDADES</v>
      </c>
      <c r="C55" s="85" t="str">
        <f>_xlfn.XLOOKUP(tblGrupos[[#This Row],[Código]],tblMatriculas[Código],tblMatriculas[Grupo])</f>
        <v>MAR-02 - Marketing Digital y Gestión de Comunidades</v>
      </c>
      <c r="D55" s="85" t="str">
        <f>_xlfn.XLOOKUP(tblGrupos[[#This Row],[Código]],tblMatriculas[Código],tblMatriculas[Docente])</f>
        <v>Katherinne  Salazar</v>
      </c>
      <c r="E55" s="85" t="str">
        <f>_xlfn.XLOOKUP(tblGrupos[[#This Row],[Código]],tblMatriculas[Código],tblMatriculas[Horario])</f>
        <v>Martes 12:00-14:00 | Miércoles 12:00-14:00 | Jueves 12:00-14:00</v>
      </c>
      <c r="F55" s="85">
        <f>_xlfn.MINIFS(tblMatriculas[Clases planeadas],tblMatriculas[Código],tblGrupos[[#This Row],[Código]])</f>
        <v>30</v>
      </c>
      <c r="G55" s="85">
        <f>_xlfn.MAXIFS(tblMatriculas[Asistidas],tblMatriculas[Código],tblGrupos[[#This Row],[Código]],tblMatriculas[Clases planeadas],tblGrupos[[#This Row],[Clases planeadas]],tblMatriculas[Estado],"activa")</f>
        <v>8</v>
      </c>
      <c r="H55" s="86"/>
      <c r="I55" s="85">
        <f>IF(tblGrupos[[#This Row],[Clases dictadas (manual)]]&lt;&gt;"",tblGrupos[[#This Row],[Clases dictadas (manual)]],tblGrupos[[#This Row],[Clases dictadas (est.)]])</f>
        <v>8</v>
      </c>
      <c r="J55" s="85">
        <f>COUNTIFS(tblMatriculas[Código],tblGrupos[[#This Row],[Código]],tblMatriculas[Estado],"activa")</f>
        <v>28</v>
      </c>
      <c r="K55" s="85">
        <f>COUNTIFS(tblMatriculas[Código],tblGrupos[[#This Row],[Código]],tblMatriculas[Incluir],TRUE)</f>
        <v>28</v>
      </c>
      <c r="L55" s="85">
        <f>SUMIFS(tblMatriculas[Asistidas],tblMatriculas[Código],tblGrupos[[#This Row],[Código]],tblMatriculas[Incluir],TRUE)</f>
        <v>154</v>
      </c>
      <c r="M55" s="85">
        <f>SUMIFS(tblMatriculas[Inasistencias],tblMatriculas[Código],tblGrupos[[#This Row],[Código]],tblMatriculas[Incluir],TRUE)</f>
        <v>81</v>
      </c>
      <c r="N55" s="87">
        <f>IFERROR(AVERAGEIFS(tblMatriculas[% asistencia],tblMatriculas[Código],tblGrupos[[#This Row],[Código]],tblMatriculas[Incluir],TRUE),"")</f>
        <v>0.17885714285714285</v>
      </c>
      <c r="O55" s="85">
        <f>COUNTIFS(tblMatriculas[Código],tblGrupos[[#This Row],[Código]],tblMatriculas[Nivel],INDEX(tblNiveles[Nivel],1))</f>
        <v>4</v>
      </c>
      <c r="P55" s="85">
        <f>COUNTIFS(tblMatriculas[Código],tblGrupos[[#This Row],[Código]],tblMatriculas[Nivel],INDEX(tblNiveles[Nivel],2))</f>
        <v>0</v>
      </c>
      <c r="Q55" s="85">
        <f>COUNTIFS(tblMatriculas[Código],tblGrupos[[#This Row],[Código]],tblMatriculas[Nivel],INDEX(tblNiveles[Nivel],3))</f>
        <v>2</v>
      </c>
      <c r="R55" s="85">
        <f>COUNTIFS(tblMatriculas[Código],tblGrupos[[#This Row],[Código]],tblMatriculas[Nivel],INDEX(tblNiveles[Nivel],4))</f>
        <v>22</v>
      </c>
      <c r="S55" s="85">
        <f>COUNTIFS(tblMatriculas[Código],tblGrupos[[#This Row],[Código]],tblMatriculas[Nivel],"⚪ SIN REGISTRO")</f>
        <v>0</v>
      </c>
      <c r="T55" s="87">
        <f>IF(tblGrupos[[#This Row],[Estudiantes evaluados]]=0,"",(tblGrupos[[#This Row],[Críticos]]+tblGrupos[[#This Row],[Alerta]]+tblGrupos[[#This Row],[Seguimiento]])/tblGrupos[[#This Row],[Estudiantes evaluados]])</f>
        <v>0.21428571428571427</v>
      </c>
      <c r="U55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6" spans="1:21" x14ac:dyDescent="0.2">
      <c r="A56" s="26" t="s">
        <v>3987</v>
      </c>
      <c r="B56" s="85" t="str">
        <f>_xlfn.XLOOKUP(tblGrupos[[#This Row],[Código]],tblMatriculas[Código],tblMatriculas[Programa])</f>
        <v>MARKETING DIGITAL INTEGRAL Y GESTIÓN DE COMUNIDADES</v>
      </c>
      <c r="C56" s="85" t="str">
        <f>_xlfn.XLOOKUP(tblGrupos[[#This Row],[Código]],tblMatriculas[Código],tblMatriculas[Grupo])</f>
        <v>MAR-03 - Marketing Digital y Gestión de Comunidades</v>
      </c>
      <c r="D56" s="85" t="str">
        <f>_xlfn.XLOOKUP(tblGrupos[[#This Row],[Código]],tblMatriculas[Código],tblMatriculas[Docente])</f>
        <v>Carolina Velásquez Vásquez</v>
      </c>
      <c r="E56" s="85" t="str">
        <f>_xlfn.XLOOKUP(tblGrupos[[#This Row],[Código]],tblMatriculas[Código],tblMatriculas[Horario])</f>
        <v>Miércoles 18:30-21:30 | Viernes 18:30-21:30</v>
      </c>
      <c r="F56" s="85">
        <f>_xlfn.MINIFS(tblMatriculas[Clases planeadas],tblMatriculas[Código],tblGrupos[[#This Row],[Código]])</f>
        <v>30</v>
      </c>
      <c r="G56" s="85">
        <f>_xlfn.MAXIFS(tblMatriculas[Asistidas],tblMatriculas[Código],tblGrupos[[#This Row],[Código]],tblMatriculas[Clases planeadas],tblGrupos[[#This Row],[Clases planeadas]],tblMatriculas[Estado],"activa")</f>
        <v>5</v>
      </c>
      <c r="H56" s="86"/>
      <c r="I56" s="85">
        <f>IF(tblGrupos[[#This Row],[Clases dictadas (manual)]]&lt;&gt;"",tblGrupos[[#This Row],[Clases dictadas (manual)]],tblGrupos[[#This Row],[Clases dictadas (est.)]])</f>
        <v>5</v>
      </c>
      <c r="J56" s="85">
        <f>COUNTIFS(tblMatriculas[Código],tblGrupos[[#This Row],[Código]],tblMatriculas[Estado],"activa")</f>
        <v>41</v>
      </c>
      <c r="K56" s="85">
        <f>COUNTIFS(tblMatriculas[Código],tblGrupos[[#This Row],[Código]],tblMatriculas[Incluir],TRUE)</f>
        <v>41</v>
      </c>
      <c r="L56" s="85">
        <f>SUMIFS(tblMatriculas[Asistidas],tblMatriculas[Código],tblGrupos[[#This Row],[Código]],tblMatriculas[Incluir],TRUE)</f>
        <v>133</v>
      </c>
      <c r="M56" s="85">
        <f>SUMIFS(tblMatriculas[Inasistencias],tblMatriculas[Código],tblGrupos[[#This Row],[Código]],tblMatriculas[Incluir],TRUE)</f>
        <v>78</v>
      </c>
      <c r="N56" s="87">
        <f>IFERROR(AVERAGEIFS(tblMatriculas[% asistencia],tblMatriculas[Código],tblGrupos[[#This Row],[Código]],tblMatriculas[Incluir],TRUE),"")</f>
        <v>0.10617073170731704</v>
      </c>
      <c r="O56" s="85">
        <f>COUNTIFS(tblMatriculas[Código],tblGrupos[[#This Row],[Código]],tblMatriculas[Nivel],INDEX(tblNiveles[Nivel],1))</f>
        <v>9</v>
      </c>
      <c r="P56" s="85">
        <f>COUNTIFS(tblMatriculas[Código],tblGrupos[[#This Row],[Código]],tblMatriculas[Nivel],INDEX(tblNiveles[Nivel],2))</f>
        <v>0</v>
      </c>
      <c r="Q56" s="85">
        <f>COUNTIFS(tblMatriculas[Código],tblGrupos[[#This Row],[Código]],tblMatriculas[Nivel],INDEX(tblNiveles[Nivel],3))</f>
        <v>3</v>
      </c>
      <c r="R56" s="85">
        <f>COUNTIFS(tblMatriculas[Código],tblGrupos[[#This Row],[Código]],tblMatriculas[Nivel],INDEX(tblNiveles[Nivel],4))</f>
        <v>29</v>
      </c>
      <c r="S56" s="85">
        <f>COUNTIFS(tblMatriculas[Código],tblGrupos[[#This Row],[Código]],tblMatriculas[Nivel],"⚪ SIN REGISTRO")</f>
        <v>0</v>
      </c>
      <c r="T56" s="87">
        <f>IF(tblGrupos[[#This Row],[Estudiantes evaluados]]=0,"",(tblGrupos[[#This Row],[Críticos]]+tblGrupos[[#This Row],[Alerta]]+tblGrupos[[#This Row],[Seguimiento]])/tblGrupos[[#This Row],[Estudiantes evaluados]])</f>
        <v>0.29268292682926828</v>
      </c>
      <c r="U56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7" spans="1:21" x14ac:dyDescent="0.2">
      <c r="A57" s="26" t="s">
        <v>4065</v>
      </c>
      <c r="B57" s="85" t="str">
        <f>_xlfn.XLOOKUP(tblGrupos[[#This Row],[Código]],tblMatriculas[Código],tblMatriculas[Programa])</f>
        <v>MARKETING DIGITAL INTEGRAL Y GESTIÓN DE COMUNIDADES</v>
      </c>
      <c r="C57" s="85" t="str">
        <f>_xlfn.XLOOKUP(tblGrupos[[#This Row],[Código]],tblMatriculas[Código],tblMatriculas[Grupo])</f>
        <v>MAR-04 - Marketing Digital y Gestión de Comunidades</v>
      </c>
      <c r="D57" s="85" t="str">
        <f>_xlfn.XLOOKUP(tblGrupos[[#This Row],[Código]],tblMatriculas[Código],tblMatriculas[Docente])</f>
        <v>Sara N. Juyo Morera</v>
      </c>
      <c r="E57" s="85" t="str">
        <f>_xlfn.XLOOKUP(tblGrupos[[#This Row],[Código]],tblMatriculas[Código],tblMatriculas[Horario])</f>
        <v>Martes 18:30-21:30 | Jueves 18:30-21:30</v>
      </c>
      <c r="F57" s="85">
        <f>_xlfn.MINIFS(tblMatriculas[Clases planeadas],tblMatriculas[Código],tblGrupos[[#This Row],[Código]])</f>
        <v>30</v>
      </c>
      <c r="G57" s="85">
        <f>_xlfn.MAXIFS(tblMatriculas[Asistidas],tblMatriculas[Código],tblGrupos[[#This Row],[Código]],tblMatriculas[Clases planeadas],tblGrupos[[#This Row],[Clases planeadas]],tblMatriculas[Estado],"activa")</f>
        <v>6</v>
      </c>
      <c r="H57" s="86"/>
      <c r="I57" s="85">
        <f>IF(tblGrupos[[#This Row],[Clases dictadas (manual)]]&lt;&gt;"",tblGrupos[[#This Row],[Clases dictadas (manual)]],tblGrupos[[#This Row],[Clases dictadas (est.)]])</f>
        <v>6</v>
      </c>
      <c r="J57" s="85">
        <f>COUNTIFS(tblMatriculas[Código],tblGrupos[[#This Row],[Código]],tblMatriculas[Estado],"activa")</f>
        <v>48</v>
      </c>
      <c r="K57" s="85">
        <f>COUNTIFS(tblMatriculas[Código],tblGrupos[[#This Row],[Código]],tblMatriculas[Incluir],TRUE)</f>
        <v>48</v>
      </c>
      <c r="L57" s="85">
        <f>SUMIFS(tblMatriculas[Asistidas],tblMatriculas[Código],tblGrupos[[#This Row],[Código]],tblMatriculas[Incluir],TRUE)</f>
        <v>201</v>
      </c>
      <c r="M57" s="85">
        <f>SUMIFS(tblMatriculas[Inasistencias],tblMatriculas[Código],tblGrupos[[#This Row],[Código]],tblMatriculas[Incluir],TRUE)</f>
        <v>87</v>
      </c>
      <c r="N57" s="87">
        <f>IFERROR(AVERAGEIFS(tblMatriculas[% asistencia],tblMatriculas[Código],tblGrupos[[#This Row],[Código]],tblMatriculas[Incluir],TRUE),"")</f>
        <v>0.13958333333333334</v>
      </c>
      <c r="O57" s="85">
        <f>COUNTIFS(tblMatriculas[Código],tblGrupos[[#This Row],[Código]],tblMatriculas[Nivel],INDEX(tblNiveles[Nivel],1))</f>
        <v>5</v>
      </c>
      <c r="P57" s="85">
        <f>COUNTIFS(tblMatriculas[Código],tblGrupos[[#This Row],[Código]],tblMatriculas[Nivel],INDEX(tblNiveles[Nivel],2))</f>
        <v>2</v>
      </c>
      <c r="Q57" s="85">
        <f>COUNTIFS(tblMatriculas[Código],tblGrupos[[#This Row],[Código]],tblMatriculas[Nivel],INDEX(tblNiveles[Nivel],3))</f>
        <v>1</v>
      </c>
      <c r="R57" s="85">
        <f>COUNTIFS(tblMatriculas[Código],tblGrupos[[#This Row],[Código]],tblMatriculas[Nivel],INDEX(tblNiveles[Nivel],4))</f>
        <v>40</v>
      </c>
      <c r="S57" s="85">
        <f>COUNTIFS(tblMatriculas[Código],tblGrupos[[#This Row],[Código]],tblMatriculas[Nivel],"⚪ SIN REGISTRO")</f>
        <v>0</v>
      </c>
      <c r="T57" s="87">
        <f>IF(tblGrupos[[#This Row],[Estudiantes evaluados]]=0,"",(tblGrupos[[#This Row],[Críticos]]+tblGrupos[[#This Row],[Alerta]]+tblGrupos[[#This Row],[Seguimiento]])/tblGrupos[[#This Row],[Estudiantes evaluados]])</f>
        <v>0.16666666666666666</v>
      </c>
      <c r="U57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8" spans="1:21" x14ac:dyDescent="0.2">
      <c r="A58" s="26" t="s">
        <v>4166</v>
      </c>
      <c r="B58" s="85" t="str">
        <f>_xlfn.XLOOKUP(tblGrupos[[#This Row],[Código]],tblMatriculas[Código],tblMatriculas[Programa])</f>
        <v>MARKETING DIGITAL INTEGRAL Y GESTIÓN DE COMUNIDADES</v>
      </c>
      <c r="C58" s="85" t="str">
        <f>_xlfn.XLOOKUP(tblGrupos[[#This Row],[Código]],tblMatriculas[Código],tblMatriculas[Grupo])</f>
        <v>MAR-05 - Marketing Digital y Gestión de Comunidades</v>
      </c>
      <c r="D58" s="85" t="str">
        <f>_xlfn.XLOOKUP(tblGrupos[[#This Row],[Código]],tblMatriculas[Código],tblMatriculas[Docente])</f>
        <v>Carolina Velásquez Vásquez</v>
      </c>
      <c r="E58" s="85" t="str">
        <f>_xlfn.XLOOKUP(tblGrupos[[#This Row],[Código]],tblMatriculas[Código],tblMatriculas[Horario])</f>
        <v>Miércoles 08:00-11:00 | Viernes 08:00-11:00</v>
      </c>
      <c r="F58" s="85">
        <f>_xlfn.MINIFS(tblMatriculas[Clases planeadas],tblMatriculas[Código],tblGrupos[[#This Row],[Código]])</f>
        <v>40</v>
      </c>
      <c r="G58" s="85">
        <f>_xlfn.MAXIFS(tblMatriculas[Asistidas],tblMatriculas[Código],tblGrupos[[#This Row],[Código]],tblMatriculas[Clases planeadas],tblGrupos[[#This Row],[Clases planeadas]],tblMatriculas[Estado],"activa")</f>
        <v>6</v>
      </c>
      <c r="H58" s="86"/>
      <c r="I58" s="85">
        <f>IF(tblGrupos[[#This Row],[Clases dictadas (manual)]]&lt;&gt;"",tblGrupos[[#This Row],[Clases dictadas (manual)]],tblGrupos[[#This Row],[Clases dictadas (est.)]])</f>
        <v>6</v>
      </c>
      <c r="J58" s="85">
        <f>COUNTIFS(tblMatriculas[Código],tblGrupos[[#This Row],[Código]],tblMatriculas[Estado],"activa")</f>
        <v>41</v>
      </c>
      <c r="K58" s="85">
        <f>COUNTIFS(tblMatriculas[Código],tblGrupos[[#This Row],[Código]],tblMatriculas[Incluir],TRUE)</f>
        <v>41</v>
      </c>
      <c r="L58" s="85">
        <f>SUMIFS(tblMatriculas[Asistidas],tblMatriculas[Código],tblGrupos[[#This Row],[Código]],tblMatriculas[Incluir],TRUE)</f>
        <v>168</v>
      </c>
      <c r="M58" s="85">
        <f>SUMIFS(tblMatriculas[Inasistencias],tblMatriculas[Código],tblGrupos[[#This Row],[Código]],tblMatriculas[Incluir],TRUE)</f>
        <v>85</v>
      </c>
      <c r="N58" s="87">
        <f>IFERROR(AVERAGEIFS(tblMatriculas[% asistencia],tblMatriculas[Código],tblGrupos[[#This Row],[Código]],tblMatriculas[Incluir],TRUE),"")</f>
        <v>0.10060975609756095</v>
      </c>
      <c r="O58" s="85">
        <f>COUNTIFS(tblMatriculas[Código],tblGrupos[[#This Row],[Código]],tblMatriculas[Nivel],INDEX(tblNiveles[Nivel],1))</f>
        <v>7</v>
      </c>
      <c r="P58" s="85">
        <f>COUNTIFS(tblMatriculas[Código],tblGrupos[[#This Row],[Código]],tblMatriculas[Nivel],INDEX(tblNiveles[Nivel],2))</f>
        <v>2</v>
      </c>
      <c r="Q58" s="85">
        <f>COUNTIFS(tblMatriculas[Código],tblGrupos[[#This Row],[Código]],tblMatriculas[Nivel],INDEX(tblNiveles[Nivel],3))</f>
        <v>2</v>
      </c>
      <c r="R58" s="85">
        <f>COUNTIFS(tblMatriculas[Código],tblGrupos[[#This Row],[Código]],tblMatriculas[Nivel],INDEX(tblNiveles[Nivel],4))</f>
        <v>30</v>
      </c>
      <c r="S58" s="85">
        <f>COUNTIFS(tblMatriculas[Código],tblGrupos[[#This Row],[Código]],tblMatriculas[Nivel],"⚪ SIN REGISTRO")</f>
        <v>0</v>
      </c>
      <c r="T58" s="87">
        <f>IF(tblGrupos[[#This Row],[Estudiantes evaluados]]=0,"",(tblGrupos[[#This Row],[Críticos]]+tblGrupos[[#This Row],[Alerta]]+tblGrupos[[#This Row],[Seguimiento]])/tblGrupos[[#This Row],[Estudiantes evaluados]])</f>
        <v>0.26829268292682928</v>
      </c>
      <c r="U58" s="85" t="str">
        <f>IF(tblGrupos[[#This Row],[% asistencia]]="","⚪ SIN REGISTRO",_xlfn.XLOOKUP(ROUND(tblGrupos[[#This Row],[% asistencia]],3),tblNiveles[Hasta (% asistencia, incluido)],tblNiveles[Nivel],,1))</f>
        <v>🟢 NORMAL</v>
      </c>
    </row>
    <row r="59" spans="1:21" x14ac:dyDescent="0.2">
      <c r="A59" s="26" t="s">
        <v>4248</v>
      </c>
      <c r="B59" s="85" t="str">
        <f>_xlfn.XLOOKUP(tblGrupos[[#This Row],[Código]],tblMatriculas[Código],tblMatriculas[Programa])</f>
        <v>MARKETING DIGITAL INTEGRAL Y GESTIÓN DE COMUNIDADES</v>
      </c>
      <c r="C59" s="85" t="str">
        <f>_xlfn.XLOOKUP(tblGrupos[[#This Row],[Código]],tblMatriculas[Código],tblMatriculas[Grupo])</f>
        <v>MAR-06 - Marketing Digital y Gestión de Comunidades</v>
      </c>
      <c r="D59" s="85" t="str">
        <f>_xlfn.XLOOKUP(tblGrupos[[#This Row],[Código]],tblMatriculas[Código],tblMatriculas[Docente])</f>
        <v>Manuela Ramirez Eusse</v>
      </c>
      <c r="E59" s="85" t="str">
        <f>_xlfn.XLOOKUP(tblGrupos[[#This Row],[Código]],tblMatriculas[Código],tblMatriculas[Horario])</f>
        <v>Sábado 09:00-12:00 | Sábado 13:00-16:00</v>
      </c>
      <c r="F59" s="85">
        <f>_xlfn.MINIFS(tblMatriculas[Clases planeadas],tblMatriculas[Código],tblGrupos[[#This Row],[Código]])</f>
        <v>30</v>
      </c>
      <c r="G59" s="85">
        <f>_xlfn.MAXIFS(tblMatriculas[Asistidas],tblMatriculas[Código],tblGrupos[[#This Row],[Código]],tblMatriculas[Clases planeadas],tblGrupos[[#This Row],[Clases planeadas]],tblMatriculas[Estado],"activa")</f>
        <v>2</v>
      </c>
      <c r="H59" s="86"/>
      <c r="I59" s="85">
        <f>IF(tblGrupos[[#This Row],[Clases dictadas (manual)]]&lt;&gt;"",tblGrupos[[#This Row],[Clases dictadas (manual)]],tblGrupos[[#This Row],[Clases dictadas (est.)]])</f>
        <v>2</v>
      </c>
      <c r="J59" s="85">
        <f>COUNTIFS(tblMatriculas[Código],tblGrupos[[#This Row],[Código]],tblMatriculas[Estado],"activa")</f>
        <v>45</v>
      </c>
      <c r="K59" s="85">
        <f>COUNTIFS(tblMatriculas[Código],tblGrupos[[#This Row],[Código]],tblMatriculas[Incluir],TRUE)</f>
        <v>45</v>
      </c>
      <c r="L59" s="85">
        <f>SUMIFS(tblMatriculas[Asistidas],tblMatriculas[Código],tblGrupos[[#This Row],[Código]],tblMatriculas[Incluir],TRUE)</f>
        <v>64</v>
      </c>
      <c r="M59" s="85">
        <f>SUMIFS(tblMatriculas[Inasistencias],tblMatriculas[Código],tblGrupos[[#This Row],[Código]],tblMatriculas[Incluir],TRUE)</f>
        <v>26</v>
      </c>
      <c r="N59" s="87">
        <f>IFERROR(AVERAGEIFS(tblMatriculas[% asistencia],tblMatriculas[Código],tblGrupos[[#This Row],[Código]],tblMatriculas[Incluir],TRUE),"")</f>
        <v>4.7555555555555538E-2</v>
      </c>
      <c r="O59" s="85">
        <f>COUNTIFS(tblMatriculas[Código],tblGrupos[[#This Row],[Código]],tblMatriculas[Nivel],INDEX(tblNiveles[Nivel],1))</f>
        <v>9</v>
      </c>
      <c r="P59" s="85">
        <f>COUNTIFS(tblMatriculas[Código],tblGrupos[[#This Row],[Código]],tblMatriculas[Nivel],INDEX(tblNiveles[Nivel],2))</f>
        <v>8</v>
      </c>
      <c r="Q59" s="85">
        <f>COUNTIFS(tblMatriculas[Código],tblGrupos[[#This Row],[Código]],tblMatriculas[Nivel],INDEX(tblNiveles[Nivel],3))</f>
        <v>28</v>
      </c>
      <c r="R59" s="85">
        <f>COUNTIFS(tblMatriculas[Código],tblGrupos[[#This Row],[Código]],tblMatriculas[Nivel],INDEX(tblNiveles[Nivel],4))</f>
        <v>0</v>
      </c>
      <c r="S59" s="85">
        <f>COUNTIFS(tblMatriculas[Código],tblGrupos[[#This Row],[Código]],tblMatriculas[Nivel],"⚪ SIN REGISTRO")</f>
        <v>0</v>
      </c>
      <c r="T59" s="87">
        <f>IF(tblGrupos[[#This Row],[Estudiantes evaluados]]=0,"",(tblGrupos[[#This Row],[Críticos]]+tblGrupos[[#This Row],[Alerta]]+tblGrupos[[#This Row],[Seguimiento]])/tblGrupos[[#This Row],[Estudiantes evaluados]])</f>
        <v>1</v>
      </c>
      <c r="U59" s="85" t="str">
        <f>IF(tblGrupos[[#This Row],[% asistencia]]="","⚪ SIN REGISTRO",_xlfn.XLOOKUP(ROUND(tblGrupos[[#This Row],[% asistencia]],3),tblNiveles[Hasta (% asistencia, incluido)],tblNiveles[Nivel],,1))</f>
        <v>🟡 SEGUIMIENTO</v>
      </c>
    </row>
    <row r="60" spans="1:21" x14ac:dyDescent="0.2">
      <c r="A60" s="26" t="s">
        <v>4341</v>
      </c>
      <c r="B60" s="85" t="str">
        <f>_xlfn.XLOOKUP(tblGrupos[[#This Row],[Código]],tblMatriculas[Código],tblMatriculas[Programa])</f>
        <v>MARKETING DIGITAL INTEGRAL Y GESTIÓN DE COMUNIDADES</v>
      </c>
      <c r="C60" s="85" t="str">
        <f>_xlfn.XLOOKUP(tblGrupos[[#This Row],[Código]],tblMatriculas[Código],tblMatriculas[Grupo])</f>
        <v>MAR-07 - Marketing Digital y Gestión de Comunidades</v>
      </c>
      <c r="D60" s="85" t="str">
        <f>_xlfn.XLOOKUP(tblGrupos[[#This Row],[Código]],tblMatriculas[Código],tblMatriculas[Docente])</f>
        <v>Magda Gámez Cuartas</v>
      </c>
      <c r="E60" s="85" t="str">
        <f>_xlfn.XLOOKUP(tblGrupos[[#This Row],[Código]],tblMatriculas[Código],tblMatriculas[Horario])</f>
        <v>Sábado 09:00-12:00 | Domingo 09:00-12:00</v>
      </c>
      <c r="F60" s="85">
        <f>_xlfn.MINIFS(tblMatriculas[Clases planeadas],tblMatriculas[Código],tblGrupos[[#This Row],[Código]])</f>
        <v>30</v>
      </c>
      <c r="G60" s="85">
        <f>_xlfn.MAXIFS(tblMatriculas[Asistidas],tblMatriculas[Código],tblGrupos[[#This Row],[Código]],tblMatriculas[Clases planeadas],tblGrupos[[#This Row],[Clases planeadas]],tblMatriculas[Estado],"activa")</f>
        <v>4</v>
      </c>
      <c r="H60" s="86"/>
      <c r="I60" s="85">
        <f>IF(tblGrupos[[#This Row],[Clases dictadas (manual)]]&lt;&gt;"",tblGrupos[[#This Row],[Clases dictadas (manual)]],tblGrupos[[#This Row],[Clases dictadas (est.)]])</f>
        <v>4</v>
      </c>
      <c r="J60" s="85">
        <f>COUNTIFS(tblMatriculas[Código],tblGrupos[[#This Row],[Código]],tblMatriculas[Estado],"activa")</f>
        <v>33</v>
      </c>
      <c r="K60" s="85">
        <f>COUNTIFS(tblMatriculas[Código],tblGrupos[[#This Row],[Código]],tblMatriculas[Incluir],TRUE)</f>
        <v>32</v>
      </c>
      <c r="L60" s="85">
        <f>SUMIFS(tblMatriculas[Asistidas],tblMatriculas[Código],tblGrupos[[#This Row],[Código]],tblMatriculas[Incluir],TRUE)</f>
        <v>92</v>
      </c>
      <c r="M60" s="85">
        <f>SUMIFS(tblMatriculas[Inasistencias],tblMatriculas[Código],tblGrupos[[#This Row],[Código]],tblMatriculas[Incluir],TRUE)</f>
        <v>38</v>
      </c>
      <c r="N60" s="87">
        <f>IFERROR(AVERAGEIFS(tblMatriculas[% asistencia],tblMatriculas[Código],tblGrupos[[#This Row],[Código]],tblMatriculas[Incluir],TRUE),"")</f>
        <v>9.4093750000000004E-2</v>
      </c>
      <c r="O60" s="85">
        <f>COUNTIFS(tblMatriculas[Código],tblGrupos[[#This Row],[Código]],tblMatriculas[Nivel],INDEX(tblNiveles[Nivel],1))</f>
        <v>3</v>
      </c>
      <c r="P60" s="85">
        <f>COUNTIFS(tblMatriculas[Código],tblGrupos[[#This Row],[Código]],tblMatriculas[Nivel],INDEX(tblNiveles[Nivel],2))</f>
        <v>4</v>
      </c>
      <c r="Q60" s="85">
        <f>COUNTIFS(tblMatriculas[Código],tblGrupos[[#This Row],[Código]],tblMatriculas[Nivel],INDEX(tblNiveles[Nivel],3))</f>
        <v>4</v>
      </c>
      <c r="R60" s="85">
        <f>COUNTIFS(tblMatriculas[Código],tblGrupos[[#This Row],[Código]],tblMatriculas[Nivel],INDEX(tblNiveles[Nivel],4))</f>
        <v>21</v>
      </c>
      <c r="S60" s="85">
        <f>COUNTIFS(tblMatriculas[Código],tblGrupos[[#This Row],[Código]],tblMatriculas[Nivel],"⚪ SIN REGISTRO")</f>
        <v>0</v>
      </c>
      <c r="T60" s="87">
        <f>IF(tblGrupos[[#This Row],[Estudiantes evaluados]]=0,"",(tblGrupos[[#This Row],[Críticos]]+tblGrupos[[#This Row],[Alerta]]+tblGrupos[[#This Row],[Seguimiento]])/tblGrupos[[#This Row],[Estudiantes evaluados]])</f>
        <v>0.34375</v>
      </c>
      <c r="U60" s="85" t="str">
        <f>IF(tblGrupos[[#This Row],[% asistencia]]="","⚪ SIN REGISTRO",_xlfn.XLOOKUP(ROUND(tblGrupos[[#This Row],[% asistencia]],3),tblNiveles[Hasta (% asistencia, incluido)],tblNiveles[Nivel],,1))</f>
        <v>🟢 NORMAL</v>
      </c>
    </row>
  </sheetData>
  <conditionalFormatting sqref="N4:N60">
    <cfRule type="expression" dxfId="13" priority="8">
      <formula>$U4="🔴 CRÍTICO"</formula>
    </cfRule>
    <cfRule type="expression" dxfId="12" priority="9">
      <formula>$U4="🟠 ALERTA"</formula>
    </cfRule>
    <cfRule type="expression" dxfId="11" priority="10">
      <formula>$U4="🟡 SEGUIMIENTO"</formula>
    </cfRule>
    <cfRule type="expression" dxfId="10" priority="11">
      <formula>$U4="🟢 NORMAL"</formula>
    </cfRule>
    <cfRule type="expression" dxfId="9" priority="12">
      <formula>$U4="⚪ SIN REGISTRO"</formula>
    </cfRule>
    <cfRule type="expression" dxfId="8" priority="13">
      <formula>$U4="Retirado"</formula>
    </cfRule>
    <cfRule type="expression" dxfId="7" priority="14">
      <formula>$U4="Prueba"</formula>
    </cfRule>
  </conditionalFormatting>
  <conditionalFormatting sqref="U4:U60">
    <cfRule type="expression" dxfId="6" priority="1">
      <formula>$U4="🔴 CRÍTICO"</formula>
    </cfRule>
    <cfRule type="expression" dxfId="5" priority="2">
      <formula>$U4="🟠 ALERTA"</formula>
    </cfRule>
    <cfRule type="expression" dxfId="4" priority="3">
      <formula>$U4="🟡 SEGUIMIENTO"</formula>
    </cfRule>
    <cfRule type="expression" dxfId="3" priority="4">
      <formula>$U4="🟢 NORMAL"</formula>
    </cfRule>
    <cfRule type="expression" dxfId="2" priority="5">
      <formula>$U4="⚪ SIN REGISTRO"</formula>
    </cfRule>
    <cfRule type="expression" dxfId="1" priority="6">
      <formula>$U4="Retirado"</formula>
    </cfRule>
    <cfRule type="expression" dxfId="0" priority="7">
      <formula>$U4="Prueba"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A037-29EE-964C-93DF-6B8AA3586E08}">
  <sheetPr>
    <tabColor rgb="FFA6A6A6"/>
  </sheetPr>
  <dimension ref="A1:K62"/>
  <sheetViews>
    <sheetView showGridLines="0" workbookViewId="0">
      <selection activeCell="Q4" sqref="Q4"/>
    </sheetView>
  </sheetViews>
  <sheetFormatPr baseColWidth="10" defaultRowHeight="16" x14ac:dyDescent="0.2"/>
  <cols>
    <col min="1" max="1" width="43.33203125" customWidth="1"/>
    <col min="2" max="2" width="20" customWidth="1"/>
    <col min="3" max="3" width="15" customWidth="1"/>
    <col min="4" max="5" width="55" customWidth="1"/>
    <col min="6" max="9" width="25" customWidth="1"/>
    <col min="11" max="11" width="26.6640625" customWidth="1"/>
  </cols>
  <sheetData>
    <row r="1" spans="1:11" ht="21" x14ac:dyDescent="0.25">
      <c r="A1" s="17" t="s">
        <v>9058</v>
      </c>
    </row>
    <row r="2" spans="1:11" x14ac:dyDescent="0.2">
      <c r="A2" s="18" t="s">
        <v>9059</v>
      </c>
    </row>
    <row r="3" spans="1:11" x14ac:dyDescent="0.2">
      <c r="A3" s="18" t="s">
        <v>9259</v>
      </c>
      <c r="F3" s="2" t="s">
        <v>9117</v>
      </c>
    </row>
    <row r="4" spans="1:11" x14ac:dyDescent="0.2">
      <c r="A4" t="s">
        <v>9060</v>
      </c>
      <c r="B4" t="s">
        <v>9254</v>
      </c>
      <c r="C4" t="s">
        <v>9061</v>
      </c>
      <c r="D4" t="s">
        <v>9062</v>
      </c>
      <c r="E4" t="s">
        <v>9158</v>
      </c>
      <c r="G4" s="15" t="s">
        <v>9118</v>
      </c>
      <c r="H4" s="15" t="s">
        <v>9119</v>
      </c>
      <c r="I4" s="15" t="s">
        <v>9120</v>
      </c>
      <c r="J4" s="15" t="s">
        <v>9121</v>
      </c>
      <c r="K4" s="15" t="s">
        <v>9264</v>
      </c>
    </row>
    <row r="5" spans="1:11" x14ac:dyDescent="0.2">
      <c r="A5" t="s">
        <v>9063</v>
      </c>
      <c r="B5" s="1">
        <v>0</v>
      </c>
      <c r="C5">
        <v>1</v>
      </c>
      <c r="D5" t="s">
        <v>9255</v>
      </c>
      <c r="E5" s="19" t="s">
        <v>9159</v>
      </c>
      <c r="G5" t="str" cm="1">
        <f t="array" ref="G5:G12">_xlfn.VSTACK("(Todos)",_xlfn._xlws.SORT(_xlfn.UNIQUE(tblGrupos[Programa])))</f>
        <v>(Todos)</v>
      </c>
      <c r="H5" t="str" cm="1">
        <f t="array" ref="H5:H35">_xlfn.VSTACK("(Todos)",_xlfn._xlws.SORT(_xlfn.UNIQUE(tblGrupos[Docente])))</f>
        <v>(Todos)</v>
      </c>
      <c r="I5" t="str" cm="1">
        <f t="array" ref="I5:I62">_xlfn.VSTACK("(Todos)",tblGrupos[Código])</f>
        <v>(Todos)</v>
      </c>
      <c r="J5" t="str" cm="1">
        <f t="array" ref="J5:J14">IF(CURSOS!$C$4="(Todos)",tblGrupos[Código],_xlfn._xlws.FILTER(tblGrupos[Código],tblGrupos[Programa]=CURSOS!$C$4,""))</f>
        <v>DAT-01</v>
      </c>
      <c r="K5" t="str" cm="1">
        <f t="array" ref="K5:K9">_xlfn.VSTACK("(Todos)",_xlfn._xlws.SORT(_xlfn.UNIQUE(IF(ALERTAS!$C$4="(Todos)",tblGrupos[Docente],_xlfn._xlws.FILTER(tblGrupos[Docente],tblGrupos[Programa]=ALERTAS!$C$4,"")))))</f>
        <v>(Todos)</v>
      </c>
    </row>
    <row r="6" spans="1:11" x14ac:dyDescent="0.2">
      <c r="A6" t="s">
        <v>9064</v>
      </c>
      <c r="B6" s="45">
        <v>3.3000000000000002E-2</v>
      </c>
      <c r="C6">
        <v>2</v>
      </c>
      <c r="D6" t="s">
        <v>9256</v>
      </c>
      <c r="E6" s="19" t="s">
        <v>9160</v>
      </c>
      <c r="G6" t="str">
        <v>ANÁLISIS Y VISUALIZACIÓN DE DATOS PARA LA TOMA DE DECISIONES</v>
      </c>
      <c r="H6" t="str">
        <v>Alejandro Barrera Correa</v>
      </c>
      <c r="I6" t="str">
        <v>DAT-01</v>
      </c>
      <c r="J6" t="str">
        <v>DAT-02</v>
      </c>
      <c r="K6" t="str">
        <v>Brahiam Acosta</v>
      </c>
    </row>
    <row r="7" spans="1:11" x14ac:dyDescent="0.2">
      <c r="A7" t="s">
        <v>9065</v>
      </c>
      <c r="B7" s="45">
        <v>6.7000000000000004E-2</v>
      </c>
      <c r="C7">
        <v>3</v>
      </c>
      <c r="D7" t="s">
        <v>9257</v>
      </c>
      <c r="E7" s="19" t="s">
        <v>9161</v>
      </c>
      <c r="G7" t="str">
        <v>CLOUD COMPUTING, REDES Y CIBERSEGURIDAD ESENCIAL</v>
      </c>
      <c r="H7" t="str">
        <v>Alvaro Viloria</v>
      </c>
      <c r="I7" t="str">
        <v>DAT-02</v>
      </c>
      <c r="J7" t="str">
        <v>DAT-03</v>
      </c>
      <c r="K7" t="str">
        <v>Jose Luis Murillo</v>
      </c>
    </row>
    <row r="8" spans="1:11" x14ac:dyDescent="0.2">
      <c r="A8" t="s">
        <v>9066</v>
      </c>
      <c r="B8" s="45">
        <v>1</v>
      </c>
      <c r="C8">
        <v>4</v>
      </c>
      <c r="D8" t="s">
        <v>9258</v>
      </c>
      <c r="E8" s="19" t="s">
        <v>9162</v>
      </c>
      <c r="G8" t="str">
        <v>CREACIÓN Y PRODUCCIÓN ESTRATÉGICA DE CONTENIDOS DIGITALES</v>
      </c>
      <c r="H8" t="str">
        <v>Brahiam Acosta</v>
      </c>
      <c r="I8" t="str">
        <v>DAT-03</v>
      </c>
      <c r="J8" t="str">
        <v>DAT-04</v>
      </c>
      <c r="K8" t="str">
        <v>Sofia Vanegas</v>
      </c>
    </row>
    <row r="9" spans="1:11" x14ac:dyDescent="0.2">
      <c r="G9" t="str">
        <v>DESARROLLO WEB Y APLICACIONES CON JAVASCRIPT FULL STACK</v>
      </c>
      <c r="H9" t="str">
        <v>Camilo Andrés Mejía</v>
      </c>
      <c r="I9" t="str">
        <v>DAT-04</v>
      </c>
      <c r="J9" t="str">
        <v>DAT-05</v>
      </c>
      <c r="K9" t="str">
        <v>WILLIAM MEJIA</v>
      </c>
    </row>
    <row r="10" spans="1:11" x14ac:dyDescent="0.2">
      <c r="A10" s="20" t="s">
        <v>9067</v>
      </c>
      <c r="B10" s="20" t="s">
        <v>9068</v>
      </c>
      <c r="C10" s="20" t="s">
        <v>9069</v>
      </c>
      <c r="G10" t="str">
        <v>E-COMMERCE, EMPRENDIMIENTO E INNOVACIÓN DIGITAL</v>
      </c>
      <c r="H10" t="str">
        <v>Carlos Duran</v>
      </c>
      <c r="I10" t="str">
        <v>DAT-05</v>
      </c>
      <c r="J10" t="str">
        <v>DAT-06</v>
      </c>
    </row>
    <row r="11" spans="1:11" x14ac:dyDescent="0.2">
      <c r="A11" t="s">
        <v>9070</v>
      </c>
      <c r="B11" s="19">
        <v>3</v>
      </c>
      <c r="C11" t="s">
        <v>9071</v>
      </c>
      <c r="G11" t="str">
        <v>IA APLICADA Y AUTOMATIZACIÓN DE PROCESOS CON IA GENERATIVA</v>
      </c>
      <c r="H11" t="str">
        <v>Carlos Jaramillo</v>
      </c>
      <c r="I11" t="str">
        <v>DAT-06</v>
      </c>
      <c r="J11" t="str">
        <v>DAT-07</v>
      </c>
    </row>
    <row r="12" spans="1:11" x14ac:dyDescent="0.2">
      <c r="A12" t="s">
        <v>9072</v>
      </c>
      <c r="B12" s="19">
        <v>14</v>
      </c>
      <c r="C12" t="s">
        <v>9073</v>
      </c>
      <c r="G12" t="str">
        <v>MARKETING DIGITAL INTEGRAL Y GESTIÓN DE COMUNIDADES</v>
      </c>
      <c r="H12" t="str">
        <v>Carolina Velásquez Vásquez</v>
      </c>
      <c r="I12" t="str">
        <v>DAT-07</v>
      </c>
      <c r="J12" t="str">
        <v>DAT-08</v>
      </c>
    </row>
    <row r="13" spans="1:11" x14ac:dyDescent="0.2">
      <c r="A13" t="s">
        <v>9074</v>
      </c>
      <c r="B13" s="16">
        <v>0.1</v>
      </c>
      <c r="C13" t="s">
        <v>9075</v>
      </c>
      <c r="H13" t="str">
        <v>César Diaz</v>
      </c>
      <c r="I13" t="str">
        <v>DAT-08</v>
      </c>
      <c r="J13" t="str">
        <v>DAT-09</v>
      </c>
    </row>
    <row r="14" spans="1:11" x14ac:dyDescent="0.2">
      <c r="A14" t="s">
        <v>9076</v>
      </c>
      <c r="B14" s="19">
        <v>1.5</v>
      </c>
      <c r="C14" t="s">
        <v>9077</v>
      </c>
      <c r="H14" t="str">
        <v>Cristian Jimenez</v>
      </c>
      <c r="I14" t="str">
        <v>DAT-09</v>
      </c>
      <c r="J14" t="str">
        <v>DAT-10</v>
      </c>
    </row>
    <row r="15" spans="1:11" x14ac:dyDescent="0.2">
      <c r="A15" t="s">
        <v>9078</v>
      </c>
      <c r="B15" s="19" t="s">
        <v>9079</v>
      </c>
      <c r="C15" t="s">
        <v>9080</v>
      </c>
      <c r="H15" t="str">
        <v>David Hincapié</v>
      </c>
      <c r="I15" t="str">
        <v>DAT-10</v>
      </c>
    </row>
    <row r="16" spans="1:11" x14ac:dyDescent="0.2">
      <c r="H16" t="str">
        <v>Deiner Alonso Rivera</v>
      </c>
      <c r="I16" t="str">
        <v>RED-01</v>
      </c>
    </row>
    <row r="17" spans="1:9" x14ac:dyDescent="0.2">
      <c r="A17" s="2" t="s">
        <v>9081</v>
      </c>
      <c r="H17" t="str">
        <v>Diego Fernando Velez</v>
      </c>
      <c r="I17" t="str">
        <v>RED-02</v>
      </c>
    </row>
    <row r="18" spans="1:9" x14ac:dyDescent="0.2">
      <c r="A18" t="s">
        <v>9082</v>
      </c>
      <c r="B18" t="s">
        <v>9083</v>
      </c>
      <c r="H18" t="str">
        <v>EDY ALBERTO RAMIREZ GARCIA</v>
      </c>
      <c r="I18" t="str">
        <v>RED-03</v>
      </c>
    </row>
    <row r="19" spans="1:9" x14ac:dyDescent="0.2">
      <c r="A19" t="s">
        <v>9084</v>
      </c>
      <c r="B19" t="s">
        <v>9085</v>
      </c>
      <c r="H19" t="str">
        <v>Efrain Vargas</v>
      </c>
      <c r="I19" t="str">
        <v>RED-04</v>
      </c>
    </row>
    <row r="20" spans="1:9" x14ac:dyDescent="0.2">
      <c r="A20" t="s">
        <v>9086</v>
      </c>
      <c r="B20" t="s">
        <v>9087</v>
      </c>
      <c r="H20" t="str">
        <v>Erick Ruiz</v>
      </c>
      <c r="I20" t="str">
        <v>WEB-01</v>
      </c>
    </row>
    <row r="21" spans="1:9" x14ac:dyDescent="0.2">
      <c r="A21" t="s">
        <v>9088</v>
      </c>
      <c r="B21" t="s">
        <v>9083</v>
      </c>
      <c r="H21" t="str">
        <v>Hamilton Andrés Palacios Ortega</v>
      </c>
      <c r="I21" t="str">
        <v>WEB-02</v>
      </c>
    </row>
    <row r="22" spans="1:9" x14ac:dyDescent="0.2">
      <c r="H22" t="str">
        <v>Hernán Felipe García</v>
      </c>
      <c r="I22" t="str">
        <v>WEB-03</v>
      </c>
    </row>
    <row r="23" spans="1:9" x14ac:dyDescent="0.2">
      <c r="A23" s="2" t="s">
        <v>9163</v>
      </c>
      <c r="H23" t="str">
        <v>Johan Muriel</v>
      </c>
      <c r="I23" t="str">
        <v>WEB-04</v>
      </c>
    </row>
    <row r="24" spans="1:9" x14ac:dyDescent="0.2">
      <c r="A24" t="s">
        <v>9125</v>
      </c>
      <c r="H24" t="str">
        <v>Jose Luis Murillo</v>
      </c>
      <c r="I24" t="str">
        <v>WEB-05</v>
      </c>
    </row>
    <row r="25" spans="1:9" x14ac:dyDescent="0.2">
      <c r="A25" t="s">
        <v>9063</v>
      </c>
      <c r="H25" t="str">
        <v>Julián David Tobón Jiménez</v>
      </c>
      <c r="I25" t="str">
        <v>WEB-06</v>
      </c>
    </row>
    <row r="26" spans="1:9" x14ac:dyDescent="0.2">
      <c r="A26" t="s">
        <v>9064</v>
      </c>
      <c r="H26" t="str">
        <v>Julio Pastor</v>
      </c>
      <c r="I26" t="str">
        <v>IAA-01</v>
      </c>
    </row>
    <row r="27" spans="1:9" x14ac:dyDescent="0.2">
      <c r="A27" t="s">
        <v>9065</v>
      </c>
      <c r="H27" t="str">
        <v>Katherinne  Salazar</v>
      </c>
      <c r="I27" t="str">
        <v>IAA-02</v>
      </c>
    </row>
    <row r="28" spans="1:9" x14ac:dyDescent="0.2">
      <c r="A28" t="s">
        <v>9164</v>
      </c>
      <c r="H28" t="str">
        <v>Magda Gámez Cuartas</v>
      </c>
      <c r="I28" t="str">
        <v>IAA-03</v>
      </c>
    </row>
    <row r="29" spans="1:9" x14ac:dyDescent="0.2">
      <c r="A29" t="s">
        <v>9165</v>
      </c>
      <c r="H29" t="str">
        <v>Manuela Ramirez Eusse</v>
      </c>
      <c r="I29" t="str">
        <v>IAA-04</v>
      </c>
    </row>
    <row r="30" spans="1:9" x14ac:dyDescent="0.2">
      <c r="A30" t="s">
        <v>9166</v>
      </c>
      <c r="H30" t="str">
        <v>Mateo Ramirez</v>
      </c>
      <c r="I30" t="str">
        <v>IAA-05</v>
      </c>
    </row>
    <row r="31" spans="1:9" x14ac:dyDescent="0.2">
      <c r="H31" t="str">
        <v>Sara Catalina Tangarife Gómez</v>
      </c>
      <c r="I31" t="str">
        <v>IAA-06</v>
      </c>
    </row>
    <row r="32" spans="1:9" x14ac:dyDescent="0.2">
      <c r="H32" t="str">
        <v>Sara N. Juyo Morera</v>
      </c>
      <c r="I32" t="str">
        <v>IAA-07</v>
      </c>
    </row>
    <row r="33" spans="8:9" x14ac:dyDescent="0.2">
      <c r="H33" t="str">
        <v>Sofia Vanegas</v>
      </c>
      <c r="I33" t="str">
        <v>IAA-08</v>
      </c>
    </row>
    <row r="34" spans="8:9" x14ac:dyDescent="0.2">
      <c r="H34" t="str">
        <v>Walter Alzate Medina</v>
      </c>
      <c r="I34" t="str">
        <v>IAA-09</v>
      </c>
    </row>
    <row r="35" spans="8:9" x14ac:dyDescent="0.2">
      <c r="H35" t="str">
        <v>WILLIAM MEJIA</v>
      </c>
      <c r="I35" t="str">
        <v>IAA-10</v>
      </c>
    </row>
    <row r="36" spans="8:9" x14ac:dyDescent="0.2">
      <c r="I36" t="str">
        <v>IAA-11</v>
      </c>
    </row>
    <row r="37" spans="8:9" x14ac:dyDescent="0.2">
      <c r="I37" t="str">
        <v>IAA-12</v>
      </c>
    </row>
    <row r="38" spans="8:9" x14ac:dyDescent="0.2">
      <c r="I38" t="str">
        <v>IAA-13</v>
      </c>
    </row>
    <row r="39" spans="8:9" x14ac:dyDescent="0.2">
      <c r="I39" t="str">
        <v>IAA-14</v>
      </c>
    </row>
    <row r="40" spans="8:9" x14ac:dyDescent="0.2">
      <c r="I40" t="str">
        <v>IAA-15</v>
      </c>
    </row>
    <row r="41" spans="8:9" x14ac:dyDescent="0.2">
      <c r="I41" t="str">
        <v>IAA-16</v>
      </c>
    </row>
    <row r="42" spans="8:9" x14ac:dyDescent="0.2">
      <c r="I42" t="str">
        <v>IAA-17</v>
      </c>
    </row>
    <row r="43" spans="8:9" x14ac:dyDescent="0.2">
      <c r="I43" t="str">
        <v>IAA-18</v>
      </c>
    </row>
    <row r="44" spans="8:9" x14ac:dyDescent="0.2">
      <c r="I44" t="str">
        <v>IAA-19</v>
      </c>
    </row>
    <row r="45" spans="8:9" x14ac:dyDescent="0.2">
      <c r="I45" t="str">
        <v>IAA-20</v>
      </c>
    </row>
    <row r="46" spans="8:9" x14ac:dyDescent="0.2">
      <c r="I46" t="str">
        <v>IAA-21</v>
      </c>
    </row>
    <row r="47" spans="8:9" x14ac:dyDescent="0.2">
      <c r="I47" t="str">
        <v>PRO-01</v>
      </c>
    </row>
    <row r="48" spans="8:9" x14ac:dyDescent="0.2">
      <c r="I48" t="str">
        <v>PRO-02</v>
      </c>
    </row>
    <row r="49" spans="9:9" x14ac:dyDescent="0.2">
      <c r="I49" t="str">
        <v>PRO-03</v>
      </c>
    </row>
    <row r="50" spans="9:9" x14ac:dyDescent="0.2">
      <c r="I50" t="str">
        <v>PRO-04</v>
      </c>
    </row>
    <row r="51" spans="9:9" x14ac:dyDescent="0.2">
      <c r="I51" t="str">
        <v>COM-01</v>
      </c>
    </row>
    <row r="52" spans="9:9" x14ac:dyDescent="0.2">
      <c r="I52" t="str">
        <v>COM-02</v>
      </c>
    </row>
    <row r="53" spans="9:9" x14ac:dyDescent="0.2">
      <c r="I53" t="str">
        <v>COM-03</v>
      </c>
    </row>
    <row r="54" spans="9:9" x14ac:dyDescent="0.2">
      <c r="I54" t="str">
        <v>COM-04</v>
      </c>
    </row>
    <row r="55" spans="9:9" x14ac:dyDescent="0.2">
      <c r="I55" t="str">
        <v>COM-05</v>
      </c>
    </row>
    <row r="56" spans="9:9" x14ac:dyDescent="0.2">
      <c r="I56" t="str">
        <v>MAR-01</v>
      </c>
    </row>
    <row r="57" spans="9:9" x14ac:dyDescent="0.2">
      <c r="I57" t="str">
        <v>MAR-02</v>
      </c>
    </row>
    <row r="58" spans="9:9" x14ac:dyDescent="0.2">
      <c r="I58" t="str">
        <v>MAR-03</v>
      </c>
    </row>
    <row r="59" spans="9:9" x14ac:dyDescent="0.2">
      <c r="I59" t="str">
        <v>MAR-04</v>
      </c>
    </row>
    <row r="60" spans="9:9" x14ac:dyDescent="0.2">
      <c r="I60" t="str">
        <v>MAR-05</v>
      </c>
    </row>
    <row r="61" spans="9:9" x14ac:dyDescent="0.2">
      <c r="I61" t="str">
        <v>MAR-06</v>
      </c>
    </row>
    <row r="62" spans="9:9" x14ac:dyDescent="0.2">
      <c r="I62" t="str">
        <v>MAR-07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F726-B878-F940-8923-025D4DD56946}">
  <sheetPr>
    <tabColor rgb="FFA6A6A6"/>
  </sheetPr>
  <dimension ref="A1:D45"/>
  <sheetViews>
    <sheetView topLeftCell="A2" workbookViewId="0"/>
  </sheetViews>
  <sheetFormatPr baseColWidth="10" defaultRowHeight="16" x14ac:dyDescent="0.2"/>
  <cols>
    <col min="1" max="1" width="33.33203125" customWidth="1"/>
    <col min="2" max="2" width="36.6640625" customWidth="1"/>
    <col min="3" max="3" width="13.33203125" customWidth="1"/>
    <col min="4" max="4" width="50" customWidth="1"/>
  </cols>
  <sheetData>
    <row r="1" spans="1:2" x14ac:dyDescent="0.2">
      <c r="A1" s="21" t="s">
        <v>9218</v>
      </c>
    </row>
    <row r="3" spans="1:2" x14ac:dyDescent="0.2">
      <c r="A3" t="s">
        <v>9219</v>
      </c>
      <c r="B3" t="str">
        <f>IF(INICIO!$C$5="(Todos)","*",INICIO!$C$5)</f>
        <v>ANÁLISIS Y VISUALIZACIÓN DE DATOS PARA LA TOMA DE DECISIONES</v>
      </c>
    </row>
    <row r="4" spans="1:2" x14ac:dyDescent="0.2">
      <c r="A4" t="s">
        <v>9220</v>
      </c>
      <c r="B4" t="str">
        <f>IF(INICIO!$C$6="(Todos)","*",INICIO!$C$6)</f>
        <v>DAT-05</v>
      </c>
    </row>
    <row r="5" spans="1:2" x14ac:dyDescent="0.2">
      <c r="A5" t="s">
        <v>9221</v>
      </c>
      <c r="B5" t="str">
        <f>IF(INICIO!$C$7="(Todos)","*",INICIO!$C$7)</f>
        <v>*</v>
      </c>
    </row>
    <row r="7" spans="1:2" x14ac:dyDescent="0.2">
      <c r="A7" t="s">
        <v>9222</v>
      </c>
    </row>
    <row r="8" spans="1:2" x14ac:dyDescent="0.2">
      <c r="A8" t="s">
        <v>9223</v>
      </c>
      <c r="B8" t="s">
        <v>9068</v>
      </c>
    </row>
    <row r="9" spans="1:2" x14ac:dyDescent="0.2">
      <c r="A9" t="s">
        <v>9224</v>
      </c>
      <c r="B9" cm="1">
        <f t="array" ref="B9">IFERROR(ROWS(_xlfn.UNIQUE(_xlfn._xlws.FILTER(tblGrupos[Programa],COUNTIFS(tblGrupos[Código],tblGrupos[Código],tblGrupos[Programa],$B$3,tblGrupos[Docente],$B$5,tblGrupos[Código],$B$4)&gt;0))),0)</f>
        <v>1</v>
      </c>
    </row>
    <row r="10" spans="1:2" x14ac:dyDescent="0.2">
      <c r="A10" t="s">
        <v>9225</v>
      </c>
      <c r="B10">
        <f>COUNTIFS(tblGrupos[Programa],$B$3,tblGrupos[Código],$B$4,tblGrupos[Docente],$B$5)</f>
        <v>1</v>
      </c>
    </row>
    <row r="11" spans="1:2" x14ac:dyDescent="0.2">
      <c r="A11" t="s">
        <v>9226</v>
      </c>
      <c r="B11" cm="1">
        <f t="array" ref="B11">IFERROR(ROWS(_xlfn.UNIQUE(_xlfn._xlws.FILTER(tblMatriculas[Cédula],(tblMatriculas[Estado]="activa")*(tblMatriculas[Nivel]&lt;&gt;"Prueba")*(COUNTIFS(tblMatriculas[Código],tblMatriculas[Código],tblMatriculas[Programa],$B$3,tblMatriculas[Código],$B$4,tblMatriculas[Docente],$B$5)&gt;0)))),0)</f>
        <v>39</v>
      </c>
    </row>
    <row r="12" spans="1:2" x14ac:dyDescent="0.2">
      <c r="A12" t="s">
        <v>9098</v>
      </c>
      <c r="B12">
        <f>COUNTIFS(tblMatriculas[Estado],"activa",tblMatriculas[Nivel],"&lt;&gt;Prueba",tblMatriculas[Programa],$B$3,tblMatriculas[Código],$B$4,tblMatriculas[Docente],$B$5)</f>
        <v>39</v>
      </c>
    </row>
    <row r="13" spans="1:2" x14ac:dyDescent="0.2">
      <c r="A13" t="s">
        <v>9227</v>
      </c>
      <c r="B13">
        <f>SUMIFS(tblGrupos[Clases dictadas],tblGrupos[Programa],$B$3,tblGrupos[Código],$B$4,tblGrupos[Docente],$B$5)</f>
        <v>5</v>
      </c>
    </row>
    <row r="14" spans="1:2" x14ac:dyDescent="0.2">
      <c r="A14" t="s">
        <v>9228</v>
      </c>
      <c r="B14">
        <f>SUMIFS(tblMatriculas[Asistidas],tblMatriculas[Incluir],TRUE,tblMatriculas[Programa],$B$3,tblMatriculas[Código],$B$4,tblMatriculas[Docente],$B$5)</f>
        <v>150</v>
      </c>
    </row>
    <row r="15" spans="1:2" x14ac:dyDescent="0.2">
      <c r="A15" t="s">
        <v>9101</v>
      </c>
      <c r="B15">
        <f>SUMIFS(tblMatriculas[Inasistencias],tblMatriculas[Incluir],TRUE,tblMatriculas[Programa],$B$3,tblMatriculas[Código],$B$4,tblMatriculas[Docente],$B$5)</f>
        <v>50</v>
      </c>
    </row>
    <row r="16" spans="1:2" x14ac:dyDescent="0.2">
      <c r="A16" t="s">
        <v>9261</v>
      </c>
      <c r="B16" s="1">
        <f>IFERROR(AVERAGEIFS(tblMatriculas[% asistencia],tblMatriculas[Incluir],TRUE,tblMatriculas[Programa],$B$3,tblMatriculas[Código],$B$4,tblMatriculas[Docente],$B$5),"")</f>
        <v>0.12576923076923072</v>
      </c>
    </row>
    <row r="17" spans="1:4" x14ac:dyDescent="0.2">
      <c r="A17" t="s">
        <v>9262</v>
      </c>
      <c r="B17" s="1">
        <f>IFERROR(B15/(B14+B15),"")</f>
        <v>0.25</v>
      </c>
    </row>
    <row r="18" spans="1:4" x14ac:dyDescent="0.2">
      <c r="A18" t="s">
        <v>9229</v>
      </c>
      <c r="B18">
        <f>SUM(C22:C23)</f>
        <v>0</v>
      </c>
    </row>
    <row r="19" spans="1:4" x14ac:dyDescent="0.2">
      <c r="A19" t="s">
        <v>9103</v>
      </c>
      <c r="B19">
        <f>C21</f>
        <v>7</v>
      </c>
    </row>
    <row r="20" spans="1:4" x14ac:dyDescent="0.2">
      <c r="A20" t="s">
        <v>9230</v>
      </c>
      <c r="B20" t="s">
        <v>9060</v>
      </c>
      <c r="C20" t="s">
        <v>9231</v>
      </c>
    </row>
    <row r="21" spans="1:4" x14ac:dyDescent="0.2">
      <c r="B21" t="s">
        <v>9063</v>
      </c>
      <c r="C21">
        <f>COUNTIFS(tblMatriculas[Nivel],B21,tblMatriculas[Programa],$B$3,tblMatriculas[Código],$B$4,tblMatriculas[Docente],$B$5)</f>
        <v>7</v>
      </c>
    </row>
    <row r="22" spans="1:4" x14ac:dyDescent="0.2">
      <c r="B22" t="s">
        <v>9064</v>
      </c>
      <c r="C22">
        <f>COUNTIFS(tblMatriculas[Nivel],B22,tblMatriculas[Programa],$B$3,tblMatriculas[Código],$B$4,tblMatriculas[Docente],$B$5)</f>
        <v>0</v>
      </c>
    </row>
    <row r="23" spans="1:4" x14ac:dyDescent="0.2">
      <c r="B23" t="s">
        <v>9065</v>
      </c>
      <c r="C23">
        <f>COUNTIFS(tblMatriculas[Nivel],B23,tblMatriculas[Programa],$B$3,tblMatriculas[Código],$B$4,tblMatriculas[Docente],$B$5)</f>
        <v>0</v>
      </c>
    </row>
    <row r="24" spans="1:4" x14ac:dyDescent="0.2">
      <c r="B24" t="s">
        <v>9066</v>
      </c>
      <c r="C24">
        <f>COUNTIFS(tblMatriculas[Nivel],B24,tblMatriculas[Programa],$B$3,tblMatriculas[Código],$B$4,tblMatriculas[Docente],$B$5)</f>
        <v>32</v>
      </c>
    </row>
    <row r="25" spans="1:4" x14ac:dyDescent="0.2">
      <c r="B25" t="s">
        <v>9164</v>
      </c>
      <c r="C25">
        <f>COUNTIFS(tblMatriculas[Nivel],B25,tblMatriculas[Programa],$B$3,tblMatriculas[Código],$B$4,tblMatriculas[Docente],$B$5)</f>
        <v>0</v>
      </c>
    </row>
    <row r="27" spans="1:4" x14ac:dyDescent="0.2">
      <c r="A27" t="s">
        <v>9232</v>
      </c>
      <c r="B27" t="s">
        <v>9233</v>
      </c>
      <c r="C27" t="s">
        <v>7</v>
      </c>
    </row>
    <row r="28" spans="1:4" x14ac:dyDescent="0.2">
      <c r="B28" t="s">
        <v>9100</v>
      </c>
      <c r="C28">
        <f>B14</f>
        <v>150</v>
      </c>
    </row>
    <row r="29" spans="1:4" x14ac:dyDescent="0.2">
      <c r="B29" t="s">
        <v>9101</v>
      </c>
      <c r="C29">
        <f>B15</f>
        <v>50</v>
      </c>
    </row>
    <row r="31" spans="1:4" x14ac:dyDescent="0.2">
      <c r="A31" t="s">
        <v>9234</v>
      </c>
      <c r="B31" t="s">
        <v>9235</v>
      </c>
      <c r="C31" t="s">
        <v>9102</v>
      </c>
      <c r="D31" t="s">
        <v>9236</v>
      </c>
    </row>
    <row r="32" spans="1:4" x14ac:dyDescent="0.2">
      <c r="B32" t="str" cm="1">
        <f t="array" ref="B32:B38">IF(LEN(_xlfn.ANCHORARRAY(D32))&gt;38,LEFT(_xlfn.ANCHORARRAY(D32),36)&amp;"…",_xlfn.ANCHORARRAY(D32))</f>
        <v>ANÁLISIS Y VISUALIZACIÓN DE DATOS PA…</v>
      </c>
      <c r="C32" s="1" cm="1">
        <f t="array" ref="C32:C38">IFERROR(AVERAGEIFS(tblMatriculas[% asistencia],tblMatriculas[Incluir],TRUE,tblMatriculas[Programa],_xlfn.ANCHORARRAY(D32),tblMatriculas[Docente],$B$5),0)</f>
        <v>0.10730769230769285</v>
      </c>
      <c r="D32" t="str" cm="1">
        <f t="array" ref="D32:D38">_xlfn._xlws.SORT(_xlfn.UNIQUE(tblGrupos[Programa]))</f>
        <v>ANÁLISIS Y VISUALIZACIÓN DE DATOS PARA LA TOMA DE DECISIONES</v>
      </c>
    </row>
    <row r="33" spans="2:4" x14ac:dyDescent="0.2">
      <c r="B33" t="str">
        <v>CLOUD COMPUTING, REDES Y CIBERSEGURI…</v>
      </c>
      <c r="C33" s="1">
        <v>9.5829457364341009E-2</v>
      </c>
      <c r="D33" t="str">
        <v>CLOUD COMPUTING, REDES Y CIBERSEGURIDAD ESENCIAL</v>
      </c>
    </row>
    <row r="34" spans="2:4" x14ac:dyDescent="0.2">
      <c r="B34" t="str">
        <v>CREACIÓN Y PRODUCCIÓN ESTRATÉGICA DE…</v>
      </c>
      <c r="C34" s="1">
        <v>0.11239072847682118</v>
      </c>
      <c r="D34" t="str">
        <v>CREACIÓN Y PRODUCCIÓN ESTRATÉGICA DE CONTENIDOS DIGITALES</v>
      </c>
    </row>
    <row r="35" spans="2:4" x14ac:dyDescent="0.2">
      <c r="B35" t="str">
        <v>DESARROLLO WEB Y APLICACIONES CON JA…</v>
      </c>
      <c r="C35" s="1">
        <v>0.10789447236180896</v>
      </c>
      <c r="D35" t="str">
        <v>DESARROLLO WEB Y APLICACIONES CON JAVASCRIPT FULL STACK</v>
      </c>
    </row>
    <row r="36" spans="2:4" x14ac:dyDescent="0.2">
      <c r="B36" t="str">
        <v>E-COMMERCE, EMPRENDIMIENTO E INNOVAC…</v>
      </c>
      <c r="C36" s="1">
        <v>0.12704516129032248</v>
      </c>
      <c r="D36" t="str">
        <v>E-COMMERCE, EMPRENDIMIENTO E INNOVACIÓN DIGITAL</v>
      </c>
    </row>
    <row r="37" spans="2:4" x14ac:dyDescent="0.2">
      <c r="B37" t="str">
        <v>IA APLICADA Y AUTOMATIZACIÓN DE PROC…</v>
      </c>
      <c r="C37" s="1">
        <v>9.7540229885057728E-2</v>
      </c>
      <c r="D37" t="str">
        <v>IA APLICADA Y AUTOMATIZACIÓN DE PROCESOS CON IA GENERATIVA</v>
      </c>
    </row>
    <row r="38" spans="2:4" x14ac:dyDescent="0.2">
      <c r="B38" t="str">
        <v>MARKETING DIGITAL INTEGRAL Y GESTIÓN…</v>
      </c>
      <c r="C38" s="1">
        <v>0.10664874551971322</v>
      </c>
      <c r="D38" t="str">
        <v>MARKETING DIGITAL INTEGRAL Y GESTIÓN DE COMUNIDADES</v>
      </c>
    </row>
    <row r="39" spans="2:4" x14ac:dyDescent="0.2">
      <c r="C39" s="13"/>
    </row>
    <row r="40" spans="2:4" x14ac:dyDescent="0.2">
      <c r="C40" s="13"/>
    </row>
    <row r="41" spans="2:4" x14ac:dyDescent="0.2">
      <c r="C41" s="13"/>
    </row>
    <row r="42" spans="2:4" x14ac:dyDescent="0.2">
      <c r="C42" s="13"/>
    </row>
    <row r="43" spans="2:4" x14ac:dyDescent="0.2">
      <c r="C43" s="13"/>
    </row>
    <row r="44" spans="2:4" x14ac:dyDescent="0.2">
      <c r="C44" s="13"/>
    </row>
    <row r="45" spans="2:4" x14ac:dyDescent="0.2">
      <c r="C45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G58"/>
  <sheetViews>
    <sheetView workbookViewId="0"/>
  </sheetViews>
  <sheetFormatPr baseColWidth="10" defaultRowHeight="16" x14ac:dyDescent="0.2"/>
  <cols>
    <col min="1" max="1" width="55.83203125" customWidth="1"/>
    <col min="2" max="2" width="50.83203125" customWidth="1"/>
    <col min="3" max="3" width="10.83203125" customWidth="1"/>
    <col min="4" max="4" width="30.83203125" customWidth="1"/>
    <col min="5" max="5" width="45.83203125" customWidth="1"/>
    <col min="6" max="6" width="12.83203125" customWidth="1"/>
    <col min="7" max="7" width="18.83203125" customWidth="1"/>
  </cols>
  <sheetData>
    <row r="1" spans="1:7" x14ac:dyDescent="0.2">
      <c r="A1" t="s">
        <v>8</v>
      </c>
      <c r="B1" t="s">
        <v>3</v>
      </c>
      <c r="C1" t="s">
        <v>4</v>
      </c>
      <c r="D1" t="s">
        <v>9</v>
      </c>
      <c r="E1" t="s">
        <v>5</v>
      </c>
      <c r="F1" t="s">
        <v>4406</v>
      </c>
      <c r="G1" t="s">
        <v>4407</v>
      </c>
    </row>
    <row r="2" spans="1:7" x14ac:dyDescent="0.2">
      <c r="A2" t="s">
        <v>18</v>
      </c>
      <c r="B2" t="s">
        <v>14</v>
      </c>
      <c r="C2" t="s">
        <v>15</v>
      </c>
      <c r="D2" t="s">
        <v>19</v>
      </c>
      <c r="E2" t="s">
        <v>16</v>
      </c>
      <c r="F2">
        <v>39</v>
      </c>
      <c r="G2" s="1">
        <v>0.14815384615384619</v>
      </c>
    </row>
    <row r="3" spans="1:7" x14ac:dyDescent="0.2">
      <c r="A3" t="s">
        <v>18</v>
      </c>
      <c r="B3" t="s">
        <v>109</v>
      </c>
      <c r="C3" t="s">
        <v>110</v>
      </c>
      <c r="D3" t="s">
        <v>113</v>
      </c>
      <c r="E3" t="s">
        <v>111</v>
      </c>
      <c r="F3">
        <v>52</v>
      </c>
      <c r="G3" s="1">
        <v>0.11269230769230766</v>
      </c>
    </row>
    <row r="4" spans="1:7" x14ac:dyDescent="0.2">
      <c r="A4" t="s">
        <v>18</v>
      </c>
      <c r="B4" t="s">
        <v>223</v>
      </c>
      <c r="C4" t="s">
        <v>224</v>
      </c>
      <c r="D4" t="s">
        <v>226</v>
      </c>
      <c r="E4" t="s">
        <v>111</v>
      </c>
      <c r="F4">
        <v>51</v>
      </c>
      <c r="G4" s="1">
        <v>0.14190196078431375</v>
      </c>
    </row>
    <row r="5" spans="1:7" x14ac:dyDescent="0.2">
      <c r="A5" t="s">
        <v>18</v>
      </c>
      <c r="B5" t="s">
        <v>333</v>
      </c>
      <c r="C5" t="s">
        <v>334</v>
      </c>
      <c r="D5" t="s">
        <v>337</v>
      </c>
      <c r="E5" t="s">
        <v>335</v>
      </c>
      <c r="F5">
        <v>44</v>
      </c>
      <c r="G5" s="1">
        <v>0.11865909090909089</v>
      </c>
    </row>
    <row r="6" spans="1:7" x14ac:dyDescent="0.2">
      <c r="A6" t="s">
        <v>18</v>
      </c>
      <c r="B6" t="s">
        <v>429</v>
      </c>
      <c r="C6" t="s">
        <v>430</v>
      </c>
      <c r="D6" t="s">
        <v>431</v>
      </c>
      <c r="E6" t="s">
        <v>335</v>
      </c>
      <c r="F6">
        <v>41</v>
      </c>
      <c r="G6" s="1">
        <v>0.12043902439024386</v>
      </c>
    </row>
    <row r="7" spans="1:7" x14ac:dyDescent="0.2">
      <c r="A7" t="s">
        <v>18</v>
      </c>
      <c r="B7" t="s">
        <v>514</v>
      </c>
      <c r="C7" t="s">
        <v>515</v>
      </c>
      <c r="D7" t="s">
        <v>337</v>
      </c>
      <c r="E7" t="s">
        <v>516</v>
      </c>
      <c r="F7">
        <v>31</v>
      </c>
      <c r="G7" s="1">
        <v>4.7999999999999973E-2</v>
      </c>
    </row>
    <row r="8" spans="1:7" x14ac:dyDescent="0.2">
      <c r="A8" t="s">
        <v>18</v>
      </c>
      <c r="B8" t="s">
        <v>581</v>
      </c>
      <c r="C8" t="s">
        <v>582</v>
      </c>
      <c r="D8" t="s">
        <v>113</v>
      </c>
      <c r="E8" t="s">
        <v>516</v>
      </c>
      <c r="F8">
        <v>32</v>
      </c>
      <c r="G8" s="1">
        <v>5.4343749999999968E-2</v>
      </c>
    </row>
    <row r="9" spans="1:7" x14ac:dyDescent="0.2">
      <c r="A9" t="s">
        <v>18</v>
      </c>
      <c r="B9" t="s">
        <v>647</v>
      </c>
      <c r="C9" t="s">
        <v>648</v>
      </c>
      <c r="D9" t="s">
        <v>226</v>
      </c>
      <c r="E9" t="s">
        <v>649</v>
      </c>
      <c r="F9">
        <v>49</v>
      </c>
      <c r="G9" s="1">
        <v>0.10732653061224494</v>
      </c>
    </row>
    <row r="10" spans="1:7" x14ac:dyDescent="0.2">
      <c r="A10" t="s">
        <v>18</v>
      </c>
      <c r="B10" t="s">
        <v>748</v>
      </c>
      <c r="C10" t="s">
        <v>749</v>
      </c>
      <c r="D10" t="s">
        <v>337</v>
      </c>
      <c r="E10" t="s">
        <v>750</v>
      </c>
      <c r="F10">
        <v>27</v>
      </c>
      <c r="G10" s="1">
        <v>4.948148148148146E-2</v>
      </c>
    </row>
    <row r="11" spans="1:7" x14ac:dyDescent="0.2">
      <c r="A11" t="s">
        <v>18</v>
      </c>
      <c r="B11" t="s">
        <v>805</v>
      </c>
      <c r="C11" t="s">
        <v>806</v>
      </c>
      <c r="D11" t="s">
        <v>113</v>
      </c>
      <c r="E11" t="s">
        <v>807</v>
      </c>
      <c r="F11">
        <v>21</v>
      </c>
      <c r="G11" s="1">
        <v>9.6761904761904757E-2</v>
      </c>
    </row>
    <row r="12" spans="1:7" x14ac:dyDescent="0.2">
      <c r="A12" t="s">
        <v>853</v>
      </c>
      <c r="B12" t="s">
        <v>850</v>
      </c>
      <c r="C12" t="s">
        <v>851</v>
      </c>
      <c r="D12" t="s">
        <v>854</v>
      </c>
      <c r="E12" t="s">
        <v>111</v>
      </c>
      <c r="F12">
        <v>46</v>
      </c>
      <c r="G12" s="1">
        <v>0.12073913043478264</v>
      </c>
    </row>
    <row r="13" spans="1:7" x14ac:dyDescent="0.2">
      <c r="A13" t="s">
        <v>853</v>
      </c>
      <c r="B13" t="s">
        <v>956</v>
      </c>
      <c r="C13" t="s">
        <v>957</v>
      </c>
      <c r="D13" t="s">
        <v>854</v>
      </c>
      <c r="E13" t="s">
        <v>335</v>
      </c>
      <c r="F13">
        <v>25</v>
      </c>
      <c r="G13" s="1">
        <v>0.10512000000000002</v>
      </c>
    </row>
    <row r="14" spans="1:7" x14ac:dyDescent="0.2">
      <c r="A14" t="s">
        <v>853</v>
      </c>
      <c r="B14" t="s">
        <v>1009</v>
      </c>
      <c r="C14" t="s">
        <v>1010</v>
      </c>
      <c r="D14" t="s">
        <v>1011</v>
      </c>
      <c r="E14" t="s">
        <v>516</v>
      </c>
      <c r="F14">
        <v>31</v>
      </c>
      <c r="G14" s="1">
        <v>4.148387096774192E-2</v>
      </c>
    </row>
    <row r="15" spans="1:7" x14ac:dyDescent="0.2">
      <c r="A15" t="s">
        <v>853</v>
      </c>
      <c r="B15" t="s">
        <v>1075</v>
      </c>
      <c r="C15" t="s">
        <v>1076</v>
      </c>
      <c r="D15" t="s">
        <v>1077</v>
      </c>
      <c r="E15" t="s">
        <v>649</v>
      </c>
      <c r="F15">
        <v>33</v>
      </c>
      <c r="G15" s="1">
        <v>9.8787878787878813E-2</v>
      </c>
    </row>
    <row r="16" spans="1:7" x14ac:dyDescent="0.2">
      <c r="A16" t="s">
        <v>1145</v>
      </c>
      <c r="B16" t="s">
        <v>1143</v>
      </c>
      <c r="C16" t="s">
        <v>1144</v>
      </c>
      <c r="D16" t="s">
        <v>1146</v>
      </c>
      <c r="E16" t="s">
        <v>16</v>
      </c>
      <c r="F16">
        <v>36</v>
      </c>
      <c r="G16" s="1">
        <v>9.1444444444444467E-2</v>
      </c>
    </row>
    <row r="17" spans="1:7" x14ac:dyDescent="0.2">
      <c r="A17" t="s">
        <v>1145</v>
      </c>
      <c r="B17" t="s">
        <v>1217</v>
      </c>
      <c r="C17" t="s">
        <v>1218</v>
      </c>
      <c r="D17" t="s">
        <v>1219</v>
      </c>
      <c r="E17" t="s">
        <v>335</v>
      </c>
      <c r="F17">
        <v>37</v>
      </c>
      <c r="G17" s="1">
        <v>0.13699999999999996</v>
      </c>
    </row>
    <row r="18" spans="1:7" x14ac:dyDescent="0.2">
      <c r="A18" t="s">
        <v>1145</v>
      </c>
      <c r="B18" t="s">
        <v>1295</v>
      </c>
      <c r="C18" t="s">
        <v>1296</v>
      </c>
      <c r="D18" t="s">
        <v>1219</v>
      </c>
      <c r="E18" t="s">
        <v>111</v>
      </c>
      <c r="F18">
        <v>41</v>
      </c>
      <c r="G18" s="1">
        <v>0.12707317073170732</v>
      </c>
    </row>
    <row r="19" spans="1:7" x14ac:dyDescent="0.2">
      <c r="A19" t="s">
        <v>1145</v>
      </c>
      <c r="B19" t="s">
        <v>1381</v>
      </c>
      <c r="C19" t="s">
        <v>1382</v>
      </c>
      <c r="D19" t="s">
        <v>1383</v>
      </c>
      <c r="E19" t="s">
        <v>750</v>
      </c>
      <c r="F19">
        <v>33</v>
      </c>
      <c r="G19" s="1">
        <v>7.8696969696969696E-2</v>
      </c>
    </row>
    <row r="20" spans="1:7" x14ac:dyDescent="0.2">
      <c r="A20" t="s">
        <v>1145</v>
      </c>
      <c r="B20" t="s">
        <v>1451</v>
      </c>
      <c r="C20" t="s">
        <v>1452</v>
      </c>
      <c r="D20" t="s">
        <v>1219</v>
      </c>
      <c r="E20" t="s">
        <v>1453</v>
      </c>
      <c r="F20">
        <v>27</v>
      </c>
      <c r="G20" s="1">
        <v>0.13559259259259263</v>
      </c>
    </row>
    <row r="21" spans="1:7" x14ac:dyDescent="0.2">
      <c r="A21" t="s">
        <v>1145</v>
      </c>
      <c r="B21" t="s">
        <v>1509</v>
      </c>
      <c r="C21" t="s">
        <v>1510</v>
      </c>
      <c r="D21" t="s">
        <v>1511</v>
      </c>
      <c r="E21" t="s">
        <v>516</v>
      </c>
      <c r="F21">
        <v>35</v>
      </c>
      <c r="G21" s="1">
        <v>5.1657142857142825E-2</v>
      </c>
    </row>
    <row r="22" spans="1:7" x14ac:dyDescent="0.2">
      <c r="A22" t="s">
        <v>1580</v>
      </c>
      <c r="B22" t="s">
        <v>1578</v>
      </c>
      <c r="C22" t="s">
        <v>1579</v>
      </c>
      <c r="D22" t="s">
        <v>1581</v>
      </c>
      <c r="E22" t="s">
        <v>16</v>
      </c>
      <c r="F22">
        <v>35</v>
      </c>
      <c r="G22" s="1">
        <v>8.0857142857142891E-2</v>
      </c>
    </row>
    <row r="23" spans="1:7" x14ac:dyDescent="0.2">
      <c r="A23" t="s">
        <v>1580</v>
      </c>
      <c r="B23" t="s">
        <v>1652</v>
      </c>
      <c r="C23" t="s">
        <v>1653</v>
      </c>
      <c r="D23" t="s">
        <v>1654</v>
      </c>
      <c r="E23" t="s">
        <v>16</v>
      </c>
      <c r="F23">
        <v>28</v>
      </c>
      <c r="G23" s="1">
        <v>7.8571428571428575E-4</v>
      </c>
    </row>
    <row r="24" spans="1:7" x14ac:dyDescent="0.2">
      <c r="A24" t="s">
        <v>1580</v>
      </c>
      <c r="B24" t="s">
        <v>1713</v>
      </c>
      <c r="C24" t="s">
        <v>1714</v>
      </c>
      <c r="D24" t="s">
        <v>1581</v>
      </c>
      <c r="E24" t="s">
        <v>1453</v>
      </c>
      <c r="F24">
        <v>30</v>
      </c>
      <c r="G24" s="1">
        <v>4.9033333333333332E-2</v>
      </c>
    </row>
    <row r="25" spans="1:7" x14ac:dyDescent="0.2">
      <c r="A25" t="s">
        <v>1580</v>
      </c>
      <c r="B25" t="s">
        <v>1775</v>
      </c>
      <c r="C25" t="s">
        <v>1776</v>
      </c>
      <c r="D25" t="s">
        <v>1777</v>
      </c>
      <c r="E25" t="s">
        <v>1453</v>
      </c>
      <c r="F25">
        <v>41</v>
      </c>
      <c r="G25" s="1">
        <v>0.13034146341463421</v>
      </c>
    </row>
    <row r="26" spans="1:7" x14ac:dyDescent="0.2">
      <c r="A26" t="s">
        <v>1580</v>
      </c>
      <c r="B26" t="s">
        <v>1861</v>
      </c>
      <c r="C26" t="s">
        <v>1862</v>
      </c>
      <c r="D26" t="s">
        <v>1581</v>
      </c>
      <c r="E26" t="s">
        <v>1863</v>
      </c>
      <c r="F26">
        <v>27</v>
      </c>
      <c r="G26" s="1">
        <v>0.11296296296296296</v>
      </c>
    </row>
    <row r="27" spans="1:7" x14ac:dyDescent="0.2">
      <c r="A27" t="s">
        <v>1580</v>
      </c>
      <c r="B27" t="s">
        <v>1921</v>
      </c>
      <c r="C27" t="s">
        <v>1922</v>
      </c>
      <c r="D27" t="s">
        <v>1654</v>
      </c>
      <c r="E27" t="s">
        <v>1863</v>
      </c>
      <c r="F27">
        <v>22</v>
      </c>
      <c r="G27" s="1">
        <v>4.5454545454545461E-3</v>
      </c>
    </row>
    <row r="28" spans="1:7" x14ac:dyDescent="0.2">
      <c r="A28" t="s">
        <v>1580</v>
      </c>
      <c r="B28" t="s">
        <v>1965</v>
      </c>
      <c r="C28" t="s">
        <v>1966</v>
      </c>
      <c r="D28" t="s">
        <v>19</v>
      </c>
      <c r="E28" t="s">
        <v>111</v>
      </c>
      <c r="F28">
        <v>53</v>
      </c>
      <c r="G28" s="1">
        <v>9.9773584905660379E-2</v>
      </c>
    </row>
    <row r="29" spans="1:7" x14ac:dyDescent="0.2">
      <c r="A29" t="s">
        <v>1580</v>
      </c>
      <c r="B29" t="s">
        <v>2075</v>
      </c>
      <c r="C29" t="s">
        <v>2076</v>
      </c>
      <c r="D29" t="s">
        <v>2077</v>
      </c>
      <c r="E29" t="s">
        <v>111</v>
      </c>
      <c r="F29">
        <v>48</v>
      </c>
      <c r="G29" s="1">
        <v>0.15347916666666672</v>
      </c>
    </row>
    <row r="30" spans="1:7" x14ac:dyDescent="0.2">
      <c r="A30" t="s">
        <v>1580</v>
      </c>
      <c r="B30" t="s">
        <v>2169</v>
      </c>
      <c r="C30" t="s">
        <v>2170</v>
      </c>
      <c r="D30" t="s">
        <v>1077</v>
      </c>
      <c r="E30" t="s">
        <v>111</v>
      </c>
      <c r="F30">
        <v>44</v>
      </c>
      <c r="G30" s="1">
        <v>0.16631818181818192</v>
      </c>
    </row>
    <row r="31" spans="1:7" x14ac:dyDescent="0.2">
      <c r="A31" t="s">
        <v>1580</v>
      </c>
      <c r="B31" t="s">
        <v>2258</v>
      </c>
      <c r="C31" t="s">
        <v>2259</v>
      </c>
      <c r="D31" t="s">
        <v>2260</v>
      </c>
      <c r="E31" t="s">
        <v>111</v>
      </c>
      <c r="F31">
        <v>45</v>
      </c>
      <c r="G31" s="1">
        <v>6.5622222222222235E-2</v>
      </c>
    </row>
    <row r="32" spans="1:7" x14ac:dyDescent="0.2">
      <c r="A32" t="s">
        <v>1580</v>
      </c>
      <c r="B32" t="s">
        <v>2349</v>
      </c>
      <c r="C32" t="s">
        <v>2350</v>
      </c>
      <c r="D32" t="s">
        <v>2351</v>
      </c>
      <c r="E32" t="s">
        <v>335</v>
      </c>
      <c r="F32">
        <v>50</v>
      </c>
      <c r="G32" s="1">
        <v>0.10945999999999995</v>
      </c>
    </row>
    <row r="33" spans="1:7" x14ac:dyDescent="0.2">
      <c r="A33" t="s">
        <v>1580</v>
      </c>
      <c r="B33" t="s">
        <v>2449</v>
      </c>
      <c r="C33" t="s">
        <v>2450</v>
      </c>
      <c r="D33" t="s">
        <v>2451</v>
      </c>
      <c r="E33" t="s">
        <v>335</v>
      </c>
      <c r="F33">
        <v>34</v>
      </c>
      <c r="G33" s="1">
        <v>8.5294117647058854E-2</v>
      </c>
    </row>
    <row r="34" spans="1:7" x14ac:dyDescent="0.2">
      <c r="A34" t="s">
        <v>1580</v>
      </c>
      <c r="B34" t="s">
        <v>2522</v>
      </c>
      <c r="C34" t="s">
        <v>2523</v>
      </c>
      <c r="D34" t="s">
        <v>2077</v>
      </c>
      <c r="E34" t="s">
        <v>335</v>
      </c>
      <c r="F34">
        <v>36</v>
      </c>
      <c r="G34" s="1">
        <v>0.11441666666666667</v>
      </c>
    </row>
    <row r="35" spans="1:7" x14ac:dyDescent="0.2">
      <c r="A35" t="s">
        <v>1580</v>
      </c>
      <c r="B35" t="s">
        <v>2592</v>
      </c>
      <c r="C35" t="s">
        <v>2593</v>
      </c>
      <c r="D35" t="s">
        <v>1777</v>
      </c>
      <c r="E35" t="s">
        <v>2594</v>
      </c>
      <c r="F35">
        <v>26</v>
      </c>
      <c r="G35" s="1">
        <v>0.14230769230769236</v>
      </c>
    </row>
    <row r="36" spans="1:7" x14ac:dyDescent="0.2">
      <c r="A36" t="s">
        <v>1580</v>
      </c>
      <c r="B36" t="s">
        <v>2647</v>
      </c>
      <c r="C36" t="s">
        <v>2648</v>
      </c>
      <c r="D36" t="s">
        <v>2649</v>
      </c>
      <c r="E36" t="s">
        <v>2594</v>
      </c>
      <c r="F36">
        <v>24</v>
      </c>
      <c r="G36" s="1">
        <v>0.11470833333333334</v>
      </c>
    </row>
    <row r="37" spans="1:7" x14ac:dyDescent="0.2">
      <c r="A37" t="s">
        <v>1580</v>
      </c>
      <c r="B37" t="s">
        <v>2696</v>
      </c>
      <c r="C37" t="s">
        <v>2697</v>
      </c>
      <c r="D37" t="s">
        <v>2451</v>
      </c>
      <c r="E37" t="s">
        <v>750</v>
      </c>
      <c r="F37">
        <v>48</v>
      </c>
      <c r="G37" s="1">
        <v>5.0249999999999996E-2</v>
      </c>
    </row>
    <row r="38" spans="1:7" x14ac:dyDescent="0.2">
      <c r="A38" t="s">
        <v>1580</v>
      </c>
      <c r="B38" t="s">
        <v>2792</v>
      </c>
      <c r="C38" t="s">
        <v>2793</v>
      </c>
      <c r="D38" t="s">
        <v>2451</v>
      </c>
      <c r="E38" t="s">
        <v>516</v>
      </c>
      <c r="F38">
        <v>37</v>
      </c>
      <c r="G38" s="1">
        <v>9.4351351351351351E-2</v>
      </c>
    </row>
    <row r="39" spans="1:7" x14ac:dyDescent="0.2">
      <c r="A39" t="s">
        <v>1580</v>
      </c>
      <c r="B39" t="s">
        <v>2869</v>
      </c>
      <c r="C39" t="s">
        <v>2870</v>
      </c>
      <c r="D39" t="s">
        <v>2260</v>
      </c>
      <c r="E39" t="s">
        <v>516</v>
      </c>
      <c r="F39">
        <v>39</v>
      </c>
      <c r="G39" s="1">
        <v>4.453846153846152E-2</v>
      </c>
    </row>
    <row r="40" spans="1:7" x14ac:dyDescent="0.2">
      <c r="A40" t="s">
        <v>1580</v>
      </c>
      <c r="B40" t="s">
        <v>2945</v>
      </c>
      <c r="C40" t="s">
        <v>2946</v>
      </c>
      <c r="D40" t="s">
        <v>2077</v>
      </c>
      <c r="E40" t="s">
        <v>649</v>
      </c>
      <c r="F40">
        <v>40</v>
      </c>
      <c r="G40" s="1">
        <v>9.6050000000000024E-2</v>
      </c>
    </row>
    <row r="41" spans="1:7" x14ac:dyDescent="0.2">
      <c r="A41" t="s">
        <v>1580</v>
      </c>
      <c r="B41" t="s">
        <v>3028</v>
      </c>
      <c r="C41" t="s">
        <v>3029</v>
      </c>
      <c r="D41" t="s">
        <v>3030</v>
      </c>
      <c r="E41" t="s">
        <v>649</v>
      </c>
      <c r="F41">
        <v>28</v>
      </c>
      <c r="G41" s="1">
        <v>2.0035714285714296E-2</v>
      </c>
    </row>
    <row r="42" spans="1:7" x14ac:dyDescent="0.2">
      <c r="A42" t="s">
        <v>1580</v>
      </c>
      <c r="B42" t="s">
        <v>3083</v>
      </c>
      <c r="C42" t="s">
        <v>3084</v>
      </c>
      <c r="D42" t="s">
        <v>2649</v>
      </c>
      <c r="E42" t="s">
        <v>516</v>
      </c>
      <c r="F42">
        <v>44</v>
      </c>
      <c r="G42" s="1">
        <v>5.6204545454545451E-2</v>
      </c>
    </row>
    <row r="43" spans="1:7" x14ac:dyDescent="0.2">
      <c r="A43" t="s">
        <v>3169</v>
      </c>
      <c r="B43" t="s">
        <v>3167</v>
      </c>
      <c r="C43" t="s">
        <v>3168</v>
      </c>
      <c r="D43" t="s">
        <v>3170</v>
      </c>
      <c r="E43" t="s">
        <v>1453</v>
      </c>
      <c r="F43">
        <v>34</v>
      </c>
      <c r="G43" s="1">
        <v>0.11908823529411769</v>
      </c>
    </row>
    <row r="44" spans="1:7" x14ac:dyDescent="0.2">
      <c r="A44" t="s">
        <v>3169</v>
      </c>
      <c r="B44" t="s">
        <v>3240</v>
      </c>
      <c r="C44" t="s">
        <v>3241</v>
      </c>
      <c r="D44" t="s">
        <v>3242</v>
      </c>
      <c r="E44" t="s">
        <v>335</v>
      </c>
      <c r="F44">
        <v>58</v>
      </c>
      <c r="G44" s="1">
        <v>0.13296551724137926</v>
      </c>
    </row>
    <row r="45" spans="1:7" x14ac:dyDescent="0.2">
      <c r="A45" t="s">
        <v>3169</v>
      </c>
      <c r="B45" t="s">
        <v>3360</v>
      </c>
      <c r="C45" t="s">
        <v>3361</v>
      </c>
      <c r="D45" t="s">
        <v>3362</v>
      </c>
      <c r="E45" t="s">
        <v>516</v>
      </c>
      <c r="F45">
        <v>38</v>
      </c>
      <c r="G45" s="1">
        <v>4.2315789473684189E-2</v>
      </c>
    </row>
    <row r="46" spans="1:7" x14ac:dyDescent="0.2">
      <c r="A46" t="s">
        <v>3169</v>
      </c>
      <c r="B46" t="s">
        <v>3439</v>
      </c>
      <c r="C46" t="s">
        <v>3440</v>
      </c>
      <c r="D46" t="s">
        <v>3170</v>
      </c>
      <c r="E46" t="s">
        <v>16</v>
      </c>
      <c r="F46">
        <v>33</v>
      </c>
      <c r="G46" s="1">
        <v>0.11654545454545456</v>
      </c>
    </row>
    <row r="47" spans="1:7" x14ac:dyDescent="0.2">
      <c r="A47" t="s">
        <v>3505</v>
      </c>
      <c r="B47" t="s">
        <v>3503</v>
      </c>
      <c r="C47" t="s">
        <v>3504</v>
      </c>
      <c r="D47" t="s">
        <v>3506</v>
      </c>
      <c r="E47" t="s">
        <v>1863</v>
      </c>
      <c r="F47">
        <v>24</v>
      </c>
      <c r="G47" s="1">
        <v>9.0500000000000011E-2</v>
      </c>
    </row>
    <row r="48" spans="1:7" x14ac:dyDescent="0.2">
      <c r="A48" t="s">
        <v>3505</v>
      </c>
      <c r="B48" t="s">
        <v>3550</v>
      </c>
      <c r="C48" t="s">
        <v>3551</v>
      </c>
      <c r="D48" t="s">
        <v>3362</v>
      </c>
      <c r="E48" t="s">
        <v>335</v>
      </c>
      <c r="F48">
        <v>37</v>
      </c>
      <c r="G48" s="1">
        <v>0.14332432432432424</v>
      </c>
    </row>
    <row r="49" spans="1:7" x14ac:dyDescent="0.2">
      <c r="A49" t="s">
        <v>3505</v>
      </c>
      <c r="B49" t="s">
        <v>3626</v>
      </c>
      <c r="C49" t="s">
        <v>3627</v>
      </c>
      <c r="D49" t="s">
        <v>3242</v>
      </c>
      <c r="E49" t="s">
        <v>1453</v>
      </c>
      <c r="F49">
        <v>35</v>
      </c>
      <c r="G49" s="1">
        <v>0.14094285714285718</v>
      </c>
    </row>
    <row r="50" spans="1:7" x14ac:dyDescent="0.2">
      <c r="A50" t="s">
        <v>3505</v>
      </c>
      <c r="B50" t="s">
        <v>3698</v>
      </c>
      <c r="C50" t="s">
        <v>3699</v>
      </c>
      <c r="D50" t="s">
        <v>3242</v>
      </c>
      <c r="E50" t="s">
        <v>111</v>
      </c>
      <c r="F50">
        <v>38</v>
      </c>
      <c r="G50" s="1">
        <v>0.13271052631578942</v>
      </c>
    </row>
    <row r="51" spans="1:7" x14ac:dyDescent="0.2">
      <c r="A51" t="s">
        <v>3505</v>
      </c>
      <c r="B51" t="s">
        <v>3772</v>
      </c>
      <c r="C51" t="s">
        <v>3773</v>
      </c>
      <c r="D51" t="s">
        <v>3774</v>
      </c>
      <c r="E51" t="s">
        <v>807</v>
      </c>
      <c r="F51">
        <v>28</v>
      </c>
      <c r="G51" s="1">
        <v>9.6285714285714294E-2</v>
      </c>
    </row>
    <row r="52" spans="1:7" x14ac:dyDescent="0.2">
      <c r="A52" t="s">
        <v>3833</v>
      </c>
      <c r="B52" t="s">
        <v>3831</v>
      </c>
      <c r="C52" t="s">
        <v>3832</v>
      </c>
      <c r="D52" t="s">
        <v>3834</v>
      </c>
      <c r="E52" t="s">
        <v>1453</v>
      </c>
      <c r="F52">
        <v>45</v>
      </c>
      <c r="G52" s="1">
        <v>9.817777777777778E-2</v>
      </c>
    </row>
    <row r="53" spans="1:7" x14ac:dyDescent="0.2">
      <c r="A53" t="s">
        <v>3833</v>
      </c>
      <c r="B53" t="s">
        <v>3923</v>
      </c>
      <c r="C53" t="s">
        <v>3924</v>
      </c>
      <c r="D53" t="s">
        <v>3926</v>
      </c>
      <c r="E53" t="s">
        <v>16</v>
      </c>
      <c r="F53">
        <v>30</v>
      </c>
      <c r="G53" s="1">
        <v>0.17026666666666665</v>
      </c>
    </row>
    <row r="54" spans="1:7" x14ac:dyDescent="0.2">
      <c r="A54" t="s">
        <v>3833</v>
      </c>
      <c r="B54" t="s">
        <v>3986</v>
      </c>
      <c r="C54" t="s">
        <v>3987</v>
      </c>
      <c r="D54" t="s">
        <v>3834</v>
      </c>
      <c r="E54" t="s">
        <v>335</v>
      </c>
      <c r="F54">
        <v>42</v>
      </c>
      <c r="G54" s="1">
        <v>0.10364285714285712</v>
      </c>
    </row>
    <row r="55" spans="1:7" x14ac:dyDescent="0.2">
      <c r="A55" t="s">
        <v>3833</v>
      </c>
      <c r="B55" t="s">
        <v>4064</v>
      </c>
      <c r="C55" t="s">
        <v>4065</v>
      </c>
      <c r="D55" t="s">
        <v>4066</v>
      </c>
      <c r="E55" t="s">
        <v>111</v>
      </c>
      <c r="F55">
        <v>51</v>
      </c>
      <c r="G55" s="1">
        <v>0.13137254901960785</v>
      </c>
    </row>
    <row r="56" spans="1:7" x14ac:dyDescent="0.2">
      <c r="A56" t="s">
        <v>3833</v>
      </c>
      <c r="B56" t="s">
        <v>4165</v>
      </c>
      <c r="C56" t="s">
        <v>4166</v>
      </c>
      <c r="D56" t="s">
        <v>3834</v>
      </c>
      <c r="E56" t="s">
        <v>807</v>
      </c>
      <c r="F56">
        <v>42</v>
      </c>
      <c r="G56" s="1">
        <v>9.8214285714285698E-2</v>
      </c>
    </row>
    <row r="57" spans="1:7" x14ac:dyDescent="0.2">
      <c r="A57" t="s">
        <v>3833</v>
      </c>
      <c r="B57" t="s">
        <v>4247</v>
      </c>
      <c r="C57" t="s">
        <v>4248</v>
      </c>
      <c r="D57" t="s">
        <v>4249</v>
      </c>
      <c r="E57" t="s">
        <v>516</v>
      </c>
      <c r="F57">
        <v>49</v>
      </c>
      <c r="G57" s="1">
        <v>4.5224489795918366E-2</v>
      </c>
    </row>
    <row r="58" spans="1:7" x14ac:dyDescent="0.2">
      <c r="A58" t="s">
        <v>3833</v>
      </c>
      <c r="B58" t="s">
        <v>4340</v>
      </c>
      <c r="C58" t="s">
        <v>4341</v>
      </c>
      <c r="D58" t="s">
        <v>3170</v>
      </c>
      <c r="E58" t="s">
        <v>649</v>
      </c>
      <c r="F58">
        <v>33</v>
      </c>
      <c r="G58" s="1">
        <v>9.2242424242424251E-2</v>
      </c>
    </row>
  </sheetData>
  <pageMargins left="0.7" right="0.7" top="0.75" bottom="0.75" header="0.3" footer="0.3"/>
  <ignoredErrors>
    <ignoredError sqref="A1:G5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7584-74A6-5B44-B709-1E7F1D42F080}">
  <sheetPr>
    <tabColor rgb="FFD9D9D9"/>
  </sheetPr>
  <dimension ref="A1:S2130"/>
  <sheetViews>
    <sheetView workbookViewId="0"/>
  </sheetViews>
  <sheetFormatPr baseColWidth="10" defaultRowHeight="16" x14ac:dyDescent="0.2"/>
  <cols>
    <col min="1" max="1" width="71" bestFit="1" customWidth="1"/>
    <col min="2" max="2" width="48" bestFit="1" customWidth="1"/>
    <col min="3" max="3" width="7.6640625" bestFit="1" customWidth="1"/>
    <col min="4" max="4" width="52.1640625" bestFit="1" customWidth="1"/>
    <col min="5" max="5" width="7.83203125" bestFit="1" customWidth="1"/>
    <col min="6" max="6" width="56" bestFit="1" customWidth="1"/>
    <col min="7" max="7" width="9.5" bestFit="1" customWidth="1"/>
    <col min="8" max="8" width="8" bestFit="1" customWidth="1"/>
    <col min="9" max="9" width="59.1640625" bestFit="1" customWidth="1"/>
    <col min="10" max="10" width="28.33203125" bestFit="1" customWidth="1"/>
    <col min="11" max="11" width="20.83203125" bestFit="1" customWidth="1"/>
  </cols>
  <sheetData>
    <row r="1" spans="1:19" x14ac:dyDescent="0.2">
      <c r="A1" s="3" t="s">
        <v>4408</v>
      </c>
    </row>
    <row r="2" spans="1:19" x14ac:dyDescent="0.2">
      <c r="M2" s="2" t="s">
        <v>4409</v>
      </c>
    </row>
    <row r="3" spans="1:19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  <c r="H3" s="6" t="s">
        <v>7</v>
      </c>
      <c r="I3" s="6" t="s">
        <v>8</v>
      </c>
      <c r="J3" s="6" t="s">
        <v>9</v>
      </c>
      <c r="K3" s="6" t="s">
        <v>10</v>
      </c>
      <c r="M3" s="2" t="s">
        <v>8</v>
      </c>
      <c r="N3" s="2" t="s">
        <v>3</v>
      </c>
      <c r="O3" s="2" t="s">
        <v>4</v>
      </c>
      <c r="P3" s="2" t="s">
        <v>9</v>
      </c>
      <c r="Q3" s="2" t="s">
        <v>5</v>
      </c>
      <c r="R3" s="2" t="s">
        <v>4406</v>
      </c>
      <c r="S3" s="2" t="s">
        <v>4407</v>
      </c>
    </row>
    <row r="4" spans="1:19" x14ac:dyDescent="0.2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1">
        <v>8.8999999999999996E-2</v>
      </c>
      <c r="H4" s="4" t="s">
        <v>17</v>
      </c>
      <c r="I4" s="4" t="s">
        <v>18</v>
      </c>
      <c r="J4" s="4" t="s">
        <v>19</v>
      </c>
      <c r="K4" s="4" t="s">
        <v>20</v>
      </c>
      <c r="M4" t="s">
        <v>18</v>
      </c>
      <c r="N4" t="s">
        <v>14</v>
      </c>
      <c r="O4" t="s">
        <v>15</v>
      </c>
      <c r="P4" t="s">
        <v>19</v>
      </c>
      <c r="Q4" t="s">
        <v>16</v>
      </c>
      <c r="R4">
        <v>39</v>
      </c>
      <c r="S4">
        <v>0.148153846153846</v>
      </c>
    </row>
    <row r="5" spans="1:19" x14ac:dyDescent="0.2">
      <c r="A5" s="4" t="s">
        <v>21</v>
      </c>
      <c r="B5" s="4" t="s">
        <v>22</v>
      </c>
      <c r="C5" s="4" t="s">
        <v>13</v>
      </c>
      <c r="D5" s="4" t="s">
        <v>14</v>
      </c>
      <c r="E5" s="4" t="s">
        <v>15</v>
      </c>
      <c r="F5" s="4" t="s">
        <v>16</v>
      </c>
      <c r="G5" s="1">
        <v>2.1999999999999999E-2</v>
      </c>
      <c r="H5" s="4" t="s">
        <v>23</v>
      </c>
      <c r="I5" s="4" t="s">
        <v>18</v>
      </c>
      <c r="J5" s="4" t="s">
        <v>19</v>
      </c>
      <c r="K5" s="4" t="s">
        <v>24</v>
      </c>
      <c r="M5" t="s">
        <v>18</v>
      </c>
      <c r="N5" t="s">
        <v>109</v>
      </c>
      <c r="O5" t="s">
        <v>110</v>
      </c>
      <c r="P5" t="s">
        <v>113</v>
      </c>
      <c r="Q5" t="s">
        <v>111</v>
      </c>
      <c r="R5">
        <v>52</v>
      </c>
      <c r="S5">
        <v>0.11269230769230799</v>
      </c>
    </row>
    <row r="6" spans="1:19" x14ac:dyDescent="0.2">
      <c r="A6" s="4" t="s">
        <v>25</v>
      </c>
      <c r="B6" s="4" t="s">
        <v>26</v>
      </c>
      <c r="C6" s="4" t="s">
        <v>13</v>
      </c>
      <c r="D6" s="4" t="s">
        <v>14</v>
      </c>
      <c r="E6" s="4" t="s">
        <v>15</v>
      </c>
      <c r="F6" s="4" t="s">
        <v>16</v>
      </c>
      <c r="G6" s="1">
        <v>0.2</v>
      </c>
      <c r="H6" s="4" t="s">
        <v>27</v>
      </c>
      <c r="I6" s="4" t="s">
        <v>18</v>
      </c>
      <c r="J6" s="4" t="s">
        <v>19</v>
      </c>
      <c r="K6" s="4" t="s">
        <v>24</v>
      </c>
      <c r="M6" t="s">
        <v>18</v>
      </c>
      <c r="N6" t="s">
        <v>223</v>
      </c>
      <c r="O6" t="s">
        <v>224</v>
      </c>
      <c r="P6" t="s">
        <v>226</v>
      </c>
      <c r="Q6" t="s">
        <v>111</v>
      </c>
      <c r="R6">
        <v>51</v>
      </c>
      <c r="S6">
        <v>0.141901960784314</v>
      </c>
    </row>
    <row r="7" spans="1:19" x14ac:dyDescent="0.2">
      <c r="A7" s="4" t="s">
        <v>28</v>
      </c>
      <c r="B7" s="4" t="s">
        <v>29</v>
      </c>
      <c r="C7" s="4" t="s">
        <v>13</v>
      </c>
      <c r="D7" s="4" t="s">
        <v>14</v>
      </c>
      <c r="E7" s="4" t="s">
        <v>15</v>
      </c>
      <c r="F7" s="4" t="s">
        <v>16</v>
      </c>
      <c r="G7" s="1">
        <v>0.2</v>
      </c>
      <c r="H7" s="4" t="s">
        <v>27</v>
      </c>
      <c r="I7" s="4" t="s">
        <v>18</v>
      </c>
      <c r="J7" s="4" t="s">
        <v>19</v>
      </c>
      <c r="K7" s="4" t="s">
        <v>24</v>
      </c>
      <c r="M7" t="s">
        <v>18</v>
      </c>
      <c r="N7" t="s">
        <v>333</v>
      </c>
      <c r="O7" t="s">
        <v>334</v>
      </c>
      <c r="P7" t="s">
        <v>337</v>
      </c>
      <c r="Q7" t="s">
        <v>335</v>
      </c>
      <c r="R7">
        <v>44</v>
      </c>
      <c r="S7">
        <v>0.11865909090909101</v>
      </c>
    </row>
    <row r="8" spans="1:19" x14ac:dyDescent="0.2">
      <c r="A8" s="4" t="s">
        <v>30</v>
      </c>
      <c r="B8" s="4" t="s">
        <v>31</v>
      </c>
      <c r="C8" s="4" t="s">
        <v>13</v>
      </c>
      <c r="D8" s="4" t="s">
        <v>14</v>
      </c>
      <c r="E8" s="4" t="s">
        <v>15</v>
      </c>
      <c r="F8" s="4" t="s">
        <v>16</v>
      </c>
      <c r="G8" s="1">
        <v>0.2</v>
      </c>
      <c r="H8" s="4" t="s">
        <v>27</v>
      </c>
      <c r="I8" s="4" t="s">
        <v>18</v>
      </c>
      <c r="J8" s="4" t="s">
        <v>19</v>
      </c>
      <c r="K8" s="4" t="s">
        <v>24</v>
      </c>
      <c r="M8" t="s">
        <v>18</v>
      </c>
      <c r="N8" t="s">
        <v>429</v>
      </c>
      <c r="O8" t="s">
        <v>430</v>
      </c>
      <c r="P8" t="s">
        <v>431</v>
      </c>
      <c r="Q8" t="s">
        <v>335</v>
      </c>
      <c r="R8">
        <v>41</v>
      </c>
      <c r="S8">
        <v>0.120439024390244</v>
      </c>
    </row>
    <row r="9" spans="1:19" x14ac:dyDescent="0.2">
      <c r="A9" s="4" t="s">
        <v>32</v>
      </c>
      <c r="B9" s="4" t="s">
        <v>33</v>
      </c>
      <c r="C9" s="4" t="s">
        <v>13</v>
      </c>
      <c r="D9" s="4" t="s">
        <v>14</v>
      </c>
      <c r="E9" s="4" t="s">
        <v>15</v>
      </c>
      <c r="F9" s="4" t="s">
        <v>16</v>
      </c>
      <c r="G9" s="1">
        <v>0.2</v>
      </c>
      <c r="H9" s="4" t="s">
        <v>27</v>
      </c>
      <c r="I9" s="4" t="s">
        <v>18</v>
      </c>
      <c r="J9" s="4" t="s">
        <v>19</v>
      </c>
      <c r="K9" s="4" t="s">
        <v>24</v>
      </c>
      <c r="M9" t="s">
        <v>18</v>
      </c>
      <c r="N9" t="s">
        <v>514</v>
      </c>
      <c r="O9" t="s">
        <v>515</v>
      </c>
      <c r="P9" t="s">
        <v>337</v>
      </c>
      <c r="Q9" t="s">
        <v>516</v>
      </c>
      <c r="R9">
        <v>31</v>
      </c>
      <c r="S9">
        <v>4.8000000000000001E-2</v>
      </c>
    </row>
    <row r="10" spans="1:19" x14ac:dyDescent="0.2">
      <c r="A10" s="4" t="s">
        <v>34</v>
      </c>
      <c r="B10" s="4" t="s">
        <v>35</v>
      </c>
      <c r="C10" s="4" t="s">
        <v>13</v>
      </c>
      <c r="D10" s="4" t="s">
        <v>14</v>
      </c>
      <c r="E10" s="4" t="s">
        <v>15</v>
      </c>
      <c r="F10" s="4" t="s">
        <v>16</v>
      </c>
      <c r="G10" s="1">
        <v>0.13300000000000001</v>
      </c>
      <c r="H10" s="4" t="s">
        <v>36</v>
      </c>
      <c r="I10" s="4" t="s">
        <v>18</v>
      </c>
      <c r="J10" s="4" t="s">
        <v>19</v>
      </c>
      <c r="K10" s="4" t="s">
        <v>24</v>
      </c>
      <c r="M10" t="s">
        <v>18</v>
      </c>
      <c r="N10" t="s">
        <v>581</v>
      </c>
      <c r="O10" t="s">
        <v>582</v>
      </c>
      <c r="P10" t="s">
        <v>113</v>
      </c>
      <c r="Q10" t="s">
        <v>516</v>
      </c>
      <c r="R10">
        <v>32</v>
      </c>
      <c r="S10">
        <v>5.4343750000000003E-2</v>
      </c>
    </row>
    <row r="11" spans="1:19" x14ac:dyDescent="0.2">
      <c r="A11" s="4" t="s">
        <v>37</v>
      </c>
      <c r="B11" s="4" t="s">
        <v>38</v>
      </c>
      <c r="C11" s="4" t="s">
        <v>13</v>
      </c>
      <c r="D11" s="4" t="s">
        <v>14</v>
      </c>
      <c r="E11" s="4" t="s">
        <v>15</v>
      </c>
      <c r="F11" s="4" t="s">
        <v>16</v>
      </c>
      <c r="G11" s="1">
        <v>0.17799999999999999</v>
      </c>
      <c r="H11" s="4" t="s">
        <v>39</v>
      </c>
      <c r="I11" s="4" t="s">
        <v>18</v>
      </c>
      <c r="J11" s="4" t="s">
        <v>19</v>
      </c>
      <c r="K11" s="4" t="s">
        <v>24</v>
      </c>
      <c r="M11" t="s">
        <v>18</v>
      </c>
      <c r="N11" t="s">
        <v>647</v>
      </c>
      <c r="O11" t="s">
        <v>648</v>
      </c>
      <c r="P11" t="s">
        <v>226</v>
      </c>
      <c r="Q11" t="s">
        <v>649</v>
      </c>
      <c r="R11">
        <v>49</v>
      </c>
      <c r="S11">
        <v>0.10732653061224499</v>
      </c>
    </row>
    <row r="12" spans="1:19" x14ac:dyDescent="0.2">
      <c r="A12" s="4" t="s">
        <v>40</v>
      </c>
      <c r="B12" s="4" t="s">
        <v>41</v>
      </c>
      <c r="C12" s="4" t="s">
        <v>13</v>
      </c>
      <c r="D12" s="4" t="s">
        <v>14</v>
      </c>
      <c r="E12" s="4" t="s">
        <v>15</v>
      </c>
      <c r="F12" s="4" t="s">
        <v>16</v>
      </c>
      <c r="G12" s="1">
        <v>0.156</v>
      </c>
      <c r="H12" s="4" t="s">
        <v>42</v>
      </c>
      <c r="I12" s="4" t="s">
        <v>18</v>
      </c>
      <c r="J12" s="4" t="s">
        <v>19</v>
      </c>
      <c r="K12" s="4" t="s">
        <v>24</v>
      </c>
      <c r="M12" t="s">
        <v>18</v>
      </c>
      <c r="N12" t="s">
        <v>748</v>
      </c>
      <c r="O12" t="s">
        <v>749</v>
      </c>
      <c r="P12" t="s">
        <v>337</v>
      </c>
      <c r="Q12" t="s">
        <v>750</v>
      </c>
      <c r="R12">
        <v>27</v>
      </c>
      <c r="S12">
        <v>4.9481481481481501E-2</v>
      </c>
    </row>
    <row r="13" spans="1:19" x14ac:dyDescent="0.2">
      <c r="A13" s="4" t="s">
        <v>43</v>
      </c>
      <c r="B13" s="4" t="s">
        <v>44</v>
      </c>
      <c r="C13" s="4" t="s">
        <v>13</v>
      </c>
      <c r="D13" s="4" t="s">
        <v>14</v>
      </c>
      <c r="E13" s="4" t="s">
        <v>15</v>
      </c>
      <c r="F13" s="4" t="s">
        <v>16</v>
      </c>
      <c r="G13" s="1">
        <v>0.2</v>
      </c>
      <c r="H13" s="4" t="s">
        <v>27</v>
      </c>
      <c r="I13" s="4" t="s">
        <v>18</v>
      </c>
      <c r="J13" s="4" t="s">
        <v>19</v>
      </c>
      <c r="K13" s="4" t="s">
        <v>24</v>
      </c>
      <c r="M13" t="s">
        <v>18</v>
      </c>
      <c r="N13" t="s">
        <v>805</v>
      </c>
      <c r="O13" t="s">
        <v>806</v>
      </c>
      <c r="P13" t="s">
        <v>113</v>
      </c>
      <c r="Q13" t="s">
        <v>807</v>
      </c>
      <c r="R13">
        <v>21</v>
      </c>
      <c r="S13">
        <v>9.6761904761904799E-2</v>
      </c>
    </row>
    <row r="14" spans="1:19" x14ac:dyDescent="0.2">
      <c r="A14" s="4" t="s">
        <v>45</v>
      </c>
      <c r="B14" s="4" t="s">
        <v>46</v>
      </c>
      <c r="C14" s="4" t="s">
        <v>13</v>
      </c>
      <c r="D14" s="4" t="s">
        <v>14</v>
      </c>
      <c r="E14" s="4" t="s">
        <v>15</v>
      </c>
      <c r="F14" s="4" t="s">
        <v>16</v>
      </c>
      <c r="G14" s="1">
        <v>0.17799999999999999</v>
      </c>
      <c r="H14" s="4" t="s">
        <v>39</v>
      </c>
      <c r="I14" s="4" t="s">
        <v>18</v>
      </c>
      <c r="J14" s="4" t="s">
        <v>19</v>
      </c>
      <c r="K14" s="4" t="s">
        <v>24</v>
      </c>
      <c r="M14" t="s">
        <v>853</v>
      </c>
      <c r="N14" t="s">
        <v>850</v>
      </c>
      <c r="O14" t="s">
        <v>851</v>
      </c>
      <c r="P14" t="s">
        <v>854</v>
      </c>
      <c r="Q14" t="s">
        <v>111</v>
      </c>
      <c r="R14">
        <v>46</v>
      </c>
      <c r="S14">
        <v>0.120739130434783</v>
      </c>
    </row>
    <row r="15" spans="1:19" x14ac:dyDescent="0.2">
      <c r="A15" s="4" t="s">
        <v>47</v>
      </c>
      <c r="B15" s="4" t="s">
        <v>48</v>
      </c>
      <c r="C15" s="4" t="s">
        <v>49</v>
      </c>
      <c r="D15" s="4" t="s">
        <v>14</v>
      </c>
      <c r="E15" s="4" t="s">
        <v>15</v>
      </c>
      <c r="F15" s="4" t="s">
        <v>16</v>
      </c>
      <c r="G15" s="1">
        <v>6.7000000000000004E-2</v>
      </c>
      <c r="H15" s="4" t="s">
        <v>50</v>
      </c>
      <c r="I15" s="4" t="s">
        <v>18</v>
      </c>
      <c r="J15" s="4" t="s">
        <v>19</v>
      </c>
      <c r="K15" s="4" t="s">
        <v>24</v>
      </c>
      <c r="M15" t="s">
        <v>853</v>
      </c>
      <c r="N15" t="s">
        <v>956</v>
      </c>
      <c r="O15" t="s">
        <v>957</v>
      </c>
      <c r="P15" t="s">
        <v>854</v>
      </c>
      <c r="Q15" t="s">
        <v>335</v>
      </c>
      <c r="R15">
        <v>25</v>
      </c>
      <c r="S15">
        <v>0.10512000000000001</v>
      </c>
    </row>
    <row r="16" spans="1:19" x14ac:dyDescent="0.2">
      <c r="A16" s="4" t="s">
        <v>51</v>
      </c>
      <c r="B16" s="4" t="s">
        <v>52</v>
      </c>
      <c r="C16" s="4" t="s">
        <v>13</v>
      </c>
      <c r="D16" s="4" t="s">
        <v>14</v>
      </c>
      <c r="E16" s="4" t="s">
        <v>15</v>
      </c>
      <c r="F16" s="4" t="s">
        <v>16</v>
      </c>
      <c r="G16" s="1">
        <v>8.8999999999999996E-2</v>
      </c>
      <c r="H16" s="4" t="s">
        <v>17</v>
      </c>
      <c r="I16" s="4" t="s">
        <v>18</v>
      </c>
      <c r="J16" s="4" t="s">
        <v>19</v>
      </c>
      <c r="K16" s="4" t="s">
        <v>24</v>
      </c>
      <c r="M16" t="s">
        <v>853</v>
      </c>
      <c r="N16" t="s">
        <v>1009</v>
      </c>
      <c r="O16" t="s">
        <v>1010</v>
      </c>
      <c r="P16" t="s">
        <v>1011</v>
      </c>
      <c r="Q16" t="s">
        <v>516</v>
      </c>
      <c r="R16">
        <v>31</v>
      </c>
      <c r="S16">
        <v>4.14838709677419E-2</v>
      </c>
    </row>
    <row r="17" spans="1:19" x14ac:dyDescent="0.2">
      <c r="A17" s="4" t="s">
        <v>53</v>
      </c>
      <c r="B17" s="4" t="s">
        <v>54</v>
      </c>
      <c r="C17" s="4" t="s">
        <v>13</v>
      </c>
      <c r="D17" s="4" t="s">
        <v>14</v>
      </c>
      <c r="E17" s="4" t="s">
        <v>15</v>
      </c>
      <c r="F17" s="4" t="s">
        <v>16</v>
      </c>
      <c r="G17" s="1">
        <v>0.111</v>
      </c>
      <c r="H17" s="4" t="s">
        <v>55</v>
      </c>
      <c r="I17" s="4" t="s">
        <v>18</v>
      </c>
      <c r="J17" s="4" t="s">
        <v>19</v>
      </c>
      <c r="K17" s="4" t="s">
        <v>24</v>
      </c>
      <c r="M17" t="s">
        <v>853</v>
      </c>
      <c r="N17" t="s">
        <v>1075</v>
      </c>
      <c r="O17" t="s">
        <v>1076</v>
      </c>
      <c r="P17" t="s">
        <v>1077</v>
      </c>
      <c r="Q17" t="s">
        <v>649</v>
      </c>
      <c r="R17">
        <v>33</v>
      </c>
      <c r="S17">
        <v>9.87878787878788E-2</v>
      </c>
    </row>
    <row r="18" spans="1:19" x14ac:dyDescent="0.2">
      <c r="A18" s="4" t="s">
        <v>56</v>
      </c>
      <c r="B18" s="4" t="s">
        <v>57</v>
      </c>
      <c r="C18" s="4" t="s">
        <v>13</v>
      </c>
      <c r="D18" s="4" t="s">
        <v>14</v>
      </c>
      <c r="E18" s="4" t="s">
        <v>15</v>
      </c>
      <c r="F18" s="4" t="s">
        <v>16</v>
      </c>
      <c r="G18" s="1">
        <v>0.2</v>
      </c>
      <c r="H18" s="4" t="s">
        <v>27</v>
      </c>
      <c r="I18" s="4" t="s">
        <v>18</v>
      </c>
      <c r="J18" s="4" t="s">
        <v>19</v>
      </c>
      <c r="K18" s="4" t="s">
        <v>24</v>
      </c>
      <c r="M18" t="s">
        <v>1145</v>
      </c>
      <c r="N18" t="s">
        <v>1143</v>
      </c>
      <c r="O18" t="s">
        <v>1144</v>
      </c>
      <c r="P18" t="s">
        <v>1146</v>
      </c>
      <c r="Q18" t="s">
        <v>16</v>
      </c>
      <c r="R18">
        <v>36</v>
      </c>
      <c r="S18">
        <v>9.1444444444444495E-2</v>
      </c>
    </row>
    <row r="19" spans="1:19" x14ac:dyDescent="0.2">
      <c r="A19" s="4" t="s">
        <v>58</v>
      </c>
      <c r="B19" s="4" t="s">
        <v>59</v>
      </c>
      <c r="C19" s="4" t="s">
        <v>13</v>
      </c>
      <c r="D19" s="4" t="s">
        <v>14</v>
      </c>
      <c r="E19" s="4" t="s">
        <v>15</v>
      </c>
      <c r="F19" s="4" t="s">
        <v>16</v>
      </c>
      <c r="G19" s="1">
        <v>0.13300000000000001</v>
      </c>
      <c r="H19" s="4" t="s">
        <v>36</v>
      </c>
      <c r="I19" s="4" t="s">
        <v>18</v>
      </c>
      <c r="J19" s="4" t="s">
        <v>19</v>
      </c>
      <c r="K19" s="4" t="s">
        <v>24</v>
      </c>
      <c r="M19" t="s">
        <v>1145</v>
      </c>
      <c r="N19" t="s">
        <v>1217</v>
      </c>
      <c r="O19" t="s">
        <v>1218</v>
      </c>
      <c r="P19" t="s">
        <v>1219</v>
      </c>
      <c r="Q19" t="s">
        <v>335</v>
      </c>
      <c r="R19">
        <v>37</v>
      </c>
      <c r="S19">
        <v>0.13700000000000001</v>
      </c>
    </row>
    <row r="20" spans="1:19" x14ac:dyDescent="0.2">
      <c r="A20" s="4" t="s">
        <v>60</v>
      </c>
      <c r="B20" s="4" t="s">
        <v>61</v>
      </c>
      <c r="C20" s="4" t="s">
        <v>13</v>
      </c>
      <c r="D20" s="4" t="s">
        <v>14</v>
      </c>
      <c r="E20" s="4" t="s">
        <v>15</v>
      </c>
      <c r="F20" s="4" t="s">
        <v>16</v>
      </c>
      <c r="G20" s="1">
        <v>0.2</v>
      </c>
      <c r="H20" s="4" t="s">
        <v>27</v>
      </c>
      <c r="I20" s="4" t="s">
        <v>18</v>
      </c>
      <c r="J20" s="4" t="s">
        <v>19</v>
      </c>
      <c r="K20" s="4" t="s">
        <v>24</v>
      </c>
      <c r="M20" t="s">
        <v>1145</v>
      </c>
      <c r="N20" t="s">
        <v>1295</v>
      </c>
      <c r="O20" t="s">
        <v>1296</v>
      </c>
      <c r="P20" t="s">
        <v>1219</v>
      </c>
      <c r="Q20" t="s">
        <v>111</v>
      </c>
      <c r="R20">
        <v>41</v>
      </c>
      <c r="S20">
        <v>0.12707317073170701</v>
      </c>
    </row>
    <row r="21" spans="1:19" x14ac:dyDescent="0.2">
      <c r="A21" s="4" t="s">
        <v>62</v>
      </c>
      <c r="B21" s="4" t="s">
        <v>63</v>
      </c>
      <c r="C21" s="4" t="s">
        <v>13</v>
      </c>
      <c r="D21" s="4" t="s">
        <v>14</v>
      </c>
      <c r="E21" s="4" t="s">
        <v>15</v>
      </c>
      <c r="F21" s="4" t="s">
        <v>16</v>
      </c>
      <c r="G21" s="1">
        <v>0.2</v>
      </c>
      <c r="H21" s="4" t="s">
        <v>27</v>
      </c>
      <c r="I21" s="4" t="s">
        <v>18</v>
      </c>
      <c r="J21" s="4" t="s">
        <v>19</v>
      </c>
      <c r="K21" s="4" t="s">
        <v>24</v>
      </c>
      <c r="M21" t="s">
        <v>1145</v>
      </c>
      <c r="N21" t="s">
        <v>1381</v>
      </c>
      <c r="O21" t="s">
        <v>1382</v>
      </c>
      <c r="P21" t="s">
        <v>1383</v>
      </c>
      <c r="Q21" t="s">
        <v>750</v>
      </c>
      <c r="R21">
        <v>33</v>
      </c>
      <c r="S21">
        <v>7.8696969696969696E-2</v>
      </c>
    </row>
    <row r="22" spans="1:19" x14ac:dyDescent="0.2">
      <c r="A22" s="4" t="s">
        <v>64</v>
      </c>
      <c r="B22" s="4" t="s">
        <v>65</v>
      </c>
      <c r="C22" s="4" t="s">
        <v>13</v>
      </c>
      <c r="D22" s="4" t="s">
        <v>14</v>
      </c>
      <c r="E22" s="4" t="s">
        <v>15</v>
      </c>
      <c r="F22" s="4" t="s">
        <v>16</v>
      </c>
      <c r="G22" s="1">
        <v>0.2</v>
      </c>
      <c r="H22" s="4" t="s">
        <v>27</v>
      </c>
      <c r="I22" s="4" t="s">
        <v>18</v>
      </c>
      <c r="J22" s="4" t="s">
        <v>19</v>
      </c>
      <c r="K22" s="4" t="s">
        <v>24</v>
      </c>
      <c r="M22" t="s">
        <v>1145</v>
      </c>
      <c r="N22" t="s">
        <v>1451</v>
      </c>
      <c r="O22" t="s">
        <v>1452</v>
      </c>
      <c r="P22" t="s">
        <v>1219</v>
      </c>
      <c r="Q22" t="s">
        <v>1453</v>
      </c>
      <c r="R22">
        <v>27</v>
      </c>
      <c r="S22">
        <v>0.13559259259259299</v>
      </c>
    </row>
    <row r="23" spans="1:19" x14ac:dyDescent="0.2">
      <c r="A23" s="4" t="s">
        <v>66</v>
      </c>
      <c r="B23" s="4" t="s">
        <v>67</v>
      </c>
      <c r="C23" s="4" t="s">
        <v>13</v>
      </c>
      <c r="D23" s="4" t="s">
        <v>14</v>
      </c>
      <c r="E23" s="4" t="s">
        <v>15</v>
      </c>
      <c r="F23" s="4" t="s">
        <v>16</v>
      </c>
      <c r="G23" s="1">
        <v>0.111</v>
      </c>
      <c r="H23" s="4" t="s">
        <v>55</v>
      </c>
      <c r="I23" s="4" t="s">
        <v>18</v>
      </c>
      <c r="J23" s="4" t="s">
        <v>19</v>
      </c>
      <c r="K23" s="4" t="s">
        <v>24</v>
      </c>
      <c r="M23" t="s">
        <v>1145</v>
      </c>
      <c r="N23" t="s">
        <v>1509</v>
      </c>
      <c r="O23" t="s">
        <v>1510</v>
      </c>
      <c r="P23" t="s">
        <v>1511</v>
      </c>
      <c r="Q23" t="s">
        <v>516</v>
      </c>
      <c r="R23">
        <v>35</v>
      </c>
      <c r="S23">
        <v>5.1657142857142797E-2</v>
      </c>
    </row>
    <row r="24" spans="1:19" x14ac:dyDescent="0.2">
      <c r="A24" s="4" t="s">
        <v>68</v>
      </c>
      <c r="B24" s="4" t="s">
        <v>69</v>
      </c>
      <c r="C24" s="4" t="s">
        <v>13</v>
      </c>
      <c r="D24" s="4" t="s">
        <v>14</v>
      </c>
      <c r="E24" s="4" t="s">
        <v>15</v>
      </c>
      <c r="F24" s="4" t="s">
        <v>16</v>
      </c>
      <c r="G24" s="1">
        <v>0.2</v>
      </c>
      <c r="H24" s="4" t="s">
        <v>27</v>
      </c>
      <c r="I24" s="4" t="s">
        <v>18</v>
      </c>
      <c r="J24" s="4" t="s">
        <v>19</v>
      </c>
      <c r="K24" s="4" t="s">
        <v>24</v>
      </c>
      <c r="M24" t="s">
        <v>1580</v>
      </c>
      <c r="N24" t="s">
        <v>1578</v>
      </c>
      <c r="O24" t="s">
        <v>1579</v>
      </c>
      <c r="P24" t="s">
        <v>1581</v>
      </c>
      <c r="Q24" t="s">
        <v>16</v>
      </c>
      <c r="R24">
        <v>35</v>
      </c>
      <c r="S24">
        <v>8.0857142857142905E-2</v>
      </c>
    </row>
    <row r="25" spans="1:19" x14ac:dyDescent="0.2">
      <c r="A25" s="4" t="s">
        <v>70</v>
      </c>
      <c r="B25" s="4" t="s">
        <v>71</v>
      </c>
      <c r="C25" s="4" t="s">
        <v>13</v>
      </c>
      <c r="D25" s="4" t="s">
        <v>14</v>
      </c>
      <c r="E25" s="4" t="s">
        <v>15</v>
      </c>
      <c r="F25" s="4" t="s">
        <v>16</v>
      </c>
      <c r="G25" s="1">
        <v>0.17799999999999999</v>
      </c>
      <c r="H25" s="4" t="s">
        <v>39</v>
      </c>
      <c r="I25" s="4" t="s">
        <v>18</v>
      </c>
      <c r="J25" s="4" t="s">
        <v>19</v>
      </c>
      <c r="K25" s="4" t="s">
        <v>24</v>
      </c>
      <c r="M25" t="s">
        <v>1580</v>
      </c>
      <c r="N25" t="s">
        <v>1652</v>
      </c>
      <c r="O25" t="s">
        <v>1653</v>
      </c>
      <c r="P25" t="s">
        <v>1654</v>
      </c>
      <c r="Q25" t="s">
        <v>16</v>
      </c>
      <c r="R25">
        <v>28</v>
      </c>
      <c r="S25">
        <v>7.8571428571428596E-4</v>
      </c>
    </row>
    <row r="26" spans="1:19" x14ac:dyDescent="0.2">
      <c r="A26" s="4" t="s">
        <v>72</v>
      </c>
      <c r="B26" s="4" t="s">
        <v>73</v>
      </c>
      <c r="C26" s="4" t="s">
        <v>13</v>
      </c>
      <c r="D26" s="4" t="s">
        <v>14</v>
      </c>
      <c r="E26" s="4" t="s">
        <v>15</v>
      </c>
      <c r="F26" s="4" t="s">
        <v>16</v>
      </c>
      <c r="G26" s="1">
        <v>0.13300000000000001</v>
      </c>
      <c r="H26" s="4" t="s">
        <v>36</v>
      </c>
      <c r="I26" s="4" t="s">
        <v>18</v>
      </c>
      <c r="J26" s="4" t="s">
        <v>19</v>
      </c>
      <c r="K26" s="4" t="s">
        <v>24</v>
      </c>
      <c r="M26" t="s">
        <v>1580</v>
      </c>
      <c r="N26" t="s">
        <v>1713</v>
      </c>
      <c r="O26" t="s">
        <v>1714</v>
      </c>
      <c r="P26" t="s">
        <v>1581</v>
      </c>
      <c r="Q26" t="s">
        <v>1453</v>
      </c>
      <c r="R26">
        <v>30</v>
      </c>
      <c r="S26">
        <v>4.9033333333333297E-2</v>
      </c>
    </row>
    <row r="27" spans="1:19" x14ac:dyDescent="0.2">
      <c r="A27" s="4" t="s">
        <v>74</v>
      </c>
      <c r="B27" s="4" t="s">
        <v>75</v>
      </c>
      <c r="C27" s="4" t="s">
        <v>13</v>
      </c>
      <c r="D27" s="4" t="s">
        <v>14</v>
      </c>
      <c r="E27" s="4" t="s">
        <v>15</v>
      </c>
      <c r="F27" s="4" t="s">
        <v>16</v>
      </c>
      <c r="G27" s="1">
        <v>4.3999999999999997E-2</v>
      </c>
      <c r="H27" s="4" t="s">
        <v>76</v>
      </c>
      <c r="I27" s="4" t="s">
        <v>18</v>
      </c>
      <c r="J27" s="4" t="s">
        <v>19</v>
      </c>
      <c r="K27" s="4" t="s">
        <v>24</v>
      </c>
      <c r="M27" t="s">
        <v>1580</v>
      </c>
      <c r="N27" t="s">
        <v>1775</v>
      </c>
      <c r="O27" t="s">
        <v>1776</v>
      </c>
      <c r="P27" t="s">
        <v>1777</v>
      </c>
      <c r="Q27" t="s">
        <v>1453</v>
      </c>
      <c r="R27">
        <v>41</v>
      </c>
      <c r="S27">
        <v>0.13034146341463401</v>
      </c>
    </row>
    <row r="28" spans="1:19" x14ac:dyDescent="0.2">
      <c r="A28" s="4" t="s">
        <v>77</v>
      </c>
      <c r="B28" s="4" t="s">
        <v>78</v>
      </c>
      <c r="C28" s="4" t="s">
        <v>13</v>
      </c>
      <c r="D28" s="4" t="s">
        <v>14</v>
      </c>
      <c r="E28" s="4" t="s">
        <v>15</v>
      </c>
      <c r="F28" s="4" t="s">
        <v>16</v>
      </c>
      <c r="G28" s="1">
        <v>6.7000000000000004E-2</v>
      </c>
      <c r="H28" s="4" t="s">
        <v>50</v>
      </c>
      <c r="I28" s="4" t="s">
        <v>18</v>
      </c>
      <c r="J28" s="4" t="s">
        <v>19</v>
      </c>
      <c r="K28" s="4" t="s">
        <v>24</v>
      </c>
      <c r="M28" t="s">
        <v>1580</v>
      </c>
      <c r="N28" t="s">
        <v>1861</v>
      </c>
      <c r="O28" t="s">
        <v>1862</v>
      </c>
      <c r="P28" t="s">
        <v>1581</v>
      </c>
      <c r="Q28" t="s">
        <v>1863</v>
      </c>
      <c r="R28">
        <v>27</v>
      </c>
      <c r="S28">
        <v>0.112962962962963</v>
      </c>
    </row>
    <row r="29" spans="1:19" x14ac:dyDescent="0.2">
      <c r="A29" s="4" t="s">
        <v>79</v>
      </c>
      <c r="B29" s="4" t="s">
        <v>80</v>
      </c>
      <c r="C29" s="4" t="s">
        <v>13</v>
      </c>
      <c r="D29" s="4" t="s">
        <v>14</v>
      </c>
      <c r="E29" s="4" t="s">
        <v>15</v>
      </c>
      <c r="F29" s="4" t="s">
        <v>16</v>
      </c>
      <c r="G29" s="1">
        <v>2.1999999999999999E-2</v>
      </c>
      <c r="H29" s="4" t="s">
        <v>23</v>
      </c>
      <c r="I29" s="4" t="s">
        <v>18</v>
      </c>
      <c r="J29" s="4" t="s">
        <v>19</v>
      </c>
      <c r="K29" s="4" t="s">
        <v>24</v>
      </c>
      <c r="M29" t="s">
        <v>1580</v>
      </c>
      <c r="N29" t="s">
        <v>1921</v>
      </c>
      <c r="O29" t="s">
        <v>1922</v>
      </c>
      <c r="P29" t="s">
        <v>1654</v>
      </c>
      <c r="Q29" t="s">
        <v>1863</v>
      </c>
      <c r="R29">
        <v>22</v>
      </c>
      <c r="S29">
        <v>4.5454545454545496E-3</v>
      </c>
    </row>
    <row r="30" spans="1:19" x14ac:dyDescent="0.2">
      <c r="A30" s="4" t="s">
        <v>81</v>
      </c>
      <c r="B30" s="4" t="s">
        <v>82</v>
      </c>
      <c r="C30" s="4" t="s">
        <v>13</v>
      </c>
      <c r="D30" s="4" t="s">
        <v>14</v>
      </c>
      <c r="E30" s="4" t="s">
        <v>15</v>
      </c>
      <c r="F30" s="4" t="s">
        <v>16</v>
      </c>
      <c r="G30" s="1">
        <v>2.1999999999999999E-2</v>
      </c>
      <c r="H30" s="4" t="s">
        <v>23</v>
      </c>
      <c r="I30" s="4" t="s">
        <v>18</v>
      </c>
      <c r="J30" s="4" t="s">
        <v>19</v>
      </c>
      <c r="K30" s="4" t="s">
        <v>24</v>
      </c>
      <c r="M30" t="s">
        <v>1580</v>
      </c>
      <c r="N30" t="s">
        <v>1965</v>
      </c>
      <c r="O30" t="s">
        <v>1966</v>
      </c>
      <c r="P30" t="s">
        <v>19</v>
      </c>
      <c r="Q30" t="s">
        <v>111</v>
      </c>
      <c r="R30">
        <v>53</v>
      </c>
      <c r="S30">
        <v>9.9773584905660406E-2</v>
      </c>
    </row>
    <row r="31" spans="1:19" x14ac:dyDescent="0.2">
      <c r="A31" s="4" t="s">
        <v>83</v>
      </c>
      <c r="B31" s="4" t="s">
        <v>84</v>
      </c>
      <c r="C31" s="4" t="s">
        <v>13</v>
      </c>
      <c r="D31" s="4" t="s">
        <v>14</v>
      </c>
      <c r="E31" s="4" t="s">
        <v>15</v>
      </c>
      <c r="F31" s="4" t="s">
        <v>16</v>
      </c>
      <c r="G31" s="1">
        <v>0.17799999999999999</v>
      </c>
      <c r="H31" s="4" t="s">
        <v>39</v>
      </c>
      <c r="I31" s="4" t="s">
        <v>18</v>
      </c>
      <c r="J31" s="4" t="s">
        <v>19</v>
      </c>
      <c r="K31" s="4" t="s">
        <v>24</v>
      </c>
      <c r="M31" t="s">
        <v>1580</v>
      </c>
      <c r="N31" t="s">
        <v>2075</v>
      </c>
      <c r="O31" t="s">
        <v>2076</v>
      </c>
      <c r="P31" t="s">
        <v>2077</v>
      </c>
      <c r="Q31" t="s">
        <v>111</v>
      </c>
      <c r="R31">
        <v>48</v>
      </c>
      <c r="S31">
        <v>0.153479166666667</v>
      </c>
    </row>
    <row r="32" spans="1:19" x14ac:dyDescent="0.2">
      <c r="A32" s="4" t="s">
        <v>85</v>
      </c>
      <c r="B32" s="4" t="s">
        <v>86</v>
      </c>
      <c r="C32" s="4" t="s">
        <v>13</v>
      </c>
      <c r="D32" s="4" t="s">
        <v>14</v>
      </c>
      <c r="E32" s="4" t="s">
        <v>15</v>
      </c>
      <c r="F32" s="4" t="s">
        <v>16</v>
      </c>
      <c r="G32" s="1">
        <v>0.2</v>
      </c>
      <c r="H32" s="4" t="s">
        <v>27</v>
      </c>
      <c r="I32" s="4" t="s">
        <v>18</v>
      </c>
      <c r="J32" s="4" t="s">
        <v>19</v>
      </c>
      <c r="K32" s="4" t="s">
        <v>24</v>
      </c>
      <c r="M32" t="s">
        <v>1580</v>
      </c>
      <c r="N32" t="s">
        <v>2169</v>
      </c>
      <c r="O32" t="s">
        <v>2170</v>
      </c>
      <c r="P32" t="s">
        <v>1077</v>
      </c>
      <c r="Q32" t="s">
        <v>111</v>
      </c>
      <c r="R32">
        <v>44</v>
      </c>
      <c r="S32">
        <v>0.166318181818182</v>
      </c>
    </row>
    <row r="33" spans="1:19" x14ac:dyDescent="0.2">
      <c r="A33" s="4" t="s">
        <v>87</v>
      </c>
      <c r="B33" s="4" t="s">
        <v>88</v>
      </c>
      <c r="C33" s="4" t="s">
        <v>13</v>
      </c>
      <c r="D33" s="4" t="s">
        <v>14</v>
      </c>
      <c r="E33" s="4" t="s">
        <v>15</v>
      </c>
      <c r="F33" s="4" t="s">
        <v>16</v>
      </c>
      <c r="G33" s="1">
        <v>0.17799999999999999</v>
      </c>
      <c r="H33" s="4" t="s">
        <v>39</v>
      </c>
      <c r="I33" s="4" t="s">
        <v>18</v>
      </c>
      <c r="J33" s="4" t="s">
        <v>19</v>
      </c>
      <c r="K33" s="4" t="s">
        <v>24</v>
      </c>
      <c r="M33" t="s">
        <v>1580</v>
      </c>
      <c r="N33" t="s">
        <v>2258</v>
      </c>
      <c r="O33" t="s">
        <v>2259</v>
      </c>
      <c r="P33" t="s">
        <v>2260</v>
      </c>
      <c r="Q33" t="s">
        <v>111</v>
      </c>
      <c r="R33">
        <v>45</v>
      </c>
      <c r="S33">
        <v>6.5622222222222207E-2</v>
      </c>
    </row>
    <row r="34" spans="1:19" x14ac:dyDescent="0.2">
      <c r="A34" s="4" t="s">
        <v>89</v>
      </c>
      <c r="B34" s="4" t="s">
        <v>90</v>
      </c>
      <c r="C34" s="4" t="s">
        <v>13</v>
      </c>
      <c r="D34" s="4" t="s">
        <v>14</v>
      </c>
      <c r="E34" s="4" t="s">
        <v>15</v>
      </c>
      <c r="F34" s="4" t="s">
        <v>16</v>
      </c>
      <c r="G34" s="1">
        <v>0.2</v>
      </c>
      <c r="H34" s="4" t="s">
        <v>27</v>
      </c>
      <c r="I34" s="4" t="s">
        <v>18</v>
      </c>
      <c r="J34" s="4" t="s">
        <v>19</v>
      </c>
      <c r="K34" s="4" t="s">
        <v>24</v>
      </c>
      <c r="M34" t="s">
        <v>1580</v>
      </c>
      <c r="N34" t="s">
        <v>2349</v>
      </c>
      <c r="O34" t="s">
        <v>2350</v>
      </c>
      <c r="P34" t="s">
        <v>2351</v>
      </c>
      <c r="Q34" t="s">
        <v>335</v>
      </c>
      <c r="R34">
        <v>50</v>
      </c>
      <c r="S34">
        <v>0.10946</v>
      </c>
    </row>
    <row r="35" spans="1:19" x14ac:dyDescent="0.2">
      <c r="A35" s="4" t="s">
        <v>91</v>
      </c>
      <c r="B35" s="4" t="s">
        <v>92</v>
      </c>
      <c r="C35" s="4" t="s">
        <v>13</v>
      </c>
      <c r="D35" s="4" t="s">
        <v>14</v>
      </c>
      <c r="E35" s="4" t="s">
        <v>15</v>
      </c>
      <c r="F35" s="4" t="s">
        <v>16</v>
      </c>
      <c r="G35" s="1">
        <v>0.2</v>
      </c>
      <c r="H35" s="4" t="s">
        <v>27</v>
      </c>
      <c r="I35" s="4" t="s">
        <v>18</v>
      </c>
      <c r="J35" s="4" t="s">
        <v>19</v>
      </c>
      <c r="K35" s="4" t="s">
        <v>24</v>
      </c>
      <c r="M35" t="s">
        <v>1580</v>
      </c>
      <c r="N35" t="s">
        <v>2449</v>
      </c>
      <c r="O35" t="s">
        <v>2450</v>
      </c>
      <c r="P35" t="s">
        <v>2451</v>
      </c>
      <c r="Q35" t="s">
        <v>335</v>
      </c>
      <c r="R35">
        <v>34</v>
      </c>
      <c r="S35">
        <v>8.5294117647058895E-2</v>
      </c>
    </row>
    <row r="36" spans="1:19" x14ac:dyDescent="0.2">
      <c r="A36" s="4" t="s">
        <v>93</v>
      </c>
      <c r="B36" s="4" t="s">
        <v>94</v>
      </c>
      <c r="C36" s="4" t="s">
        <v>13</v>
      </c>
      <c r="D36" s="4" t="s">
        <v>14</v>
      </c>
      <c r="E36" s="4" t="s">
        <v>15</v>
      </c>
      <c r="F36" s="4" t="s">
        <v>16</v>
      </c>
      <c r="G36" s="1">
        <v>0.17799999999999999</v>
      </c>
      <c r="H36" s="4" t="s">
        <v>39</v>
      </c>
      <c r="I36" s="4" t="s">
        <v>18</v>
      </c>
      <c r="J36" s="4" t="s">
        <v>19</v>
      </c>
      <c r="K36" s="4" t="s">
        <v>24</v>
      </c>
      <c r="M36" t="s">
        <v>1580</v>
      </c>
      <c r="N36" t="s">
        <v>2522</v>
      </c>
      <c r="O36" t="s">
        <v>2523</v>
      </c>
      <c r="P36" t="s">
        <v>2077</v>
      </c>
      <c r="Q36" t="s">
        <v>335</v>
      </c>
      <c r="R36">
        <v>36</v>
      </c>
      <c r="S36">
        <v>0.114416666666667</v>
      </c>
    </row>
    <row r="37" spans="1:19" x14ac:dyDescent="0.2">
      <c r="A37" s="4" t="s">
        <v>95</v>
      </c>
      <c r="B37" s="4" t="s">
        <v>96</v>
      </c>
      <c r="C37" s="4" t="s">
        <v>13</v>
      </c>
      <c r="D37" s="4" t="s">
        <v>14</v>
      </c>
      <c r="E37" s="4" t="s">
        <v>15</v>
      </c>
      <c r="F37" s="4" t="s">
        <v>16</v>
      </c>
      <c r="G37" s="1">
        <v>0.156</v>
      </c>
      <c r="H37" s="4" t="s">
        <v>42</v>
      </c>
      <c r="I37" s="4" t="s">
        <v>18</v>
      </c>
      <c r="J37" s="4" t="s">
        <v>19</v>
      </c>
      <c r="K37" s="4" t="s">
        <v>24</v>
      </c>
      <c r="M37" t="s">
        <v>1580</v>
      </c>
      <c r="N37" t="s">
        <v>2592</v>
      </c>
      <c r="O37" t="s">
        <v>2593</v>
      </c>
      <c r="P37" t="s">
        <v>1777</v>
      </c>
      <c r="Q37" t="s">
        <v>2594</v>
      </c>
      <c r="R37">
        <v>26</v>
      </c>
      <c r="S37">
        <v>0.142307692307692</v>
      </c>
    </row>
    <row r="38" spans="1:19" x14ac:dyDescent="0.2">
      <c r="A38" s="4" t="s">
        <v>97</v>
      </c>
      <c r="B38" s="4" t="s">
        <v>98</v>
      </c>
      <c r="C38" s="4" t="s">
        <v>13</v>
      </c>
      <c r="D38" s="4" t="s">
        <v>14</v>
      </c>
      <c r="E38" s="4" t="s">
        <v>15</v>
      </c>
      <c r="F38" s="4" t="s">
        <v>16</v>
      </c>
      <c r="G38" s="1">
        <v>0.13300000000000001</v>
      </c>
      <c r="H38" s="4" t="s">
        <v>36</v>
      </c>
      <c r="I38" s="4" t="s">
        <v>18</v>
      </c>
      <c r="J38" s="4" t="s">
        <v>19</v>
      </c>
      <c r="K38" s="4" t="s">
        <v>24</v>
      </c>
      <c r="M38" t="s">
        <v>1580</v>
      </c>
      <c r="N38" t="s">
        <v>2647</v>
      </c>
      <c r="O38" t="s">
        <v>2648</v>
      </c>
      <c r="P38" t="s">
        <v>2649</v>
      </c>
      <c r="Q38" t="s">
        <v>2594</v>
      </c>
      <c r="R38">
        <v>24</v>
      </c>
      <c r="S38">
        <v>0.114708333333333</v>
      </c>
    </row>
    <row r="39" spans="1:19" x14ac:dyDescent="0.2">
      <c r="A39" s="4" t="s">
        <v>99</v>
      </c>
      <c r="B39" s="4" t="s">
        <v>100</v>
      </c>
      <c r="C39" s="4" t="s">
        <v>13</v>
      </c>
      <c r="D39" s="4" t="s">
        <v>14</v>
      </c>
      <c r="E39" s="4" t="s">
        <v>15</v>
      </c>
      <c r="F39" s="4" t="s">
        <v>16</v>
      </c>
      <c r="G39" s="1">
        <v>2.1999999999999999E-2</v>
      </c>
      <c r="H39" s="4" t="s">
        <v>23</v>
      </c>
      <c r="I39" s="4" t="s">
        <v>18</v>
      </c>
      <c r="J39" s="4" t="s">
        <v>19</v>
      </c>
      <c r="K39" s="4" t="s">
        <v>24</v>
      </c>
      <c r="M39" t="s">
        <v>1580</v>
      </c>
      <c r="N39" t="s">
        <v>2696</v>
      </c>
      <c r="O39" t="s">
        <v>2697</v>
      </c>
      <c r="P39" t="s">
        <v>2451</v>
      </c>
      <c r="Q39" t="s">
        <v>750</v>
      </c>
      <c r="R39">
        <v>48</v>
      </c>
      <c r="S39">
        <v>5.0250000000000003E-2</v>
      </c>
    </row>
    <row r="40" spans="1:19" x14ac:dyDescent="0.2">
      <c r="A40" s="4" t="s">
        <v>101</v>
      </c>
      <c r="B40" s="4" t="s">
        <v>102</v>
      </c>
      <c r="C40" s="4" t="s">
        <v>13</v>
      </c>
      <c r="D40" s="4" t="s">
        <v>14</v>
      </c>
      <c r="E40" s="4" t="s">
        <v>15</v>
      </c>
      <c r="F40" s="4" t="s">
        <v>16</v>
      </c>
      <c r="G40" s="1">
        <v>0.2</v>
      </c>
      <c r="H40" s="4" t="s">
        <v>27</v>
      </c>
      <c r="I40" s="4" t="s">
        <v>18</v>
      </c>
      <c r="J40" s="4" t="s">
        <v>19</v>
      </c>
      <c r="K40" s="4" t="s">
        <v>24</v>
      </c>
      <c r="M40" t="s">
        <v>1580</v>
      </c>
      <c r="N40" t="s">
        <v>2792</v>
      </c>
      <c r="O40" t="s">
        <v>2793</v>
      </c>
      <c r="P40" t="s">
        <v>2451</v>
      </c>
      <c r="Q40" t="s">
        <v>516</v>
      </c>
      <c r="R40">
        <v>37</v>
      </c>
      <c r="S40">
        <v>9.4351351351351406E-2</v>
      </c>
    </row>
    <row r="41" spans="1:19" x14ac:dyDescent="0.2">
      <c r="A41" s="4" t="s">
        <v>103</v>
      </c>
      <c r="B41" s="4" t="s">
        <v>104</v>
      </c>
      <c r="C41" s="4" t="s">
        <v>13</v>
      </c>
      <c r="D41" s="4" t="s">
        <v>14</v>
      </c>
      <c r="E41" s="4" t="s">
        <v>15</v>
      </c>
      <c r="F41" s="4" t="s">
        <v>16</v>
      </c>
      <c r="G41" s="1">
        <v>0.2</v>
      </c>
      <c r="H41" s="4" t="s">
        <v>27</v>
      </c>
      <c r="I41" s="4" t="s">
        <v>18</v>
      </c>
      <c r="J41" s="4" t="s">
        <v>19</v>
      </c>
      <c r="K41" s="4" t="s">
        <v>24</v>
      </c>
      <c r="M41" t="s">
        <v>1580</v>
      </c>
      <c r="N41" t="s">
        <v>2869</v>
      </c>
      <c r="O41" t="s">
        <v>2870</v>
      </c>
      <c r="P41" t="s">
        <v>2260</v>
      </c>
      <c r="Q41" t="s">
        <v>516</v>
      </c>
      <c r="R41">
        <v>39</v>
      </c>
      <c r="S41">
        <v>4.4538461538461499E-2</v>
      </c>
    </row>
    <row r="42" spans="1:19" x14ac:dyDescent="0.2">
      <c r="A42" s="4" t="s">
        <v>105</v>
      </c>
      <c r="B42" s="4" t="s">
        <v>106</v>
      </c>
      <c r="C42" s="4" t="s">
        <v>13</v>
      </c>
      <c r="D42" s="4" t="s">
        <v>14</v>
      </c>
      <c r="E42" s="4" t="s">
        <v>15</v>
      </c>
      <c r="F42" s="4" t="s">
        <v>16</v>
      </c>
      <c r="G42" s="1">
        <v>0.2</v>
      </c>
      <c r="H42" s="4" t="s">
        <v>27</v>
      </c>
      <c r="I42" s="4" t="s">
        <v>18</v>
      </c>
      <c r="J42" s="4" t="s">
        <v>19</v>
      </c>
      <c r="K42" s="4" t="s">
        <v>24</v>
      </c>
      <c r="M42" t="s">
        <v>1580</v>
      </c>
      <c r="N42" t="s">
        <v>2945</v>
      </c>
      <c r="O42" t="s">
        <v>2946</v>
      </c>
      <c r="P42" t="s">
        <v>2077</v>
      </c>
      <c r="Q42" t="s">
        <v>649</v>
      </c>
      <c r="R42">
        <v>40</v>
      </c>
      <c r="S42">
        <v>9.6049999999999996E-2</v>
      </c>
    </row>
    <row r="43" spans="1:19" x14ac:dyDescent="0.2">
      <c r="A43" s="4" t="s">
        <v>107</v>
      </c>
      <c r="B43" s="4" t="s">
        <v>108</v>
      </c>
      <c r="C43" s="4" t="s">
        <v>13</v>
      </c>
      <c r="D43" s="4" t="s">
        <v>109</v>
      </c>
      <c r="E43" s="4" t="s">
        <v>110</v>
      </c>
      <c r="F43" s="4" t="s">
        <v>111</v>
      </c>
      <c r="G43" s="1">
        <v>0.13300000000000001</v>
      </c>
      <c r="H43" s="4" t="s">
        <v>112</v>
      </c>
      <c r="I43" s="4" t="s">
        <v>18</v>
      </c>
      <c r="J43" s="4" t="s">
        <v>113</v>
      </c>
      <c r="K43" s="4" t="s">
        <v>114</v>
      </c>
      <c r="M43" t="s">
        <v>1580</v>
      </c>
      <c r="N43" t="s">
        <v>3028</v>
      </c>
      <c r="O43" t="s">
        <v>3029</v>
      </c>
      <c r="P43" t="s">
        <v>3030</v>
      </c>
      <c r="Q43" t="s">
        <v>649</v>
      </c>
      <c r="R43">
        <v>28</v>
      </c>
      <c r="S43">
        <v>2.0035714285714299E-2</v>
      </c>
    </row>
    <row r="44" spans="1:19" x14ac:dyDescent="0.2">
      <c r="A44" s="4" t="s">
        <v>115</v>
      </c>
      <c r="B44" s="4" t="s">
        <v>116</v>
      </c>
      <c r="C44" s="4" t="s">
        <v>13</v>
      </c>
      <c r="D44" s="4" t="s">
        <v>109</v>
      </c>
      <c r="E44" s="4" t="s">
        <v>110</v>
      </c>
      <c r="F44" s="4" t="s">
        <v>111</v>
      </c>
      <c r="G44" s="1">
        <v>0.1</v>
      </c>
      <c r="H44" s="4" t="s">
        <v>117</v>
      </c>
      <c r="I44" s="4" t="s">
        <v>18</v>
      </c>
      <c r="J44" s="4" t="s">
        <v>113</v>
      </c>
      <c r="K44" s="4" t="s">
        <v>20</v>
      </c>
      <c r="M44" t="s">
        <v>1580</v>
      </c>
      <c r="N44" t="s">
        <v>3083</v>
      </c>
      <c r="O44" t="s">
        <v>3084</v>
      </c>
      <c r="P44" t="s">
        <v>2649</v>
      </c>
      <c r="Q44" t="s">
        <v>516</v>
      </c>
      <c r="R44">
        <v>44</v>
      </c>
      <c r="S44">
        <v>5.62045454545455E-2</v>
      </c>
    </row>
    <row r="45" spans="1:19" x14ac:dyDescent="0.2">
      <c r="A45" s="4" t="s">
        <v>118</v>
      </c>
      <c r="B45" s="4" t="s">
        <v>119</v>
      </c>
      <c r="C45" s="4" t="s">
        <v>13</v>
      </c>
      <c r="D45" s="4" t="s">
        <v>109</v>
      </c>
      <c r="E45" s="4" t="s">
        <v>110</v>
      </c>
      <c r="F45" s="4" t="s">
        <v>111</v>
      </c>
      <c r="G45" s="1">
        <v>0.1</v>
      </c>
      <c r="H45" s="4" t="s">
        <v>117</v>
      </c>
      <c r="I45" s="4" t="s">
        <v>18</v>
      </c>
      <c r="J45" s="4" t="s">
        <v>113</v>
      </c>
      <c r="K45" s="4" t="s">
        <v>120</v>
      </c>
      <c r="M45" t="s">
        <v>3169</v>
      </c>
      <c r="N45" t="s">
        <v>3167</v>
      </c>
      <c r="O45" t="s">
        <v>3168</v>
      </c>
      <c r="P45" t="s">
        <v>3170</v>
      </c>
      <c r="Q45" t="s">
        <v>1453</v>
      </c>
      <c r="R45">
        <v>34</v>
      </c>
      <c r="S45">
        <v>0.11908823529411799</v>
      </c>
    </row>
    <row r="46" spans="1:19" x14ac:dyDescent="0.2">
      <c r="A46" s="4" t="s">
        <v>121</v>
      </c>
      <c r="B46" s="4" t="s">
        <v>122</v>
      </c>
      <c r="C46" s="4" t="s">
        <v>13</v>
      </c>
      <c r="D46" s="4" t="s">
        <v>109</v>
      </c>
      <c r="E46" s="4" t="s">
        <v>110</v>
      </c>
      <c r="F46" s="4" t="s">
        <v>111</v>
      </c>
      <c r="G46" s="1">
        <v>0.1</v>
      </c>
      <c r="H46" s="4" t="s">
        <v>117</v>
      </c>
      <c r="I46" s="4" t="s">
        <v>18</v>
      </c>
      <c r="J46" s="4" t="s">
        <v>113</v>
      </c>
      <c r="K46" s="4" t="s">
        <v>120</v>
      </c>
      <c r="M46" t="s">
        <v>3169</v>
      </c>
      <c r="N46" t="s">
        <v>3240</v>
      </c>
      <c r="O46" t="s">
        <v>3241</v>
      </c>
      <c r="P46" t="s">
        <v>3242</v>
      </c>
      <c r="Q46" t="s">
        <v>335</v>
      </c>
      <c r="R46">
        <v>58</v>
      </c>
      <c r="S46">
        <v>0.13296551724137901</v>
      </c>
    </row>
    <row r="47" spans="1:19" x14ac:dyDescent="0.2">
      <c r="A47" s="4" t="s">
        <v>123</v>
      </c>
      <c r="B47" s="4" t="s">
        <v>124</v>
      </c>
      <c r="C47" s="4" t="s">
        <v>13</v>
      </c>
      <c r="D47" s="4" t="s">
        <v>109</v>
      </c>
      <c r="E47" s="4" t="s">
        <v>110</v>
      </c>
      <c r="F47" s="4" t="s">
        <v>111</v>
      </c>
      <c r="G47" s="1">
        <v>0.1</v>
      </c>
      <c r="H47" s="4" t="s">
        <v>117</v>
      </c>
      <c r="I47" s="4" t="s">
        <v>18</v>
      </c>
      <c r="J47" s="4" t="s">
        <v>113</v>
      </c>
      <c r="K47" s="4" t="s">
        <v>125</v>
      </c>
      <c r="M47" t="s">
        <v>3169</v>
      </c>
      <c r="N47" t="s">
        <v>3360</v>
      </c>
      <c r="O47" t="s">
        <v>3361</v>
      </c>
      <c r="P47" t="s">
        <v>3362</v>
      </c>
      <c r="Q47" t="s">
        <v>516</v>
      </c>
      <c r="R47">
        <v>38</v>
      </c>
      <c r="S47">
        <v>4.2315789473684202E-2</v>
      </c>
    </row>
    <row r="48" spans="1:19" x14ac:dyDescent="0.2">
      <c r="A48" s="4" t="s">
        <v>126</v>
      </c>
      <c r="B48" s="4" t="s">
        <v>127</v>
      </c>
      <c r="C48" s="4" t="s">
        <v>13</v>
      </c>
      <c r="D48" s="4" t="s">
        <v>109</v>
      </c>
      <c r="E48" s="4" t="s">
        <v>110</v>
      </c>
      <c r="F48" s="4" t="s">
        <v>111</v>
      </c>
      <c r="G48" s="1">
        <v>0.1</v>
      </c>
      <c r="H48" s="4" t="s">
        <v>117</v>
      </c>
      <c r="I48" s="4" t="s">
        <v>18</v>
      </c>
      <c r="J48" s="4" t="s">
        <v>113</v>
      </c>
      <c r="K48" s="4" t="s">
        <v>125</v>
      </c>
      <c r="M48" t="s">
        <v>3169</v>
      </c>
      <c r="N48" t="s">
        <v>3439</v>
      </c>
      <c r="O48" t="s">
        <v>3440</v>
      </c>
      <c r="P48" t="s">
        <v>3170</v>
      </c>
      <c r="Q48" t="s">
        <v>16</v>
      </c>
      <c r="R48">
        <v>33</v>
      </c>
      <c r="S48">
        <v>0.11654545454545499</v>
      </c>
    </row>
    <row r="49" spans="1:19" x14ac:dyDescent="0.2">
      <c r="A49" s="4" t="s">
        <v>128</v>
      </c>
      <c r="B49" s="4" t="s">
        <v>129</v>
      </c>
      <c r="C49" s="4" t="s">
        <v>13</v>
      </c>
      <c r="D49" s="4" t="s">
        <v>109</v>
      </c>
      <c r="E49" s="4" t="s">
        <v>110</v>
      </c>
      <c r="F49" s="4" t="s">
        <v>111</v>
      </c>
      <c r="G49" s="1">
        <v>0.1</v>
      </c>
      <c r="H49" s="4" t="s">
        <v>117</v>
      </c>
      <c r="I49" s="4" t="s">
        <v>18</v>
      </c>
      <c r="J49" s="4" t="s">
        <v>113</v>
      </c>
      <c r="K49" s="4" t="s">
        <v>125</v>
      </c>
      <c r="M49" t="s">
        <v>3505</v>
      </c>
      <c r="N49" t="s">
        <v>3503</v>
      </c>
      <c r="O49" t="s">
        <v>3504</v>
      </c>
      <c r="P49" t="s">
        <v>3506</v>
      </c>
      <c r="Q49" t="s">
        <v>1863</v>
      </c>
      <c r="R49">
        <v>24</v>
      </c>
      <c r="S49">
        <v>9.0499999999999997E-2</v>
      </c>
    </row>
    <row r="50" spans="1:19" x14ac:dyDescent="0.2">
      <c r="A50" s="4" t="s">
        <v>130</v>
      </c>
      <c r="B50" s="4" t="s">
        <v>131</v>
      </c>
      <c r="C50" s="4" t="s">
        <v>13</v>
      </c>
      <c r="D50" s="4" t="s">
        <v>109</v>
      </c>
      <c r="E50" s="4" t="s">
        <v>110</v>
      </c>
      <c r="F50" s="4" t="s">
        <v>111</v>
      </c>
      <c r="G50" s="1">
        <v>0.13300000000000001</v>
      </c>
      <c r="H50" s="4" t="s">
        <v>112</v>
      </c>
      <c r="I50" s="4" t="s">
        <v>18</v>
      </c>
      <c r="J50" s="4" t="s">
        <v>113</v>
      </c>
      <c r="K50" s="4" t="s">
        <v>24</v>
      </c>
      <c r="M50" t="s">
        <v>3505</v>
      </c>
      <c r="N50" t="s">
        <v>3550</v>
      </c>
      <c r="O50" t="s">
        <v>3551</v>
      </c>
      <c r="P50" t="s">
        <v>3362</v>
      </c>
      <c r="Q50" t="s">
        <v>335</v>
      </c>
      <c r="R50">
        <v>37</v>
      </c>
      <c r="S50">
        <v>0.14332432432432399</v>
      </c>
    </row>
    <row r="51" spans="1:19" x14ac:dyDescent="0.2">
      <c r="A51" s="4" t="s">
        <v>132</v>
      </c>
      <c r="B51" s="4" t="s">
        <v>133</v>
      </c>
      <c r="C51" s="4" t="s">
        <v>13</v>
      </c>
      <c r="D51" s="4" t="s">
        <v>109</v>
      </c>
      <c r="E51" s="4" t="s">
        <v>110</v>
      </c>
      <c r="F51" s="4" t="s">
        <v>111</v>
      </c>
      <c r="G51" s="1">
        <v>0.1</v>
      </c>
      <c r="H51" s="4" t="s">
        <v>117</v>
      </c>
      <c r="I51" s="4" t="s">
        <v>18</v>
      </c>
      <c r="J51" s="4" t="s">
        <v>113</v>
      </c>
      <c r="K51" s="4" t="s">
        <v>24</v>
      </c>
      <c r="M51" t="s">
        <v>3505</v>
      </c>
      <c r="N51" t="s">
        <v>3626</v>
      </c>
      <c r="O51" t="s">
        <v>3627</v>
      </c>
      <c r="P51" t="s">
        <v>3242</v>
      </c>
      <c r="Q51" t="s">
        <v>1453</v>
      </c>
      <c r="R51">
        <v>35</v>
      </c>
      <c r="S51">
        <v>0.14094285714285701</v>
      </c>
    </row>
    <row r="52" spans="1:19" x14ac:dyDescent="0.2">
      <c r="A52" s="4" t="s">
        <v>134</v>
      </c>
      <c r="B52" s="4" t="s">
        <v>135</v>
      </c>
      <c r="C52" s="4" t="s">
        <v>13</v>
      </c>
      <c r="D52" s="4" t="s">
        <v>109</v>
      </c>
      <c r="E52" s="4" t="s">
        <v>110</v>
      </c>
      <c r="F52" s="4" t="s">
        <v>111</v>
      </c>
      <c r="G52" s="1">
        <v>0.13300000000000001</v>
      </c>
      <c r="H52" s="4" t="s">
        <v>112</v>
      </c>
      <c r="I52" s="4" t="s">
        <v>18</v>
      </c>
      <c r="J52" s="4" t="s">
        <v>113</v>
      </c>
      <c r="K52" s="4" t="s">
        <v>24</v>
      </c>
      <c r="M52" t="s">
        <v>3505</v>
      </c>
      <c r="N52" t="s">
        <v>3698</v>
      </c>
      <c r="O52" t="s">
        <v>3699</v>
      </c>
      <c r="P52" t="s">
        <v>3242</v>
      </c>
      <c r="Q52" t="s">
        <v>111</v>
      </c>
      <c r="R52">
        <v>38</v>
      </c>
      <c r="S52">
        <v>0.132710526315789</v>
      </c>
    </row>
    <row r="53" spans="1:19" x14ac:dyDescent="0.2">
      <c r="A53" s="4" t="s">
        <v>136</v>
      </c>
      <c r="B53" s="4" t="s">
        <v>137</v>
      </c>
      <c r="C53" s="4" t="s">
        <v>13</v>
      </c>
      <c r="D53" s="4" t="s">
        <v>109</v>
      </c>
      <c r="E53" s="4" t="s">
        <v>110</v>
      </c>
      <c r="F53" s="4" t="s">
        <v>111</v>
      </c>
      <c r="G53" s="1">
        <v>0.13300000000000001</v>
      </c>
      <c r="H53" s="4" t="s">
        <v>112</v>
      </c>
      <c r="I53" s="4" t="s">
        <v>18</v>
      </c>
      <c r="J53" s="4" t="s">
        <v>113</v>
      </c>
      <c r="K53" s="4" t="s">
        <v>24</v>
      </c>
      <c r="M53" t="s">
        <v>3505</v>
      </c>
      <c r="N53" t="s">
        <v>3772</v>
      </c>
      <c r="O53" t="s">
        <v>3773</v>
      </c>
      <c r="P53" t="s">
        <v>3774</v>
      </c>
      <c r="Q53" t="s">
        <v>807</v>
      </c>
      <c r="R53">
        <v>28</v>
      </c>
      <c r="S53">
        <v>9.6285714285714294E-2</v>
      </c>
    </row>
    <row r="54" spans="1:19" x14ac:dyDescent="0.2">
      <c r="A54" s="4" t="s">
        <v>138</v>
      </c>
      <c r="B54" s="4" t="s">
        <v>139</v>
      </c>
      <c r="C54" s="4" t="s">
        <v>13</v>
      </c>
      <c r="D54" s="4" t="s">
        <v>109</v>
      </c>
      <c r="E54" s="4" t="s">
        <v>110</v>
      </c>
      <c r="F54" s="4" t="s">
        <v>111</v>
      </c>
      <c r="G54" s="1">
        <v>0.13300000000000001</v>
      </c>
      <c r="H54" s="4" t="s">
        <v>112</v>
      </c>
      <c r="I54" s="4" t="s">
        <v>18</v>
      </c>
      <c r="J54" s="4" t="s">
        <v>113</v>
      </c>
      <c r="K54" s="4" t="s">
        <v>24</v>
      </c>
      <c r="M54" t="s">
        <v>3833</v>
      </c>
      <c r="N54" t="s">
        <v>3831</v>
      </c>
      <c r="O54" s="5">
        <v>46082</v>
      </c>
      <c r="P54" t="s">
        <v>3834</v>
      </c>
      <c r="Q54" t="s">
        <v>1453</v>
      </c>
      <c r="R54">
        <v>45</v>
      </c>
      <c r="S54">
        <v>9.8177777777777794E-2</v>
      </c>
    </row>
    <row r="55" spans="1:19" x14ac:dyDescent="0.2">
      <c r="A55" s="4" t="s">
        <v>140</v>
      </c>
      <c r="B55" s="4" t="s">
        <v>141</v>
      </c>
      <c r="C55" s="4" t="s">
        <v>13</v>
      </c>
      <c r="D55" s="4" t="s">
        <v>109</v>
      </c>
      <c r="E55" s="4" t="s">
        <v>110</v>
      </c>
      <c r="F55" s="4" t="s">
        <v>111</v>
      </c>
      <c r="G55" s="1">
        <v>0.1</v>
      </c>
      <c r="H55" s="4" t="s">
        <v>117</v>
      </c>
      <c r="I55" s="4" t="s">
        <v>18</v>
      </c>
      <c r="J55" s="4" t="s">
        <v>113</v>
      </c>
      <c r="K55" s="4" t="s">
        <v>24</v>
      </c>
      <c r="M55" t="s">
        <v>3833</v>
      </c>
      <c r="N55" t="s">
        <v>3923</v>
      </c>
      <c r="O55" s="5">
        <v>46083</v>
      </c>
      <c r="P55" t="s">
        <v>3926</v>
      </c>
      <c r="Q55" t="s">
        <v>16</v>
      </c>
      <c r="R55">
        <v>30</v>
      </c>
      <c r="S55">
        <v>0.17026666666666701</v>
      </c>
    </row>
    <row r="56" spans="1:19" x14ac:dyDescent="0.2">
      <c r="A56" s="4" t="s">
        <v>142</v>
      </c>
      <c r="B56" s="4" t="s">
        <v>143</v>
      </c>
      <c r="C56" s="4" t="s">
        <v>13</v>
      </c>
      <c r="D56" s="4" t="s">
        <v>109</v>
      </c>
      <c r="E56" s="4" t="s">
        <v>110</v>
      </c>
      <c r="F56" s="4" t="s">
        <v>111</v>
      </c>
      <c r="G56" s="1">
        <v>0.13300000000000001</v>
      </c>
      <c r="H56" s="4" t="s">
        <v>112</v>
      </c>
      <c r="I56" s="4" t="s">
        <v>18</v>
      </c>
      <c r="J56" s="4" t="s">
        <v>113</v>
      </c>
      <c r="K56" s="4" t="s">
        <v>24</v>
      </c>
      <c r="M56" t="s">
        <v>3833</v>
      </c>
      <c r="N56" t="s">
        <v>3986</v>
      </c>
      <c r="O56" s="5">
        <v>46084</v>
      </c>
      <c r="P56" t="s">
        <v>3834</v>
      </c>
      <c r="Q56" t="s">
        <v>335</v>
      </c>
      <c r="R56">
        <v>42</v>
      </c>
      <c r="S56">
        <v>0.103642857142857</v>
      </c>
    </row>
    <row r="57" spans="1:19" x14ac:dyDescent="0.2">
      <c r="A57" s="4" t="s">
        <v>144</v>
      </c>
      <c r="B57" s="4" t="s">
        <v>145</v>
      </c>
      <c r="C57" s="4" t="s">
        <v>49</v>
      </c>
      <c r="D57" s="4" t="s">
        <v>109</v>
      </c>
      <c r="E57" s="4" t="s">
        <v>110</v>
      </c>
      <c r="F57" s="4" t="s">
        <v>111</v>
      </c>
      <c r="G57" s="1">
        <v>0.1</v>
      </c>
      <c r="H57" s="4" t="s">
        <v>117</v>
      </c>
      <c r="I57" s="4" t="s">
        <v>18</v>
      </c>
      <c r="J57" s="4" t="s">
        <v>113</v>
      </c>
      <c r="K57" s="4" t="s">
        <v>24</v>
      </c>
      <c r="M57" t="s">
        <v>3833</v>
      </c>
      <c r="N57" t="s">
        <v>4064</v>
      </c>
      <c r="O57" s="5">
        <v>46085</v>
      </c>
      <c r="P57" t="s">
        <v>4066</v>
      </c>
      <c r="Q57" t="s">
        <v>111</v>
      </c>
      <c r="R57">
        <v>51</v>
      </c>
      <c r="S57">
        <v>0.13137254901960799</v>
      </c>
    </row>
    <row r="58" spans="1:19" x14ac:dyDescent="0.2">
      <c r="A58" s="4" t="s">
        <v>146</v>
      </c>
      <c r="B58" s="4" t="s">
        <v>147</v>
      </c>
      <c r="C58" s="4" t="s">
        <v>13</v>
      </c>
      <c r="D58" s="4" t="s">
        <v>109</v>
      </c>
      <c r="E58" s="4" t="s">
        <v>110</v>
      </c>
      <c r="F58" s="4" t="s">
        <v>111</v>
      </c>
      <c r="G58" s="1">
        <v>0.1</v>
      </c>
      <c r="H58" s="4" t="s">
        <v>117</v>
      </c>
      <c r="I58" s="4" t="s">
        <v>18</v>
      </c>
      <c r="J58" s="4" t="s">
        <v>113</v>
      </c>
      <c r="K58" s="4" t="s">
        <v>24</v>
      </c>
      <c r="M58" t="s">
        <v>3833</v>
      </c>
      <c r="N58" t="s">
        <v>4165</v>
      </c>
      <c r="O58" s="5">
        <v>46086</v>
      </c>
      <c r="P58" t="s">
        <v>3834</v>
      </c>
      <c r="Q58" t="s">
        <v>807</v>
      </c>
      <c r="R58">
        <v>42</v>
      </c>
      <c r="S58">
        <v>9.8214285714285698E-2</v>
      </c>
    </row>
    <row r="59" spans="1:19" x14ac:dyDescent="0.2">
      <c r="A59" s="4" t="s">
        <v>148</v>
      </c>
      <c r="B59" s="4" t="s">
        <v>149</v>
      </c>
      <c r="C59" s="4" t="s">
        <v>13</v>
      </c>
      <c r="D59" s="4" t="s">
        <v>109</v>
      </c>
      <c r="E59" s="4" t="s">
        <v>110</v>
      </c>
      <c r="F59" s="4" t="s">
        <v>111</v>
      </c>
      <c r="G59" s="1">
        <v>0.13300000000000001</v>
      </c>
      <c r="H59" s="4" t="s">
        <v>112</v>
      </c>
      <c r="I59" s="4" t="s">
        <v>18</v>
      </c>
      <c r="J59" s="4" t="s">
        <v>113</v>
      </c>
      <c r="K59" s="4" t="s">
        <v>24</v>
      </c>
      <c r="M59" t="s">
        <v>3833</v>
      </c>
      <c r="N59" t="s">
        <v>4247</v>
      </c>
      <c r="O59" s="5">
        <v>46087</v>
      </c>
      <c r="P59" t="s">
        <v>4249</v>
      </c>
      <c r="Q59" t="s">
        <v>516</v>
      </c>
      <c r="R59">
        <v>49</v>
      </c>
      <c r="S59">
        <v>4.52244897959184E-2</v>
      </c>
    </row>
    <row r="60" spans="1:19" x14ac:dyDescent="0.2">
      <c r="A60" s="4" t="s">
        <v>150</v>
      </c>
      <c r="B60" s="4" t="s">
        <v>151</v>
      </c>
      <c r="C60" s="4" t="s">
        <v>13</v>
      </c>
      <c r="D60" s="4" t="s">
        <v>109</v>
      </c>
      <c r="E60" s="4" t="s">
        <v>110</v>
      </c>
      <c r="F60" s="4" t="s">
        <v>111</v>
      </c>
      <c r="G60" s="1">
        <v>0.13300000000000001</v>
      </c>
      <c r="H60" s="4" t="s">
        <v>112</v>
      </c>
      <c r="I60" s="4" t="s">
        <v>18</v>
      </c>
      <c r="J60" s="4" t="s">
        <v>113</v>
      </c>
      <c r="K60" s="4" t="s">
        <v>24</v>
      </c>
      <c r="M60" t="s">
        <v>3833</v>
      </c>
      <c r="N60" t="s">
        <v>4340</v>
      </c>
      <c r="O60" s="5">
        <v>46088</v>
      </c>
      <c r="P60" t="s">
        <v>3170</v>
      </c>
      <c r="Q60" t="s">
        <v>649</v>
      </c>
      <c r="R60">
        <v>33</v>
      </c>
      <c r="S60">
        <v>9.2242424242424306E-2</v>
      </c>
    </row>
    <row r="61" spans="1:19" x14ac:dyDescent="0.2">
      <c r="A61" s="4" t="s">
        <v>152</v>
      </c>
      <c r="B61" s="4" t="s">
        <v>153</v>
      </c>
      <c r="C61" s="4" t="s">
        <v>13</v>
      </c>
      <c r="D61" s="4" t="s">
        <v>109</v>
      </c>
      <c r="E61" s="4" t="s">
        <v>110</v>
      </c>
      <c r="F61" s="4" t="s">
        <v>111</v>
      </c>
      <c r="G61" s="1">
        <v>0.1</v>
      </c>
      <c r="H61" s="4" t="s">
        <v>117</v>
      </c>
      <c r="I61" s="4" t="s">
        <v>18</v>
      </c>
      <c r="J61" s="4" t="s">
        <v>113</v>
      </c>
      <c r="K61" s="4" t="s">
        <v>24</v>
      </c>
    </row>
    <row r="62" spans="1:19" x14ac:dyDescent="0.2">
      <c r="A62" s="4" t="s">
        <v>154</v>
      </c>
      <c r="B62" s="4" t="s">
        <v>155</v>
      </c>
      <c r="C62" s="4" t="s">
        <v>13</v>
      </c>
      <c r="D62" s="4" t="s">
        <v>109</v>
      </c>
      <c r="E62" s="4" t="s">
        <v>110</v>
      </c>
      <c r="F62" s="4" t="s">
        <v>111</v>
      </c>
      <c r="G62" s="1">
        <v>0.1</v>
      </c>
      <c r="H62" s="4" t="s">
        <v>117</v>
      </c>
      <c r="I62" s="4" t="s">
        <v>18</v>
      </c>
      <c r="J62" s="4" t="s">
        <v>113</v>
      </c>
      <c r="K62" s="4" t="s">
        <v>24</v>
      </c>
    </row>
    <row r="63" spans="1:19" x14ac:dyDescent="0.2">
      <c r="A63" s="4" t="s">
        <v>156</v>
      </c>
      <c r="B63" s="4" t="s">
        <v>157</v>
      </c>
      <c r="C63" s="4" t="s">
        <v>13</v>
      </c>
      <c r="D63" s="4" t="s">
        <v>109</v>
      </c>
      <c r="E63" s="4" t="s">
        <v>110</v>
      </c>
      <c r="F63" s="4" t="s">
        <v>111</v>
      </c>
      <c r="G63" s="1">
        <v>0.1</v>
      </c>
      <c r="H63" s="4" t="s">
        <v>117</v>
      </c>
      <c r="I63" s="4" t="s">
        <v>18</v>
      </c>
      <c r="J63" s="4" t="s">
        <v>113</v>
      </c>
      <c r="K63" s="4" t="s">
        <v>24</v>
      </c>
    </row>
    <row r="64" spans="1:19" x14ac:dyDescent="0.2">
      <c r="A64" s="4" t="s">
        <v>158</v>
      </c>
      <c r="B64" s="4" t="s">
        <v>159</v>
      </c>
      <c r="C64" s="4" t="s">
        <v>13</v>
      </c>
      <c r="D64" s="4" t="s">
        <v>109</v>
      </c>
      <c r="E64" s="4" t="s">
        <v>110</v>
      </c>
      <c r="F64" s="4" t="s">
        <v>111</v>
      </c>
      <c r="G64" s="1">
        <v>0.1</v>
      </c>
      <c r="H64" s="4" t="s">
        <v>117</v>
      </c>
      <c r="I64" s="4" t="s">
        <v>18</v>
      </c>
      <c r="J64" s="4" t="s">
        <v>113</v>
      </c>
      <c r="K64" s="4" t="s">
        <v>24</v>
      </c>
    </row>
    <row r="65" spans="1:11" x14ac:dyDescent="0.2">
      <c r="A65" s="4" t="s">
        <v>160</v>
      </c>
      <c r="B65" s="4" t="s">
        <v>161</v>
      </c>
      <c r="C65" s="4" t="s">
        <v>13</v>
      </c>
      <c r="D65" s="4" t="s">
        <v>109</v>
      </c>
      <c r="E65" s="4" t="s">
        <v>110</v>
      </c>
      <c r="F65" s="4" t="s">
        <v>111</v>
      </c>
      <c r="G65" s="1">
        <v>0.13300000000000001</v>
      </c>
      <c r="H65" s="4" t="s">
        <v>112</v>
      </c>
      <c r="I65" s="4" t="s">
        <v>18</v>
      </c>
      <c r="J65" s="4" t="s">
        <v>113</v>
      </c>
      <c r="K65" s="4" t="s">
        <v>24</v>
      </c>
    </row>
    <row r="66" spans="1:11" x14ac:dyDescent="0.2">
      <c r="A66" s="4" t="s">
        <v>162</v>
      </c>
      <c r="B66" s="4" t="s">
        <v>163</v>
      </c>
      <c r="C66" s="4" t="s">
        <v>13</v>
      </c>
      <c r="D66" s="4" t="s">
        <v>109</v>
      </c>
      <c r="E66" s="4" t="s">
        <v>110</v>
      </c>
      <c r="F66" s="4" t="s">
        <v>111</v>
      </c>
      <c r="G66" s="1">
        <v>0.13300000000000001</v>
      </c>
      <c r="H66" s="4" t="s">
        <v>112</v>
      </c>
      <c r="I66" s="4" t="s">
        <v>18</v>
      </c>
      <c r="J66" s="4" t="s">
        <v>113</v>
      </c>
      <c r="K66" s="4" t="s">
        <v>24</v>
      </c>
    </row>
    <row r="67" spans="1:11" x14ac:dyDescent="0.2">
      <c r="A67" s="4" t="s">
        <v>164</v>
      </c>
      <c r="B67" s="4" t="s">
        <v>165</v>
      </c>
      <c r="C67" s="4" t="s">
        <v>13</v>
      </c>
      <c r="D67" s="4" t="s">
        <v>109</v>
      </c>
      <c r="E67" s="4" t="s">
        <v>110</v>
      </c>
      <c r="F67" s="4" t="s">
        <v>111</v>
      </c>
      <c r="G67" s="1">
        <v>6.7000000000000004E-2</v>
      </c>
      <c r="H67" s="4" t="s">
        <v>166</v>
      </c>
      <c r="I67" s="4" t="s">
        <v>18</v>
      </c>
      <c r="J67" s="4" t="s">
        <v>113</v>
      </c>
      <c r="K67" s="4" t="s">
        <v>24</v>
      </c>
    </row>
    <row r="68" spans="1:11" x14ac:dyDescent="0.2">
      <c r="A68" s="4" t="s">
        <v>167</v>
      </c>
      <c r="B68" s="4" t="s">
        <v>168</v>
      </c>
      <c r="C68" s="4" t="s">
        <v>13</v>
      </c>
      <c r="D68" s="4" t="s">
        <v>109</v>
      </c>
      <c r="E68" s="4" t="s">
        <v>110</v>
      </c>
      <c r="F68" s="4" t="s">
        <v>111</v>
      </c>
      <c r="G68" s="1">
        <v>0.1</v>
      </c>
      <c r="H68" s="4" t="s">
        <v>117</v>
      </c>
      <c r="I68" s="4" t="s">
        <v>18</v>
      </c>
      <c r="J68" s="4" t="s">
        <v>113</v>
      </c>
      <c r="K68" s="4" t="s">
        <v>24</v>
      </c>
    </row>
    <row r="69" spans="1:11" x14ac:dyDescent="0.2">
      <c r="A69" s="4" t="s">
        <v>169</v>
      </c>
      <c r="B69" s="4" t="s">
        <v>170</v>
      </c>
      <c r="C69" s="4" t="s">
        <v>13</v>
      </c>
      <c r="D69" s="4" t="s">
        <v>109</v>
      </c>
      <c r="E69" s="4" t="s">
        <v>110</v>
      </c>
      <c r="F69" s="4" t="s">
        <v>111</v>
      </c>
      <c r="G69" s="1">
        <v>0.13300000000000001</v>
      </c>
      <c r="H69" s="4" t="s">
        <v>112</v>
      </c>
      <c r="I69" s="4" t="s">
        <v>18</v>
      </c>
      <c r="J69" s="4" t="s">
        <v>113</v>
      </c>
      <c r="K69" s="4" t="s">
        <v>24</v>
      </c>
    </row>
    <row r="70" spans="1:11" x14ac:dyDescent="0.2">
      <c r="A70" s="4" t="s">
        <v>171</v>
      </c>
      <c r="B70" s="4" t="s">
        <v>172</v>
      </c>
      <c r="C70" s="4" t="s">
        <v>13</v>
      </c>
      <c r="D70" s="4" t="s">
        <v>109</v>
      </c>
      <c r="E70" s="4" t="s">
        <v>110</v>
      </c>
      <c r="F70" s="4" t="s">
        <v>111</v>
      </c>
      <c r="G70" s="1">
        <v>0.1</v>
      </c>
      <c r="H70" s="4" t="s">
        <v>117</v>
      </c>
      <c r="I70" s="4" t="s">
        <v>18</v>
      </c>
      <c r="J70" s="4" t="s">
        <v>113</v>
      </c>
      <c r="K70" s="4" t="s">
        <v>24</v>
      </c>
    </row>
    <row r="71" spans="1:11" x14ac:dyDescent="0.2">
      <c r="A71" s="4" t="s">
        <v>173</v>
      </c>
      <c r="B71" s="4" t="s">
        <v>174</v>
      </c>
      <c r="C71" s="4" t="s">
        <v>13</v>
      </c>
      <c r="D71" s="4" t="s">
        <v>109</v>
      </c>
      <c r="E71" s="4" t="s">
        <v>110</v>
      </c>
      <c r="F71" s="4" t="s">
        <v>111</v>
      </c>
      <c r="G71" s="1">
        <v>0.13300000000000001</v>
      </c>
      <c r="H71" s="4" t="s">
        <v>112</v>
      </c>
      <c r="I71" s="4" t="s">
        <v>18</v>
      </c>
      <c r="J71" s="4" t="s">
        <v>113</v>
      </c>
      <c r="K71" s="4" t="s">
        <v>24</v>
      </c>
    </row>
    <row r="72" spans="1:11" x14ac:dyDescent="0.2">
      <c r="A72" s="4" t="s">
        <v>175</v>
      </c>
      <c r="B72" s="4" t="s">
        <v>176</v>
      </c>
      <c r="C72" s="4" t="s">
        <v>13</v>
      </c>
      <c r="D72" s="4" t="s">
        <v>109</v>
      </c>
      <c r="E72" s="4" t="s">
        <v>110</v>
      </c>
      <c r="F72" s="4" t="s">
        <v>111</v>
      </c>
      <c r="G72" s="1">
        <v>0.1</v>
      </c>
      <c r="H72" s="4" t="s">
        <v>117</v>
      </c>
      <c r="I72" s="4" t="s">
        <v>18</v>
      </c>
      <c r="J72" s="4" t="s">
        <v>113</v>
      </c>
      <c r="K72" s="4" t="s">
        <v>24</v>
      </c>
    </row>
    <row r="73" spans="1:11" x14ac:dyDescent="0.2">
      <c r="A73" s="4" t="s">
        <v>177</v>
      </c>
      <c r="B73" s="4" t="s">
        <v>178</v>
      </c>
      <c r="C73" s="4" t="s">
        <v>13</v>
      </c>
      <c r="D73" s="4" t="s">
        <v>109</v>
      </c>
      <c r="E73" s="4" t="s">
        <v>110</v>
      </c>
      <c r="F73" s="4" t="s">
        <v>111</v>
      </c>
      <c r="G73" s="1">
        <v>0.13300000000000001</v>
      </c>
      <c r="H73" s="4" t="s">
        <v>112</v>
      </c>
      <c r="I73" s="4" t="s">
        <v>18</v>
      </c>
      <c r="J73" s="4" t="s">
        <v>113</v>
      </c>
      <c r="K73" s="4" t="s">
        <v>24</v>
      </c>
    </row>
    <row r="74" spans="1:11" x14ac:dyDescent="0.2">
      <c r="A74" s="4" t="s">
        <v>179</v>
      </c>
      <c r="B74" s="4" t="s">
        <v>180</v>
      </c>
      <c r="C74" s="4" t="s">
        <v>13</v>
      </c>
      <c r="D74" s="4" t="s">
        <v>109</v>
      </c>
      <c r="E74" s="4" t="s">
        <v>110</v>
      </c>
      <c r="F74" s="4" t="s">
        <v>111</v>
      </c>
      <c r="G74" s="1">
        <v>0.13300000000000001</v>
      </c>
      <c r="H74" s="4" t="s">
        <v>112</v>
      </c>
      <c r="I74" s="4" t="s">
        <v>18</v>
      </c>
      <c r="J74" s="4" t="s">
        <v>113</v>
      </c>
      <c r="K74" s="4" t="s">
        <v>24</v>
      </c>
    </row>
    <row r="75" spans="1:11" x14ac:dyDescent="0.2">
      <c r="A75" s="4" t="s">
        <v>181</v>
      </c>
      <c r="B75" s="4" t="s">
        <v>182</v>
      </c>
      <c r="C75" s="4" t="s">
        <v>13</v>
      </c>
      <c r="D75" s="4" t="s">
        <v>109</v>
      </c>
      <c r="E75" s="4" t="s">
        <v>110</v>
      </c>
      <c r="F75" s="4" t="s">
        <v>111</v>
      </c>
      <c r="G75" s="1">
        <v>0.1</v>
      </c>
      <c r="H75" s="4" t="s">
        <v>117</v>
      </c>
      <c r="I75" s="4" t="s">
        <v>18</v>
      </c>
      <c r="J75" s="4" t="s">
        <v>113</v>
      </c>
      <c r="K75" s="4" t="s">
        <v>24</v>
      </c>
    </row>
    <row r="76" spans="1:11" x14ac:dyDescent="0.2">
      <c r="A76" s="4" t="s">
        <v>183</v>
      </c>
      <c r="B76" s="4" t="s">
        <v>184</v>
      </c>
      <c r="C76" s="4" t="s">
        <v>13</v>
      </c>
      <c r="D76" s="4" t="s">
        <v>109</v>
      </c>
      <c r="E76" s="4" t="s">
        <v>110</v>
      </c>
      <c r="F76" s="4" t="s">
        <v>111</v>
      </c>
      <c r="G76" s="1">
        <v>0.13300000000000001</v>
      </c>
      <c r="H76" s="4" t="s">
        <v>112</v>
      </c>
      <c r="I76" s="4" t="s">
        <v>18</v>
      </c>
      <c r="J76" s="4" t="s">
        <v>113</v>
      </c>
      <c r="K76" s="4" t="s">
        <v>24</v>
      </c>
    </row>
    <row r="77" spans="1:11" x14ac:dyDescent="0.2">
      <c r="A77" s="4" t="s">
        <v>185</v>
      </c>
      <c r="B77" s="4" t="s">
        <v>186</v>
      </c>
      <c r="C77" s="4" t="s">
        <v>13</v>
      </c>
      <c r="D77" s="4" t="s">
        <v>109</v>
      </c>
      <c r="E77" s="4" t="s">
        <v>110</v>
      </c>
      <c r="F77" s="4" t="s">
        <v>111</v>
      </c>
      <c r="G77" s="1">
        <v>0.1</v>
      </c>
      <c r="H77" s="4" t="s">
        <v>117</v>
      </c>
      <c r="I77" s="4" t="s">
        <v>18</v>
      </c>
      <c r="J77" s="4" t="s">
        <v>113</v>
      </c>
      <c r="K77" s="4" t="s">
        <v>24</v>
      </c>
    </row>
    <row r="78" spans="1:11" x14ac:dyDescent="0.2">
      <c r="A78" s="4" t="s">
        <v>187</v>
      </c>
      <c r="B78" s="4" t="s">
        <v>188</v>
      </c>
      <c r="C78" s="4" t="s">
        <v>13</v>
      </c>
      <c r="D78" s="4" t="s">
        <v>109</v>
      </c>
      <c r="E78" s="4" t="s">
        <v>110</v>
      </c>
      <c r="F78" s="4" t="s">
        <v>111</v>
      </c>
      <c r="G78" s="1">
        <v>0.1</v>
      </c>
      <c r="H78" s="4" t="s">
        <v>117</v>
      </c>
      <c r="I78" s="4" t="s">
        <v>18</v>
      </c>
      <c r="J78" s="4" t="s">
        <v>113</v>
      </c>
      <c r="K78" s="4" t="s">
        <v>24</v>
      </c>
    </row>
    <row r="79" spans="1:11" x14ac:dyDescent="0.2">
      <c r="A79" s="4" t="s">
        <v>189</v>
      </c>
      <c r="B79" s="4" t="s">
        <v>190</v>
      </c>
      <c r="C79" s="4" t="s">
        <v>13</v>
      </c>
      <c r="D79" s="4" t="s">
        <v>109</v>
      </c>
      <c r="E79" s="4" t="s">
        <v>110</v>
      </c>
      <c r="F79" s="4" t="s">
        <v>111</v>
      </c>
      <c r="G79" s="1">
        <v>0.1</v>
      </c>
      <c r="H79" s="4" t="s">
        <v>117</v>
      </c>
      <c r="I79" s="4" t="s">
        <v>18</v>
      </c>
      <c r="J79" s="4" t="s">
        <v>113</v>
      </c>
      <c r="K79" s="4" t="s">
        <v>24</v>
      </c>
    </row>
    <row r="80" spans="1:11" x14ac:dyDescent="0.2">
      <c r="A80" s="4" t="s">
        <v>191</v>
      </c>
      <c r="B80" s="4" t="s">
        <v>192</v>
      </c>
      <c r="C80" s="4" t="s">
        <v>13</v>
      </c>
      <c r="D80" s="4" t="s">
        <v>109</v>
      </c>
      <c r="E80" s="4" t="s">
        <v>110</v>
      </c>
      <c r="F80" s="4" t="s">
        <v>111</v>
      </c>
      <c r="G80" s="1">
        <v>0.1</v>
      </c>
      <c r="H80" s="4" t="s">
        <v>117</v>
      </c>
      <c r="I80" s="4" t="s">
        <v>18</v>
      </c>
      <c r="J80" s="4" t="s">
        <v>113</v>
      </c>
      <c r="K80" s="4" t="s">
        <v>24</v>
      </c>
    </row>
    <row r="81" spans="1:11" x14ac:dyDescent="0.2">
      <c r="A81" s="4" t="s">
        <v>193</v>
      </c>
      <c r="B81" s="4" t="s">
        <v>194</v>
      </c>
      <c r="C81" s="4" t="s">
        <v>13</v>
      </c>
      <c r="D81" s="4" t="s">
        <v>109</v>
      </c>
      <c r="E81" s="4" t="s">
        <v>110</v>
      </c>
      <c r="F81" s="4" t="s">
        <v>111</v>
      </c>
      <c r="G81" s="1">
        <v>0.13300000000000001</v>
      </c>
      <c r="H81" s="4" t="s">
        <v>112</v>
      </c>
      <c r="I81" s="4" t="s">
        <v>18</v>
      </c>
      <c r="J81" s="4" t="s">
        <v>113</v>
      </c>
      <c r="K81" s="4" t="s">
        <v>24</v>
      </c>
    </row>
    <row r="82" spans="1:11" x14ac:dyDescent="0.2">
      <c r="A82" s="4" t="s">
        <v>195</v>
      </c>
      <c r="B82" s="4" t="s">
        <v>196</v>
      </c>
      <c r="C82" s="4" t="s">
        <v>13</v>
      </c>
      <c r="D82" s="4" t="s">
        <v>109</v>
      </c>
      <c r="E82" s="4" t="s">
        <v>110</v>
      </c>
      <c r="F82" s="4" t="s">
        <v>111</v>
      </c>
      <c r="G82" s="1">
        <v>0.13300000000000001</v>
      </c>
      <c r="H82" s="4" t="s">
        <v>112</v>
      </c>
      <c r="I82" s="4" t="s">
        <v>18</v>
      </c>
      <c r="J82" s="4" t="s">
        <v>113</v>
      </c>
      <c r="K82" s="4" t="s">
        <v>24</v>
      </c>
    </row>
    <row r="83" spans="1:11" x14ac:dyDescent="0.2">
      <c r="A83" s="4" t="s">
        <v>197</v>
      </c>
      <c r="B83" s="4" t="s">
        <v>198</v>
      </c>
      <c r="C83" s="4" t="s">
        <v>13</v>
      </c>
      <c r="D83" s="4" t="s">
        <v>109</v>
      </c>
      <c r="E83" s="4" t="s">
        <v>110</v>
      </c>
      <c r="F83" s="4" t="s">
        <v>111</v>
      </c>
      <c r="G83" s="1">
        <v>0.1</v>
      </c>
      <c r="H83" s="4" t="s">
        <v>117</v>
      </c>
      <c r="I83" s="4" t="s">
        <v>18</v>
      </c>
      <c r="J83" s="4" t="s">
        <v>113</v>
      </c>
      <c r="K83" s="4" t="s">
        <v>24</v>
      </c>
    </row>
    <row r="84" spans="1:11" x14ac:dyDescent="0.2">
      <c r="A84" s="4" t="s">
        <v>199</v>
      </c>
      <c r="B84" s="4" t="s">
        <v>200</v>
      </c>
      <c r="C84" s="4" t="s">
        <v>13</v>
      </c>
      <c r="D84" s="4" t="s">
        <v>109</v>
      </c>
      <c r="E84" s="4" t="s">
        <v>110</v>
      </c>
      <c r="F84" s="4" t="s">
        <v>111</v>
      </c>
      <c r="G84" s="1">
        <v>0.1</v>
      </c>
      <c r="H84" s="4" t="s">
        <v>117</v>
      </c>
      <c r="I84" s="4" t="s">
        <v>18</v>
      </c>
      <c r="J84" s="4" t="s">
        <v>113</v>
      </c>
      <c r="K84" s="4" t="s">
        <v>24</v>
      </c>
    </row>
    <row r="85" spans="1:11" x14ac:dyDescent="0.2">
      <c r="A85" s="4" t="s">
        <v>201</v>
      </c>
      <c r="B85" s="4" t="s">
        <v>202</v>
      </c>
      <c r="C85" s="4" t="s">
        <v>13</v>
      </c>
      <c r="D85" s="4" t="s">
        <v>109</v>
      </c>
      <c r="E85" s="4" t="s">
        <v>110</v>
      </c>
      <c r="F85" s="4" t="s">
        <v>111</v>
      </c>
      <c r="G85" s="1">
        <v>0.1</v>
      </c>
      <c r="H85" s="4" t="s">
        <v>117</v>
      </c>
      <c r="I85" s="4" t="s">
        <v>18</v>
      </c>
      <c r="J85" s="4" t="s">
        <v>113</v>
      </c>
      <c r="K85" s="4" t="s">
        <v>24</v>
      </c>
    </row>
    <row r="86" spans="1:11" x14ac:dyDescent="0.2">
      <c r="A86" s="4" t="s">
        <v>203</v>
      </c>
      <c r="B86" s="4" t="s">
        <v>204</v>
      </c>
      <c r="C86" s="4" t="s">
        <v>13</v>
      </c>
      <c r="D86" s="4" t="s">
        <v>109</v>
      </c>
      <c r="E86" s="4" t="s">
        <v>110</v>
      </c>
      <c r="F86" s="4" t="s">
        <v>111</v>
      </c>
      <c r="G86" s="1">
        <v>0.1</v>
      </c>
      <c r="H86" s="4" t="s">
        <v>117</v>
      </c>
      <c r="I86" s="4" t="s">
        <v>18</v>
      </c>
      <c r="J86" s="4" t="s">
        <v>113</v>
      </c>
      <c r="K86" s="4" t="s">
        <v>24</v>
      </c>
    </row>
    <row r="87" spans="1:11" x14ac:dyDescent="0.2">
      <c r="A87" s="4" t="s">
        <v>205</v>
      </c>
      <c r="B87" s="4" t="s">
        <v>206</v>
      </c>
      <c r="C87" s="4" t="s">
        <v>13</v>
      </c>
      <c r="D87" s="4" t="s">
        <v>109</v>
      </c>
      <c r="E87" s="4" t="s">
        <v>110</v>
      </c>
      <c r="F87" s="4" t="s">
        <v>111</v>
      </c>
      <c r="G87" s="1">
        <v>0.13300000000000001</v>
      </c>
      <c r="H87" s="4" t="s">
        <v>112</v>
      </c>
      <c r="I87" s="4" t="s">
        <v>18</v>
      </c>
      <c r="J87" s="4" t="s">
        <v>113</v>
      </c>
      <c r="K87" s="4" t="s">
        <v>24</v>
      </c>
    </row>
    <row r="88" spans="1:11" x14ac:dyDescent="0.2">
      <c r="A88" s="4" t="s">
        <v>207</v>
      </c>
      <c r="B88" s="4" t="s">
        <v>208</v>
      </c>
      <c r="C88" s="4" t="s">
        <v>13</v>
      </c>
      <c r="D88" s="4" t="s">
        <v>109</v>
      </c>
      <c r="E88" s="4" t="s">
        <v>110</v>
      </c>
      <c r="F88" s="4" t="s">
        <v>111</v>
      </c>
      <c r="G88" s="1">
        <v>0.13300000000000001</v>
      </c>
      <c r="H88" s="4" t="s">
        <v>112</v>
      </c>
      <c r="I88" s="4" t="s">
        <v>18</v>
      </c>
      <c r="J88" s="4" t="s">
        <v>113</v>
      </c>
      <c r="K88" s="4" t="s">
        <v>24</v>
      </c>
    </row>
    <row r="89" spans="1:11" x14ac:dyDescent="0.2">
      <c r="A89" s="4" t="s">
        <v>209</v>
      </c>
      <c r="B89" s="4" t="s">
        <v>210</v>
      </c>
      <c r="C89" s="4" t="s">
        <v>13</v>
      </c>
      <c r="D89" s="4" t="s">
        <v>109</v>
      </c>
      <c r="E89" s="4" t="s">
        <v>110</v>
      </c>
      <c r="F89" s="4" t="s">
        <v>111</v>
      </c>
      <c r="G89" s="1">
        <v>0.1</v>
      </c>
      <c r="H89" s="4" t="s">
        <v>117</v>
      </c>
      <c r="I89" s="4" t="s">
        <v>18</v>
      </c>
      <c r="J89" s="4" t="s">
        <v>113</v>
      </c>
      <c r="K89" s="4" t="s">
        <v>24</v>
      </c>
    </row>
    <row r="90" spans="1:11" x14ac:dyDescent="0.2">
      <c r="A90" s="4" t="s">
        <v>211</v>
      </c>
      <c r="B90" s="4" t="s">
        <v>212</v>
      </c>
      <c r="C90" s="4" t="s">
        <v>13</v>
      </c>
      <c r="D90" s="4" t="s">
        <v>109</v>
      </c>
      <c r="E90" s="4" t="s">
        <v>110</v>
      </c>
      <c r="F90" s="4" t="s">
        <v>111</v>
      </c>
      <c r="G90" s="1">
        <v>0.1</v>
      </c>
      <c r="H90" s="4" t="s">
        <v>117</v>
      </c>
      <c r="I90" s="4" t="s">
        <v>18</v>
      </c>
      <c r="J90" s="4" t="s">
        <v>113</v>
      </c>
      <c r="K90" s="4" t="s">
        <v>24</v>
      </c>
    </row>
    <row r="91" spans="1:11" x14ac:dyDescent="0.2">
      <c r="A91" s="4" t="s">
        <v>213</v>
      </c>
      <c r="B91" s="4" t="s">
        <v>214</v>
      </c>
      <c r="C91" s="4" t="s">
        <v>13</v>
      </c>
      <c r="D91" s="4" t="s">
        <v>109</v>
      </c>
      <c r="E91" s="4" t="s">
        <v>110</v>
      </c>
      <c r="F91" s="4" t="s">
        <v>111</v>
      </c>
      <c r="G91" s="1">
        <v>0.13300000000000001</v>
      </c>
      <c r="H91" s="4" t="s">
        <v>112</v>
      </c>
      <c r="I91" s="4" t="s">
        <v>18</v>
      </c>
      <c r="J91" s="4" t="s">
        <v>113</v>
      </c>
      <c r="K91" s="4" t="s">
        <v>24</v>
      </c>
    </row>
    <row r="92" spans="1:11" x14ac:dyDescent="0.2">
      <c r="A92" s="4" t="s">
        <v>215</v>
      </c>
      <c r="B92" s="4" t="s">
        <v>216</v>
      </c>
      <c r="C92" s="4" t="s">
        <v>13</v>
      </c>
      <c r="D92" s="4" t="s">
        <v>109</v>
      </c>
      <c r="E92" s="4" t="s">
        <v>110</v>
      </c>
      <c r="F92" s="4" t="s">
        <v>111</v>
      </c>
      <c r="G92" s="1">
        <v>0.13300000000000001</v>
      </c>
      <c r="H92" s="4" t="s">
        <v>112</v>
      </c>
      <c r="I92" s="4" t="s">
        <v>18</v>
      </c>
      <c r="J92" s="4" t="s">
        <v>113</v>
      </c>
      <c r="K92" s="4" t="s">
        <v>24</v>
      </c>
    </row>
    <row r="93" spans="1:11" x14ac:dyDescent="0.2">
      <c r="A93" s="4" t="s">
        <v>217</v>
      </c>
      <c r="B93" s="4" t="s">
        <v>218</v>
      </c>
      <c r="C93" s="4" t="s">
        <v>13</v>
      </c>
      <c r="D93" s="4" t="s">
        <v>109</v>
      </c>
      <c r="E93" s="4" t="s">
        <v>110</v>
      </c>
      <c r="F93" s="4" t="s">
        <v>111</v>
      </c>
      <c r="G93" s="1">
        <v>6.7000000000000004E-2</v>
      </c>
      <c r="H93" s="4" t="s">
        <v>166</v>
      </c>
      <c r="I93" s="4" t="s">
        <v>18</v>
      </c>
      <c r="J93" s="4" t="s">
        <v>113</v>
      </c>
      <c r="K93" s="4" t="s">
        <v>24</v>
      </c>
    </row>
    <row r="94" spans="1:11" x14ac:dyDescent="0.2">
      <c r="A94" s="4" t="s">
        <v>219</v>
      </c>
      <c r="B94" s="4" t="s">
        <v>220</v>
      </c>
      <c r="C94" s="4" t="s">
        <v>13</v>
      </c>
      <c r="D94" s="4" t="s">
        <v>109</v>
      </c>
      <c r="E94" s="4" t="s">
        <v>110</v>
      </c>
      <c r="F94" s="4" t="s">
        <v>111</v>
      </c>
      <c r="G94" s="1">
        <v>0.13300000000000001</v>
      </c>
      <c r="H94" s="4" t="s">
        <v>112</v>
      </c>
      <c r="I94" s="4" t="s">
        <v>18</v>
      </c>
      <c r="J94" s="4" t="s">
        <v>113</v>
      </c>
      <c r="K94" s="4" t="s">
        <v>24</v>
      </c>
    </row>
    <row r="95" spans="1:11" x14ac:dyDescent="0.2">
      <c r="A95" s="4" t="s">
        <v>221</v>
      </c>
      <c r="B95" s="4" t="s">
        <v>222</v>
      </c>
      <c r="C95" s="4" t="s">
        <v>13</v>
      </c>
      <c r="D95" s="4" t="s">
        <v>223</v>
      </c>
      <c r="E95" s="4" t="s">
        <v>224</v>
      </c>
      <c r="F95" s="4" t="s">
        <v>111</v>
      </c>
      <c r="G95" s="1">
        <v>3.3000000000000002E-2</v>
      </c>
      <c r="H95" s="4" t="s">
        <v>225</v>
      </c>
      <c r="I95" s="4" t="s">
        <v>18</v>
      </c>
      <c r="J95" s="4" t="s">
        <v>226</v>
      </c>
      <c r="K95" s="4" t="s">
        <v>24</v>
      </c>
    </row>
    <row r="96" spans="1:11" x14ac:dyDescent="0.2">
      <c r="A96" s="4" t="s">
        <v>227</v>
      </c>
      <c r="B96" s="4" t="s">
        <v>228</v>
      </c>
      <c r="C96" s="4" t="s">
        <v>13</v>
      </c>
      <c r="D96" s="4" t="s">
        <v>223</v>
      </c>
      <c r="E96" s="4" t="s">
        <v>224</v>
      </c>
      <c r="F96" s="4" t="s">
        <v>111</v>
      </c>
      <c r="G96" s="1">
        <v>0.16700000000000001</v>
      </c>
      <c r="H96" s="4" t="s">
        <v>229</v>
      </c>
      <c r="I96" s="4" t="s">
        <v>18</v>
      </c>
      <c r="J96" s="4" t="s">
        <v>226</v>
      </c>
      <c r="K96" s="4" t="s">
        <v>24</v>
      </c>
    </row>
    <row r="97" spans="1:11" x14ac:dyDescent="0.2">
      <c r="A97" s="4" t="s">
        <v>230</v>
      </c>
      <c r="B97" s="4" t="s">
        <v>231</v>
      </c>
      <c r="C97" s="4" t="s">
        <v>13</v>
      </c>
      <c r="D97" s="4" t="s">
        <v>223</v>
      </c>
      <c r="E97" s="4" t="s">
        <v>224</v>
      </c>
      <c r="F97" s="4" t="s">
        <v>111</v>
      </c>
      <c r="G97" s="1">
        <v>0.2</v>
      </c>
      <c r="H97" s="4" t="s">
        <v>232</v>
      </c>
      <c r="I97" s="4" t="s">
        <v>18</v>
      </c>
      <c r="J97" s="4" t="s">
        <v>226</v>
      </c>
      <c r="K97" s="4" t="s">
        <v>233</v>
      </c>
    </row>
    <row r="98" spans="1:11" x14ac:dyDescent="0.2">
      <c r="A98" s="4" t="s">
        <v>234</v>
      </c>
      <c r="B98" s="4" t="s">
        <v>235</v>
      </c>
      <c r="C98" s="4" t="s">
        <v>13</v>
      </c>
      <c r="D98" s="4" t="s">
        <v>223</v>
      </c>
      <c r="E98" s="4" t="s">
        <v>224</v>
      </c>
      <c r="F98" s="4" t="s">
        <v>111</v>
      </c>
      <c r="G98" s="1">
        <v>0.1</v>
      </c>
      <c r="H98" s="4" t="s">
        <v>117</v>
      </c>
      <c r="I98" s="4" t="s">
        <v>18</v>
      </c>
      <c r="J98" s="4" t="s">
        <v>226</v>
      </c>
      <c r="K98" s="4" t="s">
        <v>120</v>
      </c>
    </row>
    <row r="99" spans="1:11" x14ac:dyDescent="0.2">
      <c r="A99" s="4" t="s">
        <v>236</v>
      </c>
      <c r="B99" s="4" t="s">
        <v>237</v>
      </c>
      <c r="C99" s="4" t="s">
        <v>13</v>
      </c>
      <c r="D99" s="4" t="s">
        <v>223</v>
      </c>
      <c r="E99" s="4" t="s">
        <v>224</v>
      </c>
      <c r="F99" s="4" t="s">
        <v>111</v>
      </c>
      <c r="G99" s="1">
        <v>0.16700000000000001</v>
      </c>
      <c r="H99" s="4" t="s">
        <v>229</v>
      </c>
      <c r="I99" s="4" t="s">
        <v>18</v>
      </c>
      <c r="J99" s="4" t="s">
        <v>226</v>
      </c>
      <c r="K99" s="4" t="s">
        <v>120</v>
      </c>
    </row>
    <row r="100" spans="1:11" x14ac:dyDescent="0.2">
      <c r="A100" s="4" t="s">
        <v>238</v>
      </c>
      <c r="B100" s="4" t="s">
        <v>239</v>
      </c>
      <c r="C100" s="4" t="s">
        <v>13</v>
      </c>
      <c r="D100" s="4" t="s">
        <v>223</v>
      </c>
      <c r="E100" s="4" t="s">
        <v>224</v>
      </c>
      <c r="F100" s="4" t="s">
        <v>111</v>
      </c>
      <c r="G100" s="1">
        <v>0.2</v>
      </c>
      <c r="H100" s="4" t="s">
        <v>232</v>
      </c>
      <c r="I100" s="4" t="s">
        <v>18</v>
      </c>
      <c r="J100" s="4" t="s">
        <v>226</v>
      </c>
      <c r="K100" s="4" t="s">
        <v>120</v>
      </c>
    </row>
    <row r="101" spans="1:11" x14ac:dyDescent="0.2">
      <c r="A101" s="4" t="s">
        <v>240</v>
      </c>
      <c r="B101" s="4" t="s">
        <v>241</v>
      </c>
      <c r="C101" s="4" t="s">
        <v>13</v>
      </c>
      <c r="D101" s="4" t="s">
        <v>223</v>
      </c>
      <c r="E101" s="4" t="s">
        <v>224</v>
      </c>
      <c r="F101" s="4" t="s">
        <v>111</v>
      </c>
      <c r="G101" s="1">
        <v>0.13300000000000001</v>
      </c>
      <c r="H101" s="4" t="s">
        <v>112</v>
      </c>
      <c r="I101" s="4" t="s">
        <v>18</v>
      </c>
      <c r="J101" s="4" t="s">
        <v>226</v>
      </c>
      <c r="K101" s="4" t="s">
        <v>120</v>
      </c>
    </row>
    <row r="102" spans="1:11" x14ac:dyDescent="0.2">
      <c r="A102" s="4" t="s">
        <v>242</v>
      </c>
      <c r="B102" s="4" t="s">
        <v>243</v>
      </c>
      <c r="C102" s="4" t="s">
        <v>13</v>
      </c>
      <c r="D102" s="4" t="s">
        <v>223</v>
      </c>
      <c r="E102" s="4" t="s">
        <v>224</v>
      </c>
      <c r="F102" s="4" t="s">
        <v>111</v>
      </c>
      <c r="G102" s="1">
        <v>0.16700000000000001</v>
      </c>
      <c r="H102" s="4" t="s">
        <v>229</v>
      </c>
      <c r="I102" s="4" t="s">
        <v>18</v>
      </c>
      <c r="J102" s="4" t="s">
        <v>226</v>
      </c>
      <c r="K102" s="4" t="s">
        <v>120</v>
      </c>
    </row>
    <row r="103" spans="1:11" x14ac:dyDescent="0.2">
      <c r="A103" s="4" t="s">
        <v>244</v>
      </c>
      <c r="B103" s="4" t="s">
        <v>245</v>
      </c>
      <c r="C103" s="4" t="s">
        <v>13</v>
      </c>
      <c r="D103" s="4" t="s">
        <v>223</v>
      </c>
      <c r="E103" s="4" t="s">
        <v>224</v>
      </c>
      <c r="F103" s="4" t="s">
        <v>111</v>
      </c>
      <c r="G103" s="1">
        <v>0.2</v>
      </c>
      <c r="H103" s="4" t="s">
        <v>232</v>
      </c>
      <c r="I103" s="4" t="s">
        <v>18</v>
      </c>
      <c r="J103" s="4" t="s">
        <v>226</v>
      </c>
      <c r="K103" s="4" t="s">
        <v>125</v>
      </c>
    </row>
    <row r="104" spans="1:11" x14ac:dyDescent="0.2">
      <c r="A104" s="4" t="s">
        <v>246</v>
      </c>
      <c r="B104" s="4" t="s">
        <v>247</v>
      </c>
      <c r="C104" s="4" t="s">
        <v>13</v>
      </c>
      <c r="D104" s="4" t="s">
        <v>223</v>
      </c>
      <c r="E104" s="4" t="s">
        <v>224</v>
      </c>
      <c r="F104" s="4" t="s">
        <v>111</v>
      </c>
      <c r="G104" s="1">
        <v>0.16700000000000001</v>
      </c>
      <c r="H104" s="4" t="s">
        <v>229</v>
      </c>
      <c r="I104" s="4" t="s">
        <v>18</v>
      </c>
      <c r="J104" s="4" t="s">
        <v>226</v>
      </c>
      <c r="K104" s="4" t="s">
        <v>125</v>
      </c>
    </row>
    <row r="105" spans="1:11" x14ac:dyDescent="0.2">
      <c r="A105" s="4" t="s">
        <v>248</v>
      </c>
      <c r="B105" s="4" t="s">
        <v>249</v>
      </c>
      <c r="C105" s="4" t="s">
        <v>13</v>
      </c>
      <c r="D105" s="4" t="s">
        <v>223</v>
      </c>
      <c r="E105" s="4" t="s">
        <v>224</v>
      </c>
      <c r="F105" s="4" t="s">
        <v>111</v>
      </c>
      <c r="G105" s="1">
        <v>0.16700000000000001</v>
      </c>
      <c r="H105" s="4" t="s">
        <v>229</v>
      </c>
      <c r="I105" s="4" t="s">
        <v>18</v>
      </c>
      <c r="J105" s="4" t="s">
        <v>226</v>
      </c>
      <c r="K105" s="4" t="s">
        <v>125</v>
      </c>
    </row>
    <row r="106" spans="1:11" x14ac:dyDescent="0.2">
      <c r="A106" s="4" t="s">
        <v>250</v>
      </c>
      <c r="B106" s="4" t="s">
        <v>251</v>
      </c>
      <c r="C106" s="4" t="s">
        <v>13</v>
      </c>
      <c r="D106" s="4" t="s">
        <v>223</v>
      </c>
      <c r="E106" s="4" t="s">
        <v>224</v>
      </c>
      <c r="F106" s="4" t="s">
        <v>111</v>
      </c>
      <c r="G106" s="1">
        <v>6.7000000000000004E-2</v>
      </c>
      <c r="H106" s="4" t="s">
        <v>166</v>
      </c>
      <c r="I106" s="4" t="s">
        <v>18</v>
      </c>
      <c r="J106" s="4" t="s">
        <v>226</v>
      </c>
      <c r="K106" s="4" t="s">
        <v>24</v>
      </c>
    </row>
    <row r="107" spans="1:11" x14ac:dyDescent="0.2">
      <c r="A107" s="4" t="s">
        <v>252</v>
      </c>
      <c r="B107" s="4" t="s">
        <v>253</v>
      </c>
      <c r="C107" s="4" t="s">
        <v>13</v>
      </c>
      <c r="D107" s="4" t="s">
        <v>223</v>
      </c>
      <c r="E107" s="4" t="s">
        <v>224</v>
      </c>
      <c r="F107" s="4" t="s">
        <v>111</v>
      </c>
      <c r="G107" s="1">
        <v>0</v>
      </c>
      <c r="H107" s="4" t="s">
        <v>254</v>
      </c>
      <c r="I107" s="4" t="s">
        <v>18</v>
      </c>
      <c r="J107" s="4" t="s">
        <v>226</v>
      </c>
      <c r="K107" s="4" t="s">
        <v>24</v>
      </c>
    </row>
    <row r="108" spans="1:11" x14ac:dyDescent="0.2">
      <c r="A108" s="4" t="s">
        <v>255</v>
      </c>
      <c r="B108" s="4" t="s">
        <v>256</v>
      </c>
      <c r="C108" s="4" t="s">
        <v>13</v>
      </c>
      <c r="D108" s="4" t="s">
        <v>223</v>
      </c>
      <c r="E108" s="4" t="s">
        <v>224</v>
      </c>
      <c r="F108" s="4" t="s">
        <v>111</v>
      </c>
      <c r="G108" s="1">
        <v>0.2</v>
      </c>
      <c r="H108" s="4" t="s">
        <v>232</v>
      </c>
      <c r="I108" s="4" t="s">
        <v>18</v>
      </c>
      <c r="J108" s="4" t="s">
        <v>226</v>
      </c>
      <c r="K108" s="4" t="s">
        <v>24</v>
      </c>
    </row>
    <row r="109" spans="1:11" x14ac:dyDescent="0.2">
      <c r="A109" s="4" t="s">
        <v>257</v>
      </c>
      <c r="B109" s="4" t="s">
        <v>258</v>
      </c>
      <c r="C109" s="4" t="s">
        <v>13</v>
      </c>
      <c r="D109" s="4" t="s">
        <v>223</v>
      </c>
      <c r="E109" s="4" t="s">
        <v>224</v>
      </c>
      <c r="F109" s="4" t="s">
        <v>111</v>
      </c>
      <c r="G109" s="1">
        <v>0.13300000000000001</v>
      </c>
      <c r="H109" s="4" t="s">
        <v>112</v>
      </c>
      <c r="I109" s="4" t="s">
        <v>18</v>
      </c>
      <c r="J109" s="4" t="s">
        <v>226</v>
      </c>
      <c r="K109" s="4" t="s">
        <v>24</v>
      </c>
    </row>
    <row r="110" spans="1:11" x14ac:dyDescent="0.2">
      <c r="A110" s="4" t="s">
        <v>259</v>
      </c>
      <c r="B110" s="4" t="s">
        <v>260</v>
      </c>
      <c r="C110" s="4" t="s">
        <v>13</v>
      </c>
      <c r="D110" s="4" t="s">
        <v>223</v>
      </c>
      <c r="E110" s="4" t="s">
        <v>224</v>
      </c>
      <c r="F110" s="4" t="s">
        <v>111</v>
      </c>
      <c r="G110" s="1">
        <v>0.2</v>
      </c>
      <c r="H110" s="4" t="s">
        <v>232</v>
      </c>
      <c r="I110" s="4" t="s">
        <v>18</v>
      </c>
      <c r="J110" s="4" t="s">
        <v>226</v>
      </c>
      <c r="K110" s="4" t="s">
        <v>24</v>
      </c>
    </row>
    <row r="111" spans="1:11" x14ac:dyDescent="0.2">
      <c r="A111" s="4" t="s">
        <v>261</v>
      </c>
      <c r="B111" s="4" t="s">
        <v>262</v>
      </c>
      <c r="C111" s="4" t="s">
        <v>13</v>
      </c>
      <c r="D111" s="4" t="s">
        <v>223</v>
      </c>
      <c r="E111" s="4" t="s">
        <v>224</v>
      </c>
      <c r="F111" s="4" t="s">
        <v>111</v>
      </c>
      <c r="G111" s="1">
        <v>0</v>
      </c>
      <c r="H111" s="4" t="s">
        <v>254</v>
      </c>
      <c r="I111" s="4" t="s">
        <v>18</v>
      </c>
      <c r="J111" s="4" t="s">
        <v>226</v>
      </c>
      <c r="K111" s="4" t="s">
        <v>24</v>
      </c>
    </row>
    <row r="112" spans="1:11" x14ac:dyDescent="0.2">
      <c r="A112" s="4" t="s">
        <v>263</v>
      </c>
      <c r="B112" s="4" t="s">
        <v>264</v>
      </c>
      <c r="C112" s="4" t="s">
        <v>13</v>
      </c>
      <c r="D112" s="4" t="s">
        <v>223</v>
      </c>
      <c r="E112" s="4" t="s">
        <v>224</v>
      </c>
      <c r="F112" s="4" t="s">
        <v>111</v>
      </c>
      <c r="G112" s="1">
        <v>0.16700000000000001</v>
      </c>
      <c r="H112" s="4" t="s">
        <v>229</v>
      </c>
      <c r="I112" s="4" t="s">
        <v>18</v>
      </c>
      <c r="J112" s="4" t="s">
        <v>226</v>
      </c>
      <c r="K112" s="4" t="s">
        <v>24</v>
      </c>
    </row>
    <row r="113" spans="1:11" x14ac:dyDescent="0.2">
      <c r="A113" s="4" t="s">
        <v>265</v>
      </c>
      <c r="B113" s="4" t="s">
        <v>266</v>
      </c>
      <c r="C113" s="4" t="s">
        <v>13</v>
      </c>
      <c r="D113" s="4" t="s">
        <v>223</v>
      </c>
      <c r="E113" s="4" t="s">
        <v>224</v>
      </c>
      <c r="F113" s="4" t="s">
        <v>111</v>
      </c>
      <c r="G113" s="1">
        <v>0.2</v>
      </c>
      <c r="H113" s="4" t="s">
        <v>232</v>
      </c>
      <c r="I113" s="4" t="s">
        <v>18</v>
      </c>
      <c r="J113" s="4" t="s">
        <v>226</v>
      </c>
      <c r="K113" s="4" t="s">
        <v>24</v>
      </c>
    </row>
    <row r="114" spans="1:11" x14ac:dyDescent="0.2">
      <c r="A114" s="4" t="s">
        <v>267</v>
      </c>
      <c r="B114" s="4" t="s">
        <v>268</v>
      </c>
      <c r="C114" s="4" t="s">
        <v>13</v>
      </c>
      <c r="D114" s="4" t="s">
        <v>223</v>
      </c>
      <c r="E114" s="4" t="s">
        <v>224</v>
      </c>
      <c r="F114" s="4" t="s">
        <v>111</v>
      </c>
      <c r="G114" s="1">
        <v>0.16700000000000001</v>
      </c>
      <c r="H114" s="4" t="s">
        <v>229</v>
      </c>
      <c r="I114" s="4" t="s">
        <v>18</v>
      </c>
      <c r="J114" s="4" t="s">
        <v>226</v>
      </c>
      <c r="K114" s="4" t="s">
        <v>24</v>
      </c>
    </row>
    <row r="115" spans="1:11" x14ac:dyDescent="0.2">
      <c r="A115" s="4" t="s">
        <v>269</v>
      </c>
      <c r="B115" s="4" t="s">
        <v>270</v>
      </c>
      <c r="C115" s="4" t="s">
        <v>13</v>
      </c>
      <c r="D115" s="4" t="s">
        <v>223</v>
      </c>
      <c r="E115" s="4" t="s">
        <v>224</v>
      </c>
      <c r="F115" s="4" t="s">
        <v>111</v>
      </c>
      <c r="G115" s="1">
        <v>0.2</v>
      </c>
      <c r="H115" s="4" t="s">
        <v>232</v>
      </c>
      <c r="I115" s="4" t="s">
        <v>18</v>
      </c>
      <c r="J115" s="4" t="s">
        <v>226</v>
      </c>
      <c r="K115" s="4" t="s">
        <v>24</v>
      </c>
    </row>
    <row r="116" spans="1:11" x14ac:dyDescent="0.2">
      <c r="A116" s="4" t="s">
        <v>271</v>
      </c>
      <c r="B116" s="4" t="s">
        <v>272</v>
      </c>
      <c r="C116" s="4" t="s">
        <v>13</v>
      </c>
      <c r="D116" s="4" t="s">
        <v>223</v>
      </c>
      <c r="E116" s="4" t="s">
        <v>224</v>
      </c>
      <c r="F116" s="4" t="s">
        <v>111</v>
      </c>
      <c r="G116" s="1">
        <v>0.16700000000000001</v>
      </c>
      <c r="H116" s="4" t="s">
        <v>229</v>
      </c>
      <c r="I116" s="4" t="s">
        <v>18</v>
      </c>
      <c r="J116" s="4" t="s">
        <v>226</v>
      </c>
      <c r="K116" s="4" t="s">
        <v>24</v>
      </c>
    </row>
    <row r="117" spans="1:11" x14ac:dyDescent="0.2">
      <c r="A117" s="4" t="s">
        <v>273</v>
      </c>
      <c r="B117" s="4" t="s">
        <v>274</v>
      </c>
      <c r="C117" s="4" t="s">
        <v>13</v>
      </c>
      <c r="D117" s="4" t="s">
        <v>223</v>
      </c>
      <c r="E117" s="4" t="s">
        <v>224</v>
      </c>
      <c r="F117" s="4" t="s">
        <v>111</v>
      </c>
      <c r="G117" s="1">
        <v>0.2</v>
      </c>
      <c r="H117" s="4" t="s">
        <v>232</v>
      </c>
      <c r="I117" s="4" t="s">
        <v>18</v>
      </c>
      <c r="J117" s="4" t="s">
        <v>226</v>
      </c>
      <c r="K117" s="4" t="s">
        <v>24</v>
      </c>
    </row>
    <row r="118" spans="1:11" x14ac:dyDescent="0.2">
      <c r="A118" s="4" t="s">
        <v>275</v>
      </c>
      <c r="B118" s="4" t="s">
        <v>276</v>
      </c>
      <c r="C118" s="4" t="s">
        <v>13</v>
      </c>
      <c r="D118" s="4" t="s">
        <v>223</v>
      </c>
      <c r="E118" s="4" t="s">
        <v>224</v>
      </c>
      <c r="F118" s="4" t="s">
        <v>111</v>
      </c>
      <c r="G118" s="1">
        <v>0.16700000000000001</v>
      </c>
      <c r="H118" s="4" t="s">
        <v>229</v>
      </c>
      <c r="I118" s="4" t="s">
        <v>18</v>
      </c>
      <c r="J118" s="4" t="s">
        <v>226</v>
      </c>
      <c r="K118" s="4" t="s">
        <v>24</v>
      </c>
    </row>
    <row r="119" spans="1:11" x14ac:dyDescent="0.2">
      <c r="A119" s="4" t="s">
        <v>277</v>
      </c>
      <c r="B119" s="4" t="s">
        <v>278</v>
      </c>
      <c r="C119" s="4" t="s">
        <v>13</v>
      </c>
      <c r="D119" s="4" t="s">
        <v>223</v>
      </c>
      <c r="E119" s="4" t="s">
        <v>224</v>
      </c>
      <c r="F119" s="4" t="s">
        <v>111</v>
      </c>
      <c r="G119" s="1">
        <v>6.7000000000000004E-2</v>
      </c>
      <c r="H119" s="4" t="s">
        <v>166</v>
      </c>
      <c r="I119" s="4" t="s">
        <v>18</v>
      </c>
      <c r="J119" s="4" t="s">
        <v>226</v>
      </c>
      <c r="K119" s="4" t="s">
        <v>24</v>
      </c>
    </row>
    <row r="120" spans="1:11" x14ac:dyDescent="0.2">
      <c r="A120" s="4" t="s">
        <v>279</v>
      </c>
      <c r="B120" s="4" t="s">
        <v>280</v>
      </c>
      <c r="C120" s="4" t="s">
        <v>13</v>
      </c>
      <c r="D120" s="4" t="s">
        <v>223</v>
      </c>
      <c r="E120" s="4" t="s">
        <v>224</v>
      </c>
      <c r="F120" s="4" t="s">
        <v>111</v>
      </c>
      <c r="G120" s="1">
        <v>0</v>
      </c>
      <c r="H120" s="4" t="s">
        <v>254</v>
      </c>
      <c r="I120" s="4" t="s">
        <v>18</v>
      </c>
      <c r="J120" s="4" t="s">
        <v>226</v>
      </c>
      <c r="K120" s="4" t="s">
        <v>24</v>
      </c>
    </row>
    <row r="121" spans="1:11" x14ac:dyDescent="0.2">
      <c r="A121" s="4" t="s">
        <v>281</v>
      </c>
      <c r="B121" s="4" t="s">
        <v>282</v>
      </c>
      <c r="C121" s="4" t="s">
        <v>13</v>
      </c>
      <c r="D121" s="4" t="s">
        <v>223</v>
      </c>
      <c r="E121" s="4" t="s">
        <v>224</v>
      </c>
      <c r="F121" s="4" t="s">
        <v>111</v>
      </c>
      <c r="G121" s="1">
        <v>0.16700000000000001</v>
      </c>
      <c r="H121" s="4" t="s">
        <v>229</v>
      </c>
      <c r="I121" s="4" t="s">
        <v>18</v>
      </c>
      <c r="J121" s="4" t="s">
        <v>226</v>
      </c>
      <c r="K121" s="4" t="s">
        <v>24</v>
      </c>
    </row>
    <row r="122" spans="1:11" x14ac:dyDescent="0.2">
      <c r="A122" s="4" t="s">
        <v>283</v>
      </c>
      <c r="B122" s="4" t="s">
        <v>284</v>
      </c>
      <c r="C122" s="4" t="s">
        <v>13</v>
      </c>
      <c r="D122" s="4" t="s">
        <v>223</v>
      </c>
      <c r="E122" s="4" t="s">
        <v>224</v>
      </c>
      <c r="F122" s="4" t="s">
        <v>111</v>
      </c>
      <c r="G122" s="1">
        <v>0.2</v>
      </c>
      <c r="H122" s="4" t="s">
        <v>232</v>
      </c>
      <c r="I122" s="4" t="s">
        <v>18</v>
      </c>
      <c r="J122" s="4" t="s">
        <v>226</v>
      </c>
      <c r="K122" s="4" t="s">
        <v>24</v>
      </c>
    </row>
    <row r="123" spans="1:11" x14ac:dyDescent="0.2">
      <c r="A123" s="4" t="s">
        <v>285</v>
      </c>
      <c r="B123" s="4" t="s">
        <v>286</v>
      </c>
      <c r="C123" s="4" t="s">
        <v>13</v>
      </c>
      <c r="D123" s="4" t="s">
        <v>223</v>
      </c>
      <c r="E123" s="4" t="s">
        <v>224</v>
      </c>
      <c r="F123" s="4" t="s">
        <v>111</v>
      </c>
      <c r="G123" s="1">
        <v>0.2</v>
      </c>
      <c r="H123" s="4" t="s">
        <v>232</v>
      </c>
      <c r="I123" s="4" t="s">
        <v>18</v>
      </c>
      <c r="J123" s="4" t="s">
        <v>226</v>
      </c>
      <c r="K123" s="4" t="s">
        <v>24</v>
      </c>
    </row>
    <row r="124" spans="1:11" x14ac:dyDescent="0.2">
      <c r="A124" s="4" t="s">
        <v>287</v>
      </c>
      <c r="B124" s="4" t="s">
        <v>288</v>
      </c>
      <c r="C124" s="4" t="s">
        <v>13</v>
      </c>
      <c r="D124" s="4" t="s">
        <v>223</v>
      </c>
      <c r="E124" s="4" t="s">
        <v>224</v>
      </c>
      <c r="F124" s="4" t="s">
        <v>111</v>
      </c>
      <c r="G124" s="1">
        <v>0.16700000000000001</v>
      </c>
      <c r="H124" s="4" t="s">
        <v>229</v>
      </c>
      <c r="I124" s="4" t="s">
        <v>18</v>
      </c>
      <c r="J124" s="4" t="s">
        <v>226</v>
      </c>
      <c r="K124" s="4" t="s">
        <v>24</v>
      </c>
    </row>
    <row r="125" spans="1:11" x14ac:dyDescent="0.2">
      <c r="A125" s="4" t="s">
        <v>289</v>
      </c>
      <c r="B125" s="4" t="s">
        <v>290</v>
      </c>
      <c r="C125" s="4" t="s">
        <v>13</v>
      </c>
      <c r="D125" s="4" t="s">
        <v>223</v>
      </c>
      <c r="E125" s="4" t="s">
        <v>224</v>
      </c>
      <c r="F125" s="4" t="s">
        <v>111</v>
      </c>
      <c r="G125" s="1">
        <v>0.2</v>
      </c>
      <c r="H125" s="4" t="s">
        <v>232</v>
      </c>
      <c r="I125" s="4" t="s">
        <v>18</v>
      </c>
      <c r="J125" s="4" t="s">
        <v>226</v>
      </c>
      <c r="K125" s="4" t="s">
        <v>24</v>
      </c>
    </row>
    <row r="126" spans="1:11" x14ac:dyDescent="0.2">
      <c r="A126" s="4" t="s">
        <v>291</v>
      </c>
      <c r="B126" s="4" t="s">
        <v>292</v>
      </c>
      <c r="C126" s="4" t="s">
        <v>13</v>
      </c>
      <c r="D126" s="4" t="s">
        <v>223</v>
      </c>
      <c r="E126" s="4" t="s">
        <v>224</v>
      </c>
      <c r="F126" s="4" t="s">
        <v>111</v>
      </c>
      <c r="G126" s="1">
        <v>0</v>
      </c>
      <c r="H126" s="4" t="s">
        <v>254</v>
      </c>
      <c r="I126" s="4" t="s">
        <v>18</v>
      </c>
      <c r="J126" s="4" t="s">
        <v>226</v>
      </c>
      <c r="K126" s="4" t="s">
        <v>24</v>
      </c>
    </row>
    <row r="127" spans="1:11" x14ac:dyDescent="0.2">
      <c r="A127" s="4" t="s">
        <v>293</v>
      </c>
      <c r="B127" s="4" t="s">
        <v>294</v>
      </c>
      <c r="C127" s="4" t="s">
        <v>13</v>
      </c>
      <c r="D127" s="4" t="s">
        <v>223</v>
      </c>
      <c r="E127" s="4" t="s">
        <v>224</v>
      </c>
      <c r="F127" s="4" t="s">
        <v>111</v>
      </c>
      <c r="G127" s="1">
        <v>6.7000000000000004E-2</v>
      </c>
      <c r="H127" s="4" t="s">
        <v>166</v>
      </c>
      <c r="I127" s="4" t="s">
        <v>18</v>
      </c>
      <c r="J127" s="4" t="s">
        <v>226</v>
      </c>
      <c r="K127" s="4" t="s">
        <v>24</v>
      </c>
    </row>
    <row r="128" spans="1:11" x14ac:dyDescent="0.2">
      <c r="A128" s="4" t="s">
        <v>295</v>
      </c>
      <c r="B128" s="4" t="s">
        <v>296</v>
      </c>
      <c r="C128" s="4" t="s">
        <v>13</v>
      </c>
      <c r="D128" s="4" t="s">
        <v>223</v>
      </c>
      <c r="E128" s="4" t="s">
        <v>224</v>
      </c>
      <c r="F128" s="4" t="s">
        <v>111</v>
      </c>
      <c r="G128" s="1">
        <v>0.16700000000000001</v>
      </c>
      <c r="H128" s="4" t="s">
        <v>229</v>
      </c>
      <c r="I128" s="4" t="s">
        <v>18</v>
      </c>
      <c r="J128" s="4" t="s">
        <v>226</v>
      </c>
      <c r="K128" s="4" t="s">
        <v>24</v>
      </c>
    </row>
    <row r="129" spans="1:11" x14ac:dyDescent="0.2">
      <c r="A129" s="4" t="s">
        <v>297</v>
      </c>
      <c r="B129" s="4" t="s">
        <v>298</v>
      </c>
      <c r="C129" s="4" t="s">
        <v>13</v>
      </c>
      <c r="D129" s="4" t="s">
        <v>223</v>
      </c>
      <c r="E129" s="4" t="s">
        <v>224</v>
      </c>
      <c r="F129" s="4" t="s">
        <v>111</v>
      </c>
      <c r="G129" s="1">
        <v>0.2</v>
      </c>
      <c r="H129" s="4" t="s">
        <v>232</v>
      </c>
      <c r="I129" s="4" t="s">
        <v>18</v>
      </c>
      <c r="J129" s="4" t="s">
        <v>226</v>
      </c>
      <c r="K129" s="4" t="s">
        <v>24</v>
      </c>
    </row>
    <row r="130" spans="1:11" x14ac:dyDescent="0.2">
      <c r="A130" s="4" t="s">
        <v>299</v>
      </c>
      <c r="B130" s="4" t="s">
        <v>300</v>
      </c>
      <c r="C130" s="4" t="s">
        <v>13</v>
      </c>
      <c r="D130" s="4" t="s">
        <v>223</v>
      </c>
      <c r="E130" s="4" t="s">
        <v>224</v>
      </c>
      <c r="F130" s="4" t="s">
        <v>111</v>
      </c>
      <c r="G130" s="1">
        <v>0.13300000000000001</v>
      </c>
      <c r="H130" s="4" t="s">
        <v>112</v>
      </c>
      <c r="I130" s="4" t="s">
        <v>18</v>
      </c>
      <c r="J130" s="4" t="s">
        <v>226</v>
      </c>
      <c r="K130" s="4" t="s">
        <v>24</v>
      </c>
    </row>
    <row r="131" spans="1:11" x14ac:dyDescent="0.2">
      <c r="A131" s="4" t="s">
        <v>301</v>
      </c>
      <c r="B131" s="4" t="s">
        <v>302</v>
      </c>
      <c r="C131" s="4" t="s">
        <v>13</v>
      </c>
      <c r="D131" s="4" t="s">
        <v>223</v>
      </c>
      <c r="E131" s="4" t="s">
        <v>224</v>
      </c>
      <c r="F131" s="4" t="s">
        <v>111</v>
      </c>
      <c r="G131" s="1">
        <v>0.2</v>
      </c>
      <c r="H131" s="4" t="s">
        <v>232</v>
      </c>
      <c r="I131" s="4" t="s">
        <v>18</v>
      </c>
      <c r="J131" s="4" t="s">
        <v>226</v>
      </c>
      <c r="K131" s="4" t="s">
        <v>24</v>
      </c>
    </row>
    <row r="132" spans="1:11" x14ac:dyDescent="0.2">
      <c r="A132" s="4" t="s">
        <v>303</v>
      </c>
      <c r="B132" s="4" t="s">
        <v>304</v>
      </c>
      <c r="C132" s="4" t="s">
        <v>13</v>
      </c>
      <c r="D132" s="4" t="s">
        <v>223</v>
      </c>
      <c r="E132" s="4" t="s">
        <v>224</v>
      </c>
      <c r="F132" s="4" t="s">
        <v>111</v>
      </c>
      <c r="G132" s="1">
        <v>0.2</v>
      </c>
      <c r="H132" s="4" t="s">
        <v>232</v>
      </c>
      <c r="I132" s="4" t="s">
        <v>18</v>
      </c>
      <c r="J132" s="4" t="s">
        <v>226</v>
      </c>
      <c r="K132" s="4" t="s">
        <v>24</v>
      </c>
    </row>
    <row r="133" spans="1:11" x14ac:dyDescent="0.2">
      <c r="A133" s="4" t="s">
        <v>305</v>
      </c>
      <c r="B133" s="4" t="s">
        <v>306</v>
      </c>
      <c r="C133" s="4" t="s">
        <v>49</v>
      </c>
      <c r="D133" s="4" t="s">
        <v>223</v>
      </c>
      <c r="E133" s="4" t="s">
        <v>224</v>
      </c>
      <c r="F133" s="4" t="s">
        <v>111</v>
      </c>
      <c r="G133" s="1">
        <v>0</v>
      </c>
      <c r="H133" s="4" t="s">
        <v>254</v>
      </c>
      <c r="I133" s="4" t="s">
        <v>18</v>
      </c>
      <c r="J133" s="4" t="s">
        <v>226</v>
      </c>
      <c r="K133" s="4" t="s">
        <v>24</v>
      </c>
    </row>
    <row r="134" spans="1:11" x14ac:dyDescent="0.2">
      <c r="A134" s="4" t="s">
        <v>307</v>
      </c>
      <c r="B134" s="4" t="s">
        <v>308</v>
      </c>
      <c r="C134" s="4" t="s">
        <v>13</v>
      </c>
      <c r="D134" s="4" t="s">
        <v>223</v>
      </c>
      <c r="E134" s="4" t="s">
        <v>224</v>
      </c>
      <c r="F134" s="4" t="s">
        <v>111</v>
      </c>
      <c r="G134" s="1">
        <v>0.2</v>
      </c>
      <c r="H134" s="4" t="s">
        <v>232</v>
      </c>
      <c r="I134" s="4" t="s">
        <v>18</v>
      </c>
      <c r="J134" s="4" t="s">
        <v>226</v>
      </c>
      <c r="K134" s="4" t="s">
        <v>24</v>
      </c>
    </row>
    <row r="135" spans="1:11" x14ac:dyDescent="0.2">
      <c r="A135" s="4" t="s">
        <v>309</v>
      </c>
      <c r="B135" s="4" t="s">
        <v>310</v>
      </c>
      <c r="C135" s="4" t="s">
        <v>13</v>
      </c>
      <c r="D135" s="4" t="s">
        <v>223</v>
      </c>
      <c r="E135" s="4" t="s">
        <v>224</v>
      </c>
      <c r="F135" s="4" t="s">
        <v>111</v>
      </c>
      <c r="G135" s="1">
        <v>0.13300000000000001</v>
      </c>
      <c r="H135" s="4" t="s">
        <v>112</v>
      </c>
      <c r="I135" s="4" t="s">
        <v>18</v>
      </c>
      <c r="J135" s="4" t="s">
        <v>226</v>
      </c>
      <c r="K135" s="4" t="s">
        <v>24</v>
      </c>
    </row>
    <row r="136" spans="1:11" x14ac:dyDescent="0.2">
      <c r="A136" s="4" t="s">
        <v>311</v>
      </c>
      <c r="B136" s="4" t="s">
        <v>312</v>
      </c>
      <c r="C136" s="4" t="s">
        <v>13</v>
      </c>
      <c r="D136" s="4" t="s">
        <v>223</v>
      </c>
      <c r="E136" s="4" t="s">
        <v>224</v>
      </c>
      <c r="F136" s="4" t="s">
        <v>111</v>
      </c>
      <c r="G136" s="1">
        <v>0.16700000000000001</v>
      </c>
      <c r="H136" s="4" t="s">
        <v>229</v>
      </c>
      <c r="I136" s="4" t="s">
        <v>18</v>
      </c>
      <c r="J136" s="4" t="s">
        <v>226</v>
      </c>
      <c r="K136" s="4" t="s">
        <v>24</v>
      </c>
    </row>
    <row r="137" spans="1:11" x14ac:dyDescent="0.2">
      <c r="A137" s="4" t="s">
        <v>313</v>
      </c>
      <c r="B137" s="4" t="s">
        <v>314</v>
      </c>
      <c r="C137" s="4" t="s">
        <v>13</v>
      </c>
      <c r="D137" s="4" t="s">
        <v>223</v>
      </c>
      <c r="E137" s="4" t="s">
        <v>224</v>
      </c>
      <c r="F137" s="4" t="s">
        <v>111</v>
      </c>
      <c r="G137" s="1">
        <v>0</v>
      </c>
      <c r="H137" s="4" t="s">
        <v>254</v>
      </c>
      <c r="I137" s="4" t="s">
        <v>18</v>
      </c>
      <c r="J137" s="4" t="s">
        <v>226</v>
      </c>
      <c r="K137" s="4" t="s">
        <v>24</v>
      </c>
    </row>
    <row r="138" spans="1:11" x14ac:dyDescent="0.2">
      <c r="A138" s="4" t="s">
        <v>315</v>
      </c>
      <c r="B138" s="4" t="s">
        <v>316</v>
      </c>
      <c r="C138" s="4" t="s">
        <v>13</v>
      </c>
      <c r="D138" s="4" t="s">
        <v>223</v>
      </c>
      <c r="E138" s="4" t="s">
        <v>224</v>
      </c>
      <c r="F138" s="4" t="s">
        <v>111</v>
      </c>
      <c r="G138" s="1">
        <v>0.13300000000000001</v>
      </c>
      <c r="H138" s="4" t="s">
        <v>112</v>
      </c>
      <c r="I138" s="4" t="s">
        <v>18</v>
      </c>
      <c r="J138" s="4" t="s">
        <v>226</v>
      </c>
      <c r="K138" s="4" t="s">
        <v>24</v>
      </c>
    </row>
    <row r="139" spans="1:11" x14ac:dyDescent="0.2">
      <c r="A139" s="4" t="s">
        <v>317</v>
      </c>
      <c r="B139" s="4" t="s">
        <v>318</v>
      </c>
      <c r="C139" s="4" t="s">
        <v>13</v>
      </c>
      <c r="D139" s="4" t="s">
        <v>223</v>
      </c>
      <c r="E139" s="4" t="s">
        <v>224</v>
      </c>
      <c r="F139" s="4" t="s">
        <v>111</v>
      </c>
      <c r="G139" s="1">
        <v>0.16700000000000001</v>
      </c>
      <c r="H139" s="4" t="s">
        <v>229</v>
      </c>
      <c r="I139" s="4" t="s">
        <v>18</v>
      </c>
      <c r="J139" s="4" t="s">
        <v>226</v>
      </c>
      <c r="K139" s="4" t="s">
        <v>24</v>
      </c>
    </row>
    <row r="140" spans="1:11" x14ac:dyDescent="0.2">
      <c r="A140" s="4" t="s">
        <v>319</v>
      </c>
      <c r="B140" s="4" t="s">
        <v>320</v>
      </c>
      <c r="C140" s="4" t="s">
        <v>13</v>
      </c>
      <c r="D140" s="4" t="s">
        <v>223</v>
      </c>
      <c r="E140" s="4" t="s">
        <v>224</v>
      </c>
      <c r="F140" s="4" t="s">
        <v>111</v>
      </c>
      <c r="G140" s="1">
        <v>0.2</v>
      </c>
      <c r="H140" s="4" t="s">
        <v>232</v>
      </c>
      <c r="I140" s="4" t="s">
        <v>18</v>
      </c>
      <c r="J140" s="4" t="s">
        <v>226</v>
      </c>
      <c r="K140" s="4" t="s">
        <v>24</v>
      </c>
    </row>
    <row r="141" spans="1:11" x14ac:dyDescent="0.2">
      <c r="A141" s="4" t="s">
        <v>321</v>
      </c>
      <c r="B141" s="4" t="s">
        <v>322</v>
      </c>
      <c r="C141" s="4" t="s">
        <v>13</v>
      </c>
      <c r="D141" s="4" t="s">
        <v>223</v>
      </c>
      <c r="E141" s="4" t="s">
        <v>224</v>
      </c>
      <c r="F141" s="4" t="s">
        <v>111</v>
      </c>
      <c r="G141" s="1">
        <v>0</v>
      </c>
      <c r="H141" s="4" t="s">
        <v>254</v>
      </c>
      <c r="I141" s="4" t="s">
        <v>18</v>
      </c>
      <c r="J141" s="4" t="s">
        <v>226</v>
      </c>
      <c r="K141" s="4" t="s">
        <v>24</v>
      </c>
    </row>
    <row r="142" spans="1:11" x14ac:dyDescent="0.2">
      <c r="A142" s="4" t="s">
        <v>323</v>
      </c>
      <c r="B142" s="4" t="s">
        <v>324</v>
      </c>
      <c r="C142" s="4" t="s">
        <v>13</v>
      </c>
      <c r="D142" s="4" t="s">
        <v>223</v>
      </c>
      <c r="E142" s="4" t="s">
        <v>224</v>
      </c>
      <c r="F142" s="4" t="s">
        <v>111</v>
      </c>
      <c r="G142" s="1">
        <v>0.2</v>
      </c>
      <c r="H142" s="4" t="s">
        <v>232</v>
      </c>
      <c r="I142" s="4" t="s">
        <v>18</v>
      </c>
      <c r="J142" s="4" t="s">
        <v>226</v>
      </c>
      <c r="K142" s="4" t="s">
        <v>24</v>
      </c>
    </row>
    <row r="143" spans="1:11" x14ac:dyDescent="0.2">
      <c r="A143" s="4" t="s">
        <v>325</v>
      </c>
      <c r="B143" s="4" t="s">
        <v>326</v>
      </c>
      <c r="C143" s="4" t="s">
        <v>13</v>
      </c>
      <c r="D143" s="4" t="s">
        <v>223</v>
      </c>
      <c r="E143" s="4" t="s">
        <v>224</v>
      </c>
      <c r="F143" s="4" t="s">
        <v>111</v>
      </c>
      <c r="G143" s="1">
        <v>0.16700000000000001</v>
      </c>
      <c r="H143" s="4" t="s">
        <v>229</v>
      </c>
      <c r="I143" s="4" t="s">
        <v>18</v>
      </c>
      <c r="J143" s="4" t="s">
        <v>226</v>
      </c>
      <c r="K143" s="4" t="s">
        <v>24</v>
      </c>
    </row>
    <row r="144" spans="1:11" x14ac:dyDescent="0.2">
      <c r="A144" s="4" t="s">
        <v>327</v>
      </c>
      <c r="B144" s="4" t="s">
        <v>328</v>
      </c>
      <c r="C144" s="4" t="s">
        <v>13</v>
      </c>
      <c r="D144" s="4" t="s">
        <v>223</v>
      </c>
      <c r="E144" s="4" t="s">
        <v>224</v>
      </c>
      <c r="F144" s="4" t="s">
        <v>111</v>
      </c>
      <c r="G144" s="1">
        <v>0.2</v>
      </c>
      <c r="H144" s="4" t="s">
        <v>232</v>
      </c>
      <c r="I144" s="4" t="s">
        <v>18</v>
      </c>
      <c r="J144" s="4" t="s">
        <v>226</v>
      </c>
      <c r="K144" s="4" t="s">
        <v>24</v>
      </c>
    </row>
    <row r="145" spans="1:11" x14ac:dyDescent="0.2">
      <c r="A145" s="4" t="s">
        <v>329</v>
      </c>
      <c r="B145" s="4" t="s">
        <v>330</v>
      </c>
      <c r="C145" s="4" t="s">
        <v>13</v>
      </c>
      <c r="D145" s="4" t="s">
        <v>223</v>
      </c>
      <c r="E145" s="4" t="s">
        <v>224</v>
      </c>
      <c r="F145" s="4" t="s">
        <v>111</v>
      </c>
      <c r="G145" s="1">
        <v>0.13300000000000001</v>
      </c>
      <c r="H145" s="4" t="s">
        <v>112</v>
      </c>
      <c r="I145" s="4" t="s">
        <v>18</v>
      </c>
      <c r="J145" s="4" t="s">
        <v>226</v>
      </c>
      <c r="K145" s="4" t="s">
        <v>24</v>
      </c>
    </row>
    <row r="146" spans="1:11" x14ac:dyDescent="0.2">
      <c r="A146" s="4" t="s">
        <v>331</v>
      </c>
      <c r="B146" s="4" t="s">
        <v>332</v>
      </c>
      <c r="C146" s="4" t="s">
        <v>13</v>
      </c>
      <c r="D146" s="4" t="s">
        <v>333</v>
      </c>
      <c r="E146" s="4" t="s">
        <v>334</v>
      </c>
      <c r="F146" s="4" t="s">
        <v>335</v>
      </c>
      <c r="G146" s="1">
        <v>0.05</v>
      </c>
      <c r="H146" s="4" t="s">
        <v>336</v>
      </c>
      <c r="I146" s="4" t="s">
        <v>18</v>
      </c>
      <c r="J146" s="4" t="s">
        <v>337</v>
      </c>
      <c r="K146" s="4" t="s">
        <v>114</v>
      </c>
    </row>
    <row r="147" spans="1:11" x14ac:dyDescent="0.2">
      <c r="A147" s="4" t="s">
        <v>338</v>
      </c>
      <c r="B147" s="4" t="s">
        <v>339</v>
      </c>
      <c r="C147" s="4" t="s">
        <v>13</v>
      </c>
      <c r="D147" s="4" t="s">
        <v>333</v>
      </c>
      <c r="E147" s="4" t="s">
        <v>334</v>
      </c>
      <c r="F147" s="4" t="s">
        <v>335</v>
      </c>
      <c r="G147" s="1">
        <v>0</v>
      </c>
      <c r="H147" s="4" t="s">
        <v>254</v>
      </c>
      <c r="I147" s="4" t="s">
        <v>18</v>
      </c>
      <c r="J147" s="4" t="s">
        <v>337</v>
      </c>
      <c r="K147" s="4" t="s">
        <v>24</v>
      </c>
    </row>
    <row r="148" spans="1:11" x14ac:dyDescent="0.2">
      <c r="A148" s="4" t="s">
        <v>340</v>
      </c>
      <c r="B148" s="4" t="s">
        <v>341</v>
      </c>
      <c r="C148" s="4" t="s">
        <v>13</v>
      </c>
      <c r="D148" s="4" t="s">
        <v>333</v>
      </c>
      <c r="E148" s="4" t="s">
        <v>334</v>
      </c>
      <c r="F148" s="4" t="s">
        <v>335</v>
      </c>
      <c r="G148" s="1">
        <v>0.13300000000000001</v>
      </c>
      <c r="H148" s="4" t="s">
        <v>112</v>
      </c>
      <c r="I148" s="4" t="s">
        <v>18</v>
      </c>
      <c r="J148" s="4" t="s">
        <v>337</v>
      </c>
      <c r="K148" s="4" t="s">
        <v>24</v>
      </c>
    </row>
    <row r="149" spans="1:11" x14ac:dyDescent="0.2">
      <c r="A149" s="4" t="s">
        <v>342</v>
      </c>
      <c r="B149" s="4" t="s">
        <v>343</v>
      </c>
      <c r="C149" s="4" t="s">
        <v>13</v>
      </c>
      <c r="D149" s="4" t="s">
        <v>333</v>
      </c>
      <c r="E149" s="4" t="s">
        <v>334</v>
      </c>
      <c r="F149" s="4" t="s">
        <v>335</v>
      </c>
      <c r="G149" s="1">
        <v>0.16700000000000001</v>
      </c>
      <c r="H149" s="4" t="s">
        <v>229</v>
      </c>
      <c r="I149" s="4" t="s">
        <v>18</v>
      </c>
      <c r="J149" s="4" t="s">
        <v>337</v>
      </c>
      <c r="K149" s="4" t="s">
        <v>24</v>
      </c>
    </row>
    <row r="150" spans="1:11" x14ac:dyDescent="0.2">
      <c r="A150" s="4" t="s">
        <v>344</v>
      </c>
      <c r="B150" s="4" t="s">
        <v>345</v>
      </c>
      <c r="C150" s="4" t="s">
        <v>13</v>
      </c>
      <c r="D150" s="4" t="s">
        <v>333</v>
      </c>
      <c r="E150" s="4" t="s">
        <v>334</v>
      </c>
      <c r="F150" s="4" t="s">
        <v>335</v>
      </c>
      <c r="G150" s="1">
        <v>0.13300000000000001</v>
      </c>
      <c r="H150" s="4" t="s">
        <v>112</v>
      </c>
      <c r="I150" s="4" t="s">
        <v>18</v>
      </c>
      <c r="J150" s="4" t="s">
        <v>337</v>
      </c>
      <c r="K150" s="4" t="s">
        <v>24</v>
      </c>
    </row>
    <row r="151" spans="1:11" x14ac:dyDescent="0.2">
      <c r="A151" s="4" t="s">
        <v>346</v>
      </c>
      <c r="B151" s="4" t="s">
        <v>347</v>
      </c>
      <c r="C151" s="4" t="s">
        <v>49</v>
      </c>
      <c r="D151" s="4" t="s">
        <v>333</v>
      </c>
      <c r="E151" s="4" t="s">
        <v>334</v>
      </c>
      <c r="F151" s="4" t="s">
        <v>335</v>
      </c>
      <c r="G151" s="1">
        <v>3.3000000000000002E-2</v>
      </c>
      <c r="H151" s="4" t="s">
        <v>225</v>
      </c>
      <c r="I151" s="4" t="s">
        <v>18</v>
      </c>
      <c r="J151" s="4" t="s">
        <v>337</v>
      </c>
      <c r="K151" s="4" t="s">
        <v>24</v>
      </c>
    </row>
    <row r="152" spans="1:11" x14ac:dyDescent="0.2">
      <c r="A152" s="4" t="s">
        <v>348</v>
      </c>
      <c r="B152" s="4" t="s">
        <v>349</v>
      </c>
      <c r="C152" s="4" t="s">
        <v>13</v>
      </c>
      <c r="D152" s="4" t="s">
        <v>333</v>
      </c>
      <c r="E152" s="4" t="s">
        <v>334</v>
      </c>
      <c r="F152" s="4" t="s">
        <v>335</v>
      </c>
      <c r="G152" s="1">
        <v>0.16700000000000001</v>
      </c>
      <c r="H152" s="4" t="s">
        <v>229</v>
      </c>
      <c r="I152" s="4" t="s">
        <v>18</v>
      </c>
      <c r="J152" s="4" t="s">
        <v>337</v>
      </c>
      <c r="K152" s="4" t="s">
        <v>24</v>
      </c>
    </row>
    <row r="153" spans="1:11" x14ac:dyDescent="0.2">
      <c r="A153" s="4" t="s">
        <v>350</v>
      </c>
      <c r="B153" s="4" t="s">
        <v>351</v>
      </c>
      <c r="C153" s="4" t="s">
        <v>13</v>
      </c>
      <c r="D153" s="4" t="s">
        <v>333</v>
      </c>
      <c r="E153" s="4" t="s">
        <v>334</v>
      </c>
      <c r="F153" s="4" t="s">
        <v>335</v>
      </c>
      <c r="G153" s="1">
        <v>0.16700000000000001</v>
      </c>
      <c r="H153" s="4" t="s">
        <v>229</v>
      </c>
      <c r="I153" s="4" t="s">
        <v>18</v>
      </c>
      <c r="J153" s="4" t="s">
        <v>337</v>
      </c>
      <c r="K153" s="4" t="s">
        <v>24</v>
      </c>
    </row>
    <row r="154" spans="1:11" x14ac:dyDescent="0.2">
      <c r="A154" s="4" t="s">
        <v>352</v>
      </c>
      <c r="B154" s="4" t="s">
        <v>353</v>
      </c>
      <c r="C154" s="4" t="s">
        <v>13</v>
      </c>
      <c r="D154" s="4" t="s">
        <v>333</v>
      </c>
      <c r="E154" s="4" t="s">
        <v>334</v>
      </c>
      <c r="F154" s="4" t="s">
        <v>335</v>
      </c>
      <c r="G154" s="1">
        <v>6.7000000000000004E-2</v>
      </c>
      <c r="H154" s="4" t="s">
        <v>166</v>
      </c>
      <c r="I154" s="4" t="s">
        <v>18</v>
      </c>
      <c r="J154" s="4" t="s">
        <v>337</v>
      </c>
      <c r="K154" s="4" t="s">
        <v>24</v>
      </c>
    </row>
    <row r="155" spans="1:11" x14ac:dyDescent="0.2">
      <c r="A155" s="4" t="s">
        <v>354</v>
      </c>
      <c r="B155" s="4" t="s">
        <v>355</v>
      </c>
      <c r="C155" s="4" t="s">
        <v>13</v>
      </c>
      <c r="D155" s="4" t="s">
        <v>333</v>
      </c>
      <c r="E155" s="4" t="s">
        <v>334</v>
      </c>
      <c r="F155" s="4" t="s">
        <v>335</v>
      </c>
      <c r="G155" s="1">
        <v>0.16700000000000001</v>
      </c>
      <c r="H155" s="4" t="s">
        <v>229</v>
      </c>
      <c r="I155" s="4" t="s">
        <v>18</v>
      </c>
      <c r="J155" s="4" t="s">
        <v>337</v>
      </c>
      <c r="K155" s="4" t="s">
        <v>24</v>
      </c>
    </row>
    <row r="156" spans="1:11" x14ac:dyDescent="0.2">
      <c r="A156" s="4" t="s">
        <v>356</v>
      </c>
      <c r="B156" s="4" t="s">
        <v>357</v>
      </c>
      <c r="C156" s="4" t="s">
        <v>13</v>
      </c>
      <c r="D156" s="4" t="s">
        <v>333</v>
      </c>
      <c r="E156" s="4" t="s">
        <v>334</v>
      </c>
      <c r="F156" s="4" t="s">
        <v>335</v>
      </c>
      <c r="G156" s="1">
        <v>0</v>
      </c>
      <c r="H156" s="4" t="s">
        <v>254</v>
      </c>
      <c r="I156" s="4" t="s">
        <v>18</v>
      </c>
      <c r="J156" s="4" t="s">
        <v>337</v>
      </c>
      <c r="K156" s="4" t="s">
        <v>24</v>
      </c>
    </row>
    <row r="157" spans="1:11" x14ac:dyDescent="0.2">
      <c r="A157" s="4" t="s">
        <v>358</v>
      </c>
      <c r="B157" s="4" t="s">
        <v>359</v>
      </c>
      <c r="C157" s="4" t="s">
        <v>13</v>
      </c>
      <c r="D157" s="4" t="s">
        <v>333</v>
      </c>
      <c r="E157" s="4" t="s">
        <v>334</v>
      </c>
      <c r="F157" s="4" t="s">
        <v>335</v>
      </c>
      <c r="G157" s="1">
        <v>0.16700000000000001</v>
      </c>
      <c r="H157" s="4" t="s">
        <v>229</v>
      </c>
      <c r="I157" s="4" t="s">
        <v>18</v>
      </c>
      <c r="J157" s="4" t="s">
        <v>337</v>
      </c>
      <c r="K157" s="4" t="s">
        <v>24</v>
      </c>
    </row>
    <row r="158" spans="1:11" x14ac:dyDescent="0.2">
      <c r="A158" s="4" t="s">
        <v>360</v>
      </c>
      <c r="B158" s="4" t="s">
        <v>361</v>
      </c>
      <c r="C158" s="4" t="s">
        <v>13</v>
      </c>
      <c r="D158" s="4" t="s">
        <v>333</v>
      </c>
      <c r="E158" s="4" t="s">
        <v>334</v>
      </c>
      <c r="F158" s="4" t="s">
        <v>335</v>
      </c>
      <c r="G158" s="1">
        <v>0.1</v>
      </c>
      <c r="H158" s="4" t="s">
        <v>117</v>
      </c>
      <c r="I158" s="4" t="s">
        <v>18</v>
      </c>
      <c r="J158" s="4" t="s">
        <v>337</v>
      </c>
      <c r="K158" s="4" t="s">
        <v>24</v>
      </c>
    </row>
    <row r="159" spans="1:11" x14ac:dyDescent="0.2">
      <c r="A159" s="4" t="s">
        <v>362</v>
      </c>
      <c r="B159" s="4" t="s">
        <v>363</v>
      </c>
      <c r="C159" s="4" t="s">
        <v>13</v>
      </c>
      <c r="D159" s="4" t="s">
        <v>333</v>
      </c>
      <c r="E159" s="4" t="s">
        <v>334</v>
      </c>
      <c r="F159" s="4" t="s">
        <v>335</v>
      </c>
      <c r="G159" s="1">
        <v>0.16700000000000001</v>
      </c>
      <c r="H159" s="4" t="s">
        <v>229</v>
      </c>
      <c r="I159" s="4" t="s">
        <v>18</v>
      </c>
      <c r="J159" s="4" t="s">
        <v>337</v>
      </c>
      <c r="K159" s="4" t="s">
        <v>24</v>
      </c>
    </row>
    <row r="160" spans="1:11" x14ac:dyDescent="0.2">
      <c r="A160" s="4" t="s">
        <v>364</v>
      </c>
      <c r="B160" s="4" t="s">
        <v>365</v>
      </c>
      <c r="C160" s="4" t="s">
        <v>13</v>
      </c>
      <c r="D160" s="4" t="s">
        <v>333</v>
      </c>
      <c r="E160" s="4" t="s">
        <v>334</v>
      </c>
      <c r="F160" s="4" t="s">
        <v>335</v>
      </c>
      <c r="G160" s="1">
        <v>0.16700000000000001</v>
      </c>
      <c r="H160" s="4" t="s">
        <v>229</v>
      </c>
      <c r="I160" s="4" t="s">
        <v>18</v>
      </c>
      <c r="J160" s="4" t="s">
        <v>337</v>
      </c>
      <c r="K160" s="4" t="s">
        <v>24</v>
      </c>
    </row>
    <row r="161" spans="1:11" x14ac:dyDescent="0.2">
      <c r="A161" s="4" t="s">
        <v>366</v>
      </c>
      <c r="B161" s="4" t="s">
        <v>367</v>
      </c>
      <c r="C161" s="4" t="s">
        <v>13</v>
      </c>
      <c r="D161" s="4" t="s">
        <v>333</v>
      </c>
      <c r="E161" s="4" t="s">
        <v>334</v>
      </c>
      <c r="F161" s="4" t="s">
        <v>335</v>
      </c>
      <c r="G161" s="1">
        <v>6.7000000000000004E-2</v>
      </c>
      <c r="H161" s="4" t="s">
        <v>166</v>
      </c>
      <c r="I161" s="4" t="s">
        <v>18</v>
      </c>
      <c r="J161" s="4" t="s">
        <v>337</v>
      </c>
      <c r="K161" s="4" t="s">
        <v>24</v>
      </c>
    </row>
    <row r="162" spans="1:11" x14ac:dyDescent="0.2">
      <c r="A162" s="4" t="s">
        <v>368</v>
      </c>
      <c r="B162" s="4" t="s">
        <v>369</v>
      </c>
      <c r="C162" s="4" t="s">
        <v>13</v>
      </c>
      <c r="D162" s="4" t="s">
        <v>333</v>
      </c>
      <c r="E162" s="4" t="s">
        <v>334</v>
      </c>
      <c r="F162" s="4" t="s">
        <v>335</v>
      </c>
      <c r="G162" s="1">
        <v>0.16700000000000001</v>
      </c>
      <c r="H162" s="4" t="s">
        <v>229</v>
      </c>
      <c r="I162" s="4" t="s">
        <v>18</v>
      </c>
      <c r="J162" s="4" t="s">
        <v>337</v>
      </c>
      <c r="K162" s="4" t="s">
        <v>24</v>
      </c>
    </row>
    <row r="163" spans="1:11" x14ac:dyDescent="0.2">
      <c r="A163" s="4" t="s">
        <v>370</v>
      </c>
      <c r="B163" s="4" t="s">
        <v>371</v>
      </c>
      <c r="C163" s="4" t="s">
        <v>13</v>
      </c>
      <c r="D163" s="4" t="s">
        <v>333</v>
      </c>
      <c r="E163" s="4" t="s">
        <v>334</v>
      </c>
      <c r="F163" s="4" t="s">
        <v>335</v>
      </c>
      <c r="G163" s="1">
        <v>0.13300000000000001</v>
      </c>
      <c r="H163" s="4" t="s">
        <v>112</v>
      </c>
      <c r="I163" s="4" t="s">
        <v>18</v>
      </c>
      <c r="J163" s="4" t="s">
        <v>337</v>
      </c>
      <c r="K163" s="4" t="s">
        <v>24</v>
      </c>
    </row>
    <row r="164" spans="1:11" x14ac:dyDescent="0.2">
      <c r="A164" s="4" t="s">
        <v>372</v>
      </c>
      <c r="B164" s="4" t="s">
        <v>373</v>
      </c>
      <c r="C164" s="4" t="s">
        <v>13</v>
      </c>
      <c r="D164" s="4" t="s">
        <v>333</v>
      </c>
      <c r="E164" s="4" t="s">
        <v>334</v>
      </c>
      <c r="F164" s="4" t="s">
        <v>335</v>
      </c>
      <c r="G164" s="1">
        <v>3.3000000000000002E-2</v>
      </c>
      <c r="H164" s="4" t="s">
        <v>225</v>
      </c>
      <c r="I164" s="4" t="s">
        <v>18</v>
      </c>
      <c r="J164" s="4" t="s">
        <v>337</v>
      </c>
      <c r="K164" s="4" t="s">
        <v>24</v>
      </c>
    </row>
    <row r="165" spans="1:11" x14ac:dyDescent="0.2">
      <c r="A165" s="4" t="s">
        <v>374</v>
      </c>
      <c r="B165" s="4" t="s">
        <v>375</v>
      </c>
      <c r="C165" s="4" t="s">
        <v>13</v>
      </c>
      <c r="D165" s="4" t="s">
        <v>333</v>
      </c>
      <c r="E165" s="4" t="s">
        <v>334</v>
      </c>
      <c r="F165" s="4" t="s">
        <v>335</v>
      </c>
      <c r="G165" s="1">
        <v>0</v>
      </c>
      <c r="H165" s="4" t="s">
        <v>254</v>
      </c>
      <c r="I165" s="4" t="s">
        <v>18</v>
      </c>
      <c r="J165" s="4" t="s">
        <v>337</v>
      </c>
      <c r="K165" s="4" t="s">
        <v>24</v>
      </c>
    </row>
    <row r="166" spans="1:11" x14ac:dyDescent="0.2">
      <c r="A166" s="4" t="s">
        <v>376</v>
      </c>
      <c r="B166" s="4" t="s">
        <v>377</v>
      </c>
      <c r="C166" s="4" t="s">
        <v>13</v>
      </c>
      <c r="D166" s="4" t="s">
        <v>333</v>
      </c>
      <c r="E166" s="4" t="s">
        <v>334</v>
      </c>
      <c r="F166" s="4" t="s">
        <v>335</v>
      </c>
      <c r="G166" s="1">
        <v>0.1</v>
      </c>
      <c r="H166" s="4" t="s">
        <v>117</v>
      </c>
      <c r="I166" s="4" t="s">
        <v>18</v>
      </c>
      <c r="J166" s="4" t="s">
        <v>337</v>
      </c>
      <c r="K166" s="4" t="s">
        <v>24</v>
      </c>
    </row>
    <row r="167" spans="1:11" x14ac:dyDescent="0.2">
      <c r="A167" s="4" t="s">
        <v>378</v>
      </c>
      <c r="B167" s="4" t="s">
        <v>379</v>
      </c>
      <c r="C167" s="4" t="s">
        <v>49</v>
      </c>
      <c r="D167" s="4" t="s">
        <v>333</v>
      </c>
      <c r="E167" s="4" t="s">
        <v>334</v>
      </c>
      <c r="F167" s="4" t="s">
        <v>335</v>
      </c>
      <c r="G167" s="1">
        <v>0.1</v>
      </c>
      <c r="H167" s="4" t="s">
        <v>380</v>
      </c>
      <c r="I167" s="4" t="s">
        <v>18</v>
      </c>
      <c r="J167" s="4" t="s">
        <v>337</v>
      </c>
      <c r="K167" s="4" t="s">
        <v>24</v>
      </c>
    </row>
    <row r="168" spans="1:11" x14ac:dyDescent="0.2">
      <c r="A168" s="4" t="s">
        <v>381</v>
      </c>
      <c r="B168" s="4" t="s">
        <v>382</v>
      </c>
      <c r="C168" s="4" t="s">
        <v>13</v>
      </c>
      <c r="D168" s="4" t="s">
        <v>333</v>
      </c>
      <c r="E168" s="4" t="s">
        <v>334</v>
      </c>
      <c r="F168" s="4" t="s">
        <v>335</v>
      </c>
      <c r="G168" s="1">
        <v>0</v>
      </c>
      <c r="H168" s="4" t="s">
        <v>254</v>
      </c>
      <c r="I168" s="4" t="s">
        <v>18</v>
      </c>
      <c r="J168" s="4" t="s">
        <v>337</v>
      </c>
      <c r="K168" s="4" t="s">
        <v>24</v>
      </c>
    </row>
    <row r="169" spans="1:11" x14ac:dyDescent="0.2">
      <c r="A169" s="4" t="s">
        <v>383</v>
      </c>
      <c r="B169" s="4" t="s">
        <v>384</v>
      </c>
      <c r="C169" s="4" t="s">
        <v>13</v>
      </c>
      <c r="D169" s="4" t="s">
        <v>333</v>
      </c>
      <c r="E169" s="4" t="s">
        <v>334</v>
      </c>
      <c r="F169" s="4" t="s">
        <v>335</v>
      </c>
      <c r="G169" s="1">
        <v>0.16700000000000001</v>
      </c>
      <c r="H169" s="4" t="s">
        <v>229</v>
      </c>
      <c r="I169" s="4" t="s">
        <v>18</v>
      </c>
      <c r="J169" s="4" t="s">
        <v>337</v>
      </c>
      <c r="K169" s="4" t="s">
        <v>24</v>
      </c>
    </row>
    <row r="170" spans="1:11" x14ac:dyDescent="0.2">
      <c r="A170" s="4" t="s">
        <v>385</v>
      </c>
      <c r="B170" s="4" t="s">
        <v>386</v>
      </c>
      <c r="C170" s="4" t="s">
        <v>13</v>
      </c>
      <c r="D170" s="4" t="s">
        <v>333</v>
      </c>
      <c r="E170" s="4" t="s">
        <v>334</v>
      </c>
      <c r="F170" s="4" t="s">
        <v>335</v>
      </c>
      <c r="G170" s="1">
        <v>0.16700000000000001</v>
      </c>
      <c r="H170" s="4" t="s">
        <v>229</v>
      </c>
      <c r="I170" s="4" t="s">
        <v>18</v>
      </c>
      <c r="J170" s="4" t="s">
        <v>337</v>
      </c>
      <c r="K170" s="4" t="s">
        <v>24</v>
      </c>
    </row>
    <row r="171" spans="1:11" x14ac:dyDescent="0.2">
      <c r="A171" s="4" t="s">
        <v>387</v>
      </c>
      <c r="B171" s="4" t="s">
        <v>388</v>
      </c>
      <c r="C171" s="4" t="s">
        <v>13</v>
      </c>
      <c r="D171" s="4" t="s">
        <v>333</v>
      </c>
      <c r="E171" s="4" t="s">
        <v>334</v>
      </c>
      <c r="F171" s="4" t="s">
        <v>335</v>
      </c>
      <c r="G171" s="1">
        <v>0.13300000000000001</v>
      </c>
      <c r="H171" s="4" t="s">
        <v>112</v>
      </c>
      <c r="I171" s="4" t="s">
        <v>18</v>
      </c>
      <c r="J171" s="4" t="s">
        <v>337</v>
      </c>
      <c r="K171" s="4" t="s">
        <v>24</v>
      </c>
    </row>
    <row r="172" spans="1:11" x14ac:dyDescent="0.2">
      <c r="A172" s="4" t="s">
        <v>389</v>
      </c>
      <c r="B172" s="4" t="s">
        <v>390</v>
      </c>
      <c r="C172" s="4" t="s">
        <v>13</v>
      </c>
      <c r="D172" s="4" t="s">
        <v>333</v>
      </c>
      <c r="E172" s="4" t="s">
        <v>334</v>
      </c>
      <c r="F172" s="4" t="s">
        <v>335</v>
      </c>
      <c r="G172" s="1">
        <v>0.16700000000000001</v>
      </c>
      <c r="H172" s="4" t="s">
        <v>229</v>
      </c>
      <c r="I172" s="4" t="s">
        <v>18</v>
      </c>
      <c r="J172" s="4" t="s">
        <v>337</v>
      </c>
      <c r="K172" s="4" t="s">
        <v>24</v>
      </c>
    </row>
    <row r="173" spans="1:11" x14ac:dyDescent="0.2">
      <c r="A173" s="4" t="s">
        <v>391</v>
      </c>
      <c r="B173" s="4" t="s">
        <v>392</v>
      </c>
      <c r="C173" s="4" t="s">
        <v>13</v>
      </c>
      <c r="D173" s="4" t="s">
        <v>333</v>
      </c>
      <c r="E173" s="4" t="s">
        <v>334</v>
      </c>
      <c r="F173" s="4" t="s">
        <v>335</v>
      </c>
      <c r="G173" s="1">
        <v>0.16700000000000001</v>
      </c>
      <c r="H173" s="4" t="s">
        <v>229</v>
      </c>
      <c r="I173" s="4" t="s">
        <v>18</v>
      </c>
      <c r="J173" s="4" t="s">
        <v>337</v>
      </c>
      <c r="K173" s="4" t="s">
        <v>24</v>
      </c>
    </row>
    <row r="174" spans="1:11" x14ac:dyDescent="0.2">
      <c r="A174" s="4" t="s">
        <v>393</v>
      </c>
      <c r="B174" s="4" t="s">
        <v>394</v>
      </c>
      <c r="C174" s="4" t="s">
        <v>13</v>
      </c>
      <c r="D174" s="4" t="s">
        <v>333</v>
      </c>
      <c r="E174" s="4" t="s">
        <v>334</v>
      </c>
      <c r="F174" s="4" t="s">
        <v>335</v>
      </c>
      <c r="G174" s="1">
        <v>0</v>
      </c>
      <c r="H174" s="4" t="s">
        <v>254</v>
      </c>
      <c r="I174" s="4" t="s">
        <v>18</v>
      </c>
      <c r="J174" s="4" t="s">
        <v>337</v>
      </c>
      <c r="K174" s="4" t="s">
        <v>24</v>
      </c>
    </row>
    <row r="175" spans="1:11" x14ac:dyDescent="0.2">
      <c r="A175" s="4" t="s">
        <v>395</v>
      </c>
      <c r="B175" s="4" t="s">
        <v>396</v>
      </c>
      <c r="C175" s="4" t="s">
        <v>13</v>
      </c>
      <c r="D175" s="4" t="s">
        <v>333</v>
      </c>
      <c r="E175" s="4" t="s">
        <v>334</v>
      </c>
      <c r="F175" s="4" t="s">
        <v>335</v>
      </c>
      <c r="G175" s="1">
        <v>0.16700000000000001</v>
      </c>
      <c r="H175" s="4" t="s">
        <v>229</v>
      </c>
      <c r="I175" s="4" t="s">
        <v>18</v>
      </c>
      <c r="J175" s="4" t="s">
        <v>337</v>
      </c>
      <c r="K175" s="4" t="s">
        <v>24</v>
      </c>
    </row>
    <row r="176" spans="1:11" x14ac:dyDescent="0.2">
      <c r="A176" s="4" t="s">
        <v>397</v>
      </c>
      <c r="B176" s="4" t="s">
        <v>398</v>
      </c>
      <c r="C176" s="4" t="s">
        <v>13</v>
      </c>
      <c r="D176" s="4" t="s">
        <v>333</v>
      </c>
      <c r="E176" s="4" t="s">
        <v>334</v>
      </c>
      <c r="F176" s="4" t="s">
        <v>335</v>
      </c>
      <c r="G176" s="1">
        <v>0.16700000000000001</v>
      </c>
      <c r="H176" s="4" t="s">
        <v>229</v>
      </c>
      <c r="I176" s="4" t="s">
        <v>18</v>
      </c>
      <c r="J176" s="4" t="s">
        <v>337</v>
      </c>
      <c r="K176" s="4" t="s">
        <v>24</v>
      </c>
    </row>
    <row r="177" spans="1:11" x14ac:dyDescent="0.2">
      <c r="A177" s="4" t="s">
        <v>399</v>
      </c>
      <c r="B177" s="4" t="s">
        <v>400</v>
      </c>
      <c r="C177" s="4" t="s">
        <v>13</v>
      </c>
      <c r="D177" s="4" t="s">
        <v>333</v>
      </c>
      <c r="E177" s="4" t="s">
        <v>334</v>
      </c>
      <c r="F177" s="4" t="s">
        <v>335</v>
      </c>
      <c r="G177" s="1">
        <v>0.16700000000000001</v>
      </c>
      <c r="H177" s="4" t="s">
        <v>229</v>
      </c>
      <c r="I177" s="4" t="s">
        <v>18</v>
      </c>
      <c r="J177" s="4" t="s">
        <v>337</v>
      </c>
      <c r="K177" s="4" t="s">
        <v>24</v>
      </c>
    </row>
    <row r="178" spans="1:11" x14ac:dyDescent="0.2">
      <c r="A178" s="4" t="s">
        <v>401</v>
      </c>
      <c r="B178" s="4" t="s">
        <v>402</v>
      </c>
      <c r="C178" s="4" t="s">
        <v>13</v>
      </c>
      <c r="D178" s="4" t="s">
        <v>333</v>
      </c>
      <c r="E178" s="4" t="s">
        <v>334</v>
      </c>
      <c r="F178" s="4" t="s">
        <v>335</v>
      </c>
      <c r="G178" s="1">
        <v>0.16700000000000001</v>
      </c>
      <c r="H178" s="4" t="s">
        <v>229</v>
      </c>
      <c r="I178" s="4" t="s">
        <v>18</v>
      </c>
      <c r="J178" s="4" t="s">
        <v>337</v>
      </c>
      <c r="K178" s="4" t="s">
        <v>24</v>
      </c>
    </row>
    <row r="179" spans="1:11" x14ac:dyDescent="0.2">
      <c r="A179" s="4" t="s">
        <v>403</v>
      </c>
      <c r="B179" s="4" t="s">
        <v>404</v>
      </c>
      <c r="C179" s="4" t="s">
        <v>13</v>
      </c>
      <c r="D179" s="4" t="s">
        <v>333</v>
      </c>
      <c r="E179" s="4" t="s">
        <v>334</v>
      </c>
      <c r="F179" s="4" t="s">
        <v>335</v>
      </c>
      <c r="G179" s="1">
        <v>0.16700000000000001</v>
      </c>
      <c r="H179" s="4" t="s">
        <v>229</v>
      </c>
      <c r="I179" s="4" t="s">
        <v>18</v>
      </c>
      <c r="J179" s="4" t="s">
        <v>337</v>
      </c>
      <c r="K179" s="4" t="s">
        <v>24</v>
      </c>
    </row>
    <row r="180" spans="1:11" x14ac:dyDescent="0.2">
      <c r="A180" s="4" t="s">
        <v>405</v>
      </c>
      <c r="B180" s="4" t="s">
        <v>406</v>
      </c>
      <c r="C180" s="4" t="s">
        <v>13</v>
      </c>
      <c r="D180" s="4" t="s">
        <v>333</v>
      </c>
      <c r="E180" s="4" t="s">
        <v>334</v>
      </c>
      <c r="F180" s="4" t="s">
        <v>335</v>
      </c>
      <c r="G180" s="1">
        <v>0.16700000000000001</v>
      </c>
      <c r="H180" s="4" t="s">
        <v>229</v>
      </c>
      <c r="I180" s="4" t="s">
        <v>18</v>
      </c>
      <c r="J180" s="4" t="s">
        <v>337</v>
      </c>
      <c r="K180" s="4" t="s">
        <v>24</v>
      </c>
    </row>
    <row r="181" spans="1:11" x14ac:dyDescent="0.2">
      <c r="A181" s="4" t="s">
        <v>407</v>
      </c>
      <c r="B181" s="4" t="s">
        <v>408</v>
      </c>
      <c r="C181" s="4" t="s">
        <v>13</v>
      </c>
      <c r="D181" s="4" t="s">
        <v>333</v>
      </c>
      <c r="E181" s="4" t="s">
        <v>334</v>
      </c>
      <c r="F181" s="4" t="s">
        <v>335</v>
      </c>
      <c r="G181" s="1">
        <v>3.3000000000000002E-2</v>
      </c>
      <c r="H181" s="4" t="s">
        <v>225</v>
      </c>
      <c r="I181" s="4" t="s">
        <v>18</v>
      </c>
      <c r="J181" s="4" t="s">
        <v>337</v>
      </c>
      <c r="K181" s="4" t="s">
        <v>24</v>
      </c>
    </row>
    <row r="182" spans="1:11" x14ac:dyDescent="0.2">
      <c r="A182" s="4" t="s">
        <v>409</v>
      </c>
      <c r="B182" s="4" t="s">
        <v>410</v>
      </c>
      <c r="C182" s="4" t="s">
        <v>13</v>
      </c>
      <c r="D182" s="4" t="s">
        <v>333</v>
      </c>
      <c r="E182" s="4" t="s">
        <v>334</v>
      </c>
      <c r="F182" s="4" t="s">
        <v>335</v>
      </c>
      <c r="G182" s="1">
        <v>0.13300000000000001</v>
      </c>
      <c r="H182" s="4" t="s">
        <v>112</v>
      </c>
      <c r="I182" s="4" t="s">
        <v>18</v>
      </c>
      <c r="J182" s="4" t="s">
        <v>337</v>
      </c>
      <c r="K182" s="4" t="s">
        <v>24</v>
      </c>
    </row>
    <row r="183" spans="1:11" x14ac:dyDescent="0.2">
      <c r="A183" s="4" t="s">
        <v>411</v>
      </c>
      <c r="B183" s="4" t="s">
        <v>412</v>
      </c>
      <c r="C183" s="4" t="s">
        <v>13</v>
      </c>
      <c r="D183" s="4" t="s">
        <v>333</v>
      </c>
      <c r="E183" s="4" t="s">
        <v>334</v>
      </c>
      <c r="F183" s="4" t="s">
        <v>335</v>
      </c>
      <c r="G183" s="1">
        <v>0.16700000000000001</v>
      </c>
      <c r="H183" s="4" t="s">
        <v>229</v>
      </c>
      <c r="I183" s="4" t="s">
        <v>18</v>
      </c>
      <c r="J183" s="4" t="s">
        <v>337</v>
      </c>
      <c r="K183" s="4" t="s">
        <v>24</v>
      </c>
    </row>
    <row r="184" spans="1:11" x14ac:dyDescent="0.2">
      <c r="A184" s="4" t="s">
        <v>413</v>
      </c>
      <c r="B184" s="4" t="s">
        <v>414</v>
      </c>
      <c r="C184" s="4" t="s">
        <v>13</v>
      </c>
      <c r="D184" s="4" t="s">
        <v>333</v>
      </c>
      <c r="E184" s="4" t="s">
        <v>334</v>
      </c>
      <c r="F184" s="4" t="s">
        <v>335</v>
      </c>
      <c r="G184" s="1">
        <v>0.16700000000000001</v>
      </c>
      <c r="H184" s="4" t="s">
        <v>229</v>
      </c>
      <c r="I184" s="4" t="s">
        <v>18</v>
      </c>
      <c r="J184" s="4" t="s">
        <v>337</v>
      </c>
      <c r="K184" s="4" t="s">
        <v>24</v>
      </c>
    </row>
    <row r="185" spans="1:11" x14ac:dyDescent="0.2">
      <c r="A185" s="4" t="s">
        <v>415</v>
      </c>
      <c r="B185" s="4" t="s">
        <v>416</v>
      </c>
      <c r="C185" s="4" t="s">
        <v>13</v>
      </c>
      <c r="D185" s="4" t="s">
        <v>333</v>
      </c>
      <c r="E185" s="4" t="s">
        <v>334</v>
      </c>
      <c r="F185" s="4" t="s">
        <v>335</v>
      </c>
      <c r="G185" s="1">
        <v>0.13300000000000001</v>
      </c>
      <c r="H185" s="4" t="s">
        <v>112</v>
      </c>
      <c r="I185" s="4" t="s">
        <v>18</v>
      </c>
      <c r="J185" s="4" t="s">
        <v>337</v>
      </c>
      <c r="K185" s="4" t="s">
        <v>24</v>
      </c>
    </row>
    <row r="186" spans="1:11" x14ac:dyDescent="0.2">
      <c r="A186" s="4" t="s">
        <v>417</v>
      </c>
      <c r="B186" s="4" t="s">
        <v>418</v>
      </c>
      <c r="C186" s="4" t="s">
        <v>13</v>
      </c>
      <c r="D186" s="4" t="s">
        <v>333</v>
      </c>
      <c r="E186" s="4" t="s">
        <v>334</v>
      </c>
      <c r="F186" s="4" t="s">
        <v>335</v>
      </c>
      <c r="G186" s="1">
        <v>0.13300000000000001</v>
      </c>
      <c r="H186" s="4" t="s">
        <v>112</v>
      </c>
      <c r="I186" s="4" t="s">
        <v>18</v>
      </c>
      <c r="J186" s="4" t="s">
        <v>337</v>
      </c>
      <c r="K186" s="4" t="s">
        <v>419</v>
      </c>
    </row>
    <row r="187" spans="1:11" x14ac:dyDescent="0.2">
      <c r="A187" s="4" t="s">
        <v>420</v>
      </c>
      <c r="B187" s="4" t="s">
        <v>421</v>
      </c>
      <c r="C187" s="4" t="s">
        <v>13</v>
      </c>
      <c r="D187" s="4" t="s">
        <v>333</v>
      </c>
      <c r="E187" s="4" t="s">
        <v>334</v>
      </c>
      <c r="F187" s="4" t="s">
        <v>335</v>
      </c>
      <c r="G187" s="1">
        <v>0.16700000000000001</v>
      </c>
      <c r="H187" s="4" t="s">
        <v>229</v>
      </c>
      <c r="I187" s="4" t="s">
        <v>18</v>
      </c>
      <c r="J187" s="4" t="s">
        <v>337</v>
      </c>
      <c r="K187" s="4" t="s">
        <v>419</v>
      </c>
    </row>
    <row r="188" spans="1:11" x14ac:dyDescent="0.2">
      <c r="A188" s="4" t="s">
        <v>422</v>
      </c>
      <c r="B188" s="4" t="s">
        <v>423</v>
      </c>
      <c r="C188" s="4" t="s">
        <v>13</v>
      </c>
      <c r="D188" s="4" t="s">
        <v>333</v>
      </c>
      <c r="E188" s="4" t="s">
        <v>334</v>
      </c>
      <c r="F188" s="4" t="s">
        <v>335</v>
      </c>
      <c r="G188" s="1">
        <v>3.3000000000000002E-2</v>
      </c>
      <c r="H188" s="4" t="s">
        <v>225</v>
      </c>
      <c r="I188" s="4" t="s">
        <v>18</v>
      </c>
      <c r="J188" s="4" t="s">
        <v>337</v>
      </c>
      <c r="K188" s="4" t="s">
        <v>419</v>
      </c>
    </row>
    <row r="189" spans="1:11" x14ac:dyDescent="0.2">
      <c r="A189" s="4" t="s">
        <v>424</v>
      </c>
      <c r="B189" s="4" t="s">
        <v>425</v>
      </c>
      <c r="C189" s="4" t="s">
        <v>13</v>
      </c>
      <c r="D189" s="4" t="s">
        <v>333</v>
      </c>
      <c r="E189" s="4" t="s">
        <v>334</v>
      </c>
      <c r="F189" s="4" t="s">
        <v>335</v>
      </c>
      <c r="G189" s="1">
        <v>0.16700000000000001</v>
      </c>
      <c r="H189" s="4" t="s">
        <v>229</v>
      </c>
      <c r="I189" s="4" t="s">
        <v>18</v>
      </c>
      <c r="J189" s="4" t="s">
        <v>337</v>
      </c>
      <c r="K189" s="4" t="s">
        <v>426</v>
      </c>
    </row>
    <row r="190" spans="1:11" x14ac:dyDescent="0.2">
      <c r="A190" s="4" t="s">
        <v>427</v>
      </c>
      <c r="B190" s="4" t="s">
        <v>428</v>
      </c>
      <c r="C190" s="4" t="s">
        <v>13</v>
      </c>
      <c r="D190" s="4" t="s">
        <v>429</v>
      </c>
      <c r="E190" s="4" t="s">
        <v>430</v>
      </c>
      <c r="F190" s="4" t="s">
        <v>335</v>
      </c>
      <c r="G190" s="1">
        <v>0.13300000000000001</v>
      </c>
      <c r="H190" s="4" t="s">
        <v>112</v>
      </c>
      <c r="I190" s="4" t="s">
        <v>18</v>
      </c>
      <c r="J190" s="4" t="s">
        <v>431</v>
      </c>
      <c r="K190" s="4" t="s">
        <v>432</v>
      </c>
    </row>
    <row r="191" spans="1:11" x14ac:dyDescent="0.2">
      <c r="A191" s="4" t="s">
        <v>433</v>
      </c>
      <c r="B191" s="4" t="s">
        <v>434</v>
      </c>
      <c r="C191" s="4" t="s">
        <v>13</v>
      </c>
      <c r="D191" s="4" t="s">
        <v>429</v>
      </c>
      <c r="E191" s="4" t="s">
        <v>430</v>
      </c>
      <c r="F191" s="4" t="s">
        <v>335</v>
      </c>
      <c r="G191" s="1">
        <v>0.13300000000000001</v>
      </c>
      <c r="H191" s="4" t="s">
        <v>112</v>
      </c>
      <c r="I191" s="4" t="s">
        <v>18</v>
      </c>
      <c r="J191" s="4" t="s">
        <v>431</v>
      </c>
      <c r="K191" s="4" t="s">
        <v>233</v>
      </c>
    </row>
    <row r="192" spans="1:11" x14ac:dyDescent="0.2">
      <c r="A192" s="4" t="s">
        <v>435</v>
      </c>
      <c r="B192" s="4" t="s">
        <v>436</v>
      </c>
      <c r="C192" s="4" t="s">
        <v>13</v>
      </c>
      <c r="D192" s="4" t="s">
        <v>429</v>
      </c>
      <c r="E192" s="4" t="s">
        <v>430</v>
      </c>
      <c r="F192" s="4" t="s">
        <v>335</v>
      </c>
      <c r="G192" s="1">
        <v>0.16700000000000001</v>
      </c>
      <c r="H192" s="4" t="s">
        <v>229</v>
      </c>
      <c r="I192" s="4" t="s">
        <v>18</v>
      </c>
      <c r="J192" s="4" t="s">
        <v>431</v>
      </c>
      <c r="K192" s="4" t="s">
        <v>24</v>
      </c>
    </row>
    <row r="193" spans="1:11" x14ac:dyDescent="0.2">
      <c r="A193" s="4" t="s">
        <v>437</v>
      </c>
      <c r="B193" s="4" t="s">
        <v>438</v>
      </c>
      <c r="C193" s="4" t="s">
        <v>13</v>
      </c>
      <c r="D193" s="4" t="s">
        <v>429</v>
      </c>
      <c r="E193" s="4" t="s">
        <v>430</v>
      </c>
      <c r="F193" s="4" t="s">
        <v>335</v>
      </c>
      <c r="G193" s="1">
        <v>0</v>
      </c>
      <c r="H193" s="4" t="s">
        <v>254</v>
      </c>
      <c r="I193" s="4" t="s">
        <v>18</v>
      </c>
      <c r="J193" s="4" t="s">
        <v>431</v>
      </c>
      <c r="K193" s="4" t="s">
        <v>24</v>
      </c>
    </row>
    <row r="194" spans="1:11" x14ac:dyDescent="0.2">
      <c r="A194" s="4" t="s">
        <v>439</v>
      </c>
      <c r="B194" s="4" t="s">
        <v>440</v>
      </c>
      <c r="C194" s="4" t="s">
        <v>13</v>
      </c>
      <c r="D194" s="4" t="s">
        <v>429</v>
      </c>
      <c r="E194" s="4" t="s">
        <v>430</v>
      </c>
      <c r="F194" s="4" t="s">
        <v>335</v>
      </c>
      <c r="G194" s="1">
        <v>0.16700000000000001</v>
      </c>
      <c r="H194" s="4" t="s">
        <v>229</v>
      </c>
      <c r="I194" s="4" t="s">
        <v>18</v>
      </c>
      <c r="J194" s="4" t="s">
        <v>431</v>
      </c>
      <c r="K194" s="4" t="s">
        <v>24</v>
      </c>
    </row>
    <row r="195" spans="1:11" x14ac:dyDescent="0.2">
      <c r="A195" s="4" t="s">
        <v>441</v>
      </c>
      <c r="B195" s="4" t="s">
        <v>442</v>
      </c>
      <c r="C195" s="4" t="s">
        <v>49</v>
      </c>
      <c r="D195" s="4" t="s">
        <v>429</v>
      </c>
      <c r="E195" s="4" t="s">
        <v>430</v>
      </c>
      <c r="F195" s="4" t="s">
        <v>335</v>
      </c>
      <c r="G195" s="1">
        <v>0</v>
      </c>
      <c r="H195" s="4" t="s">
        <v>254</v>
      </c>
      <c r="I195" s="4" t="s">
        <v>18</v>
      </c>
      <c r="J195" s="4" t="s">
        <v>431</v>
      </c>
      <c r="K195" s="4" t="s">
        <v>24</v>
      </c>
    </row>
    <row r="196" spans="1:11" x14ac:dyDescent="0.2">
      <c r="A196" s="4" t="s">
        <v>443</v>
      </c>
      <c r="B196" s="4" t="s">
        <v>444</v>
      </c>
      <c r="C196" s="4" t="s">
        <v>49</v>
      </c>
      <c r="D196" s="4" t="s">
        <v>429</v>
      </c>
      <c r="E196" s="4" t="s">
        <v>430</v>
      </c>
      <c r="F196" s="4" t="s">
        <v>335</v>
      </c>
      <c r="G196" s="1">
        <v>3.3000000000000002E-2</v>
      </c>
      <c r="H196" s="4" t="s">
        <v>225</v>
      </c>
      <c r="I196" s="4" t="s">
        <v>18</v>
      </c>
      <c r="J196" s="4" t="s">
        <v>431</v>
      </c>
      <c r="K196" s="4" t="s">
        <v>24</v>
      </c>
    </row>
    <row r="197" spans="1:11" x14ac:dyDescent="0.2">
      <c r="A197" s="4" t="s">
        <v>445</v>
      </c>
      <c r="B197" s="4" t="s">
        <v>446</v>
      </c>
      <c r="C197" s="4" t="s">
        <v>13</v>
      </c>
      <c r="D197" s="4" t="s">
        <v>429</v>
      </c>
      <c r="E197" s="4" t="s">
        <v>430</v>
      </c>
      <c r="F197" s="4" t="s">
        <v>335</v>
      </c>
      <c r="G197" s="1">
        <v>0</v>
      </c>
      <c r="H197" s="4" t="s">
        <v>254</v>
      </c>
      <c r="I197" s="4" t="s">
        <v>18</v>
      </c>
      <c r="J197" s="4" t="s">
        <v>431</v>
      </c>
      <c r="K197" s="4" t="s">
        <v>24</v>
      </c>
    </row>
    <row r="198" spans="1:11" x14ac:dyDescent="0.2">
      <c r="A198" s="4" t="s">
        <v>447</v>
      </c>
      <c r="B198" s="4" t="s">
        <v>448</v>
      </c>
      <c r="C198" s="4" t="s">
        <v>13</v>
      </c>
      <c r="D198" s="4" t="s">
        <v>429</v>
      </c>
      <c r="E198" s="4" t="s">
        <v>430</v>
      </c>
      <c r="F198" s="4" t="s">
        <v>335</v>
      </c>
      <c r="G198" s="1">
        <v>0.16700000000000001</v>
      </c>
      <c r="H198" s="4" t="s">
        <v>229</v>
      </c>
      <c r="I198" s="4" t="s">
        <v>18</v>
      </c>
      <c r="J198" s="4" t="s">
        <v>431</v>
      </c>
      <c r="K198" s="4" t="s">
        <v>24</v>
      </c>
    </row>
    <row r="199" spans="1:11" x14ac:dyDescent="0.2">
      <c r="A199" s="4" t="s">
        <v>449</v>
      </c>
      <c r="B199" s="4" t="s">
        <v>450</v>
      </c>
      <c r="C199" s="4" t="s">
        <v>13</v>
      </c>
      <c r="D199" s="4" t="s">
        <v>429</v>
      </c>
      <c r="E199" s="4" t="s">
        <v>430</v>
      </c>
      <c r="F199" s="4" t="s">
        <v>335</v>
      </c>
      <c r="G199" s="1">
        <v>0.13300000000000001</v>
      </c>
      <c r="H199" s="4" t="s">
        <v>112</v>
      </c>
      <c r="I199" s="4" t="s">
        <v>18</v>
      </c>
      <c r="J199" s="4" t="s">
        <v>431</v>
      </c>
      <c r="K199" s="4" t="s">
        <v>24</v>
      </c>
    </row>
    <row r="200" spans="1:11" x14ac:dyDescent="0.2">
      <c r="A200" s="4" t="s">
        <v>451</v>
      </c>
      <c r="B200" s="4" t="s">
        <v>452</v>
      </c>
      <c r="C200" s="4" t="s">
        <v>13</v>
      </c>
      <c r="D200" s="4" t="s">
        <v>429</v>
      </c>
      <c r="E200" s="4" t="s">
        <v>430</v>
      </c>
      <c r="F200" s="4" t="s">
        <v>335</v>
      </c>
      <c r="G200" s="1">
        <v>0.1</v>
      </c>
      <c r="H200" s="4" t="s">
        <v>117</v>
      </c>
      <c r="I200" s="4" t="s">
        <v>18</v>
      </c>
      <c r="J200" s="4" t="s">
        <v>431</v>
      </c>
      <c r="K200" s="4" t="s">
        <v>24</v>
      </c>
    </row>
    <row r="201" spans="1:11" x14ac:dyDescent="0.2">
      <c r="A201" s="4" t="s">
        <v>453</v>
      </c>
      <c r="B201" s="4" t="s">
        <v>454</v>
      </c>
      <c r="C201" s="4" t="s">
        <v>13</v>
      </c>
      <c r="D201" s="4" t="s">
        <v>429</v>
      </c>
      <c r="E201" s="4" t="s">
        <v>430</v>
      </c>
      <c r="F201" s="4" t="s">
        <v>335</v>
      </c>
      <c r="G201" s="1">
        <v>0.16700000000000001</v>
      </c>
      <c r="H201" s="4" t="s">
        <v>229</v>
      </c>
      <c r="I201" s="4" t="s">
        <v>18</v>
      </c>
      <c r="J201" s="4" t="s">
        <v>431</v>
      </c>
      <c r="K201" s="4" t="s">
        <v>24</v>
      </c>
    </row>
    <row r="202" spans="1:11" x14ac:dyDescent="0.2">
      <c r="A202" s="4" t="s">
        <v>455</v>
      </c>
      <c r="B202" s="4" t="s">
        <v>456</v>
      </c>
      <c r="C202" s="4" t="s">
        <v>13</v>
      </c>
      <c r="D202" s="4" t="s">
        <v>429</v>
      </c>
      <c r="E202" s="4" t="s">
        <v>430</v>
      </c>
      <c r="F202" s="4" t="s">
        <v>335</v>
      </c>
      <c r="G202" s="1">
        <v>0.16700000000000001</v>
      </c>
      <c r="H202" s="4" t="s">
        <v>229</v>
      </c>
      <c r="I202" s="4" t="s">
        <v>18</v>
      </c>
      <c r="J202" s="4" t="s">
        <v>431</v>
      </c>
      <c r="K202" s="4" t="s">
        <v>24</v>
      </c>
    </row>
    <row r="203" spans="1:11" x14ac:dyDescent="0.2">
      <c r="A203" s="4" t="s">
        <v>457</v>
      </c>
      <c r="B203" s="4" t="s">
        <v>458</v>
      </c>
      <c r="C203" s="4" t="s">
        <v>13</v>
      </c>
      <c r="D203" s="4" t="s">
        <v>429</v>
      </c>
      <c r="E203" s="4" t="s">
        <v>430</v>
      </c>
      <c r="F203" s="4" t="s">
        <v>335</v>
      </c>
      <c r="G203" s="1">
        <v>0.16700000000000001</v>
      </c>
      <c r="H203" s="4" t="s">
        <v>229</v>
      </c>
      <c r="I203" s="4" t="s">
        <v>18</v>
      </c>
      <c r="J203" s="4" t="s">
        <v>431</v>
      </c>
      <c r="K203" s="4" t="s">
        <v>24</v>
      </c>
    </row>
    <row r="204" spans="1:11" x14ac:dyDescent="0.2">
      <c r="A204" s="4" t="s">
        <v>459</v>
      </c>
      <c r="B204" s="4" t="s">
        <v>460</v>
      </c>
      <c r="C204" s="4" t="s">
        <v>13</v>
      </c>
      <c r="D204" s="4" t="s">
        <v>429</v>
      </c>
      <c r="E204" s="4" t="s">
        <v>430</v>
      </c>
      <c r="F204" s="4" t="s">
        <v>335</v>
      </c>
      <c r="G204" s="1">
        <v>0.16700000000000001</v>
      </c>
      <c r="H204" s="4" t="s">
        <v>229</v>
      </c>
      <c r="I204" s="4" t="s">
        <v>18</v>
      </c>
      <c r="J204" s="4" t="s">
        <v>431</v>
      </c>
      <c r="K204" s="4" t="s">
        <v>24</v>
      </c>
    </row>
    <row r="205" spans="1:11" x14ac:dyDescent="0.2">
      <c r="A205" s="4" t="s">
        <v>461</v>
      </c>
      <c r="B205" s="4" t="s">
        <v>462</v>
      </c>
      <c r="C205" s="4" t="s">
        <v>13</v>
      </c>
      <c r="D205" s="4" t="s">
        <v>429</v>
      </c>
      <c r="E205" s="4" t="s">
        <v>430</v>
      </c>
      <c r="F205" s="4" t="s">
        <v>335</v>
      </c>
      <c r="G205" s="1">
        <v>0.13300000000000001</v>
      </c>
      <c r="H205" s="4" t="s">
        <v>112</v>
      </c>
      <c r="I205" s="4" t="s">
        <v>18</v>
      </c>
      <c r="J205" s="4" t="s">
        <v>431</v>
      </c>
      <c r="K205" s="4" t="s">
        <v>24</v>
      </c>
    </row>
    <row r="206" spans="1:11" x14ac:dyDescent="0.2">
      <c r="A206" s="4" t="s">
        <v>463</v>
      </c>
      <c r="B206" s="4" t="s">
        <v>464</v>
      </c>
      <c r="C206" s="4" t="s">
        <v>13</v>
      </c>
      <c r="D206" s="4" t="s">
        <v>429</v>
      </c>
      <c r="E206" s="4" t="s">
        <v>430</v>
      </c>
      <c r="F206" s="4" t="s">
        <v>335</v>
      </c>
      <c r="G206" s="1">
        <v>0.16700000000000001</v>
      </c>
      <c r="H206" s="4" t="s">
        <v>229</v>
      </c>
      <c r="I206" s="4" t="s">
        <v>18</v>
      </c>
      <c r="J206" s="4" t="s">
        <v>431</v>
      </c>
      <c r="K206" s="4" t="s">
        <v>24</v>
      </c>
    </row>
    <row r="207" spans="1:11" x14ac:dyDescent="0.2">
      <c r="A207" s="4" t="s">
        <v>465</v>
      </c>
      <c r="B207" s="4" t="s">
        <v>466</v>
      </c>
      <c r="C207" s="4" t="s">
        <v>13</v>
      </c>
      <c r="D207" s="4" t="s">
        <v>429</v>
      </c>
      <c r="E207" s="4" t="s">
        <v>430</v>
      </c>
      <c r="F207" s="4" t="s">
        <v>335</v>
      </c>
      <c r="G207" s="1">
        <v>0</v>
      </c>
      <c r="H207" s="4" t="s">
        <v>254</v>
      </c>
      <c r="I207" s="4" t="s">
        <v>18</v>
      </c>
      <c r="J207" s="4" t="s">
        <v>431</v>
      </c>
      <c r="K207" s="4" t="s">
        <v>24</v>
      </c>
    </row>
    <row r="208" spans="1:11" x14ac:dyDescent="0.2">
      <c r="A208" s="4" t="s">
        <v>467</v>
      </c>
      <c r="B208" s="4" t="s">
        <v>468</v>
      </c>
      <c r="C208" s="4" t="s">
        <v>13</v>
      </c>
      <c r="D208" s="4" t="s">
        <v>429</v>
      </c>
      <c r="E208" s="4" t="s">
        <v>430</v>
      </c>
      <c r="F208" s="4" t="s">
        <v>335</v>
      </c>
      <c r="G208" s="1">
        <v>0.16700000000000001</v>
      </c>
      <c r="H208" s="4" t="s">
        <v>229</v>
      </c>
      <c r="I208" s="4" t="s">
        <v>18</v>
      </c>
      <c r="J208" s="4" t="s">
        <v>431</v>
      </c>
      <c r="K208" s="4" t="s">
        <v>24</v>
      </c>
    </row>
    <row r="209" spans="1:11" x14ac:dyDescent="0.2">
      <c r="A209" s="4" t="s">
        <v>469</v>
      </c>
      <c r="B209" s="4" t="s">
        <v>470</v>
      </c>
      <c r="C209" s="4" t="s">
        <v>13</v>
      </c>
      <c r="D209" s="4" t="s">
        <v>429</v>
      </c>
      <c r="E209" s="4" t="s">
        <v>430</v>
      </c>
      <c r="F209" s="4" t="s">
        <v>335</v>
      </c>
      <c r="G209" s="1">
        <v>0</v>
      </c>
      <c r="H209" s="4" t="s">
        <v>254</v>
      </c>
      <c r="I209" s="4" t="s">
        <v>18</v>
      </c>
      <c r="J209" s="4" t="s">
        <v>431</v>
      </c>
      <c r="K209" s="4" t="s">
        <v>24</v>
      </c>
    </row>
    <row r="210" spans="1:11" x14ac:dyDescent="0.2">
      <c r="A210" s="4" t="s">
        <v>471</v>
      </c>
      <c r="B210" s="4" t="s">
        <v>472</v>
      </c>
      <c r="C210" s="4" t="s">
        <v>13</v>
      </c>
      <c r="D210" s="4" t="s">
        <v>429</v>
      </c>
      <c r="E210" s="4" t="s">
        <v>430</v>
      </c>
      <c r="F210" s="4" t="s">
        <v>335</v>
      </c>
      <c r="G210" s="1">
        <v>0.16700000000000001</v>
      </c>
      <c r="H210" s="4" t="s">
        <v>229</v>
      </c>
      <c r="I210" s="4" t="s">
        <v>18</v>
      </c>
      <c r="J210" s="4" t="s">
        <v>431</v>
      </c>
      <c r="K210" s="4" t="s">
        <v>24</v>
      </c>
    </row>
    <row r="211" spans="1:11" x14ac:dyDescent="0.2">
      <c r="A211" s="4" t="s">
        <v>473</v>
      </c>
      <c r="B211" s="4" t="s">
        <v>474</v>
      </c>
      <c r="C211" s="4" t="s">
        <v>13</v>
      </c>
      <c r="D211" s="4" t="s">
        <v>429</v>
      </c>
      <c r="E211" s="4" t="s">
        <v>430</v>
      </c>
      <c r="F211" s="4" t="s">
        <v>335</v>
      </c>
      <c r="G211" s="1">
        <v>0</v>
      </c>
      <c r="H211" s="4" t="s">
        <v>254</v>
      </c>
      <c r="I211" s="4" t="s">
        <v>18</v>
      </c>
      <c r="J211" s="4" t="s">
        <v>431</v>
      </c>
      <c r="K211" s="4" t="s">
        <v>24</v>
      </c>
    </row>
    <row r="212" spans="1:11" x14ac:dyDescent="0.2">
      <c r="A212" s="4" t="s">
        <v>475</v>
      </c>
      <c r="B212" s="4" t="s">
        <v>476</v>
      </c>
      <c r="C212" s="4" t="s">
        <v>13</v>
      </c>
      <c r="D212" s="4" t="s">
        <v>429</v>
      </c>
      <c r="E212" s="4" t="s">
        <v>430</v>
      </c>
      <c r="F212" s="4" t="s">
        <v>335</v>
      </c>
      <c r="G212" s="1">
        <v>0.13300000000000001</v>
      </c>
      <c r="H212" s="4" t="s">
        <v>112</v>
      </c>
      <c r="I212" s="4" t="s">
        <v>18</v>
      </c>
      <c r="J212" s="4" t="s">
        <v>431</v>
      </c>
      <c r="K212" s="4" t="s">
        <v>24</v>
      </c>
    </row>
    <row r="213" spans="1:11" x14ac:dyDescent="0.2">
      <c r="A213" s="4" t="s">
        <v>477</v>
      </c>
      <c r="B213" s="4" t="s">
        <v>478</v>
      </c>
      <c r="C213" s="4" t="s">
        <v>13</v>
      </c>
      <c r="D213" s="4" t="s">
        <v>429</v>
      </c>
      <c r="E213" s="4" t="s">
        <v>430</v>
      </c>
      <c r="F213" s="4" t="s">
        <v>335</v>
      </c>
      <c r="G213" s="1">
        <v>0.16700000000000001</v>
      </c>
      <c r="H213" s="4" t="s">
        <v>229</v>
      </c>
      <c r="I213" s="4" t="s">
        <v>18</v>
      </c>
      <c r="J213" s="4" t="s">
        <v>431</v>
      </c>
      <c r="K213" s="4" t="s">
        <v>24</v>
      </c>
    </row>
    <row r="214" spans="1:11" x14ac:dyDescent="0.2">
      <c r="A214" s="4" t="s">
        <v>479</v>
      </c>
      <c r="B214" s="4" t="s">
        <v>480</v>
      </c>
      <c r="C214" s="4" t="s">
        <v>13</v>
      </c>
      <c r="D214" s="4" t="s">
        <v>429</v>
      </c>
      <c r="E214" s="4" t="s">
        <v>430</v>
      </c>
      <c r="F214" s="4" t="s">
        <v>335</v>
      </c>
      <c r="G214" s="1">
        <v>0.1</v>
      </c>
      <c r="H214" s="4" t="s">
        <v>117</v>
      </c>
      <c r="I214" s="4" t="s">
        <v>18</v>
      </c>
      <c r="J214" s="4" t="s">
        <v>431</v>
      </c>
      <c r="K214" s="4" t="s">
        <v>24</v>
      </c>
    </row>
    <row r="215" spans="1:11" x14ac:dyDescent="0.2">
      <c r="A215" s="4" t="s">
        <v>481</v>
      </c>
      <c r="B215" s="4" t="s">
        <v>482</v>
      </c>
      <c r="C215" s="4" t="s">
        <v>13</v>
      </c>
      <c r="D215" s="4" t="s">
        <v>429</v>
      </c>
      <c r="E215" s="4" t="s">
        <v>430</v>
      </c>
      <c r="F215" s="4" t="s">
        <v>335</v>
      </c>
      <c r="G215" s="1">
        <v>0.16700000000000001</v>
      </c>
      <c r="H215" s="4" t="s">
        <v>229</v>
      </c>
      <c r="I215" s="4" t="s">
        <v>18</v>
      </c>
      <c r="J215" s="4" t="s">
        <v>431</v>
      </c>
      <c r="K215" s="4" t="s">
        <v>24</v>
      </c>
    </row>
    <row r="216" spans="1:11" x14ac:dyDescent="0.2">
      <c r="A216" s="4" t="s">
        <v>483</v>
      </c>
      <c r="B216" s="4" t="s">
        <v>484</v>
      </c>
      <c r="C216" s="4" t="s">
        <v>13</v>
      </c>
      <c r="D216" s="4" t="s">
        <v>429</v>
      </c>
      <c r="E216" s="4" t="s">
        <v>430</v>
      </c>
      <c r="F216" s="4" t="s">
        <v>335</v>
      </c>
      <c r="G216" s="1">
        <v>0.16700000000000001</v>
      </c>
      <c r="H216" s="4" t="s">
        <v>229</v>
      </c>
      <c r="I216" s="4" t="s">
        <v>18</v>
      </c>
      <c r="J216" s="4" t="s">
        <v>431</v>
      </c>
      <c r="K216" s="4" t="s">
        <v>24</v>
      </c>
    </row>
    <row r="217" spans="1:11" x14ac:dyDescent="0.2">
      <c r="A217" s="4" t="s">
        <v>485</v>
      </c>
      <c r="B217" s="4" t="s">
        <v>486</v>
      </c>
      <c r="C217" s="4" t="s">
        <v>13</v>
      </c>
      <c r="D217" s="4" t="s">
        <v>429</v>
      </c>
      <c r="E217" s="4" t="s">
        <v>430</v>
      </c>
      <c r="F217" s="4" t="s">
        <v>335</v>
      </c>
      <c r="G217" s="1">
        <v>0.13300000000000001</v>
      </c>
      <c r="H217" s="4" t="s">
        <v>112</v>
      </c>
      <c r="I217" s="4" t="s">
        <v>18</v>
      </c>
      <c r="J217" s="4" t="s">
        <v>431</v>
      </c>
      <c r="K217" s="4" t="s">
        <v>24</v>
      </c>
    </row>
    <row r="218" spans="1:11" x14ac:dyDescent="0.2">
      <c r="A218" s="4" t="s">
        <v>487</v>
      </c>
      <c r="B218" s="4" t="s">
        <v>488</v>
      </c>
      <c r="C218" s="4" t="s">
        <v>13</v>
      </c>
      <c r="D218" s="4" t="s">
        <v>429</v>
      </c>
      <c r="E218" s="4" t="s">
        <v>430</v>
      </c>
      <c r="F218" s="4" t="s">
        <v>335</v>
      </c>
      <c r="G218" s="1">
        <v>0</v>
      </c>
      <c r="H218" s="4" t="s">
        <v>254</v>
      </c>
      <c r="I218" s="4" t="s">
        <v>18</v>
      </c>
      <c r="J218" s="4" t="s">
        <v>431</v>
      </c>
      <c r="K218" s="4" t="s">
        <v>24</v>
      </c>
    </row>
    <row r="219" spans="1:11" x14ac:dyDescent="0.2">
      <c r="A219" s="4" t="s">
        <v>489</v>
      </c>
      <c r="B219" s="4" t="s">
        <v>490</v>
      </c>
      <c r="C219" s="4" t="s">
        <v>13</v>
      </c>
      <c r="D219" s="4" t="s">
        <v>429</v>
      </c>
      <c r="E219" s="4" t="s">
        <v>430</v>
      </c>
      <c r="F219" s="4" t="s">
        <v>335</v>
      </c>
      <c r="G219" s="1">
        <v>0.16700000000000001</v>
      </c>
      <c r="H219" s="4" t="s">
        <v>229</v>
      </c>
      <c r="I219" s="4" t="s">
        <v>18</v>
      </c>
      <c r="J219" s="4" t="s">
        <v>431</v>
      </c>
      <c r="K219" s="4" t="s">
        <v>24</v>
      </c>
    </row>
    <row r="220" spans="1:11" x14ac:dyDescent="0.2">
      <c r="A220" s="4" t="s">
        <v>491</v>
      </c>
      <c r="B220" s="4" t="s">
        <v>492</v>
      </c>
      <c r="C220" s="4" t="s">
        <v>13</v>
      </c>
      <c r="D220" s="4" t="s">
        <v>429</v>
      </c>
      <c r="E220" s="4" t="s">
        <v>430</v>
      </c>
      <c r="F220" s="4" t="s">
        <v>335</v>
      </c>
      <c r="G220" s="1">
        <v>0.16700000000000001</v>
      </c>
      <c r="H220" s="4" t="s">
        <v>229</v>
      </c>
      <c r="I220" s="4" t="s">
        <v>18</v>
      </c>
      <c r="J220" s="4" t="s">
        <v>431</v>
      </c>
      <c r="K220" s="4" t="s">
        <v>24</v>
      </c>
    </row>
    <row r="221" spans="1:11" x14ac:dyDescent="0.2">
      <c r="A221" s="4" t="s">
        <v>493</v>
      </c>
      <c r="B221" s="4" t="s">
        <v>494</v>
      </c>
      <c r="C221" s="4" t="s">
        <v>13</v>
      </c>
      <c r="D221" s="4" t="s">
        <v>429</v>
      </c>
      <c r="E221" s="4" t="s">
        <v>430</v>
      </c>
      <c r="F221" s="4" t="s">
        <v>335</v>
      </c>
      <c r="G221" s="1">
        <v>0</v>
      </c>
      <c r="H221" s="4" t="s">
        <v>254</v>
      </c>
      <c r="I221" s="4" t="s">
        <v>18</v>
      </c>
      <c r="J221" s="4" t="s">
        <v>431</v>
      </c>
      <c r="K221" s="4" t="s">
        <v>24</v>
      </c>
    </row>
    <row r="222" spans="1:11" x14ac:dyDescent="0.2">
      <c r="A222" s="4" t="s">
        <v>495</v>
      </c>
      <c r="B222" s="4" t="s">
        <v>496</v>
      </c>
      <c r="C222" s="4" t="s">
        <v>13</v>
      </c>
      <c r="D222" s="4" t="s">
        <v>429</v>
      </c>
      <c r="E222" s="4" t="s">
        <v>430</v>
      </c>
      <c r="F222" s="4" t="s">
        <v>335</v>
      </c>
      <c r="G222" s="1">
        <v>0.16700000000000001</v>
      </c>
      <c r="H222" s="4" t="s">
        <v>229</v>
      </c>
      <c r="I222" s="4" t="s">
        <v>18</v>
      </c>
      <c r="J222" s="4" t="s">
        <v>431</v>
      </c>
      <c r="K222" s="4" t="s">
        <v>24</v>
      </c>
    </row>
    <row r="223" spans="1:11" x14ac:dyDescent="0.2">
      <c r="A223" s="4" t="s">
        <v>497</v>
      </c>
      <c r="B223" s="4" t="s">
        <v>498</v>
      </c>
      <c r="C223" s="4" t="s">
        <v>13</v>
      </c>
      <c r="D223" s="4" t="s">
        <v>429</v>
      </c>
      <c r="E223" s="4" t="s">
        <v>430</v>
      </c>
      <c r="F223" s="4" t="s">
        <v>335</v>
      </c>
      <c r="G223" s="1">
        <v>0.13300000000000001</v>
      </c>
      <c r="H223" s="4" t="s">
        <v>112</v>
      </c>
      <c r="I223" s="4" t="s">
        <v>18</v>
      </c>
      <c r="J223" s="4" t="s">
        <v>431</v>
      </c>
      <c r="K223" s="4" t="s">
        <v>24</v>
      </c>
    </row>
    <row r="224" spans="1:11" x14ac:dyDescent="0.2">
      <c r="A224" s="4" t="s">
        <v>499</v>
      </c>
      <c r="B224" s="4" t="s">
        <v>500</v>
      </c>
      <c r="C224" s="4" t="s">
        <v>13</v>
      </c>
      <c r="D224" s="4" t="s">
        <v>429</v>
      </c>
      <c r="E224" s="4" t="s">
        <v>430</v>
      </c>
      <c r="F224" s="4" t="s">
        <v>335</v>
      </c>
      <c r="G224" s="1">
        <v>0.16700000000000001</v>
      </c>
      <c r="H224" s="4" t="s">
        <v>229</v>
      </c>
      <c r="I224" s="4" t="s">
        <v>18</v>
      </c>
      <c r="J224" s="4" t="s">
        <v>431</v>
      </c>
      <c r="K224" s="4" t="s">
        <v>24</v>
      </c>
    </row>
    <row r="225" spans="1:11" x14ac:dyDescent="0.2">
      <c r="A225" s="4" t="s">
        <v>501</v>
      </c>
      <c r="B225" s="4" t="s">
        <v>502</v>
      </c>
      <c r="C225" s="4" t="s">
        <v>13</v>
      </c>
      <c r="D225" s="4" t="s">
        <v>429</v>
      </c>
      <c r="E225" s="4" t="s">
        <v>430</v>
      </c>
      <c r="F225" s="4" t="s">
        <v>335</v>
      </c>
      <c r="G225" s="1">
        <v>0.16700000000000001</v>
      </c>
      <c r="H225" s="4" t="s">
        <v>229</v>
      </c>
      <c r="I225" s="4" t="s">
        <v>18</v>
      </c>
      <c r="J225" s="4" t="s">
        <v>431</v>
      </c>
      <c r="K225" s="4" t="s">
        <v>24</v>
      </c>
    </row>
    <row r="226" spans="1:11" x14ac:dyDescent="0.2">
      <c r="A226" s="4" t="s">
        <v>503</v>
      </c>
      <c r="B226" s="4" t="s">
        <v>504</v>
      </c>
      <c r="C226" s="4" t="s">
        <v>13</v>
      </c>
      <c r="D226" s="4" t="s">
        <v>429</v>
      </c>
      <c r="E226" s="4" t="s">
        <v>430</v>
      </c>
      <c r="F226" s="4" t="s">
        <v>335</v>
      </c>
      <c r="G226" s="1">
        <v>0.16700000000000001</v>
      </c>
      <c r="H226" s="4" t="s">
        <v>229</v>
      </c>
      <c r="I226" s="4" t="s">
        <v>18</v>
      </c>
      <c r="J226" s="4" t="s">
        <v>431</v>
      </c>
      <c r="K226" s="4" t="s">
        <v>24</v>
      </c>
    </row>
    <row r="227" spans="1:11" x14ac:dyDescent="0.2">
      <c r="A227" s="4" t="s">
        <v>505</v>
      </c>
      <c r="B227" s="4" t="s">
        <v>506</v>
      </c>
      <c r="C227" s="4" t="s">
        <v>13</v>
      </c>
      <c r="D227" s="4" t="s">
        <v>429</v>
      </c>
      <c r="E227" s="4" t="s">
        <v>430</v>
      </c>
      <c r="F227" s="4" t="s">
        <v>335</v>
      </c>
      <c r="G227" s="1">
        <v>0.16700000000000001</v>
      </c>
      <c r="H227" s="4" t="s">
        <v>229</v>
      </c>
      <c r="I227" s="4" t="s">
        <v>18</v>
      </c>
      <c r="J227" s="4" t="s">
        <v>431</v>
      </c>
      <c r="K227" s="4" t="s">
        <v>233</v>
      </c>
    </row>
    <row r="228" spans="1:11" x14ac:dyDescent="0.2">
      <c r="A228" s="4" t="s">
        <v>507</v>
      </c>
      <c r="B228" s="4" t="s">
        <v>508</v>
      </c>
      <c r="C228" s="4" t="s">
        <v>13</v>
      </c>
      <c r="D228" s="4" t="s">
        <v>429</v>
      </c>
      <c r="E228" s="4" t="s">
        <v>430</v>
      </c>
      <c r="F228" s="4" t="s">
        <v>335</v>
      </c>
      <c r="G228" s="1">
        <v>0.16700000000000001</v>
      </c>
      <c r="H228" s="4" t="s">
        <v>229</v>
      </c>
      <c r="I228" s="4" t="s">
        <v>18</v>
      </c>
      <c r="J228" s="4" t="s">
        <v>431</v>
      </c>
      <c r="K228" s="4" t="s">
        <v>426</v>
      </c>
    </row>
    <row r="229" spans="1:11" x14ac:dyDescent="0.2">
      <c r="A229" s="4" t="s">
        <v>509</v>
      </c>
      <c r="B229" s="4" t="s">
        <v>510</v>
      </c>
      <c r="C229" s="4" t="s">
        <v>13</v>
      </c>
      <c r="D229" s="4" t="s">
        <v>429</v>
      </c>
      <c r="E229" s="4" t="s">
        <v>430</v>
      </c>
      <c r="F229" s="4" t="s">
        <v>335</v>
      </c>
      <c r="G229" s="1">
        <v>0.16700000000000001</v>
      </c>
      <c r="H229" s="4" t="s">
        <v>229</v>
      </c>
      <c r="I229" s="4" t="s">
        <v>18</v>
      </c>
      <c r="J229" s="4" t="s">
        <v>431</v>
      </c>
      <c r="K229" s="4" t="s">
        <v>511</v>
      </c>
    </row>
    <row r="230" spans="1:11" x14ac:dyDescent="0.2">
      <c r="A230" s="4" t="s">
        <v>378</v>
      </c>
      <c r="B230" s="4" t="s">
        <v>379</v>
      </c>
      <c r="C230" s="4" t="s">
        <v>13</v>
      </c>
      <c r="D230" s="4" t="s">
        <v>429</v>
      </c>
      <c r="E230" s="4" t="s">
        <v>430</v>
      </c>
      <c r="F230" s="4" t="s">
        <v>335</v>
      </c>
      <c r="G230" s="1">
        <v>0.1</v>
      </c>
      <c r="H230" s="4" t="s">
        <v>380</v>
      </c>
      <c r="I230" s="4" t="s">
        <v>18</v>
      </c>
      <c r="J230" s="4" t="s">
        <v>431</v>
      </c>
      <c r="K230" s="4" t="s">
        <v>24</v>
      </c>
    </row>
    <row r="231" spans="1:11" x14ac:dyDescent="0.2">
      <c r="A231" s="4" t="s">
        <v>512</v>
      </c>
      <c r="B231" s="4" t="s">
        <v>513</v>
      </c>
      <c r="C231" s="4" t="s">
        <v>13</v>
      </c>
      <c r="D231" s="4" t="s">
        <v>514</v>
      </c>
      <c r="E231" s="4" t="s">
        <v>515</v>
      </c>
      <c r="F231" s="4" t="s">
        <v>516</v>
      </c>
      <c r="G231" s="1">
        <v>6.7000000000000004E-2</v>
      </c>
      <c r="H231" s="4" t="s">
        <v>166</v>
      </c>
      <c r="I231" s="4" t="s">
        <v>18</v>
      </c>
      <c r="J231" s="4" t="s">
        <v>337</v>
      </c>
      <c r="K231" s="4" t="s">
        <v>114</v>
      </c>
    </row>
    <row r="232" spans="1:11" x14ac:dyDescent="0.2">
      <c r="A232" s="4" t="s">
        <v>517</v>
      </c>
      <c r="B232" s="4" t="s">
        <v>518</v>
      </c>
      <c r="C232" s="4" t="s">
        <v>13</v>
      </c>
      <c r="D232" s="4" t="s">
        <v>514</v>
      </c>
      <c r="E232" s="4" t="s">
        <v>515</v>
      </c>
      <c r="F232" s="4" t="s">
        <v>516</v>
      </c>
      <c r="G232" s="1">
        <v>6.7000000000000004E-2</v>
      </c>
      <c r="H232" s="4" t="s">
        <v>166</v>
      </c>
      <c r="I232" s="4" t="s">
        <v>18</v>
      </c>
      <c r="J232" s="4" t="s">
        <v>337</v>
      </c>
      <c r="K232" s="4" t="s">
        <v>114</v>
      </c>
    </row>
    <row r="233" spans="1:11" x14ac:dyDescent="0.2">
      <c r="A233" s="4" t="s">
        <v>519</v>
      </c>
      <c r="B233" s="4" t="s">
        <v>520</v>
      </c>
      <c r="C233" s="4" t="s">
        <v>13</v>
      </c>
      <c r="D233" s="4" t="s">
        <v>514</v>
      </c>
      <c r="E233" s="4" t="s">
        <v>515</v>
      </c>
      <c r="F233" s="4" t="s">
        <v>516</v>
      </c>
      <c r="G233" s="1">
        <v>6.7000000000000004E-2</v>
      </c>
      <c r="H233" s="4" t="s">
        <v>166</v>
      </c>
      <c r="I233" s="4" t="s">
        <v>18</v>
      </c>
      <c r="J233" s="4" t="s">
        <v>337</v>
      </c>
      <c r="K233" s="4" t="s">
        <v>521</v>
      </c>
    </row>
    <row r="234" spans="1:11" x14ac:dyDescent="0.2">
      <c r="A234" s="4" t="s">
        <v>522</v>
      </c>
      <c r="B234" s="4" t="s">
        <v>523</v>
      </c>
      <c r="C234" s="4" t="s">
        <v>13</v>
      </c>
      <c r="D234" s="4" t="s">
        <v>514</v>
      </c>
      <c r="E234" s="4" t="s">
        <v>515</v>
      </c>
      <c r="F234" s="4" t="s">
        <v>516</v>
      </c>
      <c r="G234" s="1">
        <v>3.3000000000000002E-2</v>
      </c>
      <c r="H234" s="4" t="s">
        <v>225</v>
      </c>
      <c r="I234" s="4" t="s">
        <v>18</v>
      </c>
      <c r="J234" s="4" t="s">
        <v>337</v>
      </c>
      <c r="K234" s="4" t="s">
        <v>521</v>
      </c>
    </row>
    <row r="235" spans="1:11" x14ac:dyDescent="0.2">
      <c r="A235" s="4" t="s">
        <v>524</v>
      </c>
      <c r="B235" s="4" t="s">
        <v>525</v>
      </c>
      <c r="C235" s="4" t="s">
        <v>13</v>
      </c>
      <c r="D235" s="4" t="s">
        <v>514</v>
      </c>
      <c r="E235" s="4" t="s">
        <v>515</v>
      </c>
      <c r="F235" s="4" t="s">
        <v>516</v>
      </c>
      <c r="G235" s="1">
        <v>3.3000000000000002E-2</v>
      </c>
      <c r="H235" s="4" t="s">
        <v>225</v>
      </c>
      <c r="I235" s="4" t="s">
        <v>18</v>
      </c>
      <c r="J235" s="4" t="s">
        <v>337</v>
      </c>
      <c r="K235" s="4" t="s">
        <v>24</v>
      </c>
    </row>
    <row r="236" spans="1:11" x14ac:dyDescent="0.2">
      <c r="A236" s="4" t="s">
        <v>526</v>
      </c>
      <c r="B236" s="4" t="s">
        <v>527</v>
      </c>
      <c r="C236" s="4" t="s">
        <v>13</v>
      </c>
      <c r="D236" s="4" t="s">
        <v>514</v>
      </c>
      <c r="E236" s="4" t="s">
        <v>515</v>
      </c>
      <c r="F236" s="4" t="s">
        <v>516</v>
      </c>
      <c r="G236" s="1">
        <v>3.3000000000000002E-2</v>
      </c>
      <c r="H236" s="4" t="s">
        <v>225</v>
      </c>
      <c r="I236" s="4" t="s">
        <v>18</v>
      </c>
      <c r="J236" s="4" t="s">
        <v>337</v>
      </c>
      <c r="K236" s="4" t="s">
        <v>24</v>
      </c>
    </row>
    <row r="237" spans="1:11" x14ac:dyDescent="0.2">
      <c r="A237" s="4" t="s">
        <v>528</v>
      </c>
      <c r="B237" s="4" t="s">
        <v>529</v>
      </c>
      <c r="C237" s="4" t="s">
        <v>13</v>
      </c>
      <c r="D237" s="4" t="s">
        <v>514</v>
      </c>
      <c r="E237" s="4" t="s">
        <v>515</v>
      </c>
      <c r="F237" s="4" t="s">
        <v>516</v>
      </c>
      <c r="G237" s="1">
        <v>0</v>
      </c>
      <c r="H237" s="4" t="s">
        <v>254</v>
      </c>
      <c r="I237" s="4" t="s">
        <v>18</v>
      </c>
      <c r="J237" s="4" t="s">
        <v>337</v>
      </c>
      <c r="K237" s="4" t="s">
        <v>24</v>
      </c>
    </row>
    <row r="238" spans="1:11" x14ac:dyDescent="0.2">
      <c r="A238" s="4" t="s">
        <v>530</v>
      </c>
      <c r="B238" s="4" t="s">
        <v>531</v>
      </c>
      <c r="C238" s="4" t="s">
        <v>13</v>
      </c>
      <c r="D238" s="4" t="s">
        <v>514</v>
      </c>
      <c r="E238" s="4" t="s">
        <v>515</v>
      </c>
      <c r="F238" s="4" t="s">
        <v>516</v>
      </c>
      <c r="G238" s="1">
        <v>6.7000000000000004E-2</v>
      </c>
      <c r="H238" s="4" t="s">
        <v>166</v>
      </c>
      <c r="I238" s="4" t="s">
        <v>18</v>
      </c>
      <c r="J238" s="4" t="s">
        <v>337</v>
      </c>
      <c r="K238" s="4" t="s">
        <v>24</v>
      </c>
    </row>
    <row r="239" spans="1:11" x14ac:dyDescent="0.2">
      <c r="A239" s="4" t="s">
        <v>532</v>
      </c>
      <c r="B239" s="4" t="s">
        <v>533</v>
      </c>
      <c r="C239" s="4" t="s">
        <v>13</v>
      </c>
      <c r="D239" s="4" t="s">
        <v>514</v>
      </c>
      <c r="E239" s="4" t="s">
        <v>515</v>
      </c>
      <c r="F239" s="4" t="s">
        <v>516</v>
      </c>
      <c r="G239" s="1">
        <v>0</v>
      </c>
      <c r="H239" s="4" t="s">
        <v>254</v>
      </c>
      <c r="I239" s="4" t="s">
        <v>18</v>
      </c>
      <c r="J239" s="4" t="s">
        <v>337</v>
      </c>
      <c r="K239" s="4" t="s">
        <v>24</v>
      </c>
    </row>
    <row r="240" spans="1:11" x14ac:dyDescent="0.2">
      <c r="A240" s="4" t="s">
        <v>534</v>
      </c>
      <c r="B240" s="4" t="s">
        <v>535</v>
      </c>
      <c r="C240" s="4" t="s">
        <v>13</v>
      </c>
      <c r="D240" s="4" t="s">
        <v>514</v>
      </c>
      <c r="E240" s="4" t="s">
        <v>515</v>
      </c>
      <c r="F240" s="4" t="s">
        <v>516</v>
      </c>
      <c r="G240" s="1">
        <v>6.7000000000000004E-2</v>
      </c>
      <c r="H240" s="4" t="s">
        <v>166</v>
      </c>
      <c r="I240" s="4" t="s">
        <v>18</v>
      </c>
      <c r="J240" s="4" t="s">
        <v>337</v>
      </c>
      <c r="K240" s="4" t="s">
        <v>24</v>
      </c>
    </row>
    <row r="241" spans="1:11" x14ac:dyDescent="0.2">
      <c r="A241" s="4" t="s">
        <v>536</v>
      </c>
      <c r="B241" s="4" t="s">
        <v>537</v>
      </c>
      <c r="C241" s="4" t="s">
        <v>13</v>
      </c>
      <c r="D241" s="4" t="s">
        <v>514</v>
      </c>
      <c r="E241" s="4" t="s">
        <v>515</v>
      </c>
      <c r="F241" s="4" t="s">
        <v>516</v>
      </c>
      <c r="G241" s="1">
        <v>6.7000000000000004E-2</v>
      </c>
      <c r="H241" s="4" t="s">
        <v>166</v>
      </c>
      <c r="I241" s="4" t="s">
        <v>18</v>
      </c>
      <c r="J241" s="4" t="s">
        <v>337</v>
      </c>
      <c r="K241" s="4" t="s">
        <v>24</v>
      </c>
    </row>
    <row r="242" spans="1:11" x14ac:dyDescent="0.2">
      <c r="A242" s="4" t="s">
        <v>538</v>
      </c>
      <c r="B242" s="4" t="s">
        <v>539</v>
      </c>
      <c r="C242" s="4" t="s">
        <v>13</v>
      </c>
      <c r="D242" s="4" t="s">
        <v>514</v>
      </c>
      <c r="E242" s="4" t="s">
        <v>515</v>
      </c>
      <c r="F242" s="4" t="s">
        <v>516</v>
      </c>
      <c r="G242" s="1">
        <v>6.7000000000000004E-2</v>
      </c>
      <c r="H242" s="4" t="s">
        <v>166</v>
      </c>
      <c r="I242" s="4" t="s">
        <v>18</v>
      </c>
      <c r="J242" s="4" t="s">
        <v>337</v>
      </c>
      <c r="K242" s="4" t="s">
        <v>24</v>
      </c>
    </row>
    <row r="243" spans="1:11" x14ac:dyDescent="0.2">
      <c r="A243" s="4" t="s">
        <v>540</v>
      </c>
      <c r="B243" s="4" t="s">
        <v>541</v>
      </c>
      <c r="C243" s="4" t="s">
        <v>13</v>
      </c>
      <c r="D243" s="4" t="s">
        <v>514</v>
      </c>
      <c r="E243" s="4" t="s">
        <v>515</v>
      </c>
      <c r="F243" s="4" t="s">
        <v>516</v>
      </c>
      <c r="G243" s="1">
        <v>6.7000000000000004E-2</v>
      </c>
      <c r="H243" s="4" t="s">
        <v>166</v>
      </c>
      <c r="I243" s="4" t="s">
        <v>18</v>
      </c>
      <c r="J243" s="4" t="s">
        <v>337</v>
      </c>
      <c r="K243" s="4" t="s">
        <v>24</v>
      </c>
    </row>
    <row r="244" spans="1:11" x14ac:dyDescent="0.2">
      <c r="A244" s="4" t="s">
        <v>542</v>
      </c>
      <c r="B244" s="4" t="s">
        <v>543</v>
      </c>
      <c r="C244" s="4" t="s">
        <v>13</v>
      </c>
      <c r="D244" s="4" t="s">
        <v>514</v>
      </c>
      <c r="E244" s="4" t="s">
        <v>515</v>
      </c>
      <c r="F244" s="4" t="s">
        <v>516</v>
      </c>
      <c r="G244" s="1">
        <v>6.7000000000000004E-2</v>
      </c>
      <c r="H244" s="4" t="s">
        <v>166</v>
      </c>
      <c r="I244" s="4" t="s">
        <v>18</v>
      </c>
      <c r="J244" s="4" t="s">
        <v>337</v>
      </c>
      <c r="K244" s="4" t="s">
        <v>24</v>
      </c>
    </row>
    <row r="245" spans="1:11" x14ac:dyDescent="0.2">
      <c r="A245" s="4" t="s">
        <v>544</v>
      </c>
      <c r="B245" s="4" t="s">
        <v>545</v>
      </c>
      <c r="C245" s="4" t="s">
        <v>13</v>
      </c>
      <c r="D245" s="4" t="s">
        <v>514</v>
      </c>
      <c r="E245" s="4" t="s">
        <v>515</v>
      </c>
      <c r="F245" s="4" t="s">
        <v>516</v>
      </c>
      <c r="G245" s="1">
        <v>0</v>
      </c>
      <c r="H245" s="4" t="s">
        <v>254</v>
      </c>
      <c r="I245" s="4" t="s">
        <v>18</v>
      </c>
      <c r="J245" s="4" t="s">
        <v>337</v>
      </c>
      <c r="K245" s="4" t="s">
        <v>24</v>
      </c>
    </row>
    <row r="246" spans="1:11" x14ac:dyDescent="0.2">
      <c r="A246" s="4" t="s">
        <v>546</v>
      </c>
      <c r="B246" s="4" t="s">
        <v>547</v>
      </c>
      <c r="C246" s="4" t="s">
        <v>13</v>
      </c>
      <c r="D246" s="4" t="s">
        <v>514</v>
      </c>
      <c r="E246" s="4" t="s">
        <v>515</v>
      </c>
      <c r="F246" s="4" t="s">
        <v>516</v>
      </c>
      <c r="G246" s="1">
        <v>6.7000000000000004E-2</v>
      </c>
      <c r="H246" s="4" t="s">
        <v>166</v>
      </c>
      <c r="I246" s="4" t="s">
        <v>18</v>
      </c>
      <c r="J246" s="4" t="s">
        <v>337</v>
      </c>
      <c r="K246" s="4" t="s">
        <v>24</v>
      </c>
    </row>
    <row r="247" spans="1:11" x14ac:dyDescent="0.2">
      <c r="A247" s="4" t="s">
        <v>548</v>
      </c>
      <c r="B247" s="4" t="s">
        <v>549</v>
      </c>
      <c r="C247" s="4" t="s">
        <v>13</v>
      </c>
      <c r="D247" s="4" t="s">
        <v>514</v>
      </c>
      <c r="E247" s="4" t="s">
        <v>515</v>
      </c>
      <c r="F247" s="4" t="s">
        <v>516</v>
      </c>
      <c r="G247" s="1">
        <v>6.7000000000000004E-2</v>
      </c>
      <c r="H247" s="4" t="s">
        <v>166</v>
      </c>
      <c r="I247" s="4" t="s">
        <v>18</v>
      </c>
      <c r="J247" s="4" t="s">
        <v>337</v>
      </c>
      <c r="K247" s="4" t="s">
        <v>24</v>
      </c>
    </row>
    <row r="248" spans="1:11" x14ac:dyDescent="0.2">
      <c r="A248" s="4" t="s">
        <v>550</v>
      </c>
      <c r="B248" s="4" t="s">
        <v>551</v>
      </c>
      <c r="C248" s="4" t="s">
        <v>13</v>
      </c>
      <c r="D248" s="4" t="s">
        <v>514</v>
      </c>
      <c r="E248" s="4" t="s">
        <v>515</v>
      </c>
      <c r="F248" s="4" t="s">
        <v>516</v>
      </c>
      <c r="G248" s="1">
        <v>0</v>
      </c>
      <c r="H248" s="4" t="s">
        <v>254</v>
      </c>
      <c r="I248" s="4" t="s">
        <v>18</v>
      </c>
      <c r="J248" s="4" t="s">
        <v>337</v>
      </c>
      <c r="K248" s="4" t="s">
        <v>24</v>
      </c>
    </row>
    <row r="249" spans="1:11" x14ac:dyDescent="0.2">
      <c r="A249" s="4" t="s">
        <v>552</v>
      </c>
      <c r="B249" s="4" t="s">
        <v>553</v>
      </c>
      <c r="C249" s="4" t="s">
        <v>13</v>
      </c>
      <c r="D249" s="4" t="s">
        <v>514</v>
      </c>
      <c r="E249" s="4" t="s">
        <v>515</v>
      </c>
      <c r="F249" s="4" t="s">
        <v>516</v>
      </c>
      <c r="G249" s="1">
        <v>6.7000000000000004E-2</v>
      </c>
      <c r="H249" s="4" t="s">
        <v>166</v>
      </c>
      <c r="I249" s="4" t="s">
        <v>18</v>
      </c>
      <c r="J249" s="4" t="s">
        <v>337</v>
      </c>
      <c r="K249" s="4" t="s">
        <v>24</v>
      </c>
    </row>
    <row r="250" spans="1:11" x14ac:dyDescent="0.2">
      <c r="A250" s="4" t="s">
        <v>554</v>
      </c>
      <c r="B250" s="4" t="s">
        <v>555</v>
      </c>
      <c r="C250" s="4" t="s">
        <v>13</v>
      </c>
      <c r="D250" s="4" t="s">
        <v>514</v>
      </c>
      <c r="E250" s="4" t="s">
        <v>515</v>
      </c>
      <c r="F250" s="4" t="s">
        <v>516</v>
      </c>
      <c r="G250" s="1">
        <v>6.7000000000000004E-2</v>
      </c>
      <c r="H250" s="4" t="s">
        <v>166</v>
      </c>
      <c r="I250" s="4" t="s">
        <v>18</v>
      </c>
      <c r="J250" s="4" t="s">
        <v>337</v>
      </c>
      <c r="K250" s="4" t="s">
        <v>120</v>
      </c>
    </row>
    <row r="251" spans="1:11" x14ac:dyDescent="0.2">
      <c r="A251" s="4" t="s">
        <v>556</v>
      </c>
      <c r="B251" s="4" t="s">
        <v>557</v>
      </c>
      <c r="C251" s="4" t="s">
        <v>13</v>
      </c>
      <c r="D251" s="4" t="s">
        <v>514</v>
      </c>
      <c r="E251" s="4" t="s">
        <v>515</v>
      </c>
      <c r="F251" s="4" t="s">
        <v>516</v>
      </c>
      <c r="G251" s="1">
        <v>6.7000000000000004E-2</v>
      </c>
      <c r="H251" s="4" t="s">
        <v>166</v>
      </c>
      <c r="I251" s="4" t="s">
        <v>18</v>
      </c>
      <c r="J251" s="4" t="s">
        <v>337</v>
      </c>
      <c r="K251" s="4" t="s">
        <v>24</v>
      </c>
    </row>
    <row r="252" spans="1:11" x14ac:dyDescent="0.2">
      <c r="A252" s="4" t="s">
        <v>558</v>
      </c>
      <c r="B252" s="4" t="s">
        <v>559</v>
      </c>
      <c r="C252" s="4" t="s">
        <v>13</v>
      </c>
      <c r="D252" s="4" t="s">
        <v>514</v>
      </c>
      <c r="E252" s="4" t="s">
        <v>515</v>
      </c>
      <c r="F252" s="4" t="s">
        <v>516</v>
      </c>
      <c r="G252" s="1">
        <v>6.7000000000000004E-2</v>
      </c>
      <c r="H252" s="4" t="s">
        <v>166</v>
      </c>
      <c r="I252" s="4" t="s">
        <v>18</v>
      </c>
      <c r="J252" s="4" t="s">
        <v>337</v>
      </c>
      <c r="K252" s="4" t="s">
        <v>24</v>
      </c>
    </row>
    <row r="253" spans="1:11" x14ac:dyDescent="0.2">
      <c r="A253" s="4" t="s">
        <v>560</v>
      </c>
      <c r="B253" s="4" t="s">
        <v>561</v>
      </c>
      <c r="C253" s="4" t="s">
        <v>13</v>
      </c>
      <c r="D253" s="4" t="s">
        <v>514</v>
      </c>
      <c r="E253" s="4" t="s">
        <v>515</v>
      </c>
      <c r="F253" s="4" t="s">
        <v>516</v>
      </c>
      <c r="G253" s="1">
        <v>3.3000000000000002E-2</v>
      </c>
      <c r="H253" s="4" t="s">
        <v>225</v>
      </c>
      <c r="I253" s="4" t="s">
        <v>18</v>
      </c>
      <c r="J253" s="4" t="s">
        <v>337</v>
      </c>
      <c r="K253" s="4" t="s">
        <v>24</v>
      </c>
    </row>
    <row r="254" spans="1:11" x14ac:dyDescent="0.2">
      <c r="A254" s="4" t="s">
        <v>562</v>
      </c>
      <c r="B254" s="4" t="s">
        <v>563</v>
      </c>
      <c r="C254" s="4" t="s">
        <v>13</v>
      </c>
      <c r="D254" s="4" t="s">
        <v>514</v>
      </c>
      <c r="E254" s="4" t="s">
        <v>515</v>
      </c>
      <c r="F254" s="4" t="s">
        <v>516</v>
      </c>
      <c r="G254" s="1">
        <v>0</v>
      </c>
      <c r="H254" s="4" t="s">
        <v>254</v>
      </c>
      <c r="I254" s="4" t="s">
        <v>18</v>
      </c>
      <c r="J254" s="4" t="s">
        <v>337</v>
      </c>
      <c r="K254" s="4" t="s">
        <v>24</v>
      </c>
    </row>
    <row r="255" spans="1:11" x14ac:dyDescent="0.2">
      <c r="A255" s="4" t="s">
        <v>564</v>
      </c>
      <c r="B255" s="4" t="s">
        <v>565</v>
      </c>
      <c r="C255" s="4" t="s">
        <v>13</v>
      </c>
      <c r="D255" s="4" t="s">
        <v>514</v>
      </c>
      <c r="E255" s="4" t="s">
        <v>515</v>
      </c>
      <c r="F255" s="4" t="s">
        <v>516</v>
      </c>
      <c r="G255" s="1">
        <v>3.3000000000000002E-2</v>
      </c>
      <c r="H255" s="4" t="s">
        <v>225</v>
      </c>
      <c r="I255" s="4" t="s">
        <v>18</v>
      </c>
      <c r="J255" s="4" t="s">
        <v>337</v>
      </c>
      <c r="K255" s="4" t="s">
        <v>24</v>
      </c>
    </row>
    <row r="256" spans="1:11" x14ac:dyDescent="0.2">
      <c r="A256" s="4" t="s">
        <v>566</v>
      </c>
      <c r="B256" s="4" t="s">
        <v>567</v>
      </c>
      <c r="C256" s="4" t="s">
        <v>13</v>
      </c>
      <c r="D256" s="4" t="s">
        <v>514</v>
      </c>
      <c r="E256" s="4" t="s">
        <v>515</v>
      </c>
      <c r="F256" s="4" t="s">
        <v>516</v>
      </c>
      <c r="G256" s="1">
        <v>6.7000000000000004E-2</v>
      </c>
      <c r="H256" s="4" t="s">
        <v>166</v>
      </c>
      <c r="I256" s="4" t="s">
        <v>18</v>
      </c>
      <c r="J256" s="4" t="s">
        <v>337</v>
      </c>
      <c r="K256" s="4" t="s">
        <v>24</v>
      </c>
    </row>
    <row r="257" spans="1:11" x14ac:dyDescent="0.2">
      <c r="A257" s="4" t="s">
        <v>568</v>
      </c>
      <c r="B257" s="4" t="s">
        <v>569</v>
      </c>
      <c r="C257" s="4" t="s">
        <v>13</v>
      </c>
      <c r="D257" s="4" t="s">
        <v>514</v>
      </c>
      <c r="E257" s="4" t="s">
        <v>515</v>
      </c>
      <c r="F257" s="4" t="s">
        <v>516</v>
      </c>
      <c r="G257" s="1">
        <v>6.7000000000000004E-2</v>
      </c>
      <c r="H257" s="4" t="s">
        <v>166</v>
      </c>
      <c r="I257" s="4" t="s">
        <v>18</v>
      </c>
      <c r="J257" s="4" t="s">
        <v>337</v>
      </c>
      <c r="K257" s="4" t="s">
        <v>24</v>
      </c>
    </row>
    <row r="258" spans="1:11" x14ac:dyDescent="0.2">
      <c r="A258" s="4" t="s">
        <v>570</v>
      </c>
      <c r="B258" s="4" t="s">
        <v>571</v>
      </c>
      <c r="C258" s="4" t="s">
        <v>13</v>
      </c>
      <c r="D258" s="4" t="s">
        <v>514</v>
      </c>
      <c r="E258" s="4" t="s">
        <v>515</v>
      </c>
      <c r="F258" s="4" t="s">
        <v>516</v>
      </c>
      <c r="G258" s="1">
        <v>6.7000000000000004E-2</v>
      </c>
      <c r="H258" s="4" t="s">
        <v>166</v>
      </c>
      <c r="I258" s="4" t="s">
        <v>18</v>
      </c>
      <c r="J258" s="4" t="s">
        <v>337</v>
      </c>
      <c r="K258" s="4" t="s">
        <v>24</v>
      </c>
    </row>
    <row r="259" spans="1:11" x14ac:dyDescent="0.2">
      <c r="A259" s="4" t="s">
        <v>572</v>
      </c>
      <c r="B259" s="4" t="s">
        <v>573</v>
      </c>
      <c r="C259" s="4" t="s">
        <v>13</v>
      </c>
      <c r="D259" s="4" t="s">
        <v>514</v>
      </c>
      <c r="E259" s="4" t="s">
        <v>515</v>
      </c>
      <c r="F259" s="4" t="s">
        <v>516</v>
      </c>
      <c r="G259" s="1">
        <v>6.7000000000000004E-2</v>
      </c>
      <c r="H259" s="4" t="s">
        <v>166</v>
      </c>
      <c r="I259" s="4" t="s">
        <v>18</v>
      </c>
      <c r="J259" s="4" t="s">
        <v>337</v>
      </c>
      <c r="K259" s="4" t="s">
        <v>120</v>
      </c>
    </row>
    <row r="260" spans="1:11" x14ac:dyDescent="0.2">
      <c r="A260" s="4" t="s">
        <v>574</v>
      </c>
      <c r="B260" s="4" t="s">
        <v>575</v>
      </c>
      <c r="C260" s="4" t="s">
        <v>13</v>
      </c>
      <c r="D260" s="4" t="s">
        <v>514</v>
      </c>
      <c r="E260" s="4" t="s">
        <v>515</v>
      </c>
      <c r="F260" s="4" t="s">
        <v>516</v>
      </c>
      <c r="G260" s="1">
        <v>3.3000000000000002E-2</v>
      </c>
      <c r="H260" s="4" t="s">
        <v>225</v>
      </c>
      <c r="I260" s="4" t="s">
        <v>18</v>
      </c>
      <c r="J260" s="4" t="s">
        <v>337</v>
      </c>
      <c r="K260" s="4" t="s">
        <v>419</v>
      </c>
    </row>
    <row r="261" spans="1:11" x14ac:dyDescent="0.2">
      <c r="A261" s="4" t="s">
        <v>576</v>
      </c>
      <c r="B261" s="4" t="s">
        <v>577</v>
      </c>
      <c r="C261" s="4" t="s">
        <v>13</v>
      </c>
      <c r="D261" s="4" t="s">
        <v>514</v>
      </c>
      <c r="E261" s="4" t="s">
        <v>515</v>
      </c>
      <c r="F261" s="4" t="s">
        <v>516</v>
      </c>
      <c r="G261" s="1">
        <v>1.7000000000000001E-2</v>
      </c>
      <c r="H261" s="4" t="s">
        <v>578</v>
      </c>
      <c r="I261" s="4" t="s">
        <v>18</v>
      </c>
      <c r="J261" s="4" t="s">
        <v>337</v>
      </c>
      <c r="K261" s="4" t="s">
        <v>426</v>
      </c>
    </row>
    <row r="262" spans="1:11" x14ac:dyDescent="0.2">
      <c r="A262" s="4" t="s">
        <v>579</v>
      </c>
      <c r="B262" s="4" t="s">
        <v>580</v>
      </c>
      <c r="C262" s="4" t="s">
        <v>13</v>
      </c>
      <c r="D262" s="4" t="s">
        <v>581</v>
      </c>
      <c r="E262" s="4" t="s">
        <v>582</v>
      </c>
      <c r="F262" s="4" t="s">
        <v>516</v>
      </c>
      <c r="G262" s="1">
        <v>6.7000000000000004E-2</v>
      </c>
      <c r="H262" s="4" t="s">
        <v>166</v>
      </c>
      <c r="I262" s="4" t="s">
        <v>18</v>
      </c>
      <c r="J262" s="4" t="s">
        <v>113</v>
      </c>
      <c r="K262" s="4" t="s">
        <v>24</v>
      </c>
    </row>
    <row r="263" spans="1:11" x14ac:dyDescent="0.2">
      <c r="A263" s="4" t="s">
        <v>583</v>
      </c>
      <c r="B263" s="4" t="s">
        <v>584</v>
      </c>
      <c r="C263" s="4" t="s">
        <v>13</v>
      </c>
      <c r="D263" s="4" t="s">
        <v>581</v>
      </c>
      <c r="E263" s="4" t="s">
        <v>582</v>
      </c>
      <c r="F263" s="4" t="s">
        <v>516</v>
      </c>
      <c r="G263" s="1">
        <v>6.7000000000000004E-2</v>
      </c>
      <c r="H263" s="4" t="s">
        <v>166</v>
      </c>
      <c r="I263" s="4" t="s">
        <v>18</v>
      </c>
      <c r="J263" s="4" t="s">
        <v>113</v>
      </c>
      <c r="K263" s="4" t="s">
        <v>24</v>
      </c>
    </row>
    <row r="264" spans="1:11" x14ac:dyDescent="0.2">
      <c r="A264" s="4" t="s">
        <v>585</v>
      </c>
      <c r="B264" s="4" t="s">
        <v>586</v>
      </c>
      <c r="C264" s="4" t="s">
        <v>13</v>
      </c>
      <c r="D264" s="4" t="s">
        <v>581</v>
      </c>
      <c r="E264" s="4" t="s">
        <v>582</v>
      </c>
      <c r="F264" s="4" t="s">
        <v>516</v>
      </c>
      <c r="G264" s="1">
        <v>6.7000000000000004E-2</v>
      </c>
      <c r="H264" s="4" t="s">
        <v>166</v>
      </c>
      <c r="I264" s="4" t="s">
        <v>18</v>
      </c>
      <c r="J264" s="4" t="s">
        <v>113</v>
      </c>
      <c r="K264" s="4" t="s">
        <v>24</v>
      </c>
    </row>
    <row r="265" spans="1:11" x14ac:dyDescent="0.2">
      <c r="A265" s="4" t="s">
        <v>587</v>
      </c>
      <c r="B265" s="4" t="s">
        <v>588</v>
      </c>
      <c r="C265" s="4" t="s">
        <v>13</v>
      </c>
      <c r="D265" s="4" t="s">
        <v>581</v>
      </c>
      <c r="E265" s="4" t="s">
        <v>582</v>
      </c>
      <c r="F265" s="4" t="s">
        <v>516</v>
      </c>
      <c r="G265" s="1">
        <v>6.7000000000000004E-2</v>
      </c>
      <c r="H265" s="4" t="s">
        <v>166</v>
      </c>
      <c r="I265" s="4" t="s">
        <v>18</v>
      </c>
      <c r="J265" s="4" t="s">
        <v>113</v>
      </c>
      <c r="K265" s="4" t="s">
        <v>24</v>
      </c>
    </row>
    <row r="266" spans="1:11" x14ac:dyDescent="0.2">
      <c r="A266" s="4" t="s">
        <v>589</v>
      </c>
      <c r="B266" s="4" t="s">
        <v>590</v>
      </c>
      <c r="C266" s="4" t="s">
        <v>13</v>
      </c>
      <c r="D266" s="4" t="s">
        <v>581</v>
      </c>
      <c r="E266" s="4" t="s">
        <v>582</v>
      </c>
      <c r="F266" s="4" t="s">
        <v>516</v>
      </c>
      <c r="G266" s="1">
        <v>3.3000000000000002E-2</v>
      </c>
      <c r="H266" s="4" t="s">
        <v>225</v>
      </c>
      <c r="I266" s="4" t="s">
        <v>18</v>
      </c>
      <c r="J266" s="4" t="s">
        <v>113</v>
      </c>
      <c r="K266" s="4" t="s">
        <v>24</v>
      </c>
    </row>
    <row r="267" spans="1:11" x14ac:dyDescent="0.2">
      <c r="A267" s="4" t="s">
        <v>591</v>
      </c>
      <c r="B267" s="4" t="s">
        <v>592</v>
      </c>
      <c r="C267" s="4" t="s">
        <v>13</v>
      </c>
      <c r="D267" s="4" t="s">
        <v>581</v>
      </c>
      <c r="E267" s="4" t="s">
        <v>582</v>
      </c>
      <c r="F267" s="4" t="s">
        <v>516</v>
      </c>
      <c r="G267" s="1">
        <v>3.3000000000000002E-2</v>
      </c>
      <c r="H267" s="4" t="s">
        <v>225</v>
      </c>
      <c r="I267" s="4" t="s">
        <v>18</v>
      </c>
      <c r="J267" s="4" t="s">
        <v>113</v>
      </c>
      <c r="K267" s="4" t="s">
        <v>24</v>
      </c>
    </row>
    <row r="268" spans="1:11" x14ac:dyDescent="0.2">
      <c r="A268" s="4" t="s">
        <v>593</v>
      </c>
      <c r="B268" s="4" t="s">
        <v>594</v>
      </c>
      <c r="C268" s="4" t="s">
        <v>13</v>
      </c>
      <c r="D268" s="4" t="s">
        <v>581</v>
      </c>
      <c r="E268" s="4" t="s">
        <v>582</v>
      </c>
      <c r="F268" s="4" t="s">
        <v>516</v>
      </c>
      <c r="G268" s="1">
        <v>3.3000000000000002E-2</v>
      </c>
      <c r="H268" s="4" t="s">
        <v>225</v>
      </c>
      <c r="I268" s="4" t="s">
        <v>18</v>
      </c>
      <c r="J268" s="4" t="s">
        <v>113</v>
      </c>
      <c r="K268" s="4" t="s">
        <v>24</v>
      </c>
    </row>
    <row r="269" spans="1:11" x14ac:dyDescent="0.2">
      <c r="A269" s="4" t="s">
        <v>595</v>
      </c>
      <c r="B269" s="4" t="s">
        <v>596</v>
      </c>
      <c r="C269" s="4" t="s">
        <v>13</v>
      </c>
      <c r="D269" s="4" t="s">
        <v>581</v>
      </c>
      <c r="E269" s="4" t="s">
        <v>582</v>
      </c>
      <c r="F269" s="4" t="s">
        <v>516</v>
      </c>
      <c r="G269" s="1">
        <v>6.7000000000000004E-2</v>
      </c>
      <c r="H269" s="4" t="s">
        <v>166</v>
      </c>
      <c r="I269" s="4" t="s">
        <v>18</v>
      </c>
      <c r="J269" s="4" t="s">
        <v>113</v>
      </c>
      <c r="K269" s="4" t="s">
        <v>24</v>
      </c>
    </row>
    <row r="270" spans="1:11" x14ac:dyDescent="0.2">
      <c r="A270" s="4" t="s">
        <v>597</v>
      </c>
      <c r="B270" s="4" t="s">
        <v>598</v>
      </c>
      <c r="C270" s="4" t="s">
        <v>13</v>
      </c>
      <c r="D270" s="4" t="s">
        <v>581</v>
      </c>
      <c r="E270" s="4" t="s">
        <v>582</v>
      </c>
      <c r="F270" s="4" t="s">
        <v>516</v>
      </c>
      <c r="G270" s="1">
        <v>6.7000000000000004E-2</v>
      </c>
      <c r="H270" s="4" t="s">
        <v>166</v>
      </c>
      <c r="I270" s="4" t="s">
        <v>18</v>
      </c>
      <c r="J270" s="4" t="s">
        <v>113</v>
      </c>
      <c r="K270" s="4" t="s">
        <v>24</v>
      </c>
    </row>
    <row r="271" spans="1:11" x14ac:dyDescent="0.2">
      <c r="A271" s="4" t="s">
        <v>599</v>
      </c>
      <c r="B271" s="4" t="s">
        <v>600</v>
      </c>
      <c r="C271" s="4" t="s">
        <v>13</v>
      </c>
      <c r="D271" s="4" t="s">
        <v>581</v>
      </c>
      <c r="E271" s="4" t="s">
        <v>582</v>
      </c>
      <c r="F271" s="4" t="s">
        <v>516</v>
      </c>
      <c r="G271" s="1">
        <v>6.7000000000000004E-2</v>
      </c>
      <c r="H271" s="4" t="s">
        <v>166</v>
      </c>
      <c r="I271" s="4" t="s">
        <v>18</v>
      </c>
      <c r="J271" s="4" t="s">
        <v>113</v>
      </c>
      <c r="K271" s="4" t="s">
        <v>24</v>
      </c>
    </row>
    <row r="272" spans="1:11" x14ac:dyDescent="0.2">
      <c r="A272" s="4" t="s">
        <v>601</v>
      </c>
      <c r="B272" s="4" t="s">
        <v>602</v>
      </c>
      <c r="C272" s="4" t="s">
        <v>13</v>
      </c>
      <c r="D272" s="4" t="s">
        <v>581</v>
      </c>
      <c r="E272" s="4" t="s">
        <v>582</v>
      </c>
      <c r="F272" s="4" t="s">
        <v>516</v>
      </c>
      <c r="G272" s="1">
        <v>6.7000000000000004E-2</v>
      </c>
      <c r="H272" s="4" t="s">
        <v>166</v>
      </c>
      <c r="I272" s="4" t="s">
        <v>18</v>
      </c>
      <c r="J272" s="4" t="s">
        <v>113</v>
      </c>
      <c r="K272" s="4" t="s">
        <v>24</v>
      </c>
    </row>
    <row r="273" spans="1:11" x14ac:dyDescent="0.2">
      <c r="A273" s="4" t="s">
        <v>603</v>
      </c>
      <c r="B273" s="4" t="s">
        <v>604</v>
      </c>
      <c r="C273" s="4" t="s">
        <v>13</v>
      </c>
      <c r="D273" s="4" t="s">
        <v>581</v>
      </c>
      <c r="E273" s="4" t="s">
        <v>582</v>
      </c>
      <c r="F273" s="4" t="s">
        <v>516</v>
      </c>
      <c r="G273" s="1">
        <v>6.7000000000000004E-2</v>
      </c>
      <c r="H273" s="4" t="s">
        <v>166</v>
      </c>
      <c r="I273" s="4" t="s">
        <v>18</v>
      </c>
      <c r="J273" s="4" t="s">
        <v>113</v>
      </c>
      <c r="K273" s="4" t="s">
        <v>24</v>
      </c>
    </row>
    <row r="274" spans="1:11" x14ac:dyDescent="0.2">
      <c r="A274" s="4" t="s">
        <v>605</v>
      </c>
      <c r="B274" s="4" t="s">
        <v>606</v>
      </c>
      <c r="C274" s="4" t="s">
        <v>13</v>
      </c>
      <c r="D274" s="4" t="s">
        <v>581</v>
      </c>
      <c r="E274" s="4" t="s">
        <v>582</v>
      </c>
      <c r="F274" s="4" t="s">
        <v>516</v>
      </c>
      <c r="G274" s="1">
        <v>6.7000000000000004E-2</v>
      </c>
      <c r="H274" s="4" t="s">
        <v>166</v>
      </c>
      <c r="I274" s="4" t="s">
        <v>18</v>
      </c>
      <c r="J274" s="4" t="s">
        <v>113</v>
      </c>
      <c r="K274" s="4" t="s">
        <v>24</v>
      </c>
    </row>
    <row r="275" spans="1:11" x14ac:dyDescent="0.2">
      <c r="A275" s="4" t="s">
        <v>607</v>
      </c>
      <c r="B275" s="4" t="s">
        <v>608</v>
      </c>
      <c r="C275" s="4" t="s">
        <v>13</v>
      </c>
      <c r="D275" s="4" t="s">
        <v>581</v>
      </c>
      <c r="E275" s="4" t="s">
        <v>582</v>
      </c>
      <c r="F275" s="4" t="s">
        <v>516</v>
      </c>
      <c r="G275" s="1">
        <v>6.7000000000000004E-2</v>
      </c>
      <c r="H275" s="4" t="s">
        <v>166</v>
      </c>
      <c r="I275" s="4" t="s">
        <v>18</v>
      </c>
      <c r="J275" s="4" t="s">
        <v>113</v>
      </c>
      <c r="K275" s="4" t="s">
        <v>24</v>
      </c>
    </row>
    <row r="276" spans="1:11" x14ac:dyDescent="0.2">
      <c r="A276" s="4" t="s">
        <v>609</v>
      </c>
      <c r="B276" s="4" t="s">
        <v>610</v>
      </c>
      <c r="C276" s="4" t="s">
        <v>13</v>
      </c>
      <c r="D276" s="4" t="s">
        <v>581</v>
      </c>
      <c r="E276" s="4" t="s">
        <v>582</v>
      </c>
      <c r="F276" s="4" t="s">
        <v>516</v>
      </c>
      <c r="G276" s="1">
        <v>6.7000000000000004E-2</v>
      </c>
      <c r="H276" s="4" t="s">
        <v>166</v>
      </c>
      <c r="I276" s="4" t="s">
        <v>18</v>
      </c>
      <c r="J276" s="4" t="s">
        <v>113</v>
      </c>
      <c r="K276" s="4" t="s">
        <v>24</v>
      </c>
    </row>
    <row r="277" spans="1:11" x14ac:dyDescent="0.2">
      <c r="A277" s="4" t="s">
        <v>611</v>
      </c>
      <c r="B277" s="4" t="s">
        <v>612</v>
      </c>
      <c r="C277" s="4" t="s">
        <v>13</v>
      </c>
      <c r="D277" s="4" t="s">
        <v>581</v>
      </c>
      <c r="E277" s="4" t="s">
        <v>582</v>
      </c>
      <c r="F277" s="4" t="s">
        <v>516</v>
      </c>
      <c r="G277" s="1">
        <v>6.7000000000000004E-2</v>
      </c>
      <c r="H277" s="4" t="s">
        <v>166</v>
      </c>
      <c r="I277" s="4" t="s">
        <v>18</v>
      </c>
      <c r="J277" s="4" t="s">
        <v>113</v>
      </c>
      <c r="K277" s="4" t="s">
        <v>24</v>
      </c>
    </row>
    <row r="278" spans="1:11" x14ac:dyDescent="0.2">
      <c r="A278" s="4" t="s">
        <v>613</v>
      </c>
      <c r="B278" s="4" t="s">
        <v>614</v>
      </c>
      <c r="C278" s="4" t="s">
        <v>49</v>
      </c>
      <c r="D278" s="4" t="s">
        <v>581</v>
      </c>
      <c r="E278" s="4" t="s">
        <v>582</v>
      </c>
      <c r="F278" s="4" t="s">
        <v>516</v>
      </c>
      <c r="G278" s="1">
        <v>0</v>
      </c>
      <c r="H278" s="4" t="s">
        <v>254</v>
      </c>
      <c r="I278" s="4" t="s">
        <v>18</v>
      </c>
      <c r="J278" s="4" t="s">
        <v>113</v>
      </c>
      <c r="K278" s="4" t="s">
        <v>24</v>
      </c>
    </row>
    <row r="279" spans="1:11" x14ac:dyDescent="0.2">
      <c r="A279" s="4" t="s">
        <v>615</v>
      </c>
      <c r="B279" s="4" t="s">
        <v>616</v>
      </c>
      <c r="C279" s="4" t="s">
        <v>13</v>
      </c>
      <c r="D279" s="4" t="s">
        <v>581</v>
      </c>
      <c r="E279" s="4" t="s">
        <v>582</v>
      </c>
      <c r="F279" s="4" t="s">
        <v>516</v>
      </c>
      <c r="G279" s="1">
        <v>0</v>
      </c>
      <c r="H279" s="4" t="s">
        <v>254</v>
      </c>
      <c r="I279" s="4" t="s">
        <v>18</v>
      </c>
      <c r="J279" s="4" t="s">
        <v>113</v>
      </c>
      <c r="K279" s="4" t="s">
        <v>24</v>
      </c>
    </row>
    <row r="280" spans="1:11" x14ac:dyDescent="0.2">
      <c r="A280" s="4" t="s">
        <v>617</v>
      </c>
      <c r="B280" s="4" t="s">
        <v>618</v>
      </c>
      <c r="C280" s="4" t="s">
        <v>13</v>
      </c>
      <c r="D280" s="4" t="s">
        <v>581</v>
      </c>
      <c r="E280" s="4" t="s">
        <v>582</v>
      </c>
      <c r="F280" s="4" t="s">
        <v>516</v>
      </c>
      <c r="G280" s="1">
        <v>6.7000000000000004E-2</v>
      </c>
      <c r="H280" s="4" t="s">
        <v>166</v>
      </c>
      <c r="I280" s="4" t="s">
        <v>18</v>
      </c>
      <c r="J280" s="4" t="s">
        <v>113</v>
      </c>
      <c r="K280" s="4" t="s">
        <v>24</v>
      </c>
    </row>
    <row r="281" spans="1:11" x14ac:dyDescent="0.2">
      <c r="A281" s="4" t="s">
        <v>619</v>
      </c>
      <c r="B281" s="4" t="s">
        <v>620</v>
      </c>
      <c r="C281" s="4" t="s">
        <v>13</v>
      </c>
      <c r="D281" s="4" t="s">
        <v>581</v>
      </c>
      <c r="E281" s="4" t="s">
        <v>582</v>
      </c>
      <c r="F281" s="4" t="s">
        <v>516</v>
      </c>
      <c r="G281" s="1">
        <v>3.3000000000000002E-2</v>
      </c>
      <c r="H281" s="4" t="s">
        <v>225</v>
      </c>
      <c r="I281" s="4" t="s">
        <v>18</v>
      </c>
      <c r="J281" s="4" t="s">
        <v>113</v>
      </c>
      <c r="K281" s="4" t="s">
        <v>24</v>
      </c>
    </row>
    <row r="282" spans="1:11" x14ac:dyDescent="0.2">
      <c r="A282" s="4" t="s">
        <v>621</v>
      </c>
      <c r="B282" s="4" t="s">
        <v>622</v>
      </c>
      <c r="C282" s="4" t="s">
        <v>13</v>
      </c>
      <c r="D282" s="4" t="s">
        <v>581</v>
      </c>
      <c r="E282" s="4" t="s">
        <v>582</v>
      </c>
      <c r="F282" s="4" t="s">
        <v>516</v>
      </c>
      <c r="G282" s="1">
        <v>6.7000000000000004E-2</v>
      </c>
      <c r="H282" s="4" t="s">
        <v>166</v>
      </c>
      <c r="I282" s="4" t="s">
        <v>18</v>
      </c>
      <c r="J282" s="4" t="s">
        <v>113</v>
      </c>
      <c r="K282" s="4" t="s">
        <v>24</v>
      </c>
    </row>
    <row r="283" spans="1:11" x14ac:dyDescent="0.2">
      <c r="A283" s="4" t="s">
        <v>623</v>
      </c>
      <c r="B283" s="4" t="s">
        <v>624</v>
      </c>
      <c r="C283" s="4" t="s">
        <v>13</v>
      </c>
      <c r="D283" s="4" t="s">
        <v>581</v>
      </c>
      <c r="E283" s="4" t="s">
        <v>582</v>
      </c>
      <c r="F283" s="4" t="s">
        <v>516</v>
      </c>
      <c r="G283" s="1">
        <v>0</v>
      </c>
      <c r="H283" s="4" t="s">
        <v>254</v>
      </c>
      <c r="I283" s="4" t="s">
        <v>18</v>
      </c>
      <c r="J283" s="4" t="s">
        <v>113</v>
      </c>
      <c r="K283" s="4" t="s">
        <v>24</v>
      </c>
    </row>
    <row r="284" spans="1:11" x14ac:dyDescent="0.2">
      <c r="A284" s="4" t="s">
        <v>625</v>
      </c>
      <c r="B284" s="4" t="s">
        <v>626</v>
      </c>
      <c r="C284" s="4" t="s">
        <v>13</v>
      </c>
      <c r="D284" s="4" t="s">
        <v>581</v>
      </c>
      <c r="E284" s="4" t="s">
        <v>582</v>
      </c>
      <c r="F284" s="4" t="s">
        <v>516</v>
      </c>
      <c r="G284" s="1">
        <v>6.7000000000000004E-2</v>
      </c>
      <c r="H284" s="4" t="s">
        <v>166</v>
      </c>
      <c r="I284" s="4" t="s">
        <v>18</v>
      </c>
      <c r="J284" s="4" t="s">
        <v>113</v>
      </c>
      <c r="K284" s="4" t="s">
        <v>24</v>
      </c>
    </row>
    <row r="285" spans="1:11" x14ac:dyDescent="0.2">
      <c r="A285" s="4" t="s">
        <v>627</v>
      </c>
      <c r="B285" s="4" t="s">
        <v>628</v>
      </c>
      <c r="C285" s="4" t="s">
        <v>13</v>
      </c>
      <c r="D285" s="4" t="s">
        <v>581</v>
      </c>
      <c r="E285" s="4" t="s">
        <v>582</v>
      </c>
      <c r="F285" s="4" t="s">
        <v>516</v>
      </c>
      <c r="G285" s="1">
        <v>6.7000000000000004E-2</v>
      </c>
      <c r="H285" s="4" t="s">
        <v>166</v>
      </c>
      <c r="I285" s="4" t="s">
        <v>18</v>
      </c>
      <c r="J285" s="4" t="s">
        <v>113</v>
      </c>
      <c r="K285" s="4" t="s">
        <v>24</v>
      </c>
    </row>
    <row r="286" spans="1:11" x14ac:dyDescent="0.2">
      <c r="A286" s="4" t="s">
        <v>629</v>
      </c>
      <c r="B286" s="4" t="s">
        <v>630</v>
      </c>
      <c r="C286" s="4" t="s">
        <v>13</v>
      </c>
      <c r="D286" s="4" t="s">
        <v>581</v>
      </c>
      <c r="E286" s="4" t="s">
        <v>582</v>
      </c>
      <c r="F286" s="4" t="s">
        <v>516</v>
      </c>
      <c r="G286" s="1">
        <v>6.7000000000000004E-2</v>
      </c>
      <c r="H286" s="4" t="s">
        <v>166</v>
      </c>
      <c r="I286" s="4" t="s">
        <v>18</v>
      </c>
      <c r="J286" s="4" t="s">
        <v>113</v>
      </c>
      <c r="K286" s="4" t="s">
        <v>24</v>
      </c>
    </row>
    <row r="287" spans="1:11" x14ac:dyDescent="0.2">
      <c r="A287" s="4" t="s">
        <v>631</v>
      </c>
      <c r="B287" s="4" t="s">
        <v>632</v>
      </c>
      <c r="C287" s="4" t="s">
        <v>13</v>
      </c>
      <c r="D287" s="4" t="s">
        <v>581</v>
      </c>
      <c r="E287" s="4" t="s">
        <v>582</v>
      </c>
      <c r="F287" s="4" t="s">
        <v>516</v>
      </c>
      <c r="G287" s="1">
        <v>6.7000000000000004E-2</v>
      </c>
      <c r="H287" s="4" t="s">
        <v>166</v>
      </c>
      <c r="I287" s="4" t="s">
        <v>18</v>
      </c>
      <c r="J287" s="4" t="s">
        <v>113</v>
      </c>
      <c r="K287" s="4" t="s">
        <v>24</v>
      </c>
    </row>
    <row r="288" spans="1:11" x14ac:dyDescent="0.2">
      <c r="A288" s="4" t="s">
        <v>633</v>
      </c>
      <c r="B288" s="4" t="s">
        <v>634</v>
      </c>
      <c r="C288" s="4" t="s">
        <v>13</v>
      </c>
      <c r="D288" s="4" t="s">
        <v>581</v>
      </c>
      <c r="E288" s="4" t="s">
        <v>582</v>
      </c>
      <c r="F288" s="4" t="s">
        <v>516</v>
      </c>
      <c r="G288" s="1">
        <v>6.7000000000000004E-2</v>
      </c>
      <c r="H288" s="4" t="s">
        <v>166</v>
      </c>
      <c r="I288" s="4" t="s">
        <v>18</v>
      </c>
      <c r="J288" s="4" t="s">
        <v>113</v>
      </c>
      <c r="K288" s="4" t="s">
        <v>24</v>
      </c>
    </row>
    <row r="289" spans="1:11" x14ac:dyDescent="0.2">
      <c r="A289" s="4" t="s">
        <v>635</v>
      </c>
      <c r="B289" s="4" t="s">
        <v>636</v>
      </c>
      <c r="C289" s="4" t="s">
        <v>13</v>
      </c>
      <c r="D289" s="4" t="s">
        <v>581</v>
      </c>
      <c r="E289" s="4" t="s">
        <v>582</v>
      </c>
      <c r="F289" s="4" t="s">
        <v>516</v>
      </c>
      <c r="G289" s="1">
        <v>6.7000000000000004E-2</v>
      </c>
      <c r="H289" s="4" t="s">
        <v>166</v>
      </c>
      <c r="I289" s="4" t="s">
        <v>18</v>
      </c>
      <c r="J289" s="4" t="s">
        <v>113</v>
      </c>
      <c r="K289" s="4" t="s">
        <v>120</v>
      </c>
    </row>
    <row r="290" spans="1:11" x14ac:dyDescent="0.2">
      <c r="A290" s="4" t="s">
        <v>637</v>
      </c>
      <c r="B290" s="4" t="s">
        <v>638</v>
      </c>
      <c r="C290" s="4" t="s">
        <v>13</v>
      </c>
      <c r="D290" s="4" t="s">
        <v>581</v>
      </c>
      <c r="E290" s="4" t="s">
        <v>582</v>
      </c>
      <c r="F290" s="4" t="s">
        <v>516</v>
      </c>
      <c r="G290" s="1">
        <v>3.3000000000000002E-2</v>
      </c>
      <c r="H290" s="4" t="s">
        <v>225</v>
      </c>
      <c r="I290" s="4" t="s">
        <v>18</v>
      </c>
      <c r="J290" s="4" t="s">
        <v>113</v>
      </c>
      <c r="K290" s="4" t="s">
        <v>233</v>
      </c>
    </row>
    <row r="291" spans="1:11" x14ac:dyDescent="0.2">
      <c r="A291" s="4" t="s">
        <v>639</v>
      </c>
      <c r="B291" s="4" t="s">
        <v>640</v>
      </c>
      <c r="C291" s="4" t="s">
        <v>13</v>
      </c>
      <c r="D291" s="4" t="s">
        <v>581</v>
      </c>
      <c r="E291" s="4" t="s">
        <v>582</v>
      </c>
      <c r="F291" s="4" t="s">
        <v>516</v>
      </c>
      <c r="G291" s="1">
        <v>6.7000000000000004E-2</v>
      </c>
      <c r="H291" s="4" t="s">
        <v>166</v>
      </c>
      <c r="I291" s="4" t="s">
        <v>18</v>
      </c>
      <c r="J291" s="4" t="s">
        <v>113</v>
      </c>
      <c r="K291" s="4" t="s">
        <v>125</v>
      </c>
    </row>
    <row r="292" spans="1:11" x14ac:dyDescent="0.2">
      <c r="A292" s="4" t="s">
        <v>641</v>
      </c>
      <c r="B292" s="4" t="s">
        <v>642</v>
      </c>
      <c r="C292" s="4" t="s">
        <v>13</v>
      </c>
      <c r="D292" s="4" t="s">
        <v>581</v>
      </c>
      <c r="E292" s="4" t="s">
        <v>582</v>
      </c>
      <c r="F292" s="4" t="s">
        <v>516</v>
      </c>
      <c r="G292" s="1">
        <v>6.7000000000000004E-2</v>
      </c>
      <c r="H292" s="4" t="s">
        <v>166</v>
      </c>
      <c r="I292" s="4" t="s">
        <v>18</v>
      </c>
      <c r="J292" s="4" t="s">
        <v>113</v>
      </c>
      <c r="K292" s="4" t="s">
        <v>426</v>
      </c>
    </row>
    <row r="293" spans="1:11" x14ac:dyDescent="0.2">
      <c r="A293" s="4" t="s">
        <v>643</v>
      </c>
      <c r="B293" s="4" t="s">
        <v>644</v>
      </c>
      <c r="C293" s="4" t="s">
        <v>13</v>
      </c>
      <c r="D293" s="4" t="s">
        <v>581</v>
      </c>
      <c r="E293" s="4" t="s">
        <v>582</v>
      </c>
      <c r="F293" s="4" t="s">
        <v>516</v>
      </c>
      <c r="G293" s="1">
        <v>3.3000000000000002E-2</v>
      </c>
      <c r="H293" s="4" t="s">
        <v>225</v>
      </c>
      <c r="I293" s="4" t="s">
        <v>18</v>
      </c>
      <c r="J293" s="4" t="s">
        <v>113</v>
      </c>
      <c r="K293" s="4" t="s">
        <v>24</v>
      </c>
    </row>
    <row r="294" spans="1:11" x14ac:dyDescent="0.2">
      <c r="A294" s="4" t="s">
        <v>645</v>
      </c>
      <c r="B294" s="4" t="s">
        <v>646</v>
      </c>
      <c r="C294" s="4" t="s">
        <v>13</v>
      </c>
      <c r="D294" s="4" t="s">
        <v>647</v>
      </c>
      <c r="E294" s="4" t="s">
        <v>648</v>
      </c>
      <c r="F294" s="4" t="s">
        <v>649</v>
      </c>
      <c r="G294" s="1">
        <v>0.13300000000000001</v>
      </c>
      <c r="H294" s="4" t="s">
        <v>112</v>
      </c>
      <c r="I294" s="4" t="s">
        <v>18</v>
      </c>
      <c r="J294" s="4" t="s">
        <v>226</v>
      </c>
      <c r="K294" s="4" t="s">
        <v>114</v>
      </c>
    </row>
    <row r="295" spans="1:11" x14ac:dyDescent="0.2">
      <c r="A295" s="4" t="s">
        <v>650</v>
      </c>
      <c r="B295" s="4" t="s">
        <v>651</v>
      </c>
      <c r="C295" s="4" t="s">
        <v>13</v>
      </c>
      <c r="D295" s="4" t="s">
        <v>647</v>
      </c>
      <c r="E295" s="4" t="s">
        <v>648</v>
      </c>
      <c r="F295" s="4" t="s">
        <v>649</v>
      </c>
      <c r="G295" s="1">
        <v>0.13300000000000001</v>
      </c>
      <c r="H295" s="4" t="s">
        <v>112</v>
      </c>
      <c r="I295" s="4" t="s">
        <v>18</v>
      </c>
      <c r="J295" s="4" t="s">
        <v>226</v>
      </c>
      <c r="K295" s="4" t="s">
        <v>114</v>
      </c>
    </row>
    <row r="296" spans="1:11" x14ac:dyDescent="0.2">
      <c r="A296" s="4" t="s">
        <v>652</v>
      </c>
      <c r="B296" s="4" t="s">
        <v>653</v>
      </c>
      <c r="C296" s="4" t="s">
        <v>13</v>
      </c>
      <c r="D296" s="4" t="s">
        <v>647</v>
      </c>
      <c r="E296" s="4" t="s">
        <v>648</v>
      </c>
      <c r="F296" s="4" t="s">
        <v>649</v>
      </c>
      <c r="G296" s="1">
        <v>0.13300000000000001</v>
      </c>
      <c r="H296" s="4" t="s">
        <v>112</v>
      </c>
      <c r="I296" s="4" t="s">
        <v>18</v>
      </c>
      <c r="J296" s="4" t="s">
        <v>226</v>
      </c>
      <c r="K296" s="4" t="s">
        <v>20</v>
      </c>
    </row>
    <row r="297" spans="1:11" x14ac:dyDescent="0.2">
      <c r="A297" s="4" t="s">
        <v>654</v>
      </c>
      <c r="B297" s="4" t="s">
        <v>655</v>
      </c>
      <c r="C297" s="4" t="s">
        <v>13</v>
      </c>
      <c r="D297" s="4" t="s">
        <v>647</v>
      </c>
      <c r="E297" s="4" t="s">
        <v>648</v>
      </c>
      <c r="F297" s="4" t="s">
        <v>649</v>
      </c>
      <c r="G297" s="1">
        <v>0.13300000000000001</v>
      </c>
      <c r="H297" s="4" t="s">
        <v>112</v>
      </c>
      <c r="I297" s="4" t="s">
        <v>18</v>
      </c>
      <c r="J297" s="4" t="s">
        <v>226</v>
      </c>
      <c r="K297" s="4" t="s">
        <v>20</v>
      </c>
    </row>
    <row r="298" spans="1:11" x14ac:dyDescent="0.2">
      <c r="A298" s="4" t="s">
        <v>656</v>
      </c>
      <c r="B298" s="4" t="s">
        <v>657</v>
      </c>
      <c r="C298" s="4" t="s">
        <v>49</v>
      </c>
      <c r="D298" s="4" t="s">
        <v>647</v>
      </c>
      <c r="E298" s="4" t="s">
        <v>648</v>
      </c>
      <c r="F298" s="4" t="s">
        <v>649</v>
      </c>
      <c r="G298" s="1">
        <v>3.3000000000000002E-2</v>
      </c>
      <c r="H298" s="4" t="s">
        <v>225</v>
      </c>
      <c r="I298" s="4" t="s">
        <v>18</v>
      </c>
      <c r="J298" s="4" t="s">
        <v>226</v>
      </c>
      <c r="K298" s="4" t="s">
        <v>24</v>
      </c>
    </row>
    <row r="299" spans="1:11" x14ac:dyDescent="0.2">
      <c r="A299" s="4" t="s">
        <v>658</v>
      </c>
      <c r="B299" s="4" t="s">
        <v>659</v>
      </c>
      <c r="C299" s="4" t="s">
        <v>13</v>
      </c>
      <c r="D299" s="4" t="s">
        <v>647</v>
      </c>
      <c r="E299" s="4" t="s">
        <v>648</v>
      </c>
      <c r="F299" s="4" t="s">
        <v>649</v>
      </c>
      <c r="G299" s="1">
        <v>0.1</v>
      </c>
      <c r="H299" s="4" t="s">
        <v>117</v>
      </c>
      <c r="I299" s="4" t="s">
        <v>18</v>
      </c>
      <c r="J299" s="4" t="s">
        <v>226</v>
      </c>
      <c r="K299" s="4" t="s">
        <v>24</v>
      </c>
    </row>
    <row r="300" spans="1:11" x14ac:dyDescent="0.2">
      <c r="A300" s="4" t="s">
        <v>660</v>
      </c>
      <c r="B300" s="4" t="s">
        <v>661</v>
      </c>
      <c r="C300" s="4" t="s">
        <v>13</v>
      </c>
      <c r="D300" s="4" t="s">
        <v>647</v>
      </c>
      <c r="E300" s="4" t="s">
        <v>648</v>
      </c>
      <c r="F300" s="4" t="s">
        <v>649</v>
      </c>
      <c r="G300" s="1">
        <v>0.13300000000000001</v>
      </c>
      <c r="H300" s="4" t="s">
        <v>112</v>
      </c>
      <c r="I300" s="4" t="s">
        <v>18</v>
      </c>
      <c r="J300" s="4" t="s">
        <v>226</v>
      </c>
      <c r="K300" s="4" t="s">
        <v>24</v>
      </c>
    </row>
    <row r="301" spans="1:11" x14ac:dyDescent="0.2">
      <c r="A301" s="4" t="s">
        <v>662</v>
      </c>
      <c r="B301" s="4" t="s">
        <v>663</v>
      </c>
      <c r="C301" s="4" t="s">
        <v>13</v>
      </c>
      <c r="D301" s="4" t="s">
        <v>647</v>
      </c>
      <c r="E301" s="4" t="s">
        <v>648</v>
      </c>
      <c r="F301" s="4" t="s">
        <v>649</v>
      </c>
      <c r="G301" s="1">
        <v>0.1</v>
      </c>
      <c r="H301" s="4" t="s">
        <v>117</v>
      </c>
      <c r="I301" s="4" t="s">
        <v>18</v>
      </c>
      <c r="J301" s="4" t="s">
        <v>226</v>
      </c>
      <c r="K301" s="4" t="s">
        <v>24</v>
      </c>
    </row>
    <row r="302" spans="1:11" x14ac:dyDescent="0.2">
      <c r="A302" s="4" t="s">
        <v>664</v>
      </c>
      <c r="B302" s="4" t="s">
        <v>665</v>
      </c>
      <c r="C302" s="4" t="s">
        <v>13</v>
      </c>
      <c r="D302" s="4" t="s">
        <v>647</v>
      </c>
      <c r="E302" s="4" t="s">
        <v>648</v>
      </c>
      <c r="F302" s="4" t="s">
        <v>649</v>
      </c>
      <c r="G302" s="1">
        <v>0.1</v>
      </c>
      <c r="H302" s="4" t="s">
        <v>117</v>
      </c>
      <c r="I302" s="4" t="s">
        <v>18</v>
      </c>
      <c r="J302" s="4" t="s">
        <v>226</v>
      </c>
      <c r="K302" s="4" t="s">
        <v>24</v>
      </c>
    </row>
    <row r="303" spans="1:11" x14ac:dyDescent="0.2">
      <c r="A303" s="4" t="s">
        <v>666</v>
      </c>
      <c r="B303" s="4" t="s">
        <v>667</v>
      </c>
      <c r="C303" s="4" t="s">
        <v>13</v>
      </c>
      <c r="D303" s="4" t="s">
        <v>647</v>
      </c>
      <c r="E303" s="4" t="s">
        <v>648</v>
      </c>
      <c r="F303" s="4" t="s">
        <v>649</v>
      </c>
      <c r="G303" s="1">
        <v>0.1</v>
      </c>
      <c r="H303" s="4" t="s">
        <v>117</v>
      </c>
      <c r="I303" s="4" t="s">
        <v>18</v>
      </c>
      <c r="J303" s="4" t="s">
        <v>226</v>
      </c>
      <c r="K303" s="4" t="s">
        <v>24</v>
      </c>
    </row>
    <row r="304" spans="1:11" x14ac:dyDescent="0.2">
      <c r="A304" s="4" t="s">
        <v>668</v>
      </c>
      <c r="B304" s="4" t="s">
        <v>669</v>
      </c>
      <c r="C304" s="4" t="s">
        <v>13</v>
      </c>
      <c r="D304" s="4" t="s">
        <v>647</v>
      </c>
      <c r="E304" s="4" t="s">
        <v>648</v>
      </c>
      <c r="F304" s="4" t="s">
        <v>649</v>
      </c>
      <c r="G304" s="1">
        <v>0.13300000000000001</v>
      </c>
      <c r="H304" s="4" t="s">
        <v>112</v>
      </c>
      <c r="I304" s="4" t="s">
        <v>18</v>
      </c>
      <c r="J304" s="4" t="s">
        <v>226</v>
      </c>
      <c r="K304" s="4" t="s">
        <v>24</v>
      </c>
    </row>
    <row r="305" spans="1:11" x14ac:dyDescent="0.2">
      <c r="A305" s="4" t="s">
        <v>670</v>
      </c>
      <c r="B305" s="4" t="s">
        <v>671</v>
      </c>
      <c r="C305" s="4" t="s">
        <v>13</v>
      </c>
      <c r="D305" s="4" t="s">
        <v>647</v>
      </c>
      <c r="E305" s="4" t="s">
        <v>648</v>
      </c>
      <c r="F305" s="4" t="s">
        <v>649</v>
      </c>
      <c r="G305" s="1">
        <v>0.13300000000000001</v>
      </c>
      <c r="H305" s="4" t="s">
        <v>112</v>
      </c>
      <c r="I305" s="4" t="s">
        <v>18</v>
      </c>
      <c r="J305" s="4" t="s">
        <v>226</v>
      </c>
      <c r="K305" s="4" t="s">
        <v>24</v>
      </c>
    </row>
    <row r="306" spans="1:11" x14ac:dyDescent="0.2">
      <c r="A306" s="4" t="s">
        <v>672</v>
      </c>
      <c r="B306" s="4" t="s">
        <v>673</v>
      </c>
      <c r="C306" s="4" t="s">
        <v>13</v>
      </c>
      <c r="D306" s="4" t="s">
        <v>647</v>
      </c>
      <c r="E306" s="4" t="s">
        <v>648</v>
      </c>
      <c r="F306" s="4" t="s">
        <v>649</v>
      </c>
      <c r="G306" s="1">
        <v>0.1</v>
      </c>
      <c r="H306" s="4" t="s">
        <v>117</v>
      </c>
      <c r="I306" s="4" t="s">
        <v>18</v>
      </c>
      <c r="J306" s="4" t="s">
        <v>226</v>
      </c>
      <c r="K306" s="4" t="s">
        <v>24</v>
      </c>
    </row>
    <row r="307" spans="1:11" x14ac:dyDescent="0.2">
      <c r="A307" s="4" t="s">
        <v>674</v>
      </c>
      <c r="B307" s="4" t="s">
        <v>675</v>
      </c>
      <c r="C307" s="4" t="s">
        <v>13</v>
      </c>
      <c r="D307" s="4" t="s">
        <v>647</v>
      </c>
      <c r="E307" s="4" t="s">
        <v>648</v>
      </c>
      <c r="F307" s="4" t="s">
        <v>649</v>
      </c>
      <c r="G307" s="1">
        <v>0.1</v>
      </c>
      <c r="H307" s="4" t="s">
        <v>117</v>
      </c>
      <c r="I307" s="4" t="s">
        <v>18</v>
      </c>
      <c r="J307" s="4" t="s">
        <v>226</v>
      </c>
      <c r="K307" s="4" t="s">
        <v>24</v>
      </c>
    </row>
    <row r="308" spans="1:11" x14ac:dyDescent="0.2">
      <c r="A308" s="4" t="s">
        <v>676</v>
      </c>
      <c r="B308" s="4" t="s">
        <v>677</v>
      </c>
      <c r="C308" s="4" t="s">
        <v>13</v>
      </c>
      <c r="D308" s="4" t="s">
        <v>647</v>
      </c>
      <c r="E308" s="4" t="s">
        <v>648</v>
      </c>
      <c r="F308" s="4" t="s">
        <v>649</v>
      </c>
      <c r="G308" s="1">
        <v>0.1</v>
      </c>
      <c r="H308" s="4" t="s">
        <v>117</v>
      </c>
      <c r="I308" s="4" t="s">
        <v>18</v>
      </c>
      <c r="J308" s="4" t="s">
        <v>226</v>
      </c>
      <c r="K308" s="4" t="s">
        <v>24</v>
      </c>
    </row>
    <row r="309" spans="1:11" x14ac:dyDescent="0.2">
      <c r="A309" s="4" t="s">
        <v>678</v>
      </c>
      <c r="B309" s="4" t="s">
        <v>679</v>
      </c>
      <c r="C309" s="4" t="s">
        <v>13</v>
      </c>
      <c r="D309" s="4" t="s">
        <v>647</v>
      </c>
      <c r="E309" s="4" t="s">
        <v>648</v>
      </c>
      <c r="F309" s="4" t="s">
        <v>649</v>
      </c>
      <c r="G309" s="1">
        <v>0.13300000000000001</v>
      </c>
      <c r="H309" s="4" t="s">
        <v>112</v>
      </c>
      <c r="I309" s="4" t="s">
        <v>18</v>
      </c>
      <c r="J309" s="4" t="s">
        <v>226</v>
      </c>
      <c r="K309" s="4" t="s">
        <v>24</v>
      </c>
    </row>
    <row r="310" spans="1:11" x14ac:dyDescent="0.2">
      <c r="A310" s="4" t="s">
        <v>680</v>
      </c>
      <c r="B310" s="4" t="s">
        <v>681</v>
      </c>
      <c r="C310" s="4" t="s">
        <v>13</v>
      </c>
      <c r="D310" s="4" t="s">
        <v>647</v>
      </c>
      <c r="E310" s="4" t="s">
        <v>648</v>
      </c>
      <c r="F310" s="4" t="s">
        <v>649</v>
      </c>
      <c r="G310" s="1">
        <v>0.1</v>
      </c>
      <c r="H310" s="4" t="s">
        <v>117</v>
      </c>
      <c r="I310" s="4" t="s">
        <v>18</v>
      </c>
      <c r="J310" s="4" t="s">
        <v>226</v>
      </c>
      <c r="K310" s="4" t="s">
        <v>24</v>
      </c>
    </row>
    <row r="311" spans="1:11" x14ac:dyDescent="0.2">
      <c r="A311" s="4" t="s">
        <v>682</v>
      </c>
      <c r="B311" s="4" t="s">
        <v>683</v>
      </c>
      <c r="C311" s="4" t="s">
        <v>13</v>
      </c>
      <c r="D311" s="4" t="s">
        <v>647</v>
      </c>
      <c r="E311" s="4" t="s">
        <v>648</v>
      </c>
      <c r="F311" s="4" t="s">
        <v>649</v>
      </c>
      <c r="G311" s="1">
        <v>0.13300000000000001</v>
      </c>
      <c r="H311" s="4" t="s">
        <v>112</v>
      </c>
      <c r="I311" s="4" t="s">
        <v>18</v>
      </c>
      <c r="J311" s="4" t="s">
        <v>226</v>
      </c>
      <c r="K311" s="4" t="s">
        <v>24</v>
      </c>
    </row>
    <row r="312" spans="1:11" x14ac:dyDescent="0.2">
      <c r="A312" s="4" t="s">
        <v>684</v>
      </c>
      <c r="B312" s="4" t="s">
        <v>685</v>
      </c>
      <c r="C312" s="4" t="s">
        <v>13</v>
      </c>
      <c r="D312" s="4" t="s">
        <v>647</v>
      </c>
      <c r="E312" s="4" t="s">
        <v>648</v>
      </c>
      <c r="F312" s="4" t="s">
        <v>649</v>
      </c>
      <c r="G312" s="1">
        <v>3.3000000000000002E-2</v>
      </c>
      <c r="H312" s="4" t="s">
        <v>225</v>
      </c>
      <c r="I312" s="4" t="s">
        <v>18</v>
      </c>
      <c r="J312" s="4" t="s">
        <v>226</v>
      </c>
      <c r="K312" s="4" t="s">
        <v>24</v>
      </c>
    </row>
    <row r="313" spans="1:11" x14ac:dyDescent="0.2">
      <c r="A313" s="4" t="s">
        <v>686</v>
      </c>
      <c r="B313" s="4" t="s">
        <v>687</v>
      </c>
      <c r="C313" s="4" t="s">
        <v>13</v>
      </c>
      <c r="D313" s="4" t="s">
        <v>647</v>
      </c>
      <c r="E313" s="4" t="s">
        <v>648</v>
      </c>
      <c r="F313" s="4" t="s">
        <v>649</v>
      </c>
      <c r="G313" s="1">
        <v>0.1</v>
      </c>
      <c r="H313" s="4" t="s">
        <v>117</v>
      </c>
      <c r="I313" s="4" t="s">
        <v>18</v>
      </c>
      <c r="J313" s="4" t="s">
        <v>226</v>
      </c>
      <c r="K313" s="4" t="s">
        <v>24</v>
      </c>
    </row>
    <row r="314" spans="1:11" x14ac:dyDescent="0.2">
      <c r="A314" s="4" t="s">
        <v>688</v>
      </c>
      <c r="B314" s="4" t="s">
        <v>689</v>
      </c>
      <c r="C314" s="4" t="s">
        <v>13</v>
      </c>
      <c r="D314" s="4" t="s">
        <v>647</v>
      </c>
      <c r="E314" s="4" t="s">
        <v>648</v>
      </c>
      <c r="F314" s="4" t="s">
        <v>649</v>
      </c>
      <c r="G314" s="1">
        <v>0.13300000000000001</v>
      </c>
      <c r="H314" s="4" t="s">
        <v>112</v>
      </c>
      <c r="I314" s="4" t="s">
        <v>18</v>
      </c>
      <c r="J314" s="4" t="s">
        <v>226</v>
      </c>
      <c r="K314" s="4" t="s">
        <v>24</v>
      </c>
    </row>
    <row r="315" spans="1:11" x14ac:dyDescent="0.2">
      <c r="A315" s="4" t="s">
        <v>690</v>
      </c>
      <c r="B315" s="4" t="s">
        <v>691</v>
      </c>
      <c r="C315" s="4" t="s">
        <v>13</v>
      </c>
      <c r="D315" s="4" t="s">
        <v>647</v>
      </c>
      <c r="E315" s="4" t="s">
        <v>648</v>
      </c>
      <c r="F315" s="4" t="s">
        <v>649</v>
      </c>
      <c r="G315" s="1">
        <v>0.1</v>
      </c>
      <c r="H315" s="4" t="s">
        <v>117</v>
      </c>
      <c r="I315" s="4" t="s">
        <v>18</v>
      </c>
      <c r="J315" s="4" t="s">
        <v>226</v>
      </c>
      <c r="K315" s="4" t="s">
        <v>24</v>
      </c>
    </row>
    <row r="316" spans="1:11" x14ac:dyDescent="0.2">
      <c r="A316" s="4" t="s">
        <v>692</v>
      </c>
      <c r="B316" s="4" t="s">
        <v>693</v>
      </c>
      <c r="C316" s="4" t="s">
        <v>13</v>
      </c>
      <c r="D316" s="4" t="s">
        <v>647</v>
      </c>
      <c r="E316" s="4" t="s">
        <v>648</v>
      </c>
      <c r="F316" s="4" t="s">
        <v>649</v>
      </c>
      <c r="G316" s="1">
        <v>0.13300000000000001</v>
      </c>
      <c r="H316" s="4" t="s">
        <v>112</v>
      </c>
      <c r="I316" s="4" t="s">
        <v>18</v>
      </c>
      <c r="J316" s="4" t="s">
        <v>226</v>
      </c>
      <c r="K316" s="4" t="s">
        <v>24</v>
      </c>
    </row>
    <row r="317" spans="1:11" x14ac:dyDescent="0.2">
      <c r="A317" s="4" t="s">
        <v>694</v>
      </c>
      <c r="B317" s="4" t="s">
        <v>695</v>
      </c>
      <c r="C317" s="4" t="s">
        <v>13</v>
      </c>
      <c r="D317" s="4" t="s">
        <v>647</v>
      </c>
      <c r="E317" s="4" t="s">
        <v>648</v>
      </c>
      <c r="F317" s="4" t="s">
        <v>649</v>
      </c>
      <c r="G317" s="1">
        <v>0.13300000000000001</v>
      </c>
      <c r="H317" s="4" t="s">
        <v>112</v>
      </c>
      <c r="I317" s="4" t="s">
        <v>18</v>
      </c>
      <c r="J317" s="4" t="s">
        <v>226</v>
      </c>
      <c r="K317" s="4" t="s">
        <v>24</v>
      </c>
    </row>
    <row r="318" spans="1:11" x14ac:dyDescent="0.2">
      <c r="A318" s="4" t="s">
        <v>696</v>
      </c>
      <c r="B318" s="4" t="s">
        <v>697</v>
      </c>
      <c r="C318" s="4" t="s">
        <v>13</v>
      </c>
      <c r="D318" s="4" t="s">
        <v>647</v>
      </c>
      <c r="E318" s="4" t="s">
        <v>648</v>
      </c>
      <c r="F318" s="4" t="s">
        <v>649</v>
      </c>
      <c r="G318" s="1">
        <v>6.7000000000000004E-2</v>
      </c>
      <c r="H318" s="4" t="s">
        <v>166</v>
      </c>
      <c r="I318" s="4" t="s">
        <v>18</v>
      </c>
      <c r="J318" s="4" t="s">
        <v>226</v>
      </c>
      <c r="K318" s="4" t="s">
        <v>24</v>
      </c>
    </row>
    <row r="319" spans="1:11" x14ac:dyDescent="0.2">
      <c r="A319" s="4" t="s">
        <v>698</v>
      </c>
      <c r="B319" s="4" t="s">
        <v>699</v>
      </c>
      <c r="C319" s="4" t="s">
        <v>13</v>
      </c>
      <c r="D319" s="4" t="s">
        <v>647</v>
      </c>
      <c r="E319" s="4" t="s">
        <v>648</v>
      </c>
      <c r="F319" s="4" t="s">
        <v>649</v>
      </c>
      <c r="G319" s="1">
        <v>0.13300000000000001</v>
      </c>
      <c r="H319" s="4" t="s">
        <v>112</v>
      </c>
      <c r="I319" s="4" t="s">
        <v>18</v>
      </c>
      <c r="J319" s="4" t="s">
        <v>226</v>
      </c>
      <c r="K319" s="4" t="s">
        <v>24</v>
      </c>
    </row>
    <row r="320" spans="1:11" x14ac:dyDescent="0.2">
      <c r="A320" s="4" t="s">
        <v>700</v>
      </c>
      <c r="B320" s="4" t="s">
        <v>701</v>
      </c>
      <c r="C320" s="4" t="s">
        <v>13</v>
      </c>
      <c r="D320" s="4" t="s">
        <v>647</v>
      </c>
      <c r="E320" s="4" t="s">
        <v>648</v>
      </c>
      <c r="F320" s="4" t="s">
        <v>649</v>
      </c>
      <c r="G320" s="1">
        <v>0.13300000000000001</v>
      </c>
      <c r="H320" s="4" t="s">
        <v>112</v>
      </c>
      <c r="I320" s="4" t="s">
        <v>18</v>
      </c>
      <c r="J320" s="4" t="s">
        <v>226</v>
      </c>
      <c r="K320" s="4" t="s">
        <v>24</v>
      </c>
    </row>
    <row r="321" spans="1:11" x14ac:dyDescent="0.2">
      <c r="A321" s="4" t="s">
        <v>702</v>
      </c>
      <c r="B321" s="4" t="s">
        <v>703</v>
      </c>
      <c r="C321" s="4" t="s">
        <v>13</v>
      </c>
      <c r="D321" s="4" t="s">
        <v>647</v>
      </c>
      <c r="E321" s="4" t="s">
        <v>648</v>
      </c>
      <c r="F321" s="4" t="s">
        <v>649</v>
      </c>
      <c r="G321" s="1">
        <v>0.13300000000000001</v>
      </c>
      <c r="H321" s="4" t="s">
        <v>112</v>
      </c>
      <c r="I321" s="4" t="s">
        <v>18</v>
      </c>
      <c r="J321" s="4" t="s">
        <v>226</v>
      </c>
      <c r="K321" s="4" t="s">
        <v>24</v>
      </c>
    </row>
    <row r="322" spans="1:11" x14ac:dyDescent="0.2">
      <c r="A322" s="4" t="s">
        <v>704</v>
      </c>
      <c r="B322" s="4" t="s">
        <v>705</v>
      </c>
      <c r="C322" s="4" t="s">
        <v>13</v>
      </c>
      <c r="D322" s="4" t="s">
        <v>647</v>
      </c>
      <c r="E322" s="4" t="s">
        <v>648</v>
      </c>
      <c r="F322" s="4" t="s">
        <v>649</v>
      </c>
      <c r="G322" s="1">
        <v>6.7000000000000004E-2</v>
      </c>
      <c r="H322" s="4" t="s">
        <v>166</v>
      </c>
      <c r="I322" s="4" t="s">
        <v>18</v>
      </c>
      <c r="J322" s="4" t="s">
        <v>226</v>
      </c>
      <c r="K322" s="4" t="s">
        <v>24</v>
      </c>
    </row>
    <row r="323" spans="1:11" x14ac:dyDescent="0.2">
      <c r="A323" s="4" t="s">
        <v>706</v>
      </c>
      <c r="B323" s="4" t="s">
        <v>707</v>
      </c>
      <c r="C323" s="4" t="s">
        <v>13</v>
      </c>
      <c r="D323" s="4" t="s">
        <v>647</v>
      </c>
      <c r="E323" s="4" t="s">
        <v>648</v>
      </c>
      <c r="F323" s="4" t="s">
        <v>649</v>
      </c>
      <c r="G323" s="1">
        <v>0.13300000000000001</v>
      </c>
      <c r="H323" s="4" t="s">
        <v>112</v>
      </c>
      <c r="I323" s="4" t="s">
        <v>18</v>
      </c>
      <c r="J323" s="4" t="s">
        <v>226</v>
      </c>
      <c r="K323" s="4" t="s">
        <v>24</v>
      </c>
    </row>
    <row r="324" spans="1:11" x14ac:dyDescent="0.2">
      <c r="A324" s="4" t="s">
        <v>708</v>
      </c>
      <c r="B324" s="4" t="s">
        <v>709</v>
      </c>
      <c r="C324" s="4" t="s">
        <v>13</v>
      </c>
      <c r="D324" s="4" t="s">
        <v>647</v>
      </c>
      <c r="E324" s="4" t="s">
        <v>648</v>
      </c>
      <c r="F324" s="4" t="s">
        <v>649</v>
      </c>
      <c r="G324" s="1">
        <v>6.7000000000000004E-2</v>
      </c>
      <c r="H324" s="4" t="s">
        <v>166</v>
      </c>
      <c r="I324" s="4" t="s">
        <v>18</v>
      </c>
      <c r="J324" s="4" t="s">
        <v>226</v>
      </c>
      <c r="K324" s="4" t="s">
        <v>24</v>
      </c>
    </row>
    <row r="325" spans="1:11" x14ac:dyDescent="0.2">
      <c r="A325" s="4" t="s">
        <v>710</v>
      </c>
      <c r="B325" s="4" t="s">
        <v>711</v>
      </c>
      <c r="C325" s="4" t="s">
        <v>49</v>
      </c>
      <c r="D325" s="4" t="s">
        <v>647</v>
      </c>
      <c r="E325" s="4" t="s">
        <v>648</v>
      </c>
      <c r="F325" s="4" t="s">
        <v>649</v>
      </c>
      <c r="G325" s="1">
        <v>6.7000000000000004E-2</v>
      </c>
      <c r="H325" s="4" t="s">
        <v>166</v>
      </c>
      <c r="I325" s="4" t="s">
        <v>18</v>
      </c>
      <c r="J325" s="4" t="s">
        <v>226</v>
      </c>
      <c r="K325" s="4" t="s">
        <v>24</v>
      </c>
    </row>
    <row r="326" spans="1:11" x14ac:dyDescent="0.2">
      <c r="A326" s="4" t="s">
        <v>712</v>
      </c>
      <c r="B326" s="4" t="s">
        <v>713</v>
      </c>
      <c r="C326" s="4" t="s">
        <v>13</v>
      </c>
      <c r="D326" s="4" t="s">
        <v>647</v>
      </c>
      <c r="E326" s="4" t="s">
        <v>648</v>
      </c>
      <c r="F326" s="4" t="s">
        <v>649</v>
      </c>
      <c r="G326" s="1">
        <v>0.13300000000000001</v>
      </c>
      <c r="H326" s="4" t="s">
        <v>112</v>
      </c>
      <c r="I326" s="4" t="s">
        <v>18</v>
      </c>
      <c r="J326" s="4" t="s">
        <v>226</v>
      </c>
      <c r="K326" s="4" t="s">
        <v>24</v>
      </c>
    </row>
    <row r="327" spans="1:11" x14ac:dyDescent="0.2">
      <c r="A327" s="4" t="s">
        <v>714</v>
      </c>
      <c r="B327" s="4" t="s">
        <v>715</v>
      </c>
      <c r="C327" s="4" t="s">
        <v>13</v>
      </c>
      <c r="D327" s="4" t="s">
        <v>647</v>
      </c>
      <c r="E327" s="4" t="s">
        <v>648</v>
      </c>
      <c r="F327" s="4" t="s">
        <v>649</v>
      </c>
      <c r="G327" s="1">
        <v>0.1</v>
      </c>
      <c r="H327" s="4" t="s">
        <v>117</v>
      </c>
      <c r="I327" s="4" t="s">
        <v>18</v>
      </c>
      <c r="J327" s="4" t="s">
        <v>226</v>
      </c>
      <c r="K327" s="4" t="s">
        <v>24</v>
      </c>
    </row>
    <row r="328" spans="1:11" x14ac:dyDescent="0.2">
      <c r="A328" s="4" t="s">
        <v>716</v>
      </c>
      <c r="B328" s="4" t="s">
        <v>717</v>
      </c>
      <c r="C328" s="4" t="s">
        <v>13</v>
      </c>
      <c r="D328" s="4" t="s">
        <v>647</v>
      </c>
      <c r="E328" s="4" t="s">
        <v>648</v>
      </c>
      <c r="F328" s="4" t="s">
        <v>649</v>
      </c>
      <c r="G328" s="1">
        <v>0.1</v>
      </c>
      <c r="H328" s="4" t="s">
        <v>117</v>
      </c>
      <c r="I328" s="4" t="s">
        <v>18</v>
      </c>
      <c r="J328" s="4" t="s">
        <v>226</v>
      </c>
      <c r="K328" s="4" t="s">
        <v>24</v>
      </c>
    </row>
    <row r="329" spans="1:11" x14ac:dyDescent="0.2">
      <c r="A329" s="4" t="s">
        <v>718</v>
      </c>
      <c r="B329" s="4" t="s">
        <v>719</v>
      </c>
      <c r="C329" s="4" t="s">
        <v>13</v>
      </c>
      <c r="D329" s="4" t="s">
        <v>647</v>
      </c>
      <c r="E329" s="4" t="s">
        <v>648</v>
      </c>
      <c r="F329" s="4" t="s">
        <v>649</v>
      </c>
      <c r="G329" s="1">
        <v>6.7000000000000004E-2</v>
      </c>
      <c r="H329" s="4" t="s">
        <v>166</v>
      </c>
      <c r="I329" s="4" t="s">
        <v>18</v>
      </c>
      <c r="J329" s="4" t="s">
        <v>226</v>
      </c>
      <c r="K329" s="4" t="s">
        <v>233</v>
      </c>
    </row>
    <row r="330" spans="1:11" x14ac:dyDescent="0.2">
      <c r="A330" s="4" t="s">
        <v>720</v>
      </c>
      <c r="B330" s="4" t="s">
        <v>721</v>
      </c>
      <c r="C330" s="4" t="s">
        <v>13</v>
      </c>
      <c r="D330" s="4" t="s">
        <v>647</v>
      </c>
      <c r="E330" s="4" t="s">
        <v>648</v>
      </c>
      <c r="F330" s="4" t="s">
        <v>649</v>
      </c>
      <c r="G330" s="1">
        <v>3.3000000000000002E-2</v>
      </c>
      <c r="H330" s="4" t="s">
        <v>225</v>
      </c>
      <c r="I330" s="4" t="s">
        <v>18</v>
      </c>
      <c r="J330" s="4" t="s">
        <v>226</v>
      </c>
      <c r="K330" s="4" t="s">
        <v>24</v>
      </c>
    </row>
    <row r="331" spans="1:11" x14ac:dyDescent="0.2">
      <c r="A331" s="4" t="s">
        <v>722</v>
      </c>
      <c r="B331" s="4" t="s">
        <v>723</v>
      </c>
      <c r="C331" s="4" t="s">
        <v>13</v>
      </c>
      <c r="D331" s="4" t="s">
        <v>647</v>
      </c>
      <c r="E331" s="4" t="s">
        <v>648</v>
      </c>
      <c r="F331" s="4" t="s">
        <v>649</v>
      </c>
      <c r="G331" s="1">
        <v>0.13300000000000001</v>
      </c>
      <c r="H331" s="4" t="s">
        <v>112</v>
      </c>
      <c r="I331" s="4" t="s">
        <v>18</v>
      </c>
      <c r="J331" s="4" t="s">
        <v>226</v>
      </c>
      <c r="K331" s="4" t="s">
        <v>24</v>
      </c>
    </row>
    <row r="332" spans="1:11" x14ac:dyDescent="0.2">
      <c r="A332" s="4" t="s">
        <v>724</v>
      </c>
      <c r="B332" s="4" t="s">
        <v>725</v>
      </c>
      <c r="C332" s="4" t="s">
        <v>13</v>
      </c>
      <c r="D332" s="4" t="s">
        <v>647</v>
      </c>
      <c r="E332" s="4" t="s">
        <v>648</v>
      </c>
      <c r="F332" s="4" t="s">
        <v>649</v>
      </c>
      <c r="G332" s="1">
        <v>3.3000000000000002E-2</v>
      </c>
      <c r="H332" s="4" t="s">
        <v>225</v>
      </c>
      <c r="I332" s="4" t="s">
        <v>18</v>
      </c>
      <c r="J332" s="4" t="s">
        <v>226</v>
      </c>
      <c r="K332" s="4" t="s">
        <v>24</v>
      </c>
    </row>
    <row r="333" spans="1:11" x14ac:dyDescent="0.2">
      <c r="A333" s="4" t="s">
        <v>726</v>
      </c>
      <c r="B333" s="4" t="s">
        <v>727</v>
      </c>
      <c r="C333" s="4" t="s">
        <v>13</v>
      </c>
      <c r="D333" s="4" t="s">
        <v>647</v>
      </c>
      <c r="E333" s="4" t="s">
        <v>648</v>
      </c>
      <c r="F333" s="4" t="s">
        <v>649</v>
      </c>
      <c r="G333" s="1">
        <v>0.13300000000000001</v>
      </c>
      <c r="H333" s="4" t="s">
        <v>112</v>
      </c>
      <c r="I333" s="4" t="s">
        <v>18</v>
      </c>
      <c r="J333" s="4" t="s">
        <v>226</v>
      </c>
      <c r="K333" s="4" t="s">
        <v>24</v>
      </c>
    </row>
    <row r="334" spans="1:11" x14ac:dyDescent="0.2">
      <c r="A334" s="4" t="s">
        <v>728</v>
      </c>
      <c r="B334" s="4" t="s">
        <v>729</v>
      </c>
      <c r="C334" s="4" t="s">
        <v>13</v>
      </c>
      <c r="D334" s="4" t="s">
        <v>647</v>
      </c>
      <c r="E334" s="4" t="s">
        <v>648</v>
      </c>
      <c r="F334" s="4" t="s">
        <v>649</v>
      </c>
      <c r="G334" s="1">
        <v>6.7000000000000004E-2</v>
      </c>
      <c r="H334" s="4" t="s">
        <v>166</v>
      </c>
      <c r="I334" s="4" t="s">
        <v>18</v>
      </c>
      <c r="J334" s="4" t="s">
        <v>226</v>
      </c>
      <c r="K334" s="4" t="s">
        <v>24</v>
      </c>
    </row>
    <row r="335" spans="1:11" x14ac:dyDescent="0.2">
      <c r="A335" s="4" t="s">
        <v>730</v>
      </c>
      <c r="B335" s="4" t="s">
        <v>731</v>
      </c>
      <c r="C335" s="4" t="s">
        <v>13</v>
      </c>
      <c r="D335" s="4" t="s">
        <v>647</v>
      </c>
      <c r="E335" s="4" t="s">
        <v>648</v>
      </c>
      <c r="F335" s="4" t="s">
        <v>649</v>
      </c>
      <c r="G335" s="1">
        <v>0.13300000000000001</v>
      </c>
      <c r="H335" s="4" t="s">
        <v>112</v>
      </c>
      <c r="I335" s="4" t="s">
        <v>18</v>
      </c>
      <c r="J335" s="4" t="s">
        <v>226</v>
      </c>
      <c r="K335" s="4" t="s">
        <v>24</v>
      </c>
    </row>
    <row r="336" spans="1:11" x14ac:dyDescent="0.2">
      <c r="A336" s="4" t="s">
        <v>732</v>
      </c>
      <c r="B336" s="4" t="s">
        <v>733</v>
      </c>
      <c r="C336" s="4" t="s">
        <v>13</v>
      </c>
      <c r="D336" s="4" t="s">
        <v>647</v>
      </c>
      <c r="E336" s="4" t="s">
        <v>648</v>
      </c>
      <c r="F336" s="4" t="s">
        <v>649</v>
      </c>
      <c r="G336" s="1">
        <v>6.7000000000000004E-2</v>
      </c>
      <c r="H336" s="4" t="s">
        <v>166</v>
      </c>
      <c r="I336" s="4" t="s">
        <v>18</v>
      </c>
      <c r="J336" s="4" t="s">
        <v>226</v>
      </c>
      <c r="K336" s="4" t="s">
        <v>24</v>
      </c>
    </row>
    <row r="337" spans="1:11" x14ac:dyDescent="0.2">
      <c r="A337" s="4" t="s">
        <v>734</v>
      </c>
      <c r="B337" s="4" t="s">
        <v>735</v>
      </c>
      <c r="C337" s="4" t="s">
        <v>13</v>
      </c>
      <c r="D337" s="4" t="s">
        <v>647</v>
      </c>
      <c r="E337" s="4" t="s">
        <v>648</v>
      </c>
      <c r="F337" s="4" t="s">
        <v>649</v>
      </c>
      <c r="G337" s="1">
        <v>0.13300000000000001</v>
      </c>
      <c r="H337" s="4" t="s">
        <v>112</v>
      </c>
      <c r="I337" s="4" t="s">
        <v>18</v>
      </c>
      <c r="J337" s="4" t="s">
        <v>226</v>
      </c>
      <c r="K337" s="4" t="s">
        <v>24</v>
      </c>
    </row>
    <row r="338" spans="1:11" x14ac:dyDescent="0.2">
      <c r="A338" s="4" t="s">
        <v>736</v>
      </c>
      <c r="B338" s="4" t="s">
        <v>737</v>
      </c>
      <c r="C338" s="4" t="s">
        <v>13</v>
      </c>
      <c r="D338" s="4" t="s">
        <v>647</v>
      </c>
      <c r="E338" s="4" t="s">
        <v>648</v>
      </c>
      <c r="F338" s="4" t="s">
        <v>649</v>
      </c>
      <c r="G338" s="1">
        <v>0.13300000000000001</v>
      </c>
      <c r="H338" s="4" t="s">
        <v>112</v>
      </c>
      <c r="I338" s="4" t="s">
        <v>18</v>
      </c>
      <c r="J338" s="4" t="s">
        <v>226</v>
      </c>
      <c r="K338" s="4" t="s">
        <v>432</v>
      </c>
    </row>
    <row r="339" spans="1:11" x14ac:dyDescent="0.2">
      <c r="A339" s="4" t="s">
        <v>738</v>
      </c>
      <c r="B339" s="4" t="s">
        <v>739</v>
      </c>
      <c r="C339" s="4" t="s">
        <v>13</v>
      </c>
      <c r="D339" s="4" t="s">
        <v>647</v>
      </c>
      <c r="E339" s="4" t="s">
        <v>648</v>
      </c>
      <c r="F339" s="4" t="s">
        <v>649</v>
      </c>
      <c r="G339" s="1">
        <v>0.13300000000000001</v>
      </c>
      <c r="H339" s="4" t="s">
        <v>112</v>
      </c>
      <c r="I339" s="4" t="s">
        <v>18</v>
      </c>
      <c r="J339" s="4" t="s">
        <v>226</v>
      </c>
      <c r="K339" s="4" t="s">
        <v>125</v>
      </c>
    </row>
    <row r="340" spans="1:11" x14ac:dyDescent="0.2">
      <c r="A340" s="4" t="s">
        <v>740</v>
      </c>
      <c r="B340" s="4" t="s">
        <v>741</v>
      </c>
      <c r="C340" s="4" t="s">
        <v>13</v>
      </c>
      <c r="D340" s="4" t="s">
        <v>647</v>
      </c>
      <c r="E340" s="4" t="s">
        <v>648</v>
      </c>
      <c r="F340" s="4" t="s">
        <v>649</v>
      </c>
      <c r="G340" s="1">
        <v>0.13300000000000001</v>
      </c>
      <c r="H340" s="4" t="s">
        <v>112</v>
      </c>
      <c r="I340" s="4" t="s">
        <v>18</v>
      </c>
      <c r="J340" s="4" t="s">
        <v>226</v>
      </c>
      <c r="K340" s="4" t="s">
        <v>511</v>
      </c>
    </row>
    <row r="341" spans="1:11" x14ac:dyDescent="0.2">
      <c r="A341" s="4" t="s">
        <v>742</v>
      </c>
      <c r="B341" s="4" t="s">
        <v>743</v>
      </c>
      <c r="C341" s="4" t="s">
        <v>13</v>
      </c>
      <c r="D341" s="4" t="s">
        <v>647</v>
      </c>
      <c r="E341" s="4" t="s">
        <v>648</v>
      </c>
      <c r="F341" s="4" t="s">
        <v>649</v>
      </c>
      <c r="G341" s="1">
        <v>0.13300000000000001</v>
      </c>
      <c r="H341" s="4" t="s">
        <v>112</v>
      </c>
      <c r="I341" s="4" t="s">
        <v>18</v>
      </c>
      <c r="J341" s="4" t="s">
        <v>226</v>
      </c>
      <c r="K341" s="4" t="s">
        <v>511</v>
      </c>
    </row>
    <row r="342" spans="1:11" x14ac:dyDescent="0.2">
      <c r="A342" s="4" t="s">
        <v>744</v>
      </c>
      <c r="B342" s="4" t="s">
        <v>745</v>
      </c>
      <c r="C342" s="4" t="s">
        <v>13</v>
      </c>
      <c r="D342" s="4" t="s">
        <v>647</v>
      </c>
      <c r="E342" s="4" t="s">
        <v>648</v>
      </c>
      <c r="F342" s="4" t="s">
        <v>649</v>
      </c>
      <c r="G342" s="1">
        <v>0.13300000000000001</v>
      </c>
      <c r="H342" s="4" t="s">
        <v>112</v>
      </c>
      <c r="I342" s="4" t="s">
        <v>18</v>
      </c>
      <c r="J342" s="4" t="s">
        <v>226</v>
      </c>
      <c r="K342" s="4" t="s">
        <v>120</v>
      </c>
    </row>
    <row r="343" spans="1:11" x14ac:dyDescent="0.2">
      <c r="A343" s="4" t="s">
        <v>746</v>
      </c>
      <c r="B343" s="4" t="s">
        <v>747</v>
      </c>
      <c r="C343" s="4" t="s">
        <v>13</v>
      </c>
      <c r="D343" s="4" t="s">
        <v>748</v>
      </c>
      <c r="E343" s="4" t="s">
        <v>749</v>
      </c>
      <c r="F343" s="4" t="s">
        <v>750</v>
      </c>
      <c r="G343" s="1">
        <v>6.7000000000000004E-2</v>
      </c>
      <c r="H343" s="4" t="s">
        <v>166</v>
      </c>
      <c r="I343" s="4" t="s">
        <v>18</v>
      </c>
      <c r="J343" s="4" t="s">
        <v>337</v>
      </c>
      <c r="K343" s="4" t="s">
        <v>114</v>
      </c>
    </row>
    <row r="344" spans="1:11" x14ac:dyDescent="0.2">
      <c r="A344" s="4" t="s">
        <v>751</v>
      </c>
      <c r="B344" s="4" t="s">
        <v>752</v>
      </c>
      <c r="C344" s="4" t="s">
        <v>13</v>
      </c>
      <c r="D344" s="4" t="s">
        <v>748</v>
      </c>
      <c r="E344" s="4" t="s">
        <v>749</v>
      </c>
      <c r="F344" s="4" t="s">
        <v>750</v>
      </c>
      <c r="G344" s="1">
        <v>6.7000000000000004E-2</v>
      </c>
      <c r="H344" s="4" t="s">
        <v>166</v>
      </c>
      <c r="I344" s="4" t="s">
        <v>18</v>
      </c>
      <c r="J344" s="4" t="s">
        <v>337</v>
      </c>
      <c r="K344" s="4" t="s">
        <v>114</v>
      </c>
    </row>
    <row r="345" spans="1:11" x14ac:dyDescent="0.2">
      <c r="A345" s="4" t="s">
        <v>753</v>
      </c>
      <c r="B345" s="4" t="s">
        <v>754</v>
      </c>
      <c r="C345" s="4" t="s">
        <v>13</v>
      </c>
      <c r="D345" s="4" t="s">
        <v>748</v>
      </c>
      <c r="E345" s="4" t="s">
        <v>749</v>
      </c>
      <c r="F345" s="4" t="s">
        <v>750</v>
      </c>
      <c r="G345" s="1">
        <v>3.3000000000000002E-2</v>
      </c>
      <c r="H345" s="4" t="s">
        <v>225</v>
      </c>
      <c r="I345" s="4" t="s">
        <v>18</v>
      </c>
      <c r="J345" s="4" t="s">
        <v>337</v>
      </c>
      <c r="K345" s="4" t="s">
        <v>24</v>
      </c>
    </row>
    <row r="346" spans="1:11" x14ac:dyDescent="0.2">
      <c r="A346" s="4" t="s">
        <v>755</v>
      </c>
      <c r="B346" s="4" t="s">
        <v>756</v>
      </c>
      <c r="C346" s="4" t="s">
        <v>13</v>
      </c>
      <c r="D346" s="4" t="s">
        <v>748</v>
      </c>
      <c r="E346" s="4" t="s">
        <v>749</v>
      </c>
      <c r="F346" s="4" t="s">
        <v>750</v>
      </c>
      <c r="G346" s="1">
        <v>3.3000000000000002E-2</v>
      </c>
      <c r="H346" s="4" t="s">
        <v>225</v>
      </c>
      <c r="I346" s="4" t="s">
        <v>18</v>
      </c>
      <c r="J346" s="4" t="s">
        <v>337</v>
      </c>
      <c r="K346" s="4" t="s">
        <v>24</v>
      </c>
    </row>
    <row r="347" spans="1:11" x14ac:dyDescent="0.2">
      <c r="A347" s="4" t="s">
        <v>757</v>
      </c>
      <c r="B347" s="4" t="s">
        <v>758</v>
      </c>
      <c r="C347" s="4" t="s">
        <v>13</v>
      </c>
      <c r="D347" s="4" t="s">
        <v>748</v>
      </c>
      <c r="E347" s="4" t="s">
        <v>749</v>
      </c>
      <c r="F347" s="4" t="s">
        <v>750</v>
      </c>
      <c r="G347" s="1">
        <v>6.7000000000000004E-2</v>
      </c>
      <c r="H347" s="4" t="s">
        <v>166</v>
      </c>
      <c r="I347" s="4" t="s">
        <v>18</v>
      </c>
      <c r="J347" s="4" t="s">
        <v>337</v>
      </c>
      <c r="K347" s="4" t="s">
        <v>24</v>
      </c>
    </row>
    <row r="348" spans="1:11" x14ac:dyDescent="0.2">
      <c r="A348" s="4" t="s">
        <v>759</v>
      </c>
      <c r="B348" s="4" t="s">
        <v>760</v>
      </c>
      <c r="C348" s="4" t="s">
        <v>13</v>
      </c>
      <c r="D348" s="4" t="s">
        <v>748</v>
      </c>
      <c r="E348" s="4" t="s">
        <v>749</v>
      </c>
      <c r="F348" s="4" t="s">
        <v>750</v>
      </c>
      <c r="G348" s="1">
        <v>6.7000000000000004E-2</v>
      </c>
      <c r="H348" s="4" t="s">
        <v>166</v>
      </c>
      <c r="I348" s="4" t="s">
        <v>18</v>
      </c>
      <c r="J348" s="4" t="s">
        <v>337</v>
      </c>
      <c r="K348" s="4" t="s">
        <v>24</v>
      </c>
    </row>
    <row r="349" spans="1:11" x14ac:dyDescent="0.2">
      <c r="A349" s="4" t="s">
        <v>761</v>
      </c>
      <c r="B349" s="4" t="s">
        <v>762</v>
      </c>
      <c r="C349" s="4" t="s">
        <v>13</v>
      </c>
      <c r="D349" s="4" t="s">
        <v>748</v>
      </c>
      <c r="E349" s="4" t="s">
        <v>749</v>
      </c>
      <c r="F349" s="4" t="s">
        <v>750</v>
      </c>
      <c r="G349" s="1">
        <v>3.3000000000000002E-2</v>
      </c>
      <c r="H349" s="4" t="s">
        <v>225</v>
      </c>
      <c r="I349" s="4" t="s">
        <v>18</v>
      </c>
      <c r="J349" s="4" t="s">
        <v>337</v>
      </c>
      <c r="K349" s="4" t="s">
        <v>24</v>
      </c>
    </row>
    <row r="350" spans="1:11" x14ac:dyDescent="0.2">
      <c r="A350" s="4" t="s">
        <v>763</v>
      </c>
      <c r="B350" s="4" t="s">
        <v>764</v>
      </c>
      <c r="C350" s="4" t="s">
        <v>13</v>
      </c>
      <c r="D350" s="4" t="s">
        <v>748</v>
      </c>
      <c r="E350" s="4" t="s">
        <v>749</v>
      </c>
      <c r="F350" s="4" t="s">
        <v>750</v>
      </c>
      <c r="G350" s="1">
        <v>3.3000000000000002E-2</v>
      </c>
      <c r="H350" s="4" t="s">
        <v>225</v>
      </c>
      <c r="I350" s="4" t="s">
        <v>18</v>
      </c>
      <c r="J350" s="4" t="s">
        <v>337</v>
      </c>
      <c r="K350" s="4" t="s">
        <v>24</v>
      </c>
    </row>
    <row r="351" spans="1:11" x14ac:dyDescent="0.2">
      <c r="A351" s="4" t="s">
        <v>765</v>
      </c>
      <c r="B351" s="4" t="s">
        <v>766</v>
      </c>
      <c r="C351" s="4" t="s">
        <v>13</v>
      </c>
      <c r="D351" s="4" t="s">
        <v>748</v>
      </c>
      <c r="E351" s="4" t="s">
        <v>749</v>
      </c>
      <c r="F351" s="4" t="s">
        <v>750</v>
      </c>
      <c r="G351" s="1">
        <v>3.3000000000000002E-2</v>
      </c>
      <c r="H351" s="4" t="s">
        <v>225</v>
      </c>
      <c r="I351" s="4" t="s">
        <v>18</v>
      </c>
      <c r="J351" s="4" t="s">
        <v>337</v>
      </c>
      <c r="K351" s="4" t="s">
        <v>24</v>
      </c>
    </row>
    <row r="352" spans="1:11" x14ac:dyDescent="0.2">
      <c r="A352" s="4" t="s">
        <v>767</v>
      </c>
      <c r="B352" s="4" t="s">
        <v>768</v>
      </c>
      <c r="C352" s="4" t="s">
        <v>13</v>
      </c>
      <c r="D352" s="4" t="s">
        <v>748</v>
      </c>
      <c r="E352" s="4" t="s">
        <v>749</v>
      </c>
      <c r="F352" s="4" t="s">
        <v>750</v>
      </c>
      <c r="G352" s="1">
        <v>6.7000000000000004E-2</v>
      </c>
      <c r="H352" s="4" t="s">
        <v>166</v>
      </c>
      <c r="I352" s="4" t="s">
        <v>18</v>
      </c>
      <c r="J352" s="4" t="s">
        <v>337</v>
      </c>
      <c r="K352" s="4" t="s">
        <v>24</v>
      </c>
    </row>
    <row r="353" spans="1:11" x14ac:dyDescent="0.2">
      <c r="A353" s="4" t="s">
        <v>769</v>
      </c>
      <c r="B353" s="4" t="s">
        <v>770</v>
      </c>
      <c r="C353" s="4" t="s">
        <v>13</v>
      </c>
      <c r="D353" s="4" t="s">
        <v>748</v>
      </c>
      <c r="E353" s="4" t="s">
        <v>749</v>
      </c>
      <c r="F353" s="4" t="s">
        <v>750</v>
      </c>
      <c r="G353" s="1">
        <v>6.7000000000000004E-2</v>
      </c>
      <c r="H353" s="4" t="s">
        <v>166</v>
      </c>
      <c r="I353" s="4" t="s">
        <v>18</v>
      </c>
      <c r="J353" s="4" t="s">
        <v>337</v>
      </c>
      <c r="K353" s="4" t="s">
        <v>24</v>
      </c>
    </row>
    <row r="354" spans="1:11" x14ac:dyDescent="0.2">
      <c r="A354" s="4" t="s">
        <v>771</v>
      </c>
      <c r="B354" s="4" t="s">
        <v>772</v>
      </c>
      <c r="C354" s="4" t="s">
        <v>13</v>
      </c>
      <c r="D354" s="4" t="s">
        <v>748</v>
      </c>
      <c r="E354" s="4" t="s">
        <v>749</v>
      </c>
      <c r="F354" s="4" t="s">
        <v>750</v>
      </c>
      <c r="G354" s="1">
        <v>0</v>
      </c>
      <c r="H354" s="4" t="s">
        <v>254</v>
      </c>
      <c r="I354" s="4" t="s">
        <v>18</v>
      </c>
      <c r="J354" s="4" t="s">
        <v>337</v>
      </c>
      <c r="K354" s="4" t="s">
        <v>24</v>
      </c>
    </row>
    <row r="355" spans="1:11" x14ac:dyDescent="0.2">
      <c r="A355" s="4" t="s">
        <v>773</v>
      </c>
      <c r="B355" s="4" t="s">
        <v>774</v>
      </c>
      <c r="C355" s="4" t="s">
        <v>13</v>
      </c>
      <c r="D355" s="4" t="s">
        <v>748</v>
      </c>
      <c r="E355" s="4" t="s">
        <v>749</v>
      </c>
      <c r="F355" s="4" t="s">
        <v>750</v>
      </c>
      <c r="G355" s="1">
        <v>6.7000000000000004E-2</v>
      </c>
      <c r="H355" s="4" t="s">
        <v>166</v>
      </c>
      <c r="I355" s="4" t="s">
        <v>18</v>
      </c>
      <c r="J355" s="4" t="s">
        <v>337</v>
      </c>
      <c r="K355" s="4" t="s">
        <v>24</v>
      </c>
    </row>
    <row r="356" spans="1:11" x14ac:dyDescent="0.2">
      <c r="A356" s="4" t="s">
        <v>775</v>
      </c>
      <c r="B356" s="4" t="s">
        <v>776</v>
      </c>
      <c r="C356" s="4" t="s">
        <v>13</v>
      </c>
      <c r="D356" s="4" t="s">
        <v>748</v>
      </c>
      <c r="E356" s="4" t="s">
        <v>749</v>
      </c>
      <c r="F356" s="4" t="s">
        <v>750</v>
      </c>
      <c r="G356" s="1">
        <v>6.7000000000000004E-2</v>
      </c>
      <c r="H356" s="4" t="s">
        <v>166</v>
      </c>
      <c r="I356" s="4" t="s">
        <v>18</v>
      </c>
      <c r="J356" s="4" t="s">
        <v>337</v>
      </c>
      <c r="K356" s="4" t="s">
        <v>24</v>
      </c>
    </row>
    <row r="357" spans="1:11" x14ac:dyDescent="0.2">
      <c r="A357" s="4" t="s">
        <v>777</v>
      </c>
      <c r="B357" s="4" t="s">
        <v>778</v>
      </c>
      <c r="C357" s="4" t="s">
        <v>13</v>
      </c>
      <c r="D357" s="4" t="s">
        <v>748</v>
      </c>
      <c r="E357" s="4" t="s">
        <v>749</v>
      </c>
      <c r="F357" s="4" t="s">
        <v>750</v>
      </c>
      <c r="G357" s="1">
        <v>3.3000000000000002E-2</v>
      </c>
      <c r="H357" s="4" t="s">
        <v>225</v>
      </c>
      <c r="I357" s="4" t="s">
        <v>18</v>
      </c>
      <c r="J357" s="4" t="s">
        <v>337</v>
      </c>
      <c r="K357" s="4" t="s">
        <v>24</v>
      </c>
    </row>
    <row r="358" spans="1:11" x14ac:dyDescent="0.2">
      <c r="A358" s="4" t="s">
        <v>779</v>
      </c>
      <c r="B358" s="4" t="s">
        <v>780</v>
      </c>
      <c r="C358" s="4" t="s">
        <v>13</v>
      </c>
      <c r="D358" s="4" t="s">
        <v>748</v>
      </c>
      <c r="E358" s="4" t="s">
        <v>749</v>
      </c>
      <c r="F358" s="4" t="s">
        <v>750</v>
      </c>
      <c r="G358" s="1">
        <v>6.7000000000000004E-2</v>
      </c>
      <c r="H358" s="4" t="s">
        <v>166</v>
      </c>
      <c r="I358" s="4" t="s">
        <v>18</v>
      </c>
      <c r="J358" s="4" t="s">
        <v>337</v>
      </c>
      <c r="K358" s="4" t="s">
        <v>24</v>
      </c>
    </row>
    <row r="359" spans="1:11" x14ac:dyDescent="0.2">
      <c r="A359" s="4" t="s">
        <v>781</v>
      </c>
      <c r="B359" s="4" t="s">
        <v>782</v>
      </c>
      <c r="C359" s="4" t="s">
        <v>13</v>
      </c>
      <c r="D359" s="4" t="s">
        <v>748</v>
      </c>
      <c r="E359" s="4" t="s">
        <v>749</v>
      </c>
      <c r="F359" s="4" t="s">
        <v>750</v>
      </c>
      <c r="G359" s="1">
        <v>0</v>
      </c>
      <c r="H359" s="4" t="s">
        <v>254</v>
      </c>
      <c r="I359" s="4" t="s">
        <v>18</v>
      </c>
      <c r="J359" s="4" t="s">
        <v>337</v>
      </c>
      <c r="K359" s="4" t="s">
        <v>24</v>
      </c>
    </row>
    <row r="360" spans="1:11" x14ac:dyDescent="0.2">
      <c r="A360" s="4" t="s">
        <v>783</v>
      </c>
      <c r="B360" s="4" t="s">
        <v>784</v>
      </c>
      <c r="C360" s="4" t="s">
        <v>13</v>
      </c>
      <c r="D360" s="4" t="s">
        <v>748</v>
      </c>
      <c r="E360" s="4" t="s">
        <v>749</v>
      </c>
      <c r="F360" s="4" t="s">
        <v>750</v>
      </c>
      <c r="G360" s="1">
        <v>6.7000000000000004E-2</v>
      </c>
      <c r="H360" s="4" t="s">
        <v>166</v>
      </c>
      <c r="I360" s="4" t="s">
        <v>18</v>
      </c>
      <c r="J360" s="4" t="s">
        <v>337</v>
      </c>
      <c r="K360" s="4" t="s">
        <v>24</v>
      </c>
    </row>
    <row r="361" spans="1:11" x14ac:dyDescent="0.2">
      <c r="A361" s="4" t="s">
        <v>785</v>
      </c>
      <c r="B361" s="4" t="s">
        <v>786</v>
      </c>
      <c r="C361" s="4" t="s">
        <v>13</v>
      </c>
      <c r="D361" s="4" t="s">
        <v>748</v>
      </c>
      <c r="E361" s="4" t="s">
        <v>749</v>
      </c>
      <c r="F361" s="4" t="s">
        <v>750</v>
      </c>
      <c r="G361" s="1">
        <v>0</v>
      </c>
      <c r="H361" s="4" t="s">
        <v>254</v>
      </c>
      <c r="I361" s="4" t="s">
        <v>18</v>
      </c>
      <c r="J361" s="4" t="s">
        <v>337</v>
      </c>
      <c r="K361" s="4" t="s">
        <v>24</v>
      </c>
    </row>
    <row r="362" spans="1:11" x14ac:dyDescent="0.2">
      <c r="A362" s="4" t="s">
        <v>787</v>
      </c>
      <c r="B362" s="4" t="s">
        <v>788</v>
      </c>
      <c r="C362" s="4" t="s">
        <v>13</v>
      </c>
      <c r="D362" s="4" t="s">
        <v>748</v>
      </c>
      <c r="E362" s="4" t="s">
        <v>749</v>
      </c>
      <c r="F362" s="4" t="s">
        <v>750</v>
      </c>
      <c r="G362" s="1">
        <v>6.7000000000000004E-2</v>
      </c>
      <c r="H362" s="4" t="s">
        <v>166</v>
      </c>
      <c r="I362" s="4" t="s">
        <v>18</v>
      </c>
      <c r="J362" s="4" t="s">
        <v>337</v>
      </c>
      <c r="K362" s="4" t="s">
        <v>24</v>
      </c>
    </row>
    <row r="363" spans="1:11" x14ac:dyDescent="0.2">
      <c r="A363" s="4" t="s">
        <v>789</v>
      </c>
      <c r="B363" s="4" t="s">
        <v>790</v>
      </c>
      <c r="C363" s="4" t="s">
        <v>13</v>
      </c>
      <c r="D363" s="4" t="s">
        <v>748</v>
      </c>
      <c r="E363" s="4" t="s">
        <v>749</v>
      </c>
      <c r="F363" s="4" t="s">
        <v>750</v>
      </c>
      <c r="G363" s="1">
        <v>6.7000000000000004E-2</v>
      </c>
      <c r="H363" s="4" t="s">
        <v>166</v>
      </c>
      <c r="I363" s="4" t="s">
        <v>18</v>
      </c>
      <c r="J363" s="4" t="s">
        <v>337</v>
      </c>
      <c r="K363" s="4" t="s">
        <v>24</v>
      </c>
    </row>
    <row r="364" spans="1:11" x14ac:dyDescent="0.2">
      <c r="A364" s="4" t="s">
        <v>791</v>
      </c>
      <c r="B364" s="4" t="s">
        <v>792</v>
      </c>
      <c r="C364" s="4" t="s">
        <v>13</v>
      </c>
      <c r="D364" s="4" t="s">
        <v>748</v>
      </c>
      <c r="E364" s="4" t="s">
        <v>749</v>
      </c>
      <c r="F364" s="4" t="s">
        <v>750</v>
      </c>
      <c r="G364" s="1">
        <v>3.3000000000000002E-2</v>
      </c>
      <c r="H364" s="4" t="s">
        <v>225</v>
      </c>
      <c r="I364" s="4" t="s">
        <v>18</v>
      </c>
      <c r="J364" s="4" t="s">
        <v>337</v>
      </c>
      <c r="K364" s="4" t="s">
        <v>432</v>
      </c>
    </row>
    <row r="365" spans="1:11" x14ac:dyDescent="0.2">
      <c r="A365" s="4" t="s">
        <v>793</v>
      </c>
      <c r="B365" s="4" t="s">
        <v>794</v>
      </c>
      <c r="C365" s="4" t="s">
        <v>13</v>
      </c>
      <c r="D365" s="4" t="s">
        <v>748</v>
      </c>
      <c r="E365" s="4" t="s">
        <v>749</v>
      </c>
      <c r="F365" s="4" t="s">
        <v>750</v>
      </c>
      <c r="G365" s="1">
        <v>6.7000000000000004E-2</v>
      </c>
      <c r="H365" s="4" t="s">
        <v>166</v>
      </c>
      <c r="I365" s="4" t="s">
        <v>18</v>
      </c>
      <c r="J365" s="4" t="s">
        <v>337</v>
      </c>
      <c r="K365" s="4" t="s">
        <v>125</v>
      </c>
    </row>
    <row r="366" spans="1:11" x14ac:dyDescent="0.2">
      <c r="A366" s="4" t="s">
        <v>795</v>
      </c>
      <c r="B366" s="4" t="s">
        <v>796</v>
      </c>
      <c r="C366" s="4" t="s">
        <v>13</v>
      </c>
      <c r="D366" s="4" t="s">
        <v>748</v>
      </c>
      <c r="E366" s="4" t="s">
        <v>749</v>
      </c>
      <c r="F366" s="4" t="s">
        <v>750</v>
      </c>
      <c r="G366" s="1">
        <v>3.3000000000000002E-2</v>
      </c>
      <c r="H366" s="4" t="s">
        <v>225</v>
      </c>
      <c r="I366" s="4" t="s">
        <v>18</v>
      </c>
      <c r="J366" s="4" t="s">
        <v>337</v>
      </c>
      <c r="K366" s="4" t="s">
        <v>125</v>
      </c>
    </row>
    <row r="367" spans="1:11" x14ac:dyDescent="0.2">
      <c r="A367" s="4" t="s">
        <v>797</v>
      </c>
      <c r="B367" s="4" t="s">
        <v>798</v>
      </c>
      <c r="C367" s="4" t="s">
        <v>13</v>
      </c>
      <c r="D367" s="4" t="s">
        <v>748</v>
      </c>
      <c r="E367" s="4" t="s">
        <v>749</v>
      </c>
      <c r="F367" s="4" t="s">
        <v>750</v>
      </c>
      <c r="G367" s="1">
        <v>6.7000000000000004E-2</v>
      </c>
      <c r="H367" s="4" t="s">
        <v>166</v>
      </c>
      <c r="I367" s="4" t="s">
        <v>18</v>
      </c>
      <c r="J367" s="4" t="s">
        <v>337</v>
      </c>
      <c r="K367" s="4" t="s">
        <v>426</v>
      </c>
    </row>
    <row r="368" spans="1:11" x14ac:dyDescent="0.2">
      <c r="A368" s="4" t="s">
        <v>799</v>
      </c>
      <c r="B368" s="4" t="s">
        <v>800</v>
      </c>
      <c r="C368" s="4" t="s">
        <v>13</v>
      </c>
      <c r="D368" s="4" t="s">
        <v>748</v>
      </c>
      <c r="E368" s="4" t="s">
        <v>749</v>
      </c>
      <c r="F368" s="4" t="s">
        <v>750</v>
      </c>
      <c r="G368" s="1">
        <v>6.7000000000000004E-2</v>
      </c>
      <c r="H368" s="4" t="s">
        <v>166</v>
      </c>
      <c r="I368" s="4" t="s">
        <v>18</v>
      </c>
      <c r="J368" s="4" t="s">
        <v>337</v>
      </c>
      <c r="K368" s="4" t="s">
        <v>426</v>
      </c>
    </row>
    <row r="369" spans="1:11" x14ac:dyDescent="0.2">
      <c r="A369" s="4" t="s">
        <v>801</v>
      </c>
      <c r="B369" s="4" t="s">
        <v>802</v>
      </c>
      <c r="C369" s="4" t="s">
        <v>13</v>
      </c>
      <c r="D369" s="4" t="s">
        <v>748</v>
      </c>
      <c r="E369" s="4" t="s">
        <v>749</v>
      </c>
      <c r="F369" s="4" t="s">
        <v>750</v>
      </c>
      <c r="G369" s="1">
        <v>6.7000000000000004E-2</v>
      </c>
      <c r="H369" s="4" t="s">
        <v>166</v>
      </c>
      <c r="I369" s="4" t="s">
        <v>18</v>
      </c>
      <c r="J369" s="4" t="s">
        <v>337</v>
      </c>
      <c r="K369" s="4" t="s">
        <v>24</v>
      </c>
    </row>
    <row r="370" spans="1:11" x14ac:dyDescent="0.2">
      <c r="A370" s="4" t="s">
        <v>803</v>
      </c>
      <c r="B370" s="4" t="s">
        <v>804</v>
      </c>
      <c r="C370" s="4" t="s">
        <v>13</v>
      </c>
      <c r="D370" s="4" t="s">
        <v>805</v>
      </c>
      <c r="E370" s="4" t="s">
        <v>806</v>
      </c>
      <c r="F370" s="4" t="s">
        <v>807</v>
      </c>
      <c r="G370" s="1">
        <v>6.7000000000000004E-2</v>
      </c>
      <c r="H370" s="4" t="s">
        <v>166</v>
      </c>
      <c r="I370" s="4" t="s">
        <v>18</v>
      </c>
      <c r="J370" s="4" t="s">
        <v>113</v>
      </c>
      <c r="K370" s="4" t="s">
        <v>24</v>
      </c>
    </row>
    <row r="371" spans="1:11" x14ac:dyDescent="0.2">
      <c r="A371" s="4" t="s">
        <v>808</v>
      </c>
      <c r="B371" s="4" t="s">
        <v>809</v>
      </c>
      <c r="C371" s="4" t="s">
        <v>13</v>
      </c>
      <c r="D371" s="4" t="s">
        <v>805</v>
      </c>
      <c r="E371" s="4" t="s">
        <v>806</v>
      </c>
      <c r="F371" s="4" t="s">
        <v>807</v>
      </c>
      <c r="G371" s="1">
        <v>0.13300000000000001</v>
      </c>
      <c r="H371" s="4" t="s">
        <v>112</v>
      </c>
      <c r="I371" s="4" t="s">
        <v>18</v>
      </c>
      <c r="J371" s="4" t="s">
        <v>113</v>
      </c>
      <c r="K371" s="4" t="s">
        <v>24</v>
      </c>
    </row>
    <row r="372" spans="1:11" x14ac:dyDescent="0.2">
      <c r="A372" s="4" t="s">
        <v>810</v>
      </c>
      <c r="B372" s="4" t="s">
        <v>811</v>
      </c>
      <c r="C372" s="4" t="s">
        <v>13</v>
      </c>
      <c r="D372" s="4" t="s">
        <v>805</v>
      </c>
      <c r="E372" s="4" t="s">
        <v>806</v>
      </c>
      <c r="F372" s="4" t="s">
        <v>807</v>
      </c>
      <c r="G372" s="1">
        <v>6.7000000000000004E-2</v>
      </c>
      <c r="H372" s="4" t="s">
        <v>166</v>
      </c>
      <c r="I372" s="4" t="s">
        <v>18</v>
      </c>
      <c r="J372" s="4" t="s">
        <v>113</v>
      </c>
      <c r="K372" s="4" t="s">
        <v>24</v>
      </c>
    </row>
    <row r="373" spans="1:11" x14ac:dyDescent="0.2">
      <c r="A373" s="4" t="s">
        <v>812</v>
      </c>
      <c r="B373" s="4" t="s">
        <v>813</v>
      </c>
      <c r="C373" s="4" t="s">
        <v>13</v>
      </c>
      <c r="D373" s="4" t="s">
        <v>805</v>
      </c>
      <c r="E373" s="4" t="s">
        <v>806</v>
      </c>
      <c r="F373" s="4" t="s">
        <v>807</v>
      </c>
      <c r="G373" s="1">
        <v>0.13300000000000001</v>
      </c>
      <c r="H373" s="4" t="s">
        <v>112</v>
      </c>
      <c r="I373" s="4" t="s">
        <v>18</v>
      </c>
      <c r="J373" s="4" t="s">
        <v>113</v>
      </c>
      <c r="K373" s="4" t="s">
        <v>24</v>
      </c>
    </row>
    <row r="374" spans="1:11" x14ac:dyDescent="0.2">
      <c r="A374" s="4" t="s">
        <v>814</v>
      </c>
      <c r="B374" s="4" t="s">
        <v>815</v>
      </c>
      <c r="C374" s="4" t="s">
        <v>13</v>
      </c>
      <c r="D374" s="4" t="s">
        <v>805</v>
      </c>
      <c r="E374" s="4" t="s">
        <v>806</v>
      </c>
      <c r="F374" s="4" t="s">
        <v>807</v>
      </c>
      <c r="G374" s="1">
        <v>0.13300000000000001</v>
      </c>
      <c r="H374" s="4" t="s">
        <v>112</v>
      </c>
      <c r="I374" s="4" t="s">
        <v>18</v>
      </c>
      <c r="J374" s="4" t="s">
        <v>113</v>
      </c>
      <c r="K374" s="4" t="s">
        <v>24</v>
      </c>
    </row>
    <row r="375" spans="1:11" x14ac:dyDescent="0.2">
      <c r="A375" s="4" t="s">
        <v>816</v>
      </c>
      <c r="B375" s="4" t="s">
        <v>817</v>
      </c>
      <c r="C375" s="4" t="s">
        <v>13</v>
      </c>
      <c r="D375" s="4" t="s">
        <v>805</v>
      </c>
      <c r="E375" s="4" t="s">
        <v>806</v>
      </c>
      <c r="F375" s="4" t="s">
        <v>807</v>
      </c>
      <c r="G375" s="1">
        <v>0.1</v>
      </c>
      <c r="H375" s="4" t="s">
        <v>117</v>
      </c>
      <c r="I375" s="4" t="s">
        <v>18</v>
      </c>
      <c r="J375" s="4" t="s">
        <v>113</v>
      </c>
      <c r="K375" s="4" t="s">
        <v>24</v>
      </c>
    </row>
    <row r="376" spans="1:11" x14ac:dyDescent="0.2">
      <c r="A376" s="4" t="s">
        <v>818</v>
      </c>
      <c r="B376" s="4" t="s">
        <v>819</v>
      </c>
      <c r="C376" s="4" t="s">
        <v>13</v>
      </c>
      <c r="D376" s="4" t="s">
        <v>805</v>
      </c>
      <c r="E376" s="4" t="s">
        <v>806</v>
      </c>
      <c r="F376" s="4" t="s">
        <v>807</v>
      </c>
      <c r="G376" s="1">
        <v>0.13300000000000001</v>
      </c>
      <c r="H376" s="4" t="s">
        <v>112</v>
      </c>
      <c r="I376" s="4" t="s">
        <v>18</v>
      </c>
      <c r="J376" s="4" t="s">
        <v>113</v>
      </c>
      <c r="K376" s="4" t="s">
        <v>24</v>
      </c>
    </row>
    <row r="377" spans="1:11" x14ac:dyDescent="0.2">
      <c r="A377" s="4" t="s">
        <v>820</v>
      </c>
      <c r="B377" s="4" t="s">
        <v>821</v>
      </c>
      <c r="C377" s="4" t="s">
        <v>13</v>
      </c>
      <c r="D377" s="4" t="s">
        <v>805</v>
      </c>
      <c r="E377" s="4" t="s">
        <v>806</v>
      </c>
      <c r="F377" s="4" t="s">
        <v>807</v>
      </c>
      <c r="G377" s="1">
        <v>3.3000000000000002E-2</v>
      </c>
      <c r="H377" s="4" t="s">
        <v>225</v>
      </c>
      <c r="I377" s="4" t="s">
        <v>18</v>
      </c>
      <c r="J377" s="4" t="s">
        <v>113</v>
      </c>
      <c r="K377" s="4" t="s">
        <v>24</v>
      </c>
    </row>
    <row r="378" spans="1:11" x14ac:dyDescent="0.2">
      <c r="A378" s="4" t="s">
        <v>822</v>
      </c>
      <c r="B378" s="4" t="s">
        <v>823</v>
      </c>
      <c r="C378" s="4" t="s">
        <v>13</v>
      </c>
      <c r="D378" s="4" t="s">
        <v>805</v>
      </c>
      <c r="E378" s="4" t="s">
        <v>806</v>
      </c>
      <c r="F378" s="4" t="s">
        <v>807</v>
      </c>
      <c r="G378" s="1">
        <v>0.1</v>
      </c>
      <c r="H378" s="4" t="s">
        <v>117</v>
      </c>
      <c r="I378" s="4" t="s">
        <v>18</v>
      </c>
      <c r="J378" s="4" t="s">
        <v>113</v>
      </c>
      <c r="K378" s="4" t="s">
        <v>24</v>
      </c>
    </row>
    <row r="379" spans="1:11" x14ac:dyDescent="0.2">
      <c r="A379" s="4" t="s">
        <v>824</v>
      </c>
      <c r="B379" s="4" t="s">
        <v>825</v>
      </c>
      <c r="C379" s="4" t="s">
        <v>13</v>
      </c>
      <c r="D379" s="4" t="s">
        <v>805</v>
      </c>
      <c r="E379" s="4" t="s">
        <v>806</v>
      </c>
      <c r="F379" s="4" t="s">
        <v>807</v>
      </c>
      <c r="G379" s="1">
        <v>3.3000000000000002E-2</v>
      </c>
      <c r="H379" s="4" t="s">
        <v>225</v>
      </c>
      <c r="I379" s="4" t="s">
        <v>18</v>
      </c>
      <c r="J379" s="4" t="s">
        <v>113</v>
      </c>
      <c r="K379" s="4" t="s">
        <v>24</v>
      </c>
    </row>
    <row r="380" spans="1:11" x14ac:dyDescent="0.2">
      <c r="A380" s="4" t="s">
        <v>826</v>
      </c>
      <c r="B380" s="4" t="s">
        <v>827</v>
      </c>
      <c r="C380" s="4" t="s">
        <v>13</v>
      </c>
      <c r="D380" s="4" t="s">
        <v>805</v>
      </c>
      <c r="E380" s="4" t="s">
        <v>806</v>
      </c>
      <c r="F380" s="4" t="s">
        <v>807</v>
      </c>
      <c r="G380" s="1">
        <v>0.13300000000000001</v>
      </c>
      <c r="H380" s="4" t="s">
        <v>112</v>
      </c>
      <c r="I380" s="4" t="s">
        <v>18</v>
      </c>
      <c r="J380" s="4" t="s">
        <v>113</v>
      </c>
      <c r="K380" s="4" t="s">
        <v>24</v>
      </c>
    </row>
    <row r="381" spans="1:11" x14ac:dyDescent="0.2">
      <c r="A381" s="4" t="s">
        <v>828</v>
      </c>
      <c r="B381" s="4" t="s">
        <v>829</v>
      </c>
      <c r="C381" s="4" t="s">
        <v>13</v>
      </c>
      <c r="D381" s="4" t="s">
        <v>805</v>
      </c>
      <c r="E381" s="4" t="s">
        <v>806</v>
      </c>
      <c r="F381" s="4" t="s">
        <v>807</v>
      </c>
      <c r="G381" s="1">
        <v>0.13300000000000001</v>
      </c>
      <c r="H381" s="4" t="s">
        <v>112</v>
      </c>
      <c r="I381" s="4" t="s">
        <v>18</v>
      </c>
      <c r="J381" s="4" t="s">
        <v>113</v>
      </c>
      <c r="K381" s="4" t="s">
        <v>24</v>
      </c>
    </row>
    <row r="382" spans="1:11" x14ac:dyDescent="0.2">
      <c r="A382" s="4" t="s">
        <v>830</v>
      </c>
      <c r="B382" s="4" t="s">
        <v>831</v>
      </c>
      <c r="C382" s="4" t="s">
        <v>13</v>
      </c>
      <c r="D382" s="4" t="s">
        <v>805</v>
      </c>
      <c r="E382" s="4" t="s">
        <v>806</v>
      </c>
      <c r="F382" s="4" t="s">
        <v>807</v>
      </c>
      <c r="G382" s="1">
        <v>6.7000000000000004E-2</v>
      </c>
      <c r="H382" s="4" t="s">
        <v>166</v>
      </c>
      <c r="I382" s="4" t="s">
        <v>18</v>
      </c>
      <c r="J382" s="4" t="s">
        <v>113</v>
      </c>
      <c r="K382" s="4" t="s">
        <v>24</v>
      </c>
    </row>
    <row r="383" spans="1:11" x14ac:dyDescent="0.2">
      <c r="A383" s="4" t="s">
        <v>832</v>
      </c>
      <c r="B383" s="4" t="s">
        <v>833</v>
      </c>
      <c r="C383" s="4" t="s">
        <v>13</v>
      </c>
      <c r="D383" s="4" t="s">
        <v>805</v>
      </c>
      <c r="E383" s="4" t="s">
        <v>806</v>
      </c>
      <c r="F383" s="4" t="s">
        <v>807</v>
      </c>
      <c r="G383" s="1">
        <v>0.13300000000000001</v>
      </c>
      <c r="H383" s="4" t="s">
        <v>112</v>
      </c>
      <c r="I383" s="4" t="s">
        <v>18</v>
      </c>
      <c r="J383" s="4" t="s">
        <v>113</v>
      </c>
      <c r="K383" s="4" t="s">
        <v>24</v>
      </c>
    </row>
    <row r="384" spans="1:11" x14ac:dyDescent="0.2">
      <c r="A384" s="4" t="s">
        <v>834</v>
      </c>
      <c r="B384" s="4" t="s">
        <v>835</v>
      </c>
      <c r="C384" s="4" t="s">
        <v>13</v>
      </c>
      <c r="D384" s="4" t="s">
        <v>805</v>
      </c>
      <c r="E384" s="4" t="s">
        <v>806</v>
      </c>
      <c r="F384" s="4" t="s">
        <v>807</v>
      </c>
      <c r="G384" s="1">
        <v>6.7000000000000004E-2</v>
      </c>
      <c r="H384" s="4" t="s">
        <v>166</v>
      </c>
      <c r="I384" s="4" t="s">
        <v>18</v>
      </c>
      <c r="J384" s="4" t="s">
        <v>113</v>
      </c>
      <c r="K384" s="4" t="s">
        <v>24</v>
      </c>
    </row>
    <row r="385" spans="1:11" x14ac:dyDescent="0.2">
      <c r="A385" s="4" t="s">
        <v>836</v>
      </c>
      <c r="B385" s="4" t="s">
        <v>837</v>
      </c>
      <c r="C385" s="4" t="s">
        <v>13</v>
      </c>
      <c r="D385" s="4" t="s">
        <v>805</v>
      </c>
      <c r="E385" s="4" t="s">
        <v>806</v>
      </c>
      <c r="F385" s="4" t="s">
        <v>807</v>
      </c>
      <c r="G385" s="1">
        <v>6.7000000000000004E-2</v>
      </c>
      <c r="H385" s="4" t="s">
        <v>166</v>
      </c>
      <c r="I385" s="4" t="s">
        <v>18</v>
      </c>
      <c r="J385" s="4" t="s">
        <v>113</v>
      </c>
      <c r="K385" s="4" t="s">
        <v>24</v>
      </c>
    </row>
    <row r="386" spans="1:11" x14ac:dyDescent="0.2">
      <c r="A386" s="4" t="s">
        <v>838</v>
      </c>
      <c r="B386" s="4" t="s">
        <v>839</v>
      </c>
      <c r="C386" s="4" t="s">
        <v>13</v>
      </c>
      <c r="D386" s="4" t="s">
        <v>805</v>
      </c>
      <c r="E386" s="4" t="s">
        <v>806</v>
      </c>
      <c r="F386" s="4" t="s">
        <v>807</v>
      </c>
      <c r="G386" s="1">
        <v>6.7000000000000004E-2</v>
      </c>
      <c r="H386" s="4" t="s">
        <v>166</v>
      </c>
      <c r="I386" s="4" t="s">
        <v>18</v>
      </c>
      <c r="J386" s="4" t="s">
        <v>113</v>
      </c>
      <c r="K386" s="4" t="s">
        <v>24</v>
      </c>
    </row>
    <row r="387" spans="1:11" x14ac:dyDescent="0.2">
      <c r="A387" s="4" t="s">
        <v>840</v>
      </c>
      <c r="B387" s="4" t="s">
        <v>841</v>
      </c>
      <c r="C387" s="4" t="s">
        <v>13</v>
      </c>
      <c r="D387" s="4" t="s">
        <v>805</v>
      </c>
      <c r="E387" s="4" t="s">
        <v>806</v>
      </c>
      <c r="F387" s="4" t="s">
        <v>807</v>
      </c>
      <c r="G387" s="1">
        <v>0.1</v>
      </c>
      <c r="H387" s="4" t="s">
        <v>117</v>
      </c>
      <c r="I387" s="4" t="s">
        <v>18</v>
      </c>
      <c r="J387" s="4" t="s">
        <v>113</v>
      </c>
      <c r="K387" s="4" t="s">
        <v>24</v>
      </c>
    </row>
    <row r="388" spans="1:11" x14ac:dyDescent="0.2">
      <c r="A388" s="4" t="s">
        <v>842</v>
      </c>
      <c r="B388" s="4" t="s">
        <v>843</v>
      </c>
      <c r="C388" s="4" t="s">
        <v>13</v>
      </c>
      <c r="D388" s="4" t="s">
        <v>805</v>
      </c>
      <c r="E388" s="4" t="s">
        <v>806</v>
      </c>
      <c r="F388" s="4" t="s">
        <v>807</v>
      </c>
      <c r="G388" s="1">
        <v>6.7000000000000004E-2</v>
      </c>
      <c r="H388" s="4" t="s">
        <v>166</v>
      </c>
      <c r="I388" s="4" t="s">
        <v>18</v>
      </c>
      <c r="J388" s="4" t="s">
        <v>113</v>
      </c>
      <c r="K388" s="4" t="s">
        <v>24</v>
      </c>
    </row>
    <row r="389" spans="1:11" x14ac:dyDescent="0.2">
      <c r="A389" s="4" t="s">
        <v>844</v>
      </c>
      <c r="B389" s="4" t="s">
        <v>845</v>
      </c>
      <c r="C389" s="4" t="s">
        <v>13</v>
      </c>
      <c r="D389" s="4" t="s">
        <v>805</v>
      </c>
      <c r="E389" s="4" t="s">
        <v>806</v>
      </c>
      <c r="F389" s="4" t="s">
        <v>807</v>
      </c>
      <c r="G389" s="1">
        <v>0.13300000000000001</v>
      </c>
      <c r="H389" s="4" t="s">
        <v>112</v>
      </c>
      <c r="I389" s="4" t="s">
        <v>18</v>
      </c>
      <c r="J389" s="4" t="s">
        <v>113</v>
      </c>
      <c r="K389" s="4" t="s">
        <v>24</v>
      </c>
    </row>
    <row r="390" spans="1:11" x14ac:dyDescent="0.2">
      <c r="A390" s="4" t="s">
        <v>846</v>
      </c>
      <c r="B390" s="4" t="s">
        <v>847</v>
      </c>
      <c r="C390" s="4" t="s">
        <v>13</v>
      </c>
      <c r="D390" s="4" t="s">
        <v>805</v>
      </c>
      <c r="E390" s="4" t="s">
        <v>806</v>
      </c>
      <c r="F390" s="4" t="s">
        <v>807</v>
      </c>
      <c r="G390" s="1">
        <v>0.13300000000000001</v>
      </c>
      <c r="H390" s="4" t="s">
        <v>112</v>
      </c>
      <c r="I390" s="4" t="s">
        <v>18</v>
      </c>
      <c r="J390" s="4" t="s">
        <v>113</v>
      </c>
      <c r="K390" s="4" t="s">
        <v>426</v>
      </c>
    </row>
    <row r="391" spans="1:11" x14ac:dyDescent="0.2">
      <c r="A391" s="4" t="s">
        <v>848</v>
      </c>
      <c r="B391" s="4" t="s">
        <v>849</v>
      </c>
      <c r="C391" s="4" t="s">
        <v>13</v>
      </c>
      <c r="D391" s="4" t="s">
        <v>850</v>
      </c>
      <c r="E391" s="4" t="s">
        <v>851</v>
      </c>
      <c r="F391" s="4" t="s">
        <v>111</v>
      </c>
      <c r="G391" s="1">
        <v>0.15</v>
      </c>
      <c r="H391" s="4" t="s">
        <v>852</v>
      </c>
      <c r="I391" s="4" t="s">
        <v>853</v>
      </c>
      <c r="J391" s="4" t="s">
        <v>854</v>
      </c>
      <c r="K391" s="4" t="s">
        <v>855</v>
      </c>
    </row>
    <row r="392" spans="1:11" x14ac:dyDescent="0.2">
      <c r="A392" s="4" t="s">
        <v>856</v>
      </c>
      <c r="B392" s="4" t="s">
        <v>857</v>
      </c>
      <c r="C392" s="4" t="s">
        <v>13</v>
      </c>
      <c r="D392" s="4" t="s">
        <v>850</v>
      </c>
      <c r="E392" s="4" t="s">
        <v>851</v>
      </c>
      <c r="F392" s="4" t="s">
        <v>111</v>
      </c>
      <c r="G392" s="1">
        <v>0.15</v>
      </c>
      <c r="H392" s="4" t="s">
        <v>852</v>
      </c>
      <c r="I392" s="4" t="s">
        <v>853</v>
      </c>
      <c r="J392" s="4" t="s">
        <v>854</v>
      </c>
      <c r="K392" s="4" t="s">
        <v>855</v>
      </c>
    </row>
    <row r="393" spans="1:11" x14ac:dyDescent="0.2">
      <c r="A393" s="4" t="s">
        <v>858</v>
      </c>
      <c r="B393" s="4" t="s">
        <v>859</v>
      </c>
      <c r="C393" s="4" t="s">
        <v>13</v>
      </c>
      <c r="D393" s="4" t="s">
        <v>850</v>
      </c>
      <c r="E393" s="4" t="s">
        <v>851</v>
      </c>
      <c r="F393" s="4" t="s">
        <v>111</v>
      </c>
      <c r="G393" s="1">
        <v>0.15</v>
      </c>
      <c r="H393" s="4" t="s">
        <v>852</v>
      </c>
      <c r="I393" s="4" t="s">
        <v>853</v>
      </c>
      <c r="J393" s="4" t="s">
        <v>854</v>
      </c>
      <c r="K393" s="4" t="s">
        <v>855</v>
      </c>
    </row>
    <row r="394" spans="1:11" x14ac:dyDescent="0.2">
      <c r="A394" s="4" t="s">
        <v>860</v>
      </c>
      <c r="B394" s="4" t="s">
        <v>861</v>
      </c>
      <c r="C394" s="4" t="s">
        <v>13</v>
      </c>
      <c r="D394" s="4" t="s">
        <v>850</v>
      </c>
      <c r="E394" s="4" t="s">
        <v>851</v>
      </c>
      <c r="F394" s="4" t="s">
        <v>111</v>
      </c>
      <c r="G394" s="1">
        <v>0.125</v>
      </c>
      <c r="H394" s="4" t="s">
        <v>862</v>
      </c>
      <c r="I394" s="4" t="s">
        <v>853</v>
      </c>
      <c r="J394" s="4" t="s">
        <v>854</v>
      </c>
      <c r="K394" s="4" t="s">
        <v>855</v>
      </c>
    </row>
    <row r="395" spans="1:11" x14ac:dyDescent="0.2">
      <c r="A395" s="4" t="s">
        <v>863</v>
      </c>
      <c r="B395" s="4" t="s">
        <v>864</v>
      </c>
      <c r="C395" s="4" t="s">
        <v>13</v>
      </c>
      <c r="D395" s="4" t="s">
        <v>850</v>
      </c>
      <c r="E395" s="4" t="s">
        <v>851</v>
      </c>
      <c r="F395" s="4" t="s">
        <v>111</v>
      </c>
      <c r="G395" s="1">
        <v>0.125</v>
      </c>
      <c r="H395" s="4" t="s">
        <v>862</v>
      </c>
      <c r="I395" s="4" t="s">
        <v>853</v>
      </c>
      <c r="J395" s="4" t="s">
        <v>854</v>
      </c>
      <c r="K395" s="4" t="s">
        <v>855</v>
      </c>
    </row>
    <row r="396" spans="1:11" x14ac:dyDescent="0.2">
      <c r="A396" s="4" t="s">
        <v>865</v>
      </c>
      <c r="B396" s="4" t="s">
        <v>866</v>
      </c>
      <c r="C396" s="4" t="s">
        <v>13</v>
      </c>
      <c r="D396" s="4" t="s">
        <v>850</v>
      </c>
      <c r="E396" s="4" t="s">
        <v>851</v>
      </c>
      <c r="F396" s="4" t="s">
        <v>111</v>
      </c>
      <c r="G396" s="1">
        <v>0.1</v>
      </c>
      <c r="H396" s="4" t="s">
        <v>867</v>
      </c>
      <c r="I396" s="4" t="s">
        <v>853</v>
      </c>
      <c r="J396" s="4" t="s">
        <v>854</v>
      </c>
      <c r="K396" s="4" t="s">
        <v>855</v>
      </c>
    </row>
    <row r="397" spans="1:11" x14ac:dyDescent="0.2">
      <c r="A397" s="4" t="s">
        <v>868</v>
      </c>
      <c r="B397" s="4" t="s">
        <v>869</v>
      </c>
      <c r="C397" s="4" t="s">
        <v>13</v>
      </c>
      <c r="D397" s="4" t="s">
        <v>850</v>
      </c>
      <c r="E397" s="4" t="s">
        <v>851</v>
      </c>
      <c r="F397" s="4" t="s">
        <v>111</v>
      </c>
      <c r="G397" s="1">
        <v>0.05</v>
      </c>
      <c r="H397" s="4" t="s">
        <v>870</v>
      </c>
      <c r="I397" s="4" t="s">
        <v>853</v>
      </c>
      <c r="J397" s="4" t="s">
        <v>854</v>
      </c>
      <c r="K397" s="4" t="s">
        <v>855</v>
      </c>
    </row>
    <row r="398" spans="1:11" x14ac:dyDescent="0.2">
      <c r="A398" s="4" t="s">
        <v>871</v>
      </c>
      <c r="B398" s="4" t="s">
        <v>872</v>
      </c>
      <c r="C398" s="4" t="s">
        <v>13</v>
      </c>
      <c r="D398" s="4" t="s">
        <v>850</v>
      </c>
      <c r="E398" s="4" t="s">
        <v>851</v>
      </c>
      <c r="F398" s="4" t="s">
        <v>111</v>
      </c>
      <c r="G398" s="1">
        <v>0.125</v>
      </c>
      <c r="H398" s="4" t="s">
        <v>862</v>
      </c>
      <c r="I398" s="4" t="s">
        <v>853</v>
      </c>
      <c r="J398" s="4" t="s">
        <v>854</v>
      </c>
      <c r="K398" s="4" t="s">
        <v>855</v>
      </c>
    </row>
    <row r="399" spans="1:11" x14ac:dyDescent="0.2">
      <c r="A399" s="4" t="s">
        <v>873</v>
      </c>
      <c r="B399" s="4" t="s">
        <v>874</v>
      </c>
      <c r="C399" s="4" t="s">
        <v>13</v>
      </c>
      <c r="D399" s="4" t="s">
        <v>850</v>
      </c>
      <c r="E399" s="4" t="s">
        <v>851</v>
      </c>
      <c r="F399" s="4" t="s">
        <v>111</v>
      </c>
      <c r="G399" s="1">
        <v>0.15</v>
      </c>
      <c r="H399" s="4" t="s">
        <v>852</v>
      </c>
      <c r="I399" s="4" t="s">
        <v>853</v>
      </c>
      <c r="J399" s="4" t="s">
        <v>854</v>
      </c>
      <c r="K399" s="4" t="s">
        <v>855</v>
      </c>
    </row>
    <row r="400" spans="1:11" x14ac:dyDescent="0.2">
      <c r="A400" s="4" t="s">
        <v>875</v>
      </c>
      <c r="B400" s="4" t="s">
        <v>876</v>
      </c>
      <c r="C400" s="4" t="s">
        <v>13</v>
      </c>
      <c r="D400" s="4" t="s">
        <v>850</v>
      </c>
      <c r="E400" s="4" t="s">
        <v>851</v>
      </c>
      <c r="F400" s="4" t="s">
        <v>111</v>
      </c>
      <c r="G400" s="1">
        <v>0.125</v>
      </c>
      <c r="H400" s="4" t="s">
        <v>862</v>
      </c>
      <c r="I400" s="4" t="s">
        <v>853</v>
      </c>
      <c r="J400" s="4" t="s">
        <v>854</v>
      </c>
      <c r="K400" s="4" t="s">
        <v>24</v>
      </c>
    </row>
    <row r="401" spans="1:11" x14ac:dyDescent="0.2">
      <c r="A401" s="4" t="s">
        <v>877</v>
      </c>
      <c r="B401" s="4" t="s">
        <v>878</v>
      </c>
      <c r="C401" s="4" t="s">
        <v>13</v>
      </c>
      <c r="D401" s="4" t="s">
        <v>850</v>
      </c>
      <c r="E401" s="4" t="s">
        <v>851</v>
      </c>
      <c r="F401" s="4" t="s">
        <v>111</v>
      </c>
      <c r="G401" s="1">
        <v>0.1</v>
      </c>
      <c r="H401" s="4" t="s">
        <v>867</v>
      </c>
      <c r="I401" s="4" t="s">
        <v>853</v>
      </c>
      <c r="J401" s="4" t="s">
        <v>854</v>
      </c>
      <c r="K401" s="4" t="s">
        <v>24</v>
      </c>
    </row>
    <row r="402" spans="1:11" x14ac:dyDescent="0.2">
      <c r="A402" s="4" t="s">
        <v>879</v>
      </c>
      <c r="B402" s="4" t="s">
        <v>880</v>
      </c>
      <c r="C402" s="4" t="s">
        <v>13</v>
      </c>
      <c r="D402" s="4" t="s">
        <v>850</v>
      </c>
      <c r="E402" s="4" t="s">
        <v>851</v>
      </c>
      <c r="F402" s="4" t="s">
        <v>111</v>
      </c>
      <c r="G402" s="1">
        <v>7.4999999999999997E-2</v>
      </c>
      <c r="H402" s="4" t="s">
        <v>881</v>
      </c>
      <c r="I402" s="4" t="s">
        <v>853</v>
      </c>
      <c r="J402" s="4" t="s">
        <v>854</v>
      </c>
      <c r="K402" s="4" t="s">
        <v>24</v>
      </c>
    </row>
    <row r="403" spans="1:11" x14ac:dyDescent="0.2">
      <c r="A403" s="4" t="s">
        <v>882</v>
      </c>
      <c r="B403" s="4" t="s">
        <v>883</v>
      </c>
      <c r="C403" s="4" t="s">
        <v>49</v>
      </c>
      <c r="D403" s="4" t="s">
        <v>850</v>
      </c>
      <c r="E403" s="4" t="s">
        <v>851</v>
      </c>
      <c r="F403" s="4" t="s">
        <v>111</v>
      </c>
      <c r="G403" s="1">
        <v>0.15</v>
      </c>
      <c r="H403" s="4" t="s">
        <v>852</v>
      </c>
      <c r="I403" s="4" t="s">
        <v>853</v>
      </c>
      <c r="J403" s="4" t="s">
        <v>854</v>
      </c>
      <c r="K403" s="4" t="s">
        <v>24</v>
      </c>
    </row>
    <row r="404" spans="1:11" x14ac:dyDescent="0.2">
      <c r="A404" s="4" t="s">
        <v>884</v>
      </c>
      <c r="B404" s="4" t="s">
        <v>885</v>
      </c>
      <c r="C404" s="4" t="s">
        <v>13</v>
      </c>
      <c r="D404" s="4" t="s">
        <v>850</v>
      </c>
      <c r="E404" s="4" t="s">
        <v>851</v>
      </c>
      <c r="F404" s="4" t="s">
        <v>111</v>
      </c>
      <c r="G404" s="1">
        <v>0.15</v>
      </c>
      <c r="H404" s="4" t="s">
        <v>852</v>
      </c>
      <c r="I404" s="4" t="s">
        <v>853</v>
      </c>
      <c r="J404" s="4" t="s">
        <v>854</v>
      </c>
      <c r="K404" s="4" t="s">
        <v>24</v>
      </c>
    </row>
    <row r="405" spans="1:11" x14ac:dyDescent="0.2">
      <c r="A405" s="4" t="s">
        <v>886</v>
      </c>
      <c r="B405" s="4" t="s">
        <v>887</v>
      </c>
      <c r="C405" s="4" t="s">
        <v>13</v>
      </c>
      <c r="D405" s="4" t="s">
        <v>850</v>
      </c>
      <c r="E405" s="4" t="s">
        <v>851</v>
      </c>
      <c r="F405" s="4" t="s">
        <v>111</v>
      </c>
      <c r="G405" s="1">
        <v>0.15</v>
      </c>
      <c r="H405" s="4" t="s">
        <v>852</v>
      </c>
      <c r="I405" s="4" t="s">
        <v>853</v>
      </c>
      <c r="J405" s="4" t="s">
        <v>854</v>
      </c>
      <c r="K405" s="4" t="s">
        <v>24</v>
      </c>
    </row>
    <row r="406" spans="1:11" x14ac:dyDescent="0.2">
      <c r="A406" s="4" t="s">
        <v>888</v>
      </c>
      <c r="B406" s="4" t="s">
        <v>889</v>
      </c>
      <c r="C406" s="4" t="s">
        <v>13</v>
      </c>
      <c r="D406" s="4" t="s">
        <v>850</v>
      </c>
      <c r="E406" s="4" t="s">
        <v>851</v>
      </c>
      <c r="F406" s="4" t="s">
        <v>111</v>
      </c>
      <c r="G406" s="1">
        <v>0.125</v>
      </c>
      <c r="H406" s="4" t="s">
        <v>862</v>
      </c>
      <c r="I406" s="4" t="s">
        <v>853</v>
      </c>
      <c r="J406" s="4" t="s">
        <v>854</v>
      </c>
      <c r="K406" s="4" t="s">
        <v>24</v>
      </c>
    </row>
    <row r="407" spans="1:11" x14ac:dyDescent="0.2">
      <c r="A407" s="4" t="s">
        <v>890</v>
      </c>
      <c r="B407" s="4" t="s">
        <v>891</v>
      </c>
      <c r="C407" s="4" t="s">
        <v>13</v>
      </c>
      <c r="D407" s="4" t="s">
        <v>850</v>
      </c>
      <c r="E407" s="4" t="s">
        <v>851</v>
      </c>
      <c r="F407" s="4" t="s">
        <v>111</v>
      </c>
      <c r="G407" s="1">
        <v>0.1</v>
      </c>
      <c r="H407" s="4" t="s">
        <v>867</v>
      </c>
      <c r="I407" s="4" t="s">
        <v>853</v>
      </c>
      <c r="J407" s="4" t="s">
        <v>854</v>
      </c>
      <c r="K407" s="4" t="s">
        <v>24</v>
      </c>
    </row>
    <row r="408" spans="1:11" x14ac:dyDescent="0.2">
      <c r="A408" s="4" t="s">
        <v>892</v>
      </c>
      <c r="B408" s="4" t="s">
        <v>893</v>
      </c>
      <c r="C408" s="4" t="s">
        <v>13</v>
      </c>
      <c r="D408" s="4" t="s">
        <v>850</v>
      </c>
      <c r="E408" s="4" t="s">
        <v>851</v>
      </c>
      <c r="F408" s="4" t="s">
        <v>111</v>
      </c>
      <c r="G408" s="1">
        <v>0.15</v>
      </c>
      <c r="H408" s="4" t="s">
        <v>852</v>
      </c>
      <c r="I408" s="4" t="s">
        <v>853</v>
      </c>
      <c r="J408" s="4" t="s">
        <v>854</v>
      </c>
      <c r="K408" s="4" t="s">
        <v>24</v>
      </c>
    </row>
    <row r="409" spans="1:11" x14ac:dyDescent="0.2">
      <c r="A409" s="4" t="s">
        <v>894</v>
      </c>
      <c r="B409" s="4" t="s">
        <v>895</v>
      </c>
      <c r="C409" s="4" t="s">
        <v>13</v>
      </c>
      <c r="D409" s="4" t="s">
        <v>850</v>
      </c>
      <c r="E409" s="4" t="s">
        <v>851</v>
      </c>
      <c r="F409" s="4" t="s">
        <v>111</v>
      </c>
      <c r="G409" s="1">
        <v>0.15</v>
      </c>
      <c r="H409" s="4" t="s">
        <v>852</v>
      </c>
      <c r="I409" s="4" t="s">
        <v>853</v>
      </c>
      <c r="J409" s="4" t="s">
        <v>854</v>
      </c>
      <c r="K409" s="4" t="s">
        <v>24</v>
      </c>
    </row>
    <row r="410" spans="1:11" x14ac:dyDescent="0.2">
      <c r="A410" s="4" t="s">
        <v>896</v>
      </c>
      <c r="B410" s="4" t="s">
        <v>897</v>
      </c>
      <c r="C410" s="4" t="s">
        <v>13</v>
      </c>
      <c r="D410" s="4" t="s">
        <v>850</v>
      </c>
      <c r="E410" s="4" t="s">
        <v>851</v>
      </c>
      <c r="F410" s="4" t="s">
        <v>111</v>
      </c>
      <c r="G410" s="1">
        <v>0.125</v>
      </c>
      <c r="H410" s="4" t="s">
        <v>862</v>
      </c>
      <c r="I410" s="4" t="s">
        <v>853</v>
      </c>
      <c r="J410" s="4" t="s">
        <v>854</v>
      </c>
      <c r="K410" s="4" t="s">
        <v>24</v>
      </c>
    </row>
    <row r="411" spans="1:11" x14ac:dyDescent="0.2">
      <c r="A411" s="4" t="s">
        <v>898</v>
      </c>
      <c r="B411" s="4" t="s">
        <v>899</v>
      </c>
      <c r="C411" s="4" t="s">
        <v>13</v>
      </c>
      <c r="D411" s="4" t="s">
        <v>850</v>
      </c>
      <c r="E411" s="4" t="s">
        <v>851</v>
      </c>
      <c r="F411" s="4" t="s">
        <v>111</v>
      </c>
      <c r="G411" s="1">
        <v>0.15</v>
      </c>
      <c r="H411" s="4" t="s">
        <v>852</v>
      </c>
      <c r="I411" s="4" t="s">
        <v>853</v>
      </c>
      <c r="J411" s="4" t="s">
        <v>854</v>
      </c>
      <c r="K411" s="4" t="s">
        <v>24</v>
      </c>
    </row>
    <row r="412" spans="1:11" x14ac:dyDescent="0.2">
      <c r="A412" s="4" t="s">
        <v>900</v>
      </c>
      <c r="B412" s="4" t="s">
        <v>901</v>
      </c>
      <c r="C412" s="4" t="s">
        <v>13</v>
      </c>
      <c r="D412" s="4" t="s">
        <v>850</v>
      </c>
      <c r="E412" s="4" t="s">
        <v>851</v>
      </c>
      <c r="F412" s="4" t="s">
        <v>111</v>
      </c>
      <c r="G412" s="1">
        <v>0.15</v>
      </c>
      <c r="H412" s="4" t="s">
        <v>852</v>
      </c>
      <c r="I412" s="4" t="s">
        <v>853</v>
      </c>
      <c r="J412" s="4" t="s">
        <v>854</v>
      </c>
      <c r="K412" s="4" t="s">
        <v>24</v>
      </c>
    </row>
    <row r="413" spans="1:11" x14ac:dyDescent="0.2">
      <c r="A413" s="4" t="s">
        <v>902</v>
      </c>
      <c r="B413" s="4" t="s">
        <v>903</v>
      </c>
      <c r="C413" s="4" t="s">
        <v>13</v>
      </c>
      <c r="D413" s="4" t="s">
        <v>850</v>
      </c>
      <c r="E413" s="4" t="s">
        <v>851</v>
      </c>
      <c r="F413" s="4" t="s">
        <v>111</v>
      </c>
      <c r="G413" s="1">
        <v>0.1</v>
      </c>
      <c r="H413" s="4" t="s">
        <v>867</v>
      </c>
      <c r="I413" s="4" t="s">
        <v>853</v>
      </c>
      <c r="J413" s="4" t="s">
        <v>854</v>
      </c>
      <c r="K413" s="4" t="s">
        <v>24</v>
      </c>
    </row>
    <row r="414" spans="1:11" x14ac:dyDescent="0.2">
      <c r="A414" s="4" t="s">
        <v>904</v>
      </c>
      <c r="B414" s="4" t="s">
        <v>905</v>
      </c>
      <c r="C414" s="4" t="s">
        <v>13</v>
      </c>
      <c r="D414" s="4" t="s">
        <v>850</v>
      </c>
      <c r="E414" s="4" t="s">
        <v>851</v>
      </c>
      <c r="F414" s="4" t="s">
        <v>111</v>
      </c>
      <c r="G414" s="1">
        <v>0.15</v>
      </c>
      <c r="H414" s="4" t="s">
        <v>852</v>
      </c>
      <c r="I414" s="4" t="s">
        <v>853</v>
      </c>
      <c r="J414" s="4" t="s">
        <v>854</v>
      </c>
      <c r="K414" s="4" t="s">
        <v>24</v>
      </c>
    </row>
    <row r="415" spans="1:11" x14ac:dyDescent="0.2">
      <c r="A415" s="4" t="s">
        <v>906</v>
      </c>
      <c r="B415" s="4" t="s">
        <v>907</v>
      </c>
      <c r="C415" s="4" t="s">
        <v>13</v>
      </c>
      <c r="D415" s="4" t="s">
        <v>850</v>
      </c>
      <c r="E415" s="4" t="s">
        <v>851</v>
      </c>
      <c r="F415" s="4" t="s">
        <v>111</v>
      </c>
      <c r="G415" s="1">
        <v>0.15</v>
      </c>
      <c r="H415" s="4" t="s">
        <v>852</v>
      </c>
      <c r="I415" s="4" t="s">
        <v>853</v>
      </c>
      <c r="J415" s="4" t="s">
        <v>854</v>
      </c>
      <c r="K415" s="4" t="s">
        <v>24</v>
      </c>
    </row>
    <row r="416" spans="1:11" x14ac:dyDescent="0.2">
      <c r="A416" s="4" t="s">
        <v>908</v>
      </c>
      <c r="B416" s="4" t="s">
        <v>909</v>
      </c>
      <c r="C416" s="4" t="s">
        <v>13</v>
      </c>
      <c r="D416" s="4" t="s">
        <v>850</v>
      </c>
      <c r="E416" s="4" t="s">
        <v>851</v>
      </c>
      <c r="F416" s="4" t="s">
        <v>111</v>
      </c>
      <c r="G416" s="1">
        <v>0.15</v>
      </c>
      <c r="H416" s="4" t="s">
        <v>852</v>
      </c>
      <c r="I416" s="4" t="s">
        <v>853</v>
      </c>
      <c r="J416" s="4" t="s">
        <v>854</v>
      </c>
      <c r="K416" s="4" t="s">
        <v>24</v>
      </c>
    </row>
    <row r="417" spans="1:11" x14ac:dyDescent="0.2">
      <c r="A417" s="4" t="s">
        <v>910</v>
      </c>
      <c r="B417" s="4" t="s">
        <v>911</v>
      </c>
      <c r="C417" s="4" t="s">
        <v>13</v>
      </c>
      <c r="D417" s="4" t="s">
        <v>850</v>
      </c>
      <c r="E417" s="4" t="s">
        <v>851</v>
      </c>
      <c r="F417" s="4" t="s">
        <v>111</v>
      </c>
      <c r="G417" s="1">
        <v>0.125</v>
      </c>
      <c r="H417" s="4" t="s">
        <v>862</v>
      </c>
      <c r="I417" s="4" t="s">
        <v>853</v>
      </c>
      <c r="J417" s="4" t="s">
        <v>854</v>
      </c>
      <c r="K417" s="4" t="s">
        <v>24</v>
      </c>
    </row>
    <row r="418" spans="1:11" x14ac:dyDescent="0.2">
      <c r="A418" s="4" t="s">
        <v>912</v>
      </c>
      <c r="B418" s="4" t="s">
        <v>913</v>
      </c>
      <c r="C418" s="4" t="s">
        <v>13</v>
      </c>
      <c r="D418" s="4" t="s">
        <v>850</v>
      </c>
      <c r="E418" s="4" t="s">
        <v>851</v>
      </c>
      <c r="F418" s="4" t="s">
        <v>111</v>
      </c>
      <c r="G418" s="1">
        <v>0.15</v>
      </c>
      <c r="H418" s="4" t="s">
        <v>852</v>
      </c>
      <c r="I418" s="4" t="s">
        <v>853</v>
      </c>
      <c r="J418" s="4" t="s">
        <v>854</v>
      </c>
      <c r="K418" s="4" t="s">
        <v>24</v>
      </c>
    </row>
    <row r="419" spans="1:11" x14ac:dyDescent="0.2">
      <c r="A419" s="4" t="s">
        <v>914</v>
      </c>
      <c r="B419" s="4" t="s">
        <v>915</v>
      </c>
      <c r="C419" s="4" t="s">
        <v>13</v>
      </c>
      <c r="D419" s="4" t="s">
        <v>850</v>
      </c>
      <c r="E419" s="4" t="s">
        <v>851</v>
      </c>
      <c r="F419" s="4" t="s">
        <v>111</v>
      </c>
      <c r="G419" s="1">
        <v>0.15</v>
      </c>
      <c r="H419" s="4" t="s">
        <v>852</v>
      </c>
      <c r="I419" s="4" t="s">
        <v>853</v>
      </c>
      <c r="J419" s="4" t="s">
        <v>854</v>
      </c>
      <c r="K419" s="4" t="s">
        <v>24</v>
      </c>
    </row>
    <row r="420" spans="1:11" x14ac:dyDescent="0.2">
      <c r="A420" s="4" t="s">
        <v>916</v>
      </c>
      <c r="B420" s="4" t="s">
        <v>917</v>
      </c>
      <c r="C420" s="4" t="s">
        <v>13</v>
      </c>
      <c r="D420" s="4" t="s">
        <v>850</v>
      </c>
      <c r="E420" s="4" t="s">
        <v>851</v>
      </c>
      <c r="F420" s="4" t="s">
        <v>111</v>
      </c>
      <c r="G420" s="1">
        <v>0</v>
      </c>
      <c r="H420" s="4" t="s">
        <v>918</v>
      </c>
      <c r="I420" s="4" t="s">
        <v>853</v>
      </c>
      <c r="J420" s="4" t="s">
        <v>854</v>
      </c>
      <c r="K420" s="4" t="s">
        <v>24</v>
      </c>
    </row>
    <row r="421" spans="1:11" x14ac:dyDescent="0.2">
      <c r="A421" s="4" t="s">
        <v>919</v>
      </c>
      <c r="B421" s="4" t="s">
        <v>920</v>
      </c>
      <c r="C421" s="4" t="s">
        <v>13</v>
      </c>
      <c r="D421" s="4" t="s">
        <v>850</v>
      </c>
      <c r="E421" s="4" t="s">
        <v>851</v>
      </c>
      <c r="F421" s="4" t="s">
        <v>111</v>
      </c>
      <c r="G421" s="1">
        <v>2.5000000000000001E-2</v>
      </c>
      <c r="H421" s="4" t="s">
        <v>921</v>
      </c>
      <c r="I421" s="4" t="s">
        <v>853</v>
      </c>
      <c r="J421" s="4" t="s">
        <v>854</v>
      </c>
      <c r="K421" s="4" t="s">
        <v>24</v>
      </c>
    </row>
    <row r="422" spans="1:11" x14ac:dyDescent="0.2">
      <c r="A422" s="4" t="s">
        <v>922</v>
      </c>
      <c r="B422" s="4" t="s">
        <v>923</v>
      </c>
      <c r="C422" s="4" t="s">
        <v>13</v>
      </c>
      <c r="D422" s="4" t="s">
        <v>850</v>
      </c>
      <c r="E422" s="4" t="s">
        <v>851</v>
      </c>
      <c r="F422" s="4" t="s">
        <v>111</v>
      </c>
      <c r="G422" s="1">
        <v>0.15</v>
      </c>
      <c r="H422" s="4" t="s">
        <v>852</v>
      </c>
      <c r="I422" s="4" t="s">
        <v>853</v>
      </c>
      <c r="J422" s="4" t="s">
        <v>854</v>
      </c>
      <c r="K422" s="4" t="s">
        <v>24</v>
      </c>
    </row>
    <row r="423" spans="1:11" x14ac:dyDescent="0.2">
      <c r="A423" s="4" t="s">
        <v>924</v>
      </c>
      <c r="B423" s="4" t="s">
        <v>925</v>
      </c>
      <c r="C423" s="4" t="s">
        <v>13</v>
      </c>
      <c r="D423" s="4" t="s">
        <v>850</v>
      </c>
      <c r="E423" s="4" t="s">
        <v>851</v>
      </c>
      <c r="F423" s="4" t="s">
        <v>111</v>
      </c>
      <c r="G423" s="1">
        <v>0.15</v>
      </c>
      <c r="H423" s="4" t="s">
        <v>852</v>
      </c>
      <c r="I423" s="4" t="s">
        <v>853</v>
      </c>
      <c r="J423" s="4" t="s">
        <v>854</v>
      </c>
      <c r="K423" s="4" t="s">
        <v>24</v>
      </c>
    </row>
    <row r="424" spans="1:11" x14ac:dyDescent="0.2">
      <c r="A424" s="4" t="s">
        <v>926</v>
      </c>
      <c r="B424" s="4" t="s">
        <v>927</v>
      </c>
      <c r="C424" s="4" t="s">
        <v>13</v>
      </c>
      <c r="D424" s="4" t="s">
        <v>850</v>
      </c>
      <c r="E424" s="4" t="s">
        <v>851</v>
      </c>
      <c r="F424" s="4" t="s">
        <v>111</v>
      </c>
      <c r="G424" s="1">
        <v>0.15</v>
      </c>
      <c r="H424" s="4" t="s">
        <v>852</v>
      </c>
      <c r="I424" s="4" t="s">
        <v>853</v>
      </c>
      <c r="J424" s="4" t="s">
        <v>854</v>
      </c>
      <c r="K424" s="4" t="s">
        <v>24</v>
      </c>
    </row>
    <row r="425" spans="1:11" x14ac:dyDescent="0.2">
      <c r="A425" s="4" t="s">
        <v>928</v>
      </c>
      <c r="B425" s="4" t="s">
        <v>929</v>
      </c>
      <c r="C425" s="4" t="s">
        <v>13</v>
      </c>
      <c r="D425" s="4" t="s">
        <v>850</v>
      </c>
      <c r="E425" s="4" t="s">
        <v>851</v>
      </c>
      <c r="F425" s="4" t="s">
        <v>111</v>
      </c>
      <c r="G425" s="1">
        <v>0.15</v>
      </c>
      <c r="H425" s="4" t="s">
        <v>852</v>
      </c>
      <c r="I425" s="4" t="s">
        <v>853</v>
      </c>
      <c r="J425" s="4" t="s">
        <v>854</v>
      </c>
      <c r="K425" s="4" t="s">
        <v>24</v>
      </c>
    </row>
    <row r="426" spans="1:11" x14ac:dyDescent="0.2">
      <c r="A426" s="4" t="s">
        <v>930</v>
      </c>
      <c r="B426" s="4" t="s">
        <v>931</v>
      </c>
      <c r="C426" s="4" t="s">
        <v>13</v>
      </c>
      <c r="D426" s="4" t="s">
        <v>850</v>
      </c>
      <c r="E426" s="4" t="s">
        <v>851</v>
      </c>
      <c r="F426" s="4" t="s">
        <v>111</v>
      </c>
      <c r="G426" s="1">
        <v>0.125</v>
      </c>
      <c r="H426" s="4" t="s">
        <v>862</v>
      </c>
      <c r="I426" s="4" t="s">
        <v>853</v>
      </c>
      <c r="J426" s="4" t="s">
        <v>854</v>
      </c>
      <c r="K426" s="4" t="s">
        <v>24</v>
      </c>
    </row>
    <row r="427" spans="1:11" x14ac:dyDescent="0.2">
      <c r="A427" s="4" t="s">
        <v>932</v>
      </c>
      <c r="B427" s="4" t="s">
        <v>933</v>
      </c>
      <c r="C427" s="4" t="s">
        <v>13</v>
      </c>
      <c r="D427" s="4" t="s">
        <v>850</v>
      </c>
      <c r="E427" s="4" t="s">
        <v>851</v>
      </c>
      <c r="F427" s="4" t="s">
        <v>111</v>
      </c>
      <c r="G427" s="1">
        <v>0.15</v>
      </c>
      <c r="H427" s="4" t="s">
        <v>852</v>
      </c>
      <c r="I427" s="4" t="s">
        <v>853</v>
      </c>
      <c r="J427" s="4" t="s">
        <v>854</v>
      </c>
      <c r="K427" s="4" t="s">
        <v>24</v>
      </c>
    </row>
    <row r="428" spans="1:11" x14ac:dyDescent="0.2">
      <c r="A428" s="4" t="s">
        <v>934</v>
      </c>
      <c r="B428" s="4" t="s">
        <v>935</v>
      </c>
      <c r="C428" s="4" t="s">
        <v>13</v>
      </c>
      <c r="D428" s="4" t="s">
        <v>850</v>
      </c>
      <c r="E428" s="4" t="s">
        <v>851</v>
      </c>
      <c r="F428" s="4" t="s">
        <v>111</v>
      </c>
      <c r="G428" s="1">
        <v>7.4999999999999997E-2</v>
      </c>
      <c r="H428" s="4" t="s">
        <v>881</v>
      </c>
      <c r="I428" s="4" t="s">
        <v>853</v>
      </c>
      <c r="J428" s="4" t="s">
        <v>854</v>
      </c>
      <c r="K428" s="4" t="s">
        <v>24</v>
      </c>
    </row>
    <row r="429" spans="1:11" x14ac:dyDescent="0.2">
      <c r="A429" s="4" t="s">
        <v>936</v>
      </c>
      <c r="B429" s="4" t="s">
        <v>937</v>
      </c>
      <c r="C429" s="4" t="s">
        <v>49</v>
      </c>
      <c r="D429" s="4" t="s">
        <v>850</v>
      </c>
      <c r="E429" s="4" t="s">
        <v>851</v>
      </c>
      <c r="F429" s="4" t="s">
        <v>111</v>
      </c>
      <c r="G429" s="1">
        <v>0.15</v>
      </c>
      <c r="H429" s="4" t="s">
        <v>852</v>
      </c>
      <c r="I429" s="4" t="s">
        <v>853</v>
      </c>
      <c r="J429" s="4" t="s">
        <v>854</v>
      </c>
      <c r="K429" s="4" t="s">
        <v>24</v>
      </c>
    </row>
    <row r="430" spans="1:11" x14ac:dyDescent="0.2">
      <c r="A430" s="4" t="s">
        <v>938</v>
      </c>
      <c r="B430" s="4" t="s">
        <v>939</v>
      </c>
      <c r="C430" s="4" t="s">
        <v>13</v>
      </c>
      <c r="D430" s="4" t="s">
        <v>850</v>
      </c>
      <c r="E430" s="4" t="s">
        <v>851</v>
      </c>
      <c r="F430" s="4" t="s">
        <v>111</v>
      </c>
      <c r="G430" s="1">
        <v>0.125</v>
      </c>
      <c r="H430" s="4" t="s">
        <v>862</v>
      </c>
      <c r="I430" s="4" t="s">
        <v>853</v>
      </c>
      <c r="J430" s="4" t="s">
        <v>854</v>
      </c>
      <c r="K430" s="4" t="s">
        <v>24</v>
      </c>
    </row>
    <row r="431" spans="1:11" x14ac:dyDescent="0.2">
      <c r="A431" s="4" t="s">
        <v>940</v>
      </c>
      <c r="B431" s="4" t="s">
        <v>941</v>
      </c>
      <c r="C431" s="4" t="s">
        <v>13</v>
      </c>
      <c r="D431" s="4" t="s">
        <v>850</v>
      </c>
      <c r="E431" s="4" t="s">
        <v>851</v>
      </c>
      <c r="F431" s="4" t="s">
        <v>111</v>
      </c>
      <c r="G431" s="1">
        <v>0.05</v>
      </c>
      <c r="H431" s="4" t="s">
        <v>870</v>
      </c>
      <c r="I431" s="4" t="s">
        <v>853</v>
      </c>
      <c r="J431" s="4" t="s">
        <v>854</v>
      </c>
      <c r="K431" s="4" t="s">
        <v>24</v>
      </c>
    </row>
    <row r="432" spans="1:11" x14ac:dyDescent="0.2">
      <c r="A432" s="4" t="s">
        <v>942</v>
      </c>
      <c r="B432" s="4" t="s">
        <v>943</v>
      </c>
      <c r="C432" s="4" t="s">
        <v>13</v>
      </c>
      <c r="D432" s="4" t="s">
        <v>850</v>
      </c>
      <c r="E432" s="4" t="s">
        <v>851</v>
      </c>
      <c r="F432" s="4" t="s">
        <v>111</v>
      </c>
      <c r="G432" s="1">
        <v>0.05</v>
      </c>
      <c r="H432" s="4" t="s">
        <v>870</v>
      </c>
      <c r="I432" s="4" t="s">
        <v>853</v>
      </c>
      <c r="J432" s="4" t="s">
        <v>854</v>
      </c>
      <c r="K432" s="4" t="s">
        <v>24</v>
      </c>
    </row>
    <row r="433" spans="1:11" x14ac:dyDescent="0.2">
      <c r="A433" s="4" t="s">
        <v>944</v>
      </c>
      <c r="B433" s="4" t="s">
        <v>945</v>
      </c>
      <c r="C433" s="4" t="s">
        <v>13</v>
      </c>
      <c r="D433" s="4" t="s">
        <v>850</v>
      </c>
      <c r="E433" s="4" t="s">
        <v>851</v>
      </c>
      <c r="F433" s="4" t="s">
        <v>111</v>
      </c>
      <c r="G433" s="1">
        <v>7.4999999999999997E-2</v>
      </c>
      <c r="H433" s="4" t="s">
        <v>881</v>
      </c>
      <c r="I433" s="4" t="s">
        <v>853</v>
      </c>
      <c r="J433" s="4" t="s">
        <v>854</v>
      </c>
      <c r="K433" s="4" t="s">
        <v>24</v>
      </c>
    </row>
    <row r="434" spans="1:11" x14ac:dyDescent="0.2">
      <c r="A434" s="4" t="s">
        <v>946</v>
      </c>
      <c r="B434" s="4" t="s">
        <v>947</v>
      </c>
      <c r="C434" s="4" t="s">
        <v>13</v>
      </c>
      <c r="D434" s="4" t="s">
        <v>850</v>
      </c>
      <c r="E434" s="4" t="s">
        <v>851</v>
      </c>
      <c r="F434" s="4" t="s">
        <v>111</v>
      </c>
      <c r="G434" s="1">
        <v>0.15</v>
      </c>
      <c r="H434" s="4" t="s">
        <v>852</v>
      </c>
      <c r="I434" s="4" t="s">
        <v>853</v>
      </c>
      <c r="J434" s="4" t="s">
        <v>854</v>
      </c>
      <c r="K434" s="4" t="s">
        <v>24</v>
      </c>
    </row>
    <row r="435" spans="1:11" x14ac:dyDescent="0.2">
      <c r="A435" s="4" t="s">
        <v>948</v>
      </c>
      <c r="B435" s="4" t="s">
        <v>949</v>
      </c>
      <c r="C435" s="4" t="s">
        <v>13</v>
      </c>
      <c r="D435" s="4" t="s">
        <v>850</v>
      </c>
      <c r="E435" s="4" t="s">
        <v>851</v>
      </c>
      <c r="F435" s="4" t="s">
        <v>111</v>
      </c>
      <c r="G435" s="1">
        <v>0.15</v>
      </c>
      <c r="H435" s="4" t="s">
        <v>852</v>
      </c>
      <c r="I435" s="4" t="s">
        <v>853</v>
      </c>
      <c r="J435" s="4" t="s">
        <v>854</v>
      </c>
      <c r="K435" s="4" t="s">
        <v>24</v>
      </c>
    </row>
    <row r="436" spans="1:11" x14ac:dyDescent="0.2">
      <c r="A436" s="4" t="s">
        <v>950</v>
      </c>
      <c r="B436" s="4" t="s">
        <v>951</v>
      </c>
      <c r="C436" s="4" t="s">
        <v>13</v>
      </c>
      <c r="D436" s="4" t="s">
        <v>850</v>
      </c>
      <c r="E436" s="4" t="s">
        <v>851</v>
      </c>
      <c r="F436" s="4" t="s">
        <v>111</v>
      </c>
      <c r="G436" s="1">
        <v>2.9000000000000001E-2</v>
      </c>
      <c r="H436" s="4" t="s">
        <v>952</v>
      </c>
      <c r="I436" s="4" t="s">
        <v>853</v>
      </c>
      <c r="J436" s="4" t="s">
        <v>854</v>
      </c>
      <c r="K436" s="4" t="s">
        <v>953</v>
      </c>
    </row>
    <row r="437" spans="1:11" x14ac:dyDescent="0.2">
      <c r="A437" s="4" t="s">
        <v>954</v>
      </c>
      <c r="B437" s="4" t="s">
        <v>955</v>
      </c>
      <c r="C437" s="4" t="s">
        <v>13</v>
      </c>
      <c r="D437" s="4" t="s">
        <v>956</v>
      </c>
      <c r="E437" s="4" t="s">
        <v>957</v>
      </c>
      <c r="F437" s="4" t="s">
        <v>335</v>
      </c>
      <c r="G437" s="1">
        <v>0.13300000000000001</v>
      </c>
      <c r="H437" s="4" t="s">
        <v>112</v>
      </c>
      <c r="I437" s="4" t="s">
        <v>853</v>
      </c>
      <c r="J437" s="4" t="s">
        <v>854</v>
      </c>
      <c r="K437" s="4" t="s">
        <v>953</v>
      </c>
    </row>
    <row r="438" spans="1:11" x14ac:dyDescent="0.2">
      <c r="A438" s="4" t="s">
        <v>958</v>
      </c>
      <c r="B438" s="4" t="s">
        <v>959</v>
      </c>
      <c r="C438" s="4" t="s">
        <v>13</v>
      </c>
      <c r="D438" s="4" t="s">
        <v>956</v>
      </c>
      <c r="E438" s="4" t="s">
        <v>957</v>
      </c>
      <c r="F438" s="4" t="s">
        <v>335</v>
      </c>
      <c r="G438" s="1">
        <v>0.1</v>
      </c>
      <c r="H438" s="4" t="s">
        <v>117</v>
      </c>
      <c r="I438" s="4" t="s">
        <v>853</v>
      </c>
      <c r="J438" s="4" t="s">
        <v>854</v>
      </c>
      <c r="K438" s="4" t="s">
        <v>960</v>
      </c>
    </row>
    <row r="439" spans="1:11" x14ac:dyDescent="0.2">
      <c r="A439" s="4" t="s">
        <v>961</v>
      </c>
      <c r="B439" s="4" t="s">
        <v>962</v>
      </c>
      <c r="C439" s="4" t="s">
        <v>13</v>
      </c>
      <c r="D439" s="4" t="s">
        <v>956</v>
      </c>
      <c r="E439" s="4" t="s">
        <v>957</v>
      </c>
      <c r="F439" s="4" t="s">
        <v>335</v>
      </c>
      <c r="G439" s="1">
        <v>0.13300000000000001</v>
      </c>
      <c r="H439" s="4" t="s">
        <v>112</v>
      </c>
      <c r="I439" s="4" t="s">
        <v>853</v>
      </c>
      <c r="J439" s="4" t="s">
        <v>854</v>
      </c>
      <c r="K439" s="4" t="s">
        <v>24</v>
      </c>
    </row>
    <row r="440" spans="1:11" x14ac:dyDescent="0.2">
      <c r="A440" s="4" t="s">
        <v>963</v>
      </c>
      <c r="B440" s="4" t="s">
        <v>964</v>
      </c>
      <c r="C440" s="4" t="s">
        <v>13</v>
      </c>
      <c r="D440" s="4" t="s">
        <v>956</v>
      </c>
      <c r="E440" s="4" t="s">
        <v>957</v>
      </c>
      <c r="F440" s="4" t="s">
        <v>335</v>
      </c>
      <c r="G440" s="1">
        <v>0.13300000000000001</v>
      </c>
      <c r="H440" s="4" t="s">
        <v>112</v>
      </c>
      <c r="I440" s="4" t="s">
        <v>853</v>
      </c>
      <c r="J440" s="4" t="s">
        <v>854</v>
      </c>
      <c r="K440" s="4" t="s">
        <v>24</v>
      </c>
    </row>
    <row r="441" spans="1:11" x14ac:dyDescent="0.2">
      <c r="A441" s="4" t="s">
        <v>965</v>
      </c>
      <c r="B441" s="4" t="s">
        <v>966</v>
      </c>
      <c r="C441" s="4" t="s">
        <v>13</v>
      </c>
      <c r="D441" s="4" t="s">
        <v>956</v>
      </c>
      <c r="E441" s="4" t="s">
        <v>957</v>
      </c>
      <c r="F441" s="4" t="s">
        <v>335</v>
      </c>
      <c r="G441" s="1">
        <v>0.1</v>
      </c>
      <c r="H441" s="4" t="s">
        <v>117</v>
      </c>
      <c r="I441" s="4" t="s">
        <v>853</v>
      </c>
      <c r="J441" s="4" t="s">
        <v>854</v>
      </c>
      <c r="K441" s="4" t="s">
        <v>24</v>
      </c>
    </row>
    <row r="442" spans="1:11" x14ac:dyDescent="0.2">
      <c r="A442" s="4" t="s">
        <v>967</v>
      </c>
      <c r="B442" s="4" t="s">
        <v>968</v>
      </c>
      <c r="C442" s="4" t="s">
        <v>13</v>
      </c>
      <c r="D442" s="4" t="s">
        <v>956</v>
      </c>
      <c r="E442" s="4" t="s">
        <v>957</v>
      </c>
      <c r="F442" s="4" t="s">
        <v>335</v>
      </c>
      <c r="G442" s="1">
        <v>0.13300000000000001</v>
      </c>
      <c r="H442" s="4" t="s">
        <v>112</v>
      </c>
      <c r="I442" s="4" t="s">
        <v>853</v>
      </c>
      <c r="J442" s="4" t="s">
        <v>854</v>
      </c>
      <c r="K442" s="4" t="s">
        <v>24</v>
      </c>
    </row>
    <row r="443" spans="1:11" x14ac:dyDescent="0.2">
      <c r="A443" s="4" t="s">
        <v>969</v>
      </c>
      <c r="B443" s="4" t="s">
        <v>970</v>
      </c>
      <c r="C443" s="4" t="s">
        <v>13</v>
      </c>
      <c r="D443" s="4" t="s">
        <v>956</v>
      </c>
      <c r="E443" s="4" t="s">
        <v>957</v>
      </c>
      <c r="F443" s="4" t="s">
        <v>335</v>
      </c>
      <c r="G443" s="1">
        <v>0.13300000000000001</v>
      </c>
      <c r="H443" s="4" t="s">
        <v>112</v>
      </c>
      <c r="I443" s="4" t="s">
        <v>853</v>
      </c>
      <c r="J443" s="4" t="s">
        <v>854</v>
      </c>
      <c r="K443" s="4" t="s">
        <v>24</v>
      </c>
    </row>
    <row r="444" spans="1:11" x14ac:dyDescent="0.2">
      <c r="A444" s="4" t="s">
        <v>971</v>
      </c>
      <c r="B444" s="4" t="s">
        <v>972</v>
      </c>
      <c r="C444" s="4" t="s">
        <v>13</v>
      </c>
      <c r="D444" s="4" t="s">
        <v>956</v>
      </c>
      <c r="E444" s="4" t="s">
        <v>957</v>
      </c>
      <c r="F444" s="4" t="s">
        <v>335</v>
      </c>
      <c r="G444" s="1">
        <v>0.13300000000000001</v>
      </c>
      <c r="H444" s="4" t="s">
        <v>112</v>
      </c>
      <c r="I444" s="4" t="s">
        <v>853</v>
      </c>
      <c r="J444" s="4" t="s">
        <v>854</v>
      </c>
      <c r="K444" s="4" t="s">
        <v>24</v>
      </c>
    </row>
    <row r="445" spans="1:11" x14ac:dyDescent="0.2">
      <c r="A445" s="4" t="s">
        <v>973</v>
      </c>
      <c r="B445" s="4" t="s">
        <v>974</v>
      </c>
      <c r="C445" s="4" t="s">
        <v>13</v>
      </c>
      <c r="D445" s="4" t="s">
        <v>956</v>
      </c>
      <c r="E445" s="4" t="s">
        <v>957</v>
      </c>
      <c r="F445" s="4" t="s">
        <v>335</v>
      </c>
      <c r="G445" s="1">
        <v>0.1</v>
      </c>
      <c r="H445" s="4" t="s">
        <v>117</v>
      </c>
      <c r="I445" s="4" t="s">
        <v>853</v>
      </c>
      <c r="J445" s="4" t="s">
        <v>854</v>
      </c>
      <c r="K445" s="4" t="s">
        <v>24</v>
      </c>
    </row>
    <row r="446" spans="1:11" x14ac:dyDescent="0.2">
      <c r="A446" s="4" t="s">
        <v>975</v>
      </c>
      <c r="B446" s="4" t="s">
        <v>976</v>
      </c>
      <c r="C446" s="4" t="s">
        <v>13</v>
      </c>
      <c r="D446" s="4" t="s">
        <v>956</v>
      </c>
      <c r="E446" s="4" t="s">
        <v>957</v>
      </c>
      <c r="F446" s="4" t="s">
        <v>335</v>
      </c>
      <c r="G446" s="1">
        <v>0.13300000000000001</v>
      </c>
      <c r="H446" s="4" t="s">
        <v>112</v>
      </c>
      <c r="I446" s="4" t="s">
        <v>853</v>
      </c>
      <c r="J446" s="4" t="s">
        <v>854</v>
      </c>
      <c r="K446" s="4" t="s">
        <v>24</v>
      </c>
    </row>
    <row r="447" spans="1:11" x14ac:dyDescent="0.2">
      <c r="A447" s="4" t="s">
        <v>977</v>
      </c>
      <c r="B447" s="4" t="s">
        <v>978</v>
      </c>
      <c r="C447" s="4" t="s">
        <v>13</v>
      </c>
      <c r="D447" s="4" t="s">
        <v>956</v>
      </c>
      <c r="E447" s="4" t="s">
        <v>957</v>
      </c>
      <c r="F447" s="4" t="s">
        <v>335</v>
      </c>
      <c r="G447" s="1">
        <v>0.1</v>
      </c>
      <c r="H447" s="4" t="s">
        <v>117</v>
      </c>
      <c r="I447" s="4" t="s">
        <v>853</v>
      </c>
      <c r="J447" s="4" t="s">
        <v>854</v>
      </c>
      <c r="K447" s="4" t="s">
        <v>24</v>
      </c>
    </row>
    <row r="448" spans="1:11" x14ac:dyDescent="0.2">
      <c r="A448" s="4" t="s">
        <v>979</v>
      </c>
      <c r="B448" s="4" t="s">
        <v>980</v>
      </c>
      <c r="C448" s="4" t="s">
        <v>13</v>
      </c>
      <c r="D448" s="4" t="s">
        <v>956</v>
      </c>
      <c r="E448" s="4" t="s">
        <v>957</v>
      </c>
      <c r="F448" s="4" t="s">
        <v>335</v>
      </c>
      <c r="G448" s="1">
        <v>0</v>
      </c>
      <c r="H448" s="4" t="s">
        <v>254</v>
      </c>
      <c r="I448" s="4" t="s">
        <v>853</v>
      </c>
      <c r="J448" s="4" t="s">
        <v>854</v>
      </c>
      <c r="K448" s="4" t="s">
        <v>24</v>
      </c>
    </row>
    <row r="449" spans="1:11" x14ac:dyDescent="0.2">
      <c r="A449" s="4" t="s">
        <v>981</v>
      </c>
      <c r="B449" s="4" t="s">
        <v>982</v>
      </c>
      <c r="C449" s="4" t="s">
        <v>13</v>
      </c>
      <c r="D449" s="4" t="s">
        <v>956</v>
      </c>
      <c r="E449" s="4" t="s">
        <v>957</v>
      </c>
      <c r="F449" s="4" t="s">
        <v>335</v>
      </c>
      <c r="G449" s="1">
        <v>0.13300000000000001</v>
      </c>
      <c r="H449" s="4" t="s">
        <v>112</v>
      </c>
      <c r="I449" s="4" t="s">
        <v>853</v>
      </c>
      <c r="J449" s="4" t="s">
        <v>854</v>
      </c>
      <c r="K449" s="4" t="s">
        <v>24</v>
      </c>
    </row>
    <row r="450" spans="1:11" x14ac:dyDescent="0.2">
      <c r="A450" s="4" t="s">
        <v>983</v>
      </c>
      <c r="B450" s="4" t="s">
        <v>984</v>
      </c>
      <c r="C450" s="4" t="s">
        <v>13</v>
      </c>
      <c r="D450" s="4" t="s">
        <v>956</v>
      </c>
      <c r="E450" s="4" t="s">
        <v>957</v>
      </c>
      <c r="F450" s="4" t="s">
        <v>335</v>
      </c>
      <c r="G450" s="1">
        <v>0.13300000000000001</v>
      </c>
      <c r="H450" s="4" t="s">
        <v>112</v>
      </c>
      <c r="I450" s="4" t="s">
        <v>853</v>
      </c>
      <c r="J450" s="4" t="s">
        <v>854</v>
      </c>
      <c r="K450" s="4" t="s">
        <v>24</v>
      </c>
    </row>
    <row r="451" spans="1:11" x14ac:dyDescent="0.2">
      <c r="A451" s="4" t="s">
        <v>985</v>
      </c>
      <c r="B451" s="4" t="s">
        <v>986</v>
      </c>
      <c r="C451" s="4" t="s">
        <v>13</v>
      </c>
      <c r="D451" s="4" t="s">
        <v>956</v>
      </c>
      <c r="E451" s="4" t="s">
        <v>957</v>
      </c>
      <c r="F451" s="4" t="s">
        <v>335</v>
      </c>
      <c r="G451" s="1">
        <v>0.1</v>
      </c>
      <c r="H451" s="4" t="s">
        <v>117</v>
      </c>
      <c r="I451" s="4" t="s">
        <v>853</v>
      </c>
      <c r="J451" s="4" t="s">
        <v>854</v>
      </c>
      <c r="K451" s="4" t="s">
        <v>24</v>
      </c>
    </row>
    <row r="452" spans="1:11" x14ac:dyDescent="0.2">
      <c r="A452" s="4" t="s">
        <v>987</v>
      </c>
      <c r="B452" s="4" t="s">
        <v>988</v>
      </c>
      <c r="C452" s="4" t="s">
        <v>13</v>
      </c>
      <c r="D452" s="4" t="s">
        <v>956</v>
      </c>
      <c r="E452" s="4" t="s">
        <v>957</v>
      </c>
      <c r="F452" s="4" t="s">
        <v>335</v>
      </c>
      <c r="G452" s="1">
        <v>0</v>
      </c>
      <c r="H452" s="4" t="s">
        <v>254</v>
      </c>
      <c r="I452" s="4" t="s">
        <v>853</v>
      </c>
      <c r="J452" s="4" t="s">
        <v>854</v>
      </c>
      <c r="K452" s="4" t="s">
        <v>24</v>
      </c>
    </row>
    <row r="453" spans="1:11" x14ac:dyDescent="0.2">
      <c r="A453" s="4" t="s">
        <v>989</v>
      </c>
      <c r="B453" s="4" t="s">
        <v>990</v>
      </c>
      <c r="C453" s="4" t="s">
        <v>49</v>
      </c>
      <c r="D453" s="4" t="s">
        <v>956</v>
      </c>
      <c r="E453" s="4" t="s">
        <v>957</v>
      </c>
      <c r="F453" s="4" t="s">
        <v>335</v>
      </c>
      <c r="G453" s="1">
        <v>3.3000000000000002E-2</v>
      </c>
      <c r="H453" s="4" t="s">
        <v>225</v>
      </c>
      <c r="I453" s="4" t="s">
        <v>853</v>
      </c>
      <c r="J453" s="4" t="s">
        <v>854</v>
      </c>
      <c r="K453" s="4" t="s">
        <v>24</v>
      </c>
    </row>
    <row r="454" spans="1:11" x14ac:dyDescent="0.2">
      <c r="A454" s="4" t="s">
        <v>991</v>
      </c>
      <c r="B454" s="4" t="s">
        <v>992</v>
      </c>
      <c r="C454" s="4" t="s">
        <v>13</v>
      </c>
      <c r="D454" s="4" t="s">
        <v>956</v>
      </c>
      <c r="E454" s="4" t="s">
        <v>957</v>
      </c>
      <c r="F454" s="4" t="s">
        <v>335</v>
      </c>
      <c r="G454" s="1">
        <v>0.13300000000000001</v>
      </c>
      <c r="H454" s="4" t="s">
        <v>112</v>
      </c>
      <c r="I454" s="4" t="s">
        <v>853</v>
      </c>
      <c r="J454" s="4" t="s">
        <v>854</v>
      </c>
      <c r="K454" s="4" t="s">
        <v>24</v>
      </c>
    </row>
    <row r="455" spans="1:11" x14ac:dyDescent="0.2">
      <c r="A455" s="4" t="s">
        <v>993</v>
      </c>
      <c r="B455" s="4" t="s">
        <v>994</v>
      </c>
      <c r="C455" s="4" t="s">
        <v>13</v>
      </c>
      <c r="D455" s="4" t="s">
        <v>956</v>
      </c>
      <c r="E455" s="4" t="s">
        <v>957</v>
      </c>
      <c r="F455" s="4" t="s">
        <v>335</v>
      </c>
      <c r="G455" s="1">
        <v>0.13300000000000001</v>
      </c>
      <c r="H455" s="4" t="s">
        <v>112</v>
      </c>
      <c r="I455" s="4" t="s">
        <v>853</v>
      </c>
      <c r="J455" s="4" t="s">
        <v>854</v>
      </c>
      <c r="K455" s="4" t="s">
        <v>24</v>
      </c>
    </row>
    <row r="456" spans="1:11" x14ac:dyDescent="0.2">
      <c r="A456" s="4" t="s">
        <v>995</v>
      </c>
      <c r="B456" s="4" t="s">
        <v>996</v>
      </c>
      <c r="C456" s="4" t="s">
        <v>13</v>
      </c>
      <c r="D456" s="4" t="s">
        <v>956</v>
      </c>
      <c r="E456" s="4" t="s">
        <v>957</v>
      </c>
      <c r="F456" s="4" t="s">
        <v>335</v>
      </c>
      <c r="G456" s="1">
        <v>0.13300000000000001</v>
      </c>
      <c r="H456" s="4" t="s">
        <v>112</v>
      </c>
      <c r="I456" s="4" t="s">
        <v>853</v>
      </c>
      <c r="J456" s="4" t="s">
        <v>854</v>
      </c>
      <c r="K456" s="4" t="s">
        <v>24</v>
      </c>
    </row>
    <row r="457" spans="1:11" x14ac:dyDescent="0.2">
      <c r="A457" s="4" t="s">
        <v>997</v>
      </c>
      <c r="B457" s="4" t="s">
        <v>998</v>
      </c>
      <c r="C457" s="4" t="s">
        <v>13</v>
      </c>
      <c r="D457" s="4" t="s">
        <v>956</v>
      </c>
      <c r="E457" s="4" t="s">
        <v>957</v>
      </c>
      <c r="F457" s="4" t="s">
        <v>335</v>
      </c>
      <c r="G457" s="1">
        <v>0.13300000000000001</v>
      </c>
      <c r="H457" s="4" t="s">
        <v>112</v>
      </c>
      <c r="I457" s="4" t="s">
        <v>853</v>
      </c>
      <c r="J457" s="4" t="s">
        <v>854</v>
      </c>
      <c r="K457" s="4" t="s">
        <v>24</v>
      </c>
    </row>
    <row r="458" spans="1:11" x14ac:dyDescent="0.2">
      <c r="A458" s="4" t="s">
        <v>999</v>
      </c>
      <c r="B458" s="4" t="s">
        <v>1000</v>
      </c>
      <c r="C458" s="4" t="s">
        <v>13</v>
      </c>
      <c r="D458" s="4" t="s">
        <v>956</v>
      </c>
      <c r="E458" s="4" t="s">
        <v>957</v>
      </c>
      <c r="F458" s="4" t="s">
        <v>335</v>
      </c>
      <c r="G458" s="1">
        <v>0.13300000000000001</v>
      </c>
      <c r="H458" s="4" t="s">
        <v>112</v>
      </c>
      <c r="I458" s="4" t="s">
        <v>853</v>
      </c>
      <c r="J458" s="4" t="s">
        <v>854</v>
      </c>
      <c r="K458" s="4" t="s">
        <v>24</v>
      </c>
    </row>
    <row r="459" spans="1:11" x14ac:dyDescent="0.2">
      <c r="A459" s="4" t="s">
        <v>1001</v>
      </c>
      <c r="B459" s="4" t="s">
        <v>1002</v>
      </c>
      <c r="C459" s="4" t="s">
        <v>13</v>
      </c>
      <c r="D459" s="4" t="s">
        <v>956</v>
      </c>
      <c r="E459" s="4" t="s">
        <v>957</v>
      </c>
      <c r="F459" s="4" t="s">
        <v>335</v>
      </c>
      <c r="G459" s="1">
        <v>0.1</v>
      </c>
      <c r="H459" s="4" t="s">
        <v>117</v>
      </c>
      <c r="I459" s="4" t="s">
        <v>853</v>
      </c>
      <c r="J459" s="4" t="s">
        <v>854</v>
      </c>
      <c r="K459" s="4" t="s">
        <v>24</v>
      </c>
    </row>
    <row r="460" spans="1:11" x14ac:dyDescent="0.2">
      <c r="A460" s="4" t="s">
        <v>1003</v>
      </c>
      <c r="B460" s="4" t="s">
        <v>1004</v>
      </c>
      <c r="C460" s="4" t="s">
        <v>13</v>
      </c>
      <c r="D460" s="4" t="s">
        <v>956</v>
      </c>
      <c r="E460" s="4" t="s">
        <v>957</v>
      </c>
      <c r="F460" s="4" t="s">
        <v>335</v>
      </c>
      <c r="G460" s="1">
        <v>0.1</v>
      </c>
      <c r="H460" s="4" t="s">
        <v>117</v>
      </c>
      <c r="I460" s="4" t="s">
        <v>853</v>
      </c>
      <c r="J460" s="4" t="s">
        <v>854</v>
      </c>
      <c r="K460" s="4" t="s">
        <v>24</v>
      </c>
    </row>
    <row r="461" spans="1:11" x14ac:dyDescent="0.2">
      <c r="A461" s="4" t="s">
        <v>1005</v>
      </c>
      <c r="B461" s="4" t="s">
        <v>1006</v>
      </c>
      <c r="C461" s="4" t="s">
        <v>13</v>
      </c>
      <c r="D461" s="4" t="s">
        <v>956</v>
      </c>
      <c r="E461" s="4" t="s">
        <v>957</v>
      </c>
      <c r="F461" s="4" t="s">
        <v>335</v>
      </c>
      <c r="G461" s="1">
        <v>3.3000000000000002E-2</v>
      </c>
      <c r="H461" s="4" t="s">
        <v>225</v>
      </c>
      <c r="I461" s="4" t="s">
        <v>853</v>
      </c>
      <c r="J461" s="4" t="s">
        <v>854</v>
      </c>
      <c r="K461" s="4" t="s">
        <v>24</v>
      </c>
    </row>
    <row r="462" spans="1:11" x14ac:dyDescent="0.2">
      <c r="A462" s="4" t="s">
        <v>1007</v>
      </c>
      <c r="B462" s="4" t="s">
        <v>1008</v>
      </c>
      <c r="C462" s="4" t="s">
        <v>13</v>
      </c>
      <c r="D462" s="4" t="s">
        <v>1009</v>
      </c>
      <c r="E462" s="4" t="s">
        <v>1010</v>
      </c>
      <c r="F462" s="4" t="s">
        <v>516</v>
      </c>
      <c r="G462" s="1">
        <v>1.7000000000000001E-2</v>
      </c>
      <c r="H462" s="4" t="s">
        <v>578</v>
      </c>
      <c r="I462" s="4" t="s">
        <v>853</v>
      </c>
      <c r="J462" s="4" t="s">
        <v>1011</v>
      </c>
      <c r="K462" s="4" t="s">
        <v>953</v>
      </c>
    </row>
    <row r="463" spans="1:11" x14ac:dyDescent="0.2">
      <c r="A463" s="4" t="s">
        <v>1012</v>
      </c>
      <c r="B463" s="4" t="s">
        <v>1013</v>
      </c>
      <c r="C463" s="4" t="s">
        <v>13</v>
      </c>
      <c r="D463" s="4" t="s">
        <v>1009</v>
      </c>
      <c r="E463" s="4" t="s">
        <v>1010</v>
      </c>
      <c r="F463" s="4" t="s">
        <v>516</v>
      </c>
      <c r="G463" s="1">
        <v>6.7000000000000004E-2</v>
      </c>
      <c r="H463" s="4" t="s">
        <v>166</v>
      </c>
      <c r="I463" s="4" t="s">
        <v>853</v>
      </c>
      <c r="J463" s="4" t="s">
        <v>1011</v>
      </c>
      <c r="K463" s="4" t="s">
        <v>24</v>
      </c>
    </row>
    <row r="464" spans="1:11" x14ac:dyDescent="0.2">
      <c r="A464" s="4" t="s">
        <v>1014</v>
      </c>
      <c r="B464" s="4" t="s">
        <v>1015</v>
      </c>
      <c r="C464" s="4" t="s">
        <v>13</v>
      </c>
      <c r="D464" s="4" t="s">
        <v>1009</v>
      </c>
      <c r="E464" s="4" t="s">
        <v>1010</v>
      </c>
      <c r="F464" s="4" t="s">
        <v>516</v>
      </c>
      <c r="G464" s="1">
        <v>6.7000000000000004E-2</v>
      </c>
      <c r="H464" s="4" t="s">
        <v>166</v>
      </c>
      <c r="I464" s="4" t="s">
        <v>853</v>
      </c>
      <c r="J464" s="4" t="s">
        <v>1011</v>
      </c>
      <c r="K464" s="4" t="s">
        <v>24</v>
      </c>
    </row>
    <row r="465" spans="1:11" x14ac:dyDescent="0.2">
      <c r="A465" s="4" t="s">
        <v>1016</v>
      </c>
      <c r="B465" s="4" t="s">
        <v>1017</v>
      </c>
      <c r="C465" s="4" t="s">
        <v>13</v>
      </c>
      <c r="D465" s="4" t="s">
        <v>1009</v>
      </c>
      <c r="E465" s="4" t="s">
        <v>1010</v>
      </c>
      <c r="F465" s="4" t="s">
        <v>516</v>
      </c>
      <c r="G465" s="1">
        <v>3.3000000000000002E-2</v>
      </c>
      <c r="H465" s="4" t="s">
        <v>225</v>
      </c>
      <c r="I465" s="4" t="s">
        <v>853</v>
      </c>
      <c r="J465" s="4" t="s">
        <v>1011</v>
      </c>
      <c r="K465" s="4" t="s">
        <v>24</v>
      </c>
    </row>
    <row r="466" spans="1:11" x14ac:dyDescent="0.2">
      <c r="A466" s="4" t="s">
        <v>1018</v>
      </c>
      <c r="B466" s="4" t="s">
        <v>1019</v>
      </c>
      <c r="C466" s="4" t="s">
        <v>13</v>
      </c>
      <c r="D466" s="4" t="s">
        <v>1009</v>
      </c>
      <c r="E466" s="4" t="s">
        <v>1010</v>
      </c>
      <c r="F466" s="4" t="s">
        <v>516</v>
      </c>
      <c r="G466" s="1">
        <v>6.7000000000000004E-2</v>
      </c>
      <c r="H466" s="4" t="s">
        <v>166</v>
      </c>
      <c r="I466" s="4" t="s">
        <v>853</v>
      </c>
      <c r="J466" s="4" t="s">
        <v>1011</v>
      </c>
      <c r="K466" s="4" t="s">
        <v>24</v>
      </c>
    </row>
    <row r="467" spans="1:11" x14ac:dyDescent="0.2">
      <c r="A467" s="4" t="s">
        <v>1020</v>
      </c>
      <c r="B467" s="4" t="s">
        <v>1021</v>
      </c>
      <c r="C467" s="4" t="s">
        <v>13</v>
      </c>
      <c r="D467" s="4" t="s">
        <v>1009</v>
      </c>
      <c r="E467" s="4" t="s">
        <v>1010</v>
      </c>
      <c r="F467" s="4" t="s">
        <v>516</v>
      </c>
      <c r="G467" s="1">
        <v>0</v>
      </c>
      <c r="H467" s="4" t="s">
        <v>254</v>
      </c>
      <c r="I467" s="4" t="s">
        <v>853</v>
      </c>
      <c r="J467" s="4" t="s">
        <v>1011</v>
      </c>
      <c r="K467" s="4" t="s">
        <v>24</v>
      </c>
    </row>
    <row r="468" spans="1:11" x14ac:dyDescent="0.2">
      <c r="A468" s="4" t="s">
        <v>1022</v>
      </c>
      <c r="B468" s="4" t="s">
        <v>1023</v>
      </c>
      <c r="C468" s="4" t="s">
        <v>13</v>
      </c>
      <c r="D468" s="4" t="s">
        <v>1009</v>
      </c>
      <c r="E468" s="4" t="s">
        <v>1010</v>
      </c>
      <c r="F468" s="4" t="s">
        <v>516</v>
      </c>
      <c r="G468" s="1">
        <v>6.7000000000000004E-2</v>
      </c>
      <c r="H468" s="4" t="s">
        <v>166</v>
      </c>
      <c r="I468" s="4" t="s">
        <v>853</v>
      </c>
      <c r="J468" s="4" t="s">
        <v>1011</v>
      </c>
      <c r="K468" s="4" t="s">
        <v>24</v>
      </c>
    </row>
    <row r="469" spans="1:11" x14ac:dyDescent="0.2">
      <c r="A469" s="4" t="s">
        <v>1024</v>
      </c>
      <c r="B469" s="4" t="s">
        <v>1025</v>
      </c>
      <c r="C469" s="4" t="s">
        <v>13</v>
      </c>
      <c r="D469" s="4" t="s">
        <v>1009</v>
      </c>
      <c r="E469" s="4" t="s">
        <v>1010</v>
      </c>
      <c r="F469" s="4" t="s">
        <v>516</v>
      </c>
      <c r="G469" s="1">
        <v>0</v>
      </c>
      <c r="H469" s="4" t="s">
        <v>254</v>
      </c>
      <c r="I469" s="4" t="s">
        <v>853</v>
      </c>
      <c r="J469" s="4" t="s">
        <v>1011</v>
      </c>
      <c r="K469" s="4" t="s">
        <v>24</v>
      </c>
    </row>
    <row r="470" spans="1:11" x14ac:dyDescent="0.2">
      <c r="A470" s="4" t="s">
        <v>1026</v>
      </c>
      <c r="B470" s="4" t="s">
        <v>1027</v>
      </c>
      <c r="C470" s="4" t="s">
        <v>13</v>
      </c>
      <c r="D470" s="4" t="s">
        <v>1009</v>
      </c>
      <c r="E470" s="4" t="s">
        <v>1010</v>
      </c>
      <c r="F470" s="4" t="s">
        <v>516</v>
      </c>
      <c r="G470" s="1">
        <v>0</v>
      </c>
      <c r="H470" s="4" t="s">
        <v>254</v>
      </c>
      <c r="I470" s="4" t="s">
        <v>853</v>
      </c>
      <c r="J470" s="4" t="s">
        <v>1011</v>
      </c>
      <c r="K470" s="4" t="s">
        <v>24</v>
      </c>
    </row>
    <row r="471" spans="1:11" x14ac:dyDescent="0.2">
      <c r="A471" s="4" t="s">
        <v>1028</v>
      </c>
      <c r="B471" s="4" t="s">
        <v>1029</v>
      </c>
      <c r="C471" s="4" t="s">
        <v>13</v>
      </c>
      <c r="D471" s="4" t="s">
        <v>1009</v>
      </c>
      <c r="E471" s="4" t="s">
        <v>1010</v>
      </c>
      <c r="F471" s="4" t="s">
        <v>516</v>
      </c>
      <c r="G471" s="1">
        <v>3.3000000000000002E-2</v>
      </c>
      <c r="H471" s="4" t="s">
        <v>225</v>
      </c>
      <c r="I471" s="4" t="s">
        <v>853</v>
      </c>
      <c r="J471" s="4" t="s">
        <v>1011</v>
      </c>
      <c r="K471" s="4" t="s">
        <v>24</v>
      </c>
    </row>
    <row r="472" spans="1:11" x14ac:dyDescent="0.2">
      <c r="A472" s="4" t="s">
        <v>1030</v>
      </c>
      <c r="B472" s="4" t="s">
        <v>1031</v>
      </c>
      <c r="C472" s="4" t="s">
        <v>13</v>
      </c>
      <c r="D472" s="4" t="s">
        <v>1009</v>
      </c>
      <c r="E472" s="4" t="s">
        <v>1010</v>
      </c>
      <c r="F472" s="4" t="s">
        <v>516</v>
      </c>
      <c r="G472" s="1">
        <v>6.7000000000000004E-2</v>
      </c>
      <c r="H472" s="4" t="s">
        <v>166</v>
      </c>
      <c r="I472" s="4" t="s">
        <v>853</v>
      </c>
      <c r="J472" s="4" t="s">
        <v>1011</v>
      </c>
      <c r="K472" s="4" t="s">
        <v>24</v>
      </c>
    </row>
    <row r="473" spans="1:11" x14ac:dyDescent="0.2">
      <c r="A473" s="4" t="s">
        <v>1032</v>
      </c>
      <c r="B473" s="4" t="s">
        <v>1033</v>
      </c>
      <c r="C473" s="4" t="s">
        <v>13</v>
      </c>
      <c r="D473" s="4" t="s">
        <v>1009</v>
      </c>
      <c r="E473" s="4" t="s">
        <v>1010</v>
      </c>
      <c r="F473" s="4" t="s">
        <v>516</v>
      </c>
      <c r="G473" s="1">
        <v>3.3000000000000002E-2</v>
      </c>
      <c r="H473" s="4" t="s">
        <v>225</v>
      </c>
      <c r="I473" s="4" t="s">
        <v>853</v>
      </c>
      <c r="J473" s="4" t="s">
        <v>1011</v>
      </c>
      <c r="K473" s="4" t="s">
        <v>24</v>
      </c>
    </row>
    <row r="474" spans="1:11" x14ac:dyDescent="0.2">
      <c r="A474" s="4" t="s">
        <v>1034</v>
      </c>
      <c r="B474" s="4" t="s">
        <v>1035</v>
      </c>
      <c r="C474" s="4" t="s">
        <v>13</v>
      </c>
      <c r="D474" s="4" t="s">
        <v>1009</v>
      </c>
      <c r="E474" s="4" t="s">
        <v>1010</v>
      </c>
      <c r="F474" s="4" t="s">
        <v>516</v>
      </c>
      <c r="G474" s="1">
        <v>6.7000000000000004E-2</v>
      </c>
      <c r="H474" s="4" t="s">
        <v>166</v>
      </c>
      <c r="I474" s="4" t="s">
        <v>853</v>
      </c>
      <c r="J474" s="4" t="s">
        <v>1011</v>
      </c>
      <c r="K474" s="4" t="s">
        <v>24</v>
      </c>
    </row>
    <row r="475" spans="1:11" x14ac:dyDescent="0.2">
      <c r="A475" s="4" t="s">
        <v>1036</v>
      </c>
      <c r="B475" s="4" t="s">
        <v>1037</v>
      </c>
      <c r="C475" s="4" t="s">
        <v>13</v>
      </c>
      <c r="D475" s="4" t="s">
        <v>1009</v>
      </c>
      <c r="E475" s="4" t="s">
        <v>1010</v>
      </c>
      <c r="F475" s="4" t="s">
        <v>516</v>
      </c>
      <c r="G475" s="1">
        <v>3.3000000000000002E-2</v>
      </c>
      <c r="H475" s="4" t="s">
        <v>225</v>
      </c>
      <c r="I475" s="4" t="s">
        <v>853</v>
      </c>
      <c r="J475" s="4" t="s">
        <v>1011</v>
      </c>
      <c r="K475" s="4" t="s">
        <v>24</v>
      </c>
    </row>
    <row r="476" spans="1:11" x14ac:dyDescent="0.2">
      <c r="A476" s="4" t="s">
        <v>1038</v>
      </c>
      <c r="B476" s="4" t="s">
        <v>1039</v>
      </c>
      <c r="C476" s="4" t="s">
        <v>13</v>
      </c>
      <c r="D476" s="4" t="s">
        <v>1009</v>
      </c>
      <c r="E476" s="4" t="s">
        <v>1010</v>
      </c>
      <c r="F476" s="4" t="s">
        <v>516</v>
      </c>
      <c r="G476" s="1">
        <v>6.7000000000000004E-2</v>
      </c>
      <c r="H476" s="4" t="s">
        <v>166</v>
      </c>
      <c r="I476" s="4" t="s">
        <v>853</v>
      </c>
      <c r="J476" s="4" t="s">
        <v>1011</v>
      </c>
      <c r="K476" s="4" t="s">
        <v>24</v>
      </c>
    </row>
    <row r="477" spans="1:11" x14ac:dyDescent="0.2">
      <c r="A477" s="4" t="s">
        <v>1040</v>
      </c>
      <c r="B477" s="4" t="s">
        <v>1041</v>
      </c>
      <c r="C477" s="4" t="s">
        <v>13</v>
      </c>
      <c r="D477" s="4" t="s">
        <v>1009</v>
      </c>
      <c r="E477" s="4" t="s">
        <v>1010</v>
      </c>
      <c r="F477" s="4" t="s">
        <v>516</v>
      </c>
      <c r="G477" s="1">
        <v>6.7000000000000004E-2</v>
      </c>
      <c r="H477" s="4" t="s">
        <v>166</v>
      </c>
      <c r="I477" s="4" t="s">
        <v>853</v>
      </c>
      <c r="J477" s="4" t="s">
        <v>1011</v>
      </c>
      <c r="K477" s="4" t="s">
        <v>24</v>
      </c>
    </row>
    <row r="478" spans="1:11" x14ac:dyDescent="0.2">
      <c r="A478" s="4" t="s">
        <v>1042</v>
      </c>
      <c r="B478" s="4" t="s">
        <v>1043</v>
      </c>
      <c r="C478" s="4" t="s">
        <v>13</v>
      </c>
      <c r="D478" s="4" t="s">
        <v>1009</v>
      </c>
      <c r="E478" s="4" t="s">
        <v>1010</v>
      </c>
      <c r="F478" s="4" t="s">
        <v>516</v>
      </c>
      <c r="G478" s="1">
        <v>6.7000000000000004E-2</v>
      </c>
      <c r="H478" s="4" t="s">
        <v>166</v>
      </c>
      <c r="I478" s="4" t="s">
        <v>853</v>
      </c>
      <c r="J478" s="4" t="s">
        <v>1011</v>
      </c>
      <c r="K478" s="4" t="s">
        <v>24</v>
      </c>
    </row>
    <row r="479" spans="1:11" x14ac:dyDescent="0.2">
      <c r="A479" s="4" t="s">
        <v>1044</v>
      </c>
      <c r="B479" s="4" t="s">
        <v>1045</v>
      </c>
      <c r="C479" s="4" t="s">
        <v>13</v>
      </c>
      <c r="D479" s="4" t="s">
        <v>1009</v>
      </c>
      <c r="E479" s="4" t="s">
        <v>1010</v>
      </c>
      <c r="F479" s="4" t="s">
        <v>516</v>
      </c>
      <c r="G479" s="1">
        <v>6.7000000000000004E-2</v>
      </c>
      <c r="H479" s="4" t="s">
        <v>166</v>
      </c>
      <c r="I479" s="4" t="s">
        <v>853</v>
      </c>
      <c r="J479" s="4" t="s">
        <v>1011</v>
      </c>
      <c r="K479" s="4" t="s">
        <v>24</v>
      </c>
    </row>
    <row r="480" spans="1:11" x14ac:dyDescent="0.2">
      <c r="A480" s="4" t="s">
        <v>1046</v>
      </c>
      <c r="B480" s="4" t="s">
        <v>1047</v>
      </c>
      <c r="C480" s="4" t="s">
        <v>13</v>
      </c>
      <c r="D480" s="4" t="s">
        <v>1009</v>
      </c>
      <c r="E480" s="4" t="s">
        <v>1010</v>
      </c>
      <c r="F480" s="4" t="s">
        <v>516</v>
      </c>
      <c r="G480" s="1">
        <v>6.7000000000000004E-2</v>
      </c>
      <c r="H480" s="4" t="s">
        <v>166</v>
      </c>
      <c r="I480" s="4" t="s">
        <v>853</v>
      </c>
      <c r="J480" s="4" t="s">
        <v>1011</v>
      </c>
      <c r="K480" s="4" t="s">
        <v>24</v>
      </c>
    </row>
    <row r="481" spans="1:11" x14ac:dyDescent="0.2">
      <c r="A481" s="4" t="s">
        <v>1048</v>
      </c>
      <c r="B481" s="4" t="s">
        <v>1049</v>
      </c>
      <c r="C481" s="4" t="s">
        <v>13</v>
      </c>
      <c r="D481" s="4" t="s">
        <v>1009</v>
      </c>
      <c r="E481" s="4" t="s">
        <v>1010</v>
      </c>
      <c r="F481" s="4" t="s">
        <v>516</v>
      </c>
      <c r="G481" s="1">
        <v>6.7000000000000004E-2</v>
      </c>
      <c r="H481" s="4" t="s">
        <v>166</v>
      </c>
      <c r="I481" s="4" t="s">
        <v>853</v>
      </c>
      <c r="J481" s="4" t="s">
        <v>1011</v>
      </c>
      <c r="K481" s="4" t="s">
        <v>24</v>
      </c>
    </row>
    <row r="482" spans="1:11" x14ac:dyDescent="0.2">
      <c r="A482" s="4" t="s">
        <v>1050</v>
      </c>
      <c r="B482" s="4" t="s">
        <v>1051</v>
      </c>
      <c r="C482" s="4" t="s">
        <v>13</v>
      </c>
      <c r="D482" s="4" t="s">
        <v>1009</v>
      </c>
      <c r="E482" s="4" t="s">
        <v>1010</v>
      </c>
      <c r="F482" s="4" t="s">
        <v>516</v>
      </c>
      <c r="G482" s="1">
        <v>3.3000000000000002E-2</v>
      </c>
      <c r="H482" s="4" t="s">
        <v>225</v>
      </c>
      <c r="I482" s="4" t="s">
        <v>853</v>
      </c>
      <c r="J482" s="4" t="s">
        <v>1011</v>
      </c>
      <c r="K482" s="4" t="s">
        <v>24</v>
      </c>
    </row>
    <row r="483" spans="1:11" x14ac:dyDescent="0.2">
      <c r="A483" s="4" t="s">
        <v>1052</v>
      </c>
      <c r="B483" s="4" t="s">
        <v>1053</v>
      </c>
      <c r="C483" s="4" t="s">
        <v>49</v>
      </c>
      <c r="D483" s="4" t="s">
        <v>1009</v>
      </c>
      <c r="E483" s="4" t="s">
        <v>1010</v>
      </c>
      <c r="F483" s="4" t="s">
        <v>516</v>
      </c>
      <c r="G483" s="1">
        <v>0</v>
      </c>
      <c r="H483" s="4" t="s">
        <v>254</v>
      </c>
      <c r="I483" s="4" t="s">
        <v>853</v>
      </c>
      <c r="J483" s="4" t="s">
        <v>1011</v>
      </c>
      <c r="K483" s="4" t="s">
        <v>24</v>
      </c>
    </row>
    <row r="484" spans="1:11" x14ac:dyDescent="0.2">
      <c r="A484" s="4" t="s">
        <v>1054</v>
      </c>
      <c r="B484" s="4" t="s">
        <v>1055</v>
      </c>
      <c r="C484" s="4" t="s">
        <v>13</v>
      </c>
      <c r="D484" s="4" t="s">
        <v>1009</v>
      </c>
      <c r="E484" s="4" t="s">
        <v>1010</v>
      </c>
      <c r="F484" s="4" t="s">
        <v>516</v>
      </c>
      <c r="G484" s="1">
        <v>3.3000000000000002E-2</v>
      </c>
      <c r="H484" s="4" t="s">
        <v>225</v>
      </c>
      <c r="I484" s="4" t="s">
        <v>853</v>
      </c>
      <c r="J484" s="4" t="s">
        <v>1011</v>
      </c>
      <c r="K484" s="4" t="s">
        <v>24</v>
      </c>
    </row>
    <row r="485" spans="1:11" x14ac:dyDescent="0.2">
      <c r="A485" s="4" t="s">
        <v>1056</v>
      </c>
      <c r="B485" s="4" t="s">
        <v>1057</v>
      </c>
      <c r="C485" s="4" t="s">
        <v>13</v>
      </c>
      <c r="D485" s="4" t="s">
        <v>1009</v>
      </c>
      <c r="E485" s="4" t="s">
        <v>1010</v>
      </c>
      <c r="F485" s="4" t="s">
        <v>516</v>
      </c>
      <c r="G485" s="1">
        <v>3.3000000000000002E-2</v>
      </c>
      <c r="H485" s="4" t="s">
        <v>225</v>
      </c>
      <c r="I485" s="4" t="s">
        <v>853</v>
      </c>
      <c r="J485" s="4" t="s">
        <v>1011</v>
      </c>
      <c r="K485" s="4" t="s">
        <v>24</v>
      </c>
    </row>
    <row r="486" spans="1:11" x14ac:dyDescent="0.2">
      <c r="A486" s="4" t="s">
        <v>1058</v>
      </c>
      <c r="B486" s="4" t="s">
        <v>1059</v>
      </c>
      <c r="C486" s="4" t="s">
        <v>13</v>
      </c>
      <c r="D486" s="4" t="s">
        <v>1009</v>
      </c>
      <c r="E486" s="4" t="s">
        <v>1010</v>
      </c>
      <c r="F486" s="4" t="s">
        <v>516</v>
      </c>
      <c r="G486" s="1">
        <v>6.7000000000000004E-2</v>
      </c>
      <c r="H486" s="4" t="s">
        <v>166</v>
      </c>
      <c r="I486" s="4" t="s">
        <v>853</v>
      </c>
      <c r="J486" s="4" t="s">
        <v>1011</v>
      </c>
      <c r="K486" s="4" t="s">
        <v>24</v>
      </c>
    </row>
    <row r="487" spans="1:11" x14ac:dyDescent="0.2">
      <c r="A487" s="4" t="s">
        <v>1060</v>
      </c>
      <c r="B487" s="4" t="s">
        <v>1061</v>
      </c>
      <c r="C487" s="4" t="s">
        <v>13</v>
      </c>
      <c r="D487" s="4" t="s">
        <v>1009</v>
      </c>
      <c r="E487" s="4" t="s">
        <v>1010</v>
      </c>
      <c r="F487" s="4" t="s">
        <v>516</v>
      </c>
      <c r="G487" s="1">
        <v>0</v>
      </c>
      <c r="H487" s="4" t="s">
        <v>254</v>
      </c>
      <c r="I487" s="4" t="s">
        <v>853</v>
      </c>
      <c r="J487" s="4" t="s">
        <v>1011</v>
      </c>
      <c r="K487" s="4" t="s">
        <v>855</v>
      </c>
    </row>
    <row r="488" spans="1:11" x14ac:dyDescent="0.2">
      <c r="A488" s="4" t="s">
        <v>1062</v>
      </c>
      <c r="B488" s="4" t="s">
        <v>1063</v>
      </c>
      <c r="C488" s="4" t="s">
        <v>13</v>
      </c>
      <c r="D488" s="4" t="s">
        <v>1009</v>
      </c>
      <c r="E488" s="4" t="s">
        <v>1010</v>
      </c>
      <c r="F488" s="4" t="s">
        <v>516</v>
      </c>
      <c r="G488" s="1">
        <v>6.7000000000000004E-2</v>
      </c>
      <c r="H488" s="4" t="s">
        <v>166</v>
      </c>
      <c r="I488" s="4" t="s">
        <v>853</v>
      </c>
      <c r="J488" s="4" t="s">
        <v>1011</v>
      </c>
      <c r="K488" s="4" t="s">
        <v>855</v>
      </c>
    </row>
    <row r="489" spans="1:11" x14ac:dyDescent="0.2">
      <c r="A489" s="4" t="s">
        <v>1064</v>
      </c>
      <c r="B489" s="4" t="s">
        <v>1065</v>
      </c>
      <c r="C489" s="4" t="s">
        <v>13</v>
      </c>
      <c r="D489" s="4" t="s">
        <v>1009</v>
      </c>
      <c r="E489" s="4" t="s">
        <v>1010</v>
      </c>
      <c r="F489" s="4" t="s">
        <v>516</v>
      </c>
      <c r="G489" s="1">
        <v>3.3000000000000002E-2</v>
      </c>
      <c r="H489" s="4" t="s">
        <v>225</v>
      </c>
      <c r="I489" s="4" t="s">
        <v>853</v>
      </c>
      <c r="J489" s="4" t="s">
        <v>1011</v>
      </c>
      <c r="K489" s="4" t="s">
        <v>1066</v>
      </c>
    </row>
    <row r="490" spans="1:11" x14ac:dyDescent="0.2">
      <c r="A490" s="4" t="s">
        <v>1067</v>
      </c>
      <c r="B490" s="4" t="s">
        <v>1068</v>
      </c>
      <c r="C490" s="4" t="s">
        <v>13</v>
      </c>
      <c r="D490" s="4" t="s">
        <v>1009</v>
      </c>
      <c r="E490" s="4" t="s">
        <v>1010</v>
      </c>
      <c r="F490" s="4" t="s">
        <v>516</v>
      </c>
      <c r="G490" s="1">
        <v>0</v>
      </c>
      <c r="H490" s="4" t="s">
        <v>254</v>
      </c>
      <c r="I490" s="4" t="s">
        <v>853</v>
      </c>
      <c r="J490" s="4" t="s">
        <v>1011</v>
      </c>
      <c r="K490" s="4" t="s">
        <v>24</v>
      </c>
    </row>
    <row r="491" spans="1:11" x14ac:dyDescent="0.2">
      <c r="A491" s="4" t="s">
        <v>1069</v>
      </c>
      <c r="B491" s="4" t="s">
        <v>1070</v>
      </c>
      <c r="C491" s="4" t="s">
        <v>13</v>
      </c>
      <c r="D491" s="4" t="s">
        <v>1009</v>
      </c>
      <c r="E491" s="4" t="s">
        <v>1010</v>
      </c>
      <c r="F491" s="4" t="s">
        <v>516</v>
      </c>
      <c r="G491" s="1">
        <v>6.7000000000000004E-2</v>
      </c>
      <c r="H491" s="4" t="s">
        <v>166</v>
      </c>
      <c r="I491" s="4" t="s">
        <v>853</v>
      </c>
      <c r="J491" s="4" t="s">
        <v>1011</v>
      </c>
      <c r="K491" s="4" t="s">
        <v>855</v>
      </c>
    </row>
    <row r="492" spans="1:11" x14ac:dyDescent="0.2">
      <c r="A492" s="4" t="s">
        <v>1071</v>
      </c>
      <c r="B492" s="4" t="s">
        <v>1072</v>
      </c>
      <c r="C492" s="4" t="s">
        <v>13</v>
      </c>
      <c r="D492" s="4" t="s">
        <v>1009</v>
      </c>
      <c r="E492" s="4" t="s">
        <v>1010</v>
      </c>
      <c r="F492" s="4" t="s">
        <v>516</v>
      </c>
      <c r="G492" s="1">
        <v>0</v>
      </c>
      <c r="H492" s="4" t="s">
        <v>254</v>
      </c>
      <c r="I492" s="4" t="s">
        <v>853</v>
      </c>
      <c r="J492" s="4" t="s">
        <v>1011</v>
      </c>
      <c r="K492" s="4" t="s">
        <v>24</v>
      </c>
    </row>
    <row r="493" spans="1:11" x14ac:dyDescent="0.2">
      <c r="A493" s="4" t="s">
        <v>1073</v>
      </c>
      <c r="B493" s="4" t="s">
        <v>1074</v>
      </c>
      <c r="C493" s="4" t="s">
        <v>13</v>
      </c>
      <c r="D493" s="4" t="s">
        <v>1075</v>
      </c>
      <c r="E493" s="4" t="s">
        <v>1076</v>
      </c>
      <c r="F493" s="4" t="s">
        <v>649</v>
      </c>
      <c r="G493" s="1">
        <v>0.13300000000000001</v>
      </c>
      <c r="H493" s="4" t="s">
        <v>112</v>
      </c>
      <c r="I493" s="4" t="s">
        <v>853</v>
      </c>
      <c r="J493" s="4" t="s">
        <v>1077</v>
      </c>
      <c r="K493" s="4" t="s">
        <v>24</v>
      </c>
    </row>
    <row r="494" spans="1:11" x14ac:dyDescent="0.2">
      <c r="A494" s="4" t="s">
        <v>1078</v>
      </c>
      <c r="B494" s="4" t="s">
        <v>1079</v>
      </c>
      <c r="C494" s="4" t="s">
        <v>13</v>
      </c>
      <c r="D494" s="4" t="s">
        <v>1075</v>
      </c>
      <c r="E494" s="4" t="s">
        <v>1076</v>
      </c>
      <c r="F494" s="4" t="s">
        <v>649</v>
      </c>
      <c r="G494" s="1">
        <v>3.3000000000000002E-2</v>
      </c>
      <c r="H494" s="4" t="s">
        <v>225</v>
      </c>
      <c r="I494" s="4" t="s">
        <v>853</v>
      </c>
      <c r="J494" s="4" t="s">
        <v>1077</v>
      </c>
      <c r="K494" s="4" t="s">
        <v>24</v>
      </c>
    </row>
    <row r="495" spans="1:11" x14ac:dyDescent="0.2">
      <c r="A495" s="4" t="s">
        <v>1080</v>
      </c>
      <c r="B495" s="4" t="s">
        <v>1081</v>
      </c>
      <c r="C495" s="4" t="s">
        <v>13</v>
      </c>
      <c r="D495" s="4" t="s">
        <v>1075</v>
      </c>
      <c r="E495" s="4" t="s">
        <v>1076</v>
      </c>
      <c r="F495" s="4" t="s">
        <v>649</v>
      </c>
      <c r="G495" s="1">
        <v>0.13300000000000001</v>
      </c>
      <c r="H495" s="4" t="s">
        <v>112</v>
      </c>
      <c r="I495" s="4" t="s">
        <v>853</v>
      </c>
      <c r="J495" s="4" t="s">
        <v>1077</v>
      </c>
      <c r="K495" s="4" t="s">
        <v>24</v>
      </c>
    </row>
    <row r="496" spans="1:11" x14ac:dyDescent="0.2">
      <c r="A496" s="4" t="s">
        <v>1082</v>
      </c>
      <c r="B496" s="4" t="s">
        <v>1083</v>
      </c>
      <c r="C496" s="4" t="s">
        <v>13</v>
      </c>
      <c r="D496" s="4" t="s">
        <v>1075</v>
      </c>
      <c r="E496" s="4" t="s">
        <v>1076</v>
      </c>
      <c r="F496" s="4" t="s">
        <v>649</v>
      </c>
      <c r="G496" s="1">
        <v>0.13300000000000001</v>
      </c>
      <c r="H496" s="4" t="s">
        <v>112</v>
      </c>
      <c r="I496" s="4" t="s">
        <v>853</v>
      </c>
      <c r="J496" s="4" t="s">
        <v>1077</v>
      </c>
      <c r="K496" s="4" t="s">
        <v>24</v>
      </c>
    </row>
    <row r="497" spans="1:11" x14ac:dyDescent="0.2">
      <c r="A497" s="4" t="s">
        <v>1084</v>
      </c>
      <c r="B497" s="4" t="s">
        <v>1085</v>
      </c>
      <c r="C497" s="4" t="s">
        <v>13</v>
      </c>
      <c r="D497" s="4" t="s">
        <v>1075</v>
      </c>
      <c r="E497" s="4" t="s">
        <v>1076</v>
      </c>
      <c r="F497" s="4" t="s">
        <v>649</v>
      </c>
      <c r="G497" s="1">
        <v>0.1</v>
      </c>
      <c r="H497" s="4" t="s">
        <v>117</v>
      </c>
      <c r="I497" s="4" t="s">
        <v>853</v>
      </c>
      <c r="J497" s="4" t="s">
        <v>1077</v>
      </c>
      <c r="K497" s="4" t="s">
        <v>24</v>
      </c>
    </row>
    <row r="498" spans="1:11" x14ac:dyDescent="0.2">
      <c r="A498" s="4" t="s">
        <v>1086</v>
      </c>
      <c r="B498" s="4" t="s">
        <v>1087</v>
      </c>
      <c r="C498" s="4" t="s">
        <v>13</v>
      </c>
      <c r="D498" s="4" t="s">
        <v>1075</v>
      </c>
      <c r="E498" s="4" t="s">
        <v>1076</v>
      </c>
      <c r="F498" s="4" t="s">
        <v>649</v>
      </c>
      <c r="G498" s="1">
        <v>0.13300000000000001</v>
      </c>
      <c r="H498" s="4" t="s">
        <v>112</v>
      </c>
      <c r="I498" s="4" t="s">
        <v>853</v>
      </c>
      <c r="J498" s="4" t="s">
        <v>1077</v>
      </c>
      <c r="K498" s="4" t="s">
        <v>24</v>
      </c>
    </row>
    <row r="499" spans="1:11" x14ac:dyDescent="0.2">
      <c r="A499" s="4" t="s">
        <v>1088</v>
      </c>
      <c r="B499" s="4" t="s">
        <v>1089</v>
      </c>
      <c r="C499" s="4" t="s">
        <v>13</v>
      </c>
      <c r="D499" s="4" t="s">
        <v>1075</v>
      </c>
      <c r="E499" s="4" t="s">
        <v>1076</v>
      </c>
      <c r="F499" s="4" t="s">
        <v>649</v>
      </c>
      <c r="G499" s="1">
        <v>3.3000000000000002E-2</v>
      </c>
      <c r="H499" s="4" t="s">
        <v>225</v>
      </c>
      <c r="I499" s="4" t="s">
        <v>853</v>
      </c>
      <c r="J499" s="4" t="s">
        <v>1077</v>
      </c>
      <c r="K499" s="4" t="s">
        <v>24</v>
      </c>
    </row>
    <row r="500" spans="1:11" x14ac:dyDescent="0.2">
      <c r="A500" s="4" t="s">
        <v>1090</v>
      </c>
      <c r="B500" s="4" t="s">
        <v>1091</v>
      </c>
      <c r="C500" s="4" t="s">
        <v>13</v>
      </c>
      <c r="D500" s="4" t="s">
        <v>1075</v>
      </c>
      <c r="E500" s="4" t="s">
        <v>1076</v>
      </c>
      <c r="F500" s="4" t="s">
        <v>649</v>
      </c>
      <c r="G500" s="1">
        <v>0.13300000000000001</v>
      </c>
      <c r="H500" s="4" t="s">
        <v>112</v>
      </c>
      <c r="I500" s="4" t="s">
        <v>853</v>
      </c>
      <c r="J500" s="4" t="s">
        <v>1077</v>
      </c>
      <c r="K500" s="4" t="s">
        <v>24</v>
      </c>
    </row>
    <row r="501" spans="1:11" x14ac:dyDescent="0.2">
      <c r="A501" s="4" t="s">
        <v>1092</v>
      </c>
      <c r="B501" s="4" t="s">
        <v>1093</v>
      </c>
      <c r="C501" s="4" t="s">
        <v>13</v>
      </c>
      <c r="D501" s="4" t="s">
        <v>1075</v>
      </c>
      <c r="E501" s="4" t="s">
        <v>1076</v>
      </c>
      <c r="F501" s="4" t="s">
        <v>649</v>
      </c>
      <c r="G501" s="1">
        <v>0.13300000000000001</v>
      </c>
      <c r="H501" s="4" t="s">
        <v>112</v>
      </c>
      <c r="I501" s="4" t="s">
        <v>853</v>
      </c>
      <c r="J501" s="4" t="s">
        <v>1077</v>
      </c>
      <c r="K501" s="4" t="s">
        <v>24</v>
      </c>
    </row>
    <row r="502" spans="1:11" x14ac:dyDescent="0.2">
      <c r="A502" s="4" t="s">
        <v>1094</v>
      </c>
      <c r="B502" s="4" t="s">
        <v>1095</v>
      </c>
      <c r="C502" s="4" t="s">
        <v>13</v>
      </c>
      <c r="D502" s="4" t="s">
        <v>1075</v>
      </c>
      <c r="E502" s="4" t="s">
        <v>1076</v>
      </c>
      <c r="F502" s="4" t="s">
        <v>649</v>
      </c>
      <c r="G502" s="1">
        <v>0.13300000000000001</v>
      </c>
      <c r="H502" s="4" t="s">
        <v>112</v>
      </c>
      <c r="I502" s="4" t="s">
        <v>853</v>
      </c>
      <c r="J502" s="4" t="s">
        <v>1077</v>
      </c>
      <c r="K502" s="4" t="s">
        <v>24</v>
      </c>
    </row>
    <row r="503" spans="1:11" x14ac:dyDescent="0.2">
      <c r="A503" s="4" t="s">
        <v>1096</v>
      </c>
      <c r="B503" s="4" t="s">
        <v>1097</v>
      </c>
      <c r="C503" s="4" t="s">
        <v>13</v>
      </c>
      <c r="D503" s="4" t="s">
        <v>1075</v>
      </c>
      <c r="E503" s="4" t="s">
        <v>1076</v>
      </c>
      <c r="F503" s="4" t="s">
        <v>649</v>
      </c>
      <c r="G503" s="1">
        <v>0.13300000000000001</v>
      </c>
      <c r="H503" s="4" t="s">
        <v>112</v>
      </c>
      <c r="I503" s="4" t="s">
        <v>853</v>
      </c>
      <c r="J503" s="4" t="s">
        <v>1077</v>
      </c>
      <c r="K503" s="4" t="s">
        <v>24</v>
      </c>
    </row>
    <row r="504" spans="1:11" x14ac:dyDescent="0.2">
      <c r="A504" s="4" t="s">
        <v>1098</v>
      </c>
      <c r="B504" s="4" t="s">
        <v>1099</v>
      </c>
      <c r="C504" s="4" t="s">
        <v>13</v>
      </c>
      <c r="D504" s="4" t="s">
        <v>1075</v>
      </c>
      <c r="E504" s="4" t="s">
        <v>1076</v>
      </c>
      <c r="F504" s="4" t="s">
        <v>649</v>
      </c>
      <c r="G504" s="1">
        <v>0.13300000000000001</v>
      </c>
      <c r="H504" s="4" t="s">
        <v>112</v>
      </c>
      <c r="I504" s="4" t="s">
        <v>853</v>
      </c>
      <c r="J504" s="4" t="s">
        <v>1077</v>
      </c>
      <c r="K504" s="4" t="s">
        <v>24</v>
      </c>
    </row>
    <row r="505" spans="1:11" x14ac:dyDescent="0.2">
      <c r="A505" s="4" t="s">
        <v>1100</v>
      </c>
      <c r="B505" s="4" t="s">
        <v>1101</v>
      </c>
      <c r="C505" s="4" t="s">
        <v>13</v>
      </c>
      <c r="D505" s="4" t="s">
        <v>1075</v>
      </c>
      <c r="E505" s="4" t="s">
        <v>1076</v>
      </c>
      <c r="F505" s="4" t="s">
        <v>649</v>
      </c>
      <c r="G505" s="1">
        <v>0.13300000000000001</v>
      </c>
      <c r="H505" s="4" t="s">
        <v>112</v>
      </c>
      <c r="I505" s="4" t="s">
        <v>853</v>
      </c>
      <c r="J505" s="4" t="s">
        <v>1077</v>
      </c>
      <c r="K505" s="4" t="s">
        <v>24</v>
      </c>
    </row>
    <row r="506" spans="1:11" x14ac:dyDescent="0.2">
      <c r="A506" s="4" t="s">
        <v>1102</v>
      </c>
      <c r="B506" s="4" t="s">
        <v>1103</v>
      </c>
      <c r="C506" s="4" t="s">
        <v>13</v>
      </c>
      <c r="D506" s="4" t="s">
        <v>1075</v>
      </c>
      <c r="E506" s="4" t="s">
        <v>1076</v>
      </c>
      <c r="F506" s="4" t="s">
        <v>649</v>
      </c>
      <c r="G506" s="1">
        <v>0.13300000000000001</v>
      </c>
      <c r="H506" s="4" t="s">
        <v>112</v>
      </c>
      <c r="I506" s="4" t="s">
        <v>853</v>
      </c>
      <c r="J506" s="4" t="s">
        <v>1077</v>
      </c>
      <c r="K506" s="4" t="s">
        <v>24</v>
      </c>
    </row>
    <row r="507" spans="1:11" x14ac:dyDescent="0.2">
      <c r="A507" s="4" t="s">
        <v>1104</v>
      </c>
      <c r="B507" s="4" t="s">
        <v>1105</v>
      </c>
      <c r="C507" s="4" t="s">
        <v>13</v>
      </c>
      <c r="D507" s="4" t="s">
        <v>1075</v>
      </c>
      <c r="E507" s="4" t="s">
        <v>1076</v>
      </c>
      <c r="F507" s="4" t="s">
        <v>649</v>
      </c>
      <c r="G507" s="1">
        <v>0.1</v>
      </c>
      <c r="H507" s="4" t="s">
        <v>117</v>
      </c>
      <c r="I507" s="4" t="s">
        <v>853</v>
      </c>
      <c r="J507" s="4" t="s">
        <v>1077</v>
      </c>
      <c r="K507" s="4" t="s">
        <v>24</v>
      </c>
    </row>
    <row r="508" spans="1:11" x14ac:dyDescent="0.2">
      <c r="A508" s="4" t="s">
        <v>1106</v>
      </c>
      <c r="B508" s="4" t="s">
        <v>1107</v>
      </c>
      <c r="C508" s="4" t="s">
        <v>13</v>
      </c>
      <c r="D508" s="4" t="s">
        <v>1075</v>
      </c>
      <c r="E508" s="4" t="s">
        <v>1076</v>
      </c>
      <c r="F508" s="4" t="s">
        <v>649</v>
      </c>
      <c r="G508" s="1">
        <v>0.13300000000000001</v>
      </c>
      <c r="H508" s="4" t="s">
        <v>112</v>
      </c>
      <c r="I508" s="4" t="s">
        <v>853</v>
      </c>
      <c r="J508" s="4" t="s">
        <v>1077</v>
      </c>
      <c r="K508" s="4" t="s">
        <v>24</v>
      </c>
    </row>
    <row r="509" spans="1:11" x14ac:dyDescent="0.2">
      <c r="A509" s="4" t="s">
        <v>1108</v>
      </c>
      <c r="B509" s="4" t="s">
        <v>1109</v>
      </c>
      <c r="C509" s="4" t="s">
        <v>13</v>
      </c>
      <c r="D509" s="4" t="s">
        <v>1075</v>
      </c>
      <c r="E509" s="4" t="s">
        <v>1076</v>
      </c>
      <c r="F509" s="4" t="s">
        <v>649</v>
      </c>
      <c r="G509" s="1">
        <v>0.13300000000000001</v>
      </c>
      <c r="H509" s="4" t="s">
        <v>112</v>
      </c>
      <c r="I509" s="4" t="s">
        <v>853</v>
      </c>
      <c r="J509" s="4" t="s">
        <v>1077</v>
      </c>
      <c r="K509" s="4" t="s">
        <v>24</v>
      </c>
    </row>
    <row r="510" spans="1:11" x14ac:dyDescent="0.2">
      <c r="A510" s="4" t="s">
        <v>1110</v>
      </c>
      <c r="B510" s="4" t="s">
        <v>1111</v>
      </c>
      <c r="C510" s="4" t="s">
        <v>13</v>
      </c>
      <c r="D510" s="4" t="s">
        <v>1075</v>
      </c>
      <c r="E510" s="4" t="s">
        <v>1076</v>
      </c>
      <c r="F510" s="4" t="s">
        <v>649</v>
      </c>
      <c r="G510" s="1">
        <v>0.13300000000000001</v>
      </c>
      <c r="H510" s="4" t="s">
        <v>112</v>
      </c>
      <c r="I510" s="4" t="s">
        <v>853</v>
      </c>
      <c r="J510" s="4" t="s">
        <v>1077</v>
      </c>
      <c r="K510" s="4" t="s">
        <v>24</v>
      </c>
    </row>
    <row r="511" spans="1:11" x14ac:dyDescent="0.2">
      <c r="A511" s="4" t="s">
        <v>1112</v>
      </c>
      <c r="B511" s="4" t="s">
        <v>1113</v>
      </c>
      <c r="C511" s="4" t="s">
        <v>13</v>
      </c>
      <c r="D511" s="4" t="s">
        <v>1075</v>
      </c>
      <c r="E511" s="4" t="s">
        <v>1076</v>
      </c>
      <c r="F511" s="4" t="s">
        <v>649</v>
      </c>
      <c r="G511" s="1">
        <v>0.1</v>
      </c>
      <c r="H511" s="4" t="s">
        <v>117</v>
      </c>
      <c r="I511" s="4" t="s">
        <v>853</v>
      </c>
      <c r="J511" s="4" t="s">
        <v>1077</v>
      </c>
      <c r="K511" s="4" t="s">
        <v>24</v>
      </c>
    </row>
    <row r="512" spans="1:11" x14ac:dyDescent="0.2">
      <c r="A512" s="4" t="s">
        <v>1114</v>
      </c>
      <c r="B512" s="4" t="s">
        <v>1115</v>
      </c>
      <c r="C512" s="4" t="s">
        <v>13</v>
      </c>
      <c r="D512" s="4" t="s">
        <v>1075</v>
      </c>
      <c r="E512" s="4" t="s">
        <v>1076</v>
      </c>
      <c r="F512" s="4" t="s">
        <v>649</v>
      </c>
      <c r="G512" s="1">
        <v>0.1</v>
      </c>
      <c r="H512" s="4" t="s">
        <v>117</v>
      </c>
      <c r="I512" s="4" t="s">
        <v>853</v>
      </c>
      <c r="J512" s="4" t="s">
        <v>1077</v>
      </c>
      <c r="K512" s="4" t="s">
        <v>24</v>
      </c>
    </row>
    <row r="513" spans="1:11" x14ac:dyDescent="0.2">
      <c r="A513" s="4" t="s">
        <v>1116</v>
      </c>
      <c r="B513" s="4" t="s">
        <v>1117</v>
      </c>
      <c r="C513" s="4" t="s">
        <v>13</v>
      </c>
      <c r="D513" s="4" t="s">
        <v>1075</v>
      </c>
      <c r="E513" s="4" t="s">
        <v>1076</v>
      </c>
      <c r="F513" s="4" t="s">
        <v>649</v>
      </c>
      <c r="G513" s="1">
        <v>0.1</v>
      </c>
      <c r="H513" s="4" t="s">
        <v>117</v>
      </c>
      <c r="I513" s="4" t="s">
        <v>853</v>
      </c>
      <c r="J513" s="4" t="s">
        <v>1077</v>
      </c>
      <c r="K513" s="4" t="s">
        <v>24</v>
      </c>
    </row>
    <row r="514" spans="1:11" x14ac:dyDescent="0.2">
      <c r="A514" s="4" t="s">
        <v>1118</v>
      </c>
      <c r="B514" s="4" t="s">
        <v>1119</v>
      </c>
      <c r="C514" s="4" t="s">
        <v>13</v>
      </c>
      <c r="D514" s="4" t="s">
        <v>1075</v>
      </c>
      <c r="E514" s="4" t="s">
        <v>1076</v>
      </c>
      <c r="F514" s="4" t="s">
        <v>649</v>
      </c>
      <c r="G514" s="1">
        <v>6.7000000000000004E-2</v>
      </c>
      <c r="H514" s="4" t="s">
        <v>166</v>
      </c>
      <c r="I514" s="4" t="s">
        <v>853</v>
      </c>
      <c r="J514" s="4" t="s">
        <v>1077</v>
      </c>
      <c r="K514" s="4" t="s">
        <v>960</v>
      </c>
    </row>
    <row r="515" spans="1:11" x14ac:dyDescent="0.2">
      <c r="A515" s="4" t="s">
        <v>1120</v>
      </c>
      <c r="B515" s="4" t="s">
        <v>1121</v>
      </c>
      <c r="C515" s="4" t="s">
        <v>13</v>
      </c>
      <c r="D515" s="4" t="s">
        <v>1075</v>
      </c>
      <c r="E515" s="4" t="s">
        <v>1076</v>
      </c>
      <c r="F515" s="4" t="s">
        <v>649</v>
      </c>
      <c r="G515" s="1">
        <v>0</v>
      </c>
      <c r="H515" s="4" t="s">
        <v>254</v>
      </c>
      <c r="I515" s="4" t="s">
        <v>853</v>
      </c>
      <c r="J515" s="4" t="s">
        <v>1077</v>
      </c>
      <c r="K515" s="4" t="s">
        <v>24</v>
      </c>
    </row>
    <row r="516" spans="1:11" x14ac:dyDescent="0.2">
      <c r="A516" s="4" t="s">
        <v>1122</v>
      </c>
      <c r="B516" s="4" t="s">
        <v>1123</v>
      </c>
      <c r="C516" s="4" t="s">
        <v>13</v>
      </c>
      <c r="D516" s="4" t="s">
        <v>1075</v>
      </c>
      <c r="E516" s="4" t="s">
        <v>1076</v>
      </c>
      <c r="F516" s="4" t="s">
        <v>649</v>
      </c>
      <c r="G516" s="1">
        <v>0.13300000000000001</v>
      </c>
      <c r="H516" s="4" t="s">
        <v>112</v>
      </c>
      <c r="I516" s="4" t="s">
        <v>853</v>
      </c>
      <c r="J516" s="4" t="s">
        <v>1077</v>
      </c>
      <c r="K516" s="4" t="s">
        <v>24</v>
      </c>
    </row>
    <row r="517" spans="1:11" x14ac:dyDescent="0.2">
      <c r="A517" s="4" t="s">
        <v>1124</v>
      </c>
      <c r="B517" s="4" t="s">
        <v>1125</v>
      </c>
      <c r="C517" s="4" t="s">
        <v>13</v>
      </c>
      <c r="D517" s="4" t="s">
        <v>1075</v>
      </c>
      <c r="E517" s="4" t="s">
        <v>1076</v>
      </c>
      <c r="F517" s="4" t="s">
        <v>649</v>
      </c>
      <c r="G517" s="1">
        <v>0.13300000000000001</v>
      </c>
      <c r="H517" s="4" t="s">
        <v>112</v>
      </c>
      <c r="I517" s="4" t="s">
        <v>853</v>
      </c>
      <c r="J517" s="4" t="s">
        <v>1077</v>
      </c>
      <c r="K517" s="4" t="s">
        <v>24</v>
      </c>
    </row>
    <row r="518" spans="1:11" x14ac:dyDescent="0.2">
      <c r="A518" s="4" t="s">
        <v>1126</v>
      </c>
      <c r="B518" s="4" t="s">
        <v>1127</v>
      </c>
      <c r="C518" s="4" t="s">
        <v>13</v>
      </c>
      <c r="D518" s="4" t="s">
        <v>1075</v>
      </c>
      <c r="E518" s="4" t="s">
        <v>1076</v>
      </c>
      <c r="F518" s="4" t="s">
        <v>649</v>
      </c>
      <c r="G518" s="1">
        <v>0</v>
      </c>
      <c r="H518" s="4" t="s">
        <v>1128</v>
      </c>
      <c r="I518" s="4" t="s">
        <v>853</v>
      </c>
      <c r="J518" s="4" t="s">
        <v>1077</v>
      </c>
      <c r="K518" s="4" t="s">
        <v>855</v>
      </c>
    </row>
    <row r="519" spans="1:11" x14ac:dyDescent="0.2">
      <c r="A519" s="4" t="s">
        <v>1129</v>
      </c>
      <c r="B519" s="4" t="s">
        <v>1130</v>
      </c>
      <c r="C519" s="4" t="s">
        <v>49</v>
      </c>
      <c r="D519" s="4" t="s">
        <v>1075</v>
      </c>
      <c r="E519" s="4" t="s">
        <v>1076</v>
      </c>
      <c r="F519" s="4" t="s">
        <v>649</v>
      </c>
      <c r="G519" s="1">
        <v>0</v>
      </c>
      <c r="H519" s="4" t="s">
        <v>254</v>
      </c>
      <c r="I519" s="4" t="s">
        <v>853</v>
      </c>
      <c r="J519" s="4" t="s">
        <v>1077</v>
      </c>
      <c r="K519" s="4" t="s">
        <v>24</v>
      </c>
    </row>
    <row r="520" spans="1:11" x14ac:dyDescent="0.2">
      <c r="A520" s="4" t="s">
        <v>1131</v>
      </c>
      <c r="B520" s="4" t="s">
        <v>1132</v>
      </c>
      <c r="C520" s="4" t="s">
        <v>13</v>
      </c>
      <c r="D520" s="4" t="s">
        <v>1075</v>
      </c>
      <c r="E520" s="4" t="s">
        <v>1076</v>
      </c>
      <c r="F520" s="4" t="s">
        <v>649</v>
      </c>
      <c r="G520" s="1">
        <v>6.7000000000000004E-2</v>
      </c>
      <c r="H520" s="4" t="s">
        <v>166</v>
      </c>
      <c r="I520" s="4" t="s">
        <v>853</v>
      </c>
      <c r="J520" s="4" t="s">
        <v>1077</v>
      </c>
      <c r="K520" s="4" t="s">
        <v>24</v>
      </c>
    </row>
    <row r="521" spans="1:11" x14ac:dyDescent="0.2">
      <c r="A521" s="4" t="s">
        <v>1133</v>
      </c>
      <c r="B521" s="4" t="s">
        <v>1134</v>
      </c>
      <c r="C521" s="4" t="s">
        <v>49</v>
      </c>
      <c r="D521" s="4" t="s">
        <v>1075</v>
      </c>
      <c r="E521" s="4" t="s">
        <v>1076</v>
      </c>
      <c r="F521" s="4" t="s">
        <v>649</v>
      </c>
      <c r="G521" s="1">
        <v>3.3000000000000002E-2</v>
      </c>
      <c r="H521" s="4" t="s">
        <v>225</v>
      </c>
      <c r="I521" s="4" t="s">
        <v>853</v>
      </c>
      <c r="J521" s="4" t="s">
        <v>1077</v>
      </c>
      <c r="K521" s="4" t="s">
        <v>24</v>
      </c>
    </row>
    <row r="522" spans="1:11" x14ac:dyDescent="0.2">
      <c r="A522" s="4" t="s">
        <v>1135</v>
      </c>
      <c r="B522" s="4" t="s">
        <v>1136</v>
      </c>
      <c r="C522" s="4" t="s">
        <v>13</v>
      </c>
      <c r="D522" s="4" t="s">
        <v>1075</v>
      </c>
      <c r="E522" s="4" t="s">
        <v>1076</v>
      </c>
      <c r="F522" s="4" t="s">
        <v>649</v>
      </c>
      <c r="G522" s="1">
        <v>3.3000000000000002E-2</v>
      </c>
      <c r="H522" s="4" t="s">
        <v>225</v>
      </c>
      <c r="I522" s="4" t="s">
        <v>853</v>
      </c>
      <c r="J522" s="4" t="s">
        <v>1077</v>
      </c>
      <c r="K522" s="4" t="s">
        <v>24</v>
      </c>
    </row>
    <row r="523" spans="1:11" x14ac:dyDescent="0.2">
      <c r="A523" s="4" t="s">
        <v>1137</v>
      </c>
      <c r="B523" s="4" t="s">
        <v>1138</v>
      </c>
      <c r="C523" s="4" t="s">
        <v>13</v>
      </c>
      <c r="D523" s="4" t="s">
        <v>1075</v>
      </c>
      <c r="E523" s="4" t="s">
        <v>1076</v>
      </c>
      <c r="F523" s="4" t="s">
        <v>649</v>
      </c>
      <c r="G523" s="1">
        <v>0.13300000000000001</v>
      </c>
      <c r="H523" s="4" t="s">
        <v>112</v>
      </c>
      <c r="I523" s="4" t="s">
        <v>853</v>
      </c>
      <c r="J523" s="4" t="s">
        <v>1077</v>
      </c>
      <c r="K523" s="4" t="s">
        <v>24</v>
      </c>
    </row>
    <row r="524" spans="1:11" x14ac:dyDescent="0.2">
      <c r="A524" s="4" t="s">
        <v>1139</v>
      </c>
      <c r="B524" s="4" t="s">
        <v>1140</v>
      </c>
      <c r="C524" s="4" t="s">
        <v>13</v>
      </c>
      <c r="D524" s="4" t="s">
        <v>1075</v>
      </c>
      <c r="E524" s="4" t="s">
        <v>1076</v>
      </c>
      <c r="F524" s="4" t="s">
        <v>649</v>
      </c>
      <c r="G524" s="1">
        <v>0.13300000000000001</v>
      </c>
      <c r="H524" s="4" t="s">
        <v>112</v>
      </c>
      <c r="I524" s="4" t="s">
        <v>853</v>
      </c>
      <c r="J524" s="4" t="s">
        <v>1077</v>
      </c>
      <c r="K524" s="4" t="s">
        <v>1066</v>
      </c>
    </row>
    <row r="525" spans="1:11" x14ac:dyDescent="0.2">
      <c r="A525" s="4" t="s">
        <v>710</v>
      </c>
      <c r="B525" s="4" t="s">
        <v>711</v>
      </c>
      <c r="C525" s="4" t="s">
        <v>13</v>
      </c>
      <c r="D525" s="4" t="s">
        <v>1075</v>
      </c>
      <c r="E525" s="4" t="s">
        <v>1076</v>
      </c>
      <c r="F525" s="4" t="s">
        <v>649</v>
      </c>
      <c r="G525" s="1">
        <v>0.1</v>
      </c>
      <c r="H525" s="4" t="s">
        <v>117</v>
      </c>
      <c r="I525" s="4" t="s">
        <v>853</v>
      </c>
      <c r="J525" s="4" t="s">
        <v>1077</v>
      </c>
      <c r="K525" s="4" t="s">
        <v>24</v>
      </c>
    </row>
    <row r="526" spans="1:11" x14ac:dyDescent="0.2">
      <c r="A526" s="4" t="s">
        <v>1141</v>
      </c>
      <c r="B526" s="4" t="s">
        <v>1142</v>
      </c>
      <c r="C526" s="4" t="s">
        <v>13</v>
      </c>
      <c r="D526" s="4" t="s">
        <v>1143</v>
      </c>
      <c r="E526" s="4" t="s">
        <v>1144</v>
      </c>
      <c r="F526" s="4" t="s">
        <v>16</v>
      </c>
      <c r="G526" s="1">
        <v>0.156</v>
      </c>
      <c r="H526" s="4" t="s">
        <v>42</v>
      </c>
      <c r="I526" s="4" t="s">
        <v>1145</v>
      </c>
      <c r="J526" s="4" t="s">
        <v>1146</v>
      </c>
      <c r="K526" s="4" t="s">
        <v>24</v>
      </c>
    </row>
    <row r="527" spans="1:11" x14ac:dyDescent="0.2">
      <c r="A527" s="4" t="s">
        <v>1147</v>
      </c>
      <c r="B527" s="4" t="s">
        <v>1148</v>
      </c>
      <c r="C527" s="4" t="s">
        <v>13</v>
      </c>
      <c r="D527" s="4" t="s">
        <v>1143</v>
      </c>
      <c r="E527" s="4" t="s">
        <v>1144</v>
      </c>
      <c r="F527" s="4" t="s">
        <v>16</v>
      </c>
      <c r="G527" s="1">
        <v>6.7000000000000004E-2</v>
      </c>
      <c r="H527" s="4" t="s">
        <v>50</v>
      </c>
      <c r="I527" s="4" t="s">
        <v>1145</v>
      </c>
      <c r="J527" s="4" t="s">
        <v>1146</v>
      </c>
      <c r="K527" s="4" t="s">
        <v>24</v>
      </c>
    </row>
    <row r="528" spans="1:11" x14ac:dyDescent="0.2">
      <c r="A528" s="4" t="s">
        <v>105</v>
      </c>
      <c r="B528" s="4" t="s">
        <v>106</v>
      </c>
      <c r="C528" s="4" t="s">
        <v>49</v>
      </c>
      <c r="D528" s="4" t="s">
        <v>1143</v>
      </c>
      <c r="E528" s="4" t="s">
        <v>1144</v>
      </c>
      <c r="F528" s="4" t="s">
        <v>16</v>
      </c>
      <c r="G528" s="1">
        <v>0</v>
      </c>
      <c r="H528" s="4" t="s">
        <v>1149</v>
      </c>
      <c r="I528" s="4" t="s">
        <v>1145</v>
      </c>
      <c r="J528" s="4" t="s">
        <v>1146</v>
      </c>
      <c r="K528" s="4" t="s">
        <v>24</v>
      </c>
    </row>
    <row r="529" spans="1:11" x14ac:dyDescent="0.2">
      <c r="A529" s="4" t="s">
        <v>1150</v>
      </c>
      <c r="B529" s="4" t="s">
        <v>1151</v>
      </c>
      <c r="C529" s="4" t="s">
        <v>13</v>
      </c>
      <c r="D529" s="4" t="s">
        <v>1143</v>
      </c>
      <c r="E529" s="4" t="s">
        <v>1144</v>
      </c>
      <c r="F529" s="4" t="s">
        <v>16</v>
      </c>
      <c r="G529" s="1">
        <v>0.156</v>
      </c>
      <c r="H529" s="4" t="s">
        <v>42</v>
      </c>
      <c r="I529" s="4" t="s">
        <v>1145</v>
      </c>
      <c r="J529" s="4" t="s">
        <v>1146</v>
      </c>
      <c r="K529" s="4" t="s">
        <v>24</v>
      </c>
    </row>
    <row r="530" spans="1:11" x14ac:dyDescent="0.2">
      <c r="A530" s="4" t="s">
        <v>1152</v>
      </c>
      <c r="B530" s="4" t="s">
        <v>1153</v>
      </c>
      <c r="C530" s="4" t="s">
        <v>13</v>
      </c>
      <c r="D530" s="4" t="s">
        <v>1143</v>
      </c>
      <c r="E530" s="4" t="s">
        <v>1144</v>
      </c>
      <c r="F530" s="4" t="s">
        <v>16</v>
      </c>
      <c r="G530" s="1">
        <v>0.13300000000000001</v>
      </c>
      <c r="H530" s="4" t="s">
        <v>36</v>
      </c>
      <c r="I530" s="4" t="s">
        <v>1145</v>
      </c>
      <c r="J530" s="4" t="s">
        <v>1146</v>
      </c>
      <c r="K530" s="4" t="s">
        <v>24</v>
      </c>
    </row>
    <row r="531" spans="1:11" x14ac:dyDescent="0.2">
      <c r="A531" s="4" t="s">
        <v>1154</v>
      </c>
      <c r="B531" s="4" t="s">
        <v>1155</v>
      </c>
      <c r="C531" s="4" t="s">
        <v>13</v>
      </c>
      <c r="D531" s="4" t="s">
        <v>1143</v>
      </c>
      <c r="E531" s="4" t="s">
        <v>1144</v>
      </c>
      <c r="F531" s="4" t="s">
        <v>16</v>
      </c>
      <c r="G531" s="1">
        <v>0.156</v>
      </c>
      <c r="H531" s="4" t="s">
        <v>42</v>
      </c>
      <c r="I531" s="4" t="s">
        <v>1145</v>
      </c>
      <c r="J531" s="4" t="s">
        <v>1146</v>
      </c>
      <c r="K531" s="4" t="s">
        <v>24</v>
      </c>
    </row>
    <row r="532" spans="1:11" x14ac:dyDescent="0.2">
      <c r="A532" s="4" t="s">
        <v>1156</v>
      </c>
      <c r="B532" s="4" t="s">
        <v>1157</v>
      </c>
      <c r="C532" s="4" t="s">
        <v>13</v>
      </c>
      <c r="D532" s="4" t="s">
        <v>1143</v>
      </c>
      <c r="E532" s="4" t="s">
        <v>1144</v>
      </c>
      <c r="F532" s="4" t="s">
        <v>16</v>
      </c>
      <c r="G532" s="1">
        <v>4.3999999999999997E-2</v>
      </c>
      <c r="H532" s="4" t="s">
        <v>76</v>
      </c>
      <c r="I532" s="4" t="s">
        <v>1145</v>
      </c>
      <c r="J532" s="4" t="s">
        <v>1146</v>
      </c>
      <c r="K532" s="4" t="s">
        <v>24</v>
      </c>
    </row>
    <row r="533" spans="1:11" x14ac:dyDescent="0.2">
      <c r="A533" s="4" t="s">
        <v>1158</v>
      </c>
      <c r="B533" s="4" t="s">
        <v>1159</v>
      </c>
      <c r="C533" s="4" t="s">
        <v>49</v>
      </c>
      <c r="D533" s="4" t="s">
        <v>1143</v>
      </c>
      <c r="E533" s="4" t="s">
        <v>1144</v>
      </c>
      <c r="F533" s="4" t="s">
        <v>16</v>
      </c>
      <c r="G533" s="1">
        <v>0</v>
      </c>
      <c r="H533" s="4" t="s">
        <v>1149</v>
      </c>
      <c r="I533" s="4" t="s">
        <v>1145</v>
      </c>
      <c r="J533" s="4" t="s">
        <v>1146</v>
      </c>
      <c r="K533" s="4" t="s">
        <v>24</v>
      </c>
    </row>
    <row r="534" spans="1:11" x14ac:dyDescent="0.2">
      <c r="A534" s="4" t="s">
        <v>1160</v>
      </c>
      <c r="B534" s="4" t="s">
        <v>1161</v>
      </c>
      <c r="C534" s="4" t="s">
        <v>13</v>
      </c>
      <c r="D534" s="4" t="s">
        <v>1143</v>
      </c>
      <c r="E534" s="4" t="s">
        <v>1144</v>
      </c>
      <c r="F534" s="4" t="s">
        <v>16</v>
      </c>
      <c r="G534" s="1">
        <v>0.156</v>
      </c>
      <c r="H534" s="4" t="s">
        <v>42</v>
      </c>
      <c r="I534" s="4" t="s">
        <v>1145</v>
      </c>
      <c r="J534" s="4" t="s">
        <v>1146</v>
      </c>
      <c r="K534" s="4" t="s">
        <v>24</v>
      </c>
    </row>
    <row r="535" spans="1:11" x14ac:dyDescent="0.2">
      <c r="A535" s="4" t="s">
        <v>1162</v>
      </c>
      <c r="B535" s="4" t="s">
        <v>1163</v>
      </c>
      <c r="C535" s="4" t="s">
        <v>13</v>
      </c>
      <c r="D535" s="4" t="s">
        <v>1143</v>
      </c>
      <c r="E535" s="4" t="s">
        <v>1144</v>
      </c>
      <c r="F535" s="4" t="s">
        <v>16</v>
      </c>
      <c r="G535" s="1">
        <v>0.13300000000000001</v>
      </c>
      <c r="H535" s="4" t="s">
        <v>36</v>
      </c>
      <c r="I535" s="4" t="s">
        <v>1145</v>
      </c>
      <c r="J535" s="4" t="s">
        <v>1146</v>
      </c>
      <c r="K535" s="4" t="s">
        <v>24</v>
      </c>
    </row>
    <row r="536" spans="1:11" x14ac:dyDescent="0.2">
      <c r="A536" s="4" t="s">
        <v>103</v>
      </c>
      <c r="B536" s="4" t="s">
        <v>104</v>
      </c>
      <c r="C536" s="4" t="s">
        <v>49</v>
      </c>
      <c r="D536" s="4" t="s">
        <v>1143</v>
      </c>
      <c r="E536" s="4" t="s">
        <v>1144</v>
      </c>
      <c r="F536" s="4" t="s">
        <v>16</v>
      </c>
      <c r="G536" s="1">
        <v>0</v>
      </c>
      <c r="H536" s="4" t="s">
        <v>1149</v>
      </c>
      <c r="I536" s="4" t="s">
        <v>1145</v>
      </c>
      <c r="J536" s="4" t="s">
        <v>1146</v>
      </c>
      <c r="K536" s="4" t="s">
        <v>24</v>
      </c>
    </row>
    <row r="537" spans="1:11" x14ac:dyDescent="0.2">
      <c r="A537" s="4" t="s">
        <v>1164</v>
      </c>
      <c r="B537" s="4" t="s">
        <v>1165</v>
      </c>
      <c r="C537" s="4" t="s">
        <v>13</v>
      </c>
      <c r="D537" s="4" t="s">
        <v>1143</v>
      </c>
      <c r="E537" s="4" t="s">
        <v>1144</v>
      </c>
      <c r="F537" s="4" t="s">
        <v>16</v>
      </c>
      <c r="G537" s="1">
        <v>0</v>
      </c>
      <c r="H537" s="4" t="s">
        <v>1149</v>
      </c>
      <c r="I537" s="4" t="s">
        <v>1145</v>
      </c>
      <c r="J537" s="4" t="s">
        <v>1146</v>
      </c>
      <c r="K537" s="4" t="s">
        <v>24</v>
      </c>
    </row>
    <row r="538" spans="1:11" x14ac:dyDescent="0.2">
      <c r="A538" s="4" t="s">
        <v>1166</v>
      </c>
      <c r="B538" s="4" t="s">
        <v>1167</v>
      </c>
      <c r="C538" s="4" t="s">
        <v>13</v>
      </c>
      <c r="D538" s="4" t="s">
        <v>1143</v>
      </c>
      <c r="E538" s="4" t="s">
        <v>1144</v>
      </c>
      <c r="F538" s="4" t="s">
        <v>16</v>
      </c>
      <c r="G538" s="1">
        <v>0.156</v>
      </c>
      <c r="H538" s="4" t="s">
        <v>42</v>
      </c>
      <c r="I538" s="4" t="s">
        <v>1145</v>
      </c>
      <c r="J538" s="4" t="s">
        <v>1146</v>
      </c>
      <c r="K538" s="4" t="s">
        <v>24</v>
      </c>
    </row>
    <row r="539" spans="1:11" x14ac:dyDescent="0.2">
      <c r="A539" s="4" t="s">
        <v>1168</v>
      </c>
      <c r="B539" s="4" t="s">
        <v>1169</v>
      </c>
      <c r="C539" s="4" t="s">
        <v>13</v>
      </c>
      <c r="D539" s="4" t="s">
        <v>1143</v>
      </c>
      <c r="E539" s="4" t="s">
        <v>1144</v>
      </c>
      <c r="F539" s="4" t="s">
        <v>16</v>
      </c>
      <c r="G539" s="1">
        <v>0.156</v>
      </c>
      <c r="H539" s="4" t="s">
        <v>42</v>
      </c>
      <c r="I539" s="4" t="s">
        <v>1145</v>
      </c>
      <c r="J539" s="4" t="s">
        <v>1146</v>
      </c>
      <c r="K539" s="4" t="s">
        <v>24</v>
      </c>
    </row>
    <row r="540" spans="1:11" x14ac:dyDescent="0.2">
      <c r="A540" s="4" t="s">
        <v>1170</v>
      </c>
      <c r="B540" s="4" t="s">
        <v>1171</v>
      </c>
      <c r="C540" s="4" t="s">
        <v>13</v>
      </c>
      <c r="D540" s="4" t="s">
        <v>1143</v>
      </c>
      <c r="E540" s="4" t="s">
        <v>1144</v>
      </c>
      <c r="F540" s="4" t="s">
        <v>16</v>
      </c>
      <c r="G540" s="1">
        <v>0.13300000000000001</v>
      </c>
      <c r="H540" s="4" t="s">
        <v>36</v>
      </c>
      <c r="I540" s="4" t="s">
        <v>1145</v>
      </c>
      <c r="J540" s="4" t="s">
        <v>1146</v>
      </c>
      <c r="K540" s="4" t="s">
        <v>24</v>
      </c>
    </row>
    <row r="541" spans="1:11" x14ac:dyDescent="0.2">
      <c r="A541" s="4" t="s">
        <v>1172</v>
      </c>
      <c r="B541" s="4" t="s">
        <v>1173</v>
      </c>
      <c r="C541" s="4" t="s">
        <v>13</v>
      </c>
      <c r="D541" s="4" t="s">
        <v>1143</v>
      </c>
      <c r="E541" s="4" t="s">
        <v>1144</v>
      </c>
      <c r="F541" s="4" t="s">
        <v>16</v>
      </c>
      <c r="G541" s="1">
        <v>6.7000000000000004E-2</v>
      </c>
      <c r="H541" s="4" t="s">
        <v>50</v>
      </c>
      <c r="I541" s="4" t="s">
        <v>1145</v>
      </c>
      <c r="J541" s="4" t="s">
        <v>1146</v>
      </c>
      <c r="K541" s="4" t="s">
        <v>24</v>
      </c>
    </row>
    <row r="542" spans="1:11" x14ac:dyDescent="0.2">
      <c r="A542" s="4" t="s">
        <v>1174</v>
      </c>
      <c r="B542" s="4" t="s">
        <v>1175</v>
      </c>
      <c r="C542" s="4" t="s">
        <v>13</v>
      </c>
      <c r="D542" s="4" t="s">
        <v>1143</v>
      </c>
      <c r="E542" s="4" t="s">
        <v>1144</v>
      </c>
      <c r="F542" s="4" t="s">
        <v>16</v>
      </c>
      <c r="G542" s="1">
        <v>0.13300000000000001</v>
      </c>
      <c r="H542" s="4" t="s">
        <v>36</v>
      </c>
      <c r="I542" s="4" t="s">
        <v>1145</v>
      </c>
      <c r="J542" s="4" t="s">
        <v>1146</v>
      </c>
      <c r="K542" s="4" t="s">
        <v>24</v>
      </c>
    </row>
    <row r="543" spans="1:11" x14ac:dyDescent="0.2">
      <c r="A543" s="4" t="s">
        <v>1176</v>
      </c>
      <c r="B543" s="4" t="s">
        <v>1177</v>
      </c>
      <c r="C543" s="4" t="s">
        <v>13</v>
      </c>
      <c r="D543" s="4" t="s">
        <v>1143</v>
      </c>
      <c r="E543" s="4" t="s">
        <v>1144</v>
      </c>
      <c r="F543" s="4" t="s">
        <v>16</v>
      </c>
      <c r="G543" s="1">
        <v>2.1999999999999999E-2</v>
      </c>
      <c r="H543" s="4" t="s">
        <v>23</v>
      </c>
      <c r="I543" s="4" t="s">
        <v>1145</v>
      </c>
      <c r="J543" s="4" t="s">
        <v>1146</v>
      </c>
      <c r="K543" s="4" t="s">
        <v>24</v>
      </c>
    </row>
    <row r="544" spans="1:11" x14ac:dyDescent="0.2">
      <c r="A544" s="4" t="s">
        <v>1178</v>
      </c>
      <c r="B544" s="4" t="s">
        <v>1179</v>
      </c>
      <c r="C544" s="4" t="s">
        <v>49</v>
      </c>
      <c r="D544" s="4" t="s">
        <v>1143</v>
      </c>
      <c r="E544" s="4" t="s">
        <v>1144</v>
      </c>
      <c r="F544" s="4" t="s">
        <v>16</v>
      </c>
      <c r="G544" s="1">
        <v>0</v>
      </c>
      <c r="H544" s="4" t="s">
        <v>1149</v>
      </c>
      <c r="I544" s="4" t="s">
        <v>1145</v>
      </c>
      <c r="J544" s="4" t="s">
        <v>1146</v>
      </c>
      <c r="K544" s="4" t="s">
        <v>24</v>
      </c>
    </row>
    <row r="545" spans="1:11" x14ac:dyDescent="0.2">
      <c r="A545" s="4" t="s">
        <v>1180</v>
      </c>
      <c r="B545" s="4" t="s">
        <v>1181</v>
      </c>
      <c r="C545" s="4" t="s">
        <v>13</v>
      </c>
      <c r="D545" s="4" t="s">
        <v>1143</v>
      </c>
      <c r="E545" s="4" t="s">
        <v>1144</v>
      </c>
      <c r="F545" s="4" t="s">
        <v>16</v>
      </c>
      <c r="G545" s="1">
        <v>8.8999999999999996E-2</v>
      </c>
      <c r="H545" s="4" t="s">
        <v>17</v>
      </c>
      <c r="I545" s="4" t="s">
        <v>1145</v>
      </c>
      <c r="J545" s="4" t="s">
        <v>1146</v>
      </c>
      <c r="K545" s="4" t="s">
        <v>24</v>
      </c>
    </row>
    <row r="546" spans="1:11" x14ac:dyDescent="0.2">
      <c r="A546" s="4" t="s">
        <v>1182</v>
      </c>
      <c r="B546" s="4" t="s">
        <v>1183</v>
      </c>
      <c r="C546" s="4" t="s">
        <v>13</v>
      </c>
      <c r="D546" s="4" t="s">
        <v>1143</v>
      </c>
      <c r="E546" s="4" t="s">
        <v>1144</v>
      </c>
      <c r="F546" s="4" t="s">
        <v>16</v>
      </c>
      <c r="G546" s="1">
        <v>0.111</v>
      </c>
      <c r="H546" s="4" t="s">
        <v>55</v>
      </c>
      <c r="I546" s="4" t="s">
        <v>1145</v>
      </c>
      <c r="J546" s="4" t="s">
        <v>1146</v>
      </c>
      <c r="K546" s="4" t="s">
        <v>24</v>
      </c>
    </row>
    <row r="547" spans="1:11" x14ac:dyDescent="0.2">
      <c r="A547" s="4" t="s">
        <v>1184</v>
      </c>
      <c r="B547" s="4" t="s">
        <v>1185</v>
      </c>
      <c r="C547" s="4" t="s">
        <v>13</v>
      </c>
      <c r="D547" s="4" t="s">
        <v>1143</v>
      </c>
      <c r="E547" s="4" t="s">
        <v>1144</v>
      </c>
      <c r="F547" s="4" t="s">
        <v>16</v>
      </c>
      <c r="G547" s="1">
        <v>0</v>
      </c>
      <c r="H547" s="4" t="s">
        <v>1149</v>
      </c>
      <c r="I547" s="4" t="s">
        <v>1145</v>
      </c>
      <c r="J547" s="4" t="s">
        <v>1146</v>
      </c>
      <c r="K547" s="4" t="s">
        <v>24</v>
      </c>
    </row>
    <row r="548" spans="1:11" x14ac:dyDescent="0.2">
      <c r="A548" s="4" t="s">
        <v>1186</v>
      </c>
      <c r="B548" s="4" t="s">
        <v>1187</v>
      </c>
      <c r="C548" s="4" t="s">
        <v>13</v>
      </c>
      <c r="D548" s="4" t="s">
        <v>1143</v>
      </c>
      <c r="E548" s="4" t="s">
        <v>1144</v>
      </c>
      <c r="F548" s="4" t="s">
        <v>16</v>
      </c>
      <c r="G548" s="1">
        <v>8.8999999999999996E-2</v>
      </c>
      <c r="H548" s="4" t="s">
        <v>17</v>
      </c>
      <c r="I548" s="4" t="s">
        <v>1145</v>
      </c>
      <c r="J548" s="4" t="s">
        <v>1146</v>
      </c>
      <c r="K548" s="4" t="s">
        <v>24</v>
      </c>
    </row>
    <row r="549" spans="1:11" x14ac:dyDescent="0.2">
      <c r="A549" s="4" t="s">
        <v>1188</v>
      </c>
      <c r="B549" s="4" t="s">
        <v>1189</v>
      </c>
      <c r="C549" s="4" t="s">
        <v>13</v>
      </c>
      <c r="D549" s="4" t="s">
        <v>1143</v>
      </c>
      <c r="E549" s="4" t="s">
        <v>1144</v>
      </c>
      <c r="F549" s="4" t="s">
        <v>16</v>
      </c>
      <c r="G549" s="1">
        <v>0</v>
      </c>
      <c r="H549" s="4" t="s">
        <v>1149</v>
      </c>
      <c r="I549" s="4" t="s">
        <v>1145</v>
      </c>
      <c r="J549" s="4" t="s">
        <v>1146</v>
      </c>
      <c r="K549" s="4" t="s">
        <v>24</v>
      </c>
    </row>
    <row r="550" spans="1:11" x14ac:dyDescent="0.2">
      <c r="A550" s="4" t="s">
        <v>1190</v>
      </c>
      <c r="B550" s="4" t="s">
        <v>1191</v>
      </c>
      <c r="C550" s="4" t="s">
        <v>13</v>
      </c>
      <c r="D550" s="4" t="s">
        <v>1143</v>
      </c>
      <c r="E550" s="4" t="s">
        <v>1144</v>
      </c>
      <c r="F550" s="4" t="s">
        <v>16</v>
      </c>
      <c r="G550" s="1">
        <v>0</v>
      </c>
      <c r="H550" s="4" t="s">
        <v>1149</v>
      </c>
      <c r="I550" s="4" t="s">
        <v>1145</v>
      </c>
      <c r="J550" s="4" t="s">
        <v>1146</v>
      </c>
      <c r="K550" s="4" t="s">
        <v>24</v>
      </c>
    </row>
    <row r="551" spans="1:11" x14ac:dyDescent="0.2">
      <c r="A551" s="4" t="s">
        <v>1192</v>
      </c>
      <c r="B551" s="4" t="s">
        <v>1193</v>
      </c>
      <c r="C551" s="4" t="s">
        <v>13</v>
      </c>
      <c r="D551" s="4" t="s">
        <v>1143</v>
      </c>
      <c r="E551" s="4" t="s">
        <v>1144</v>
      </c>
      <c r="F551" s="4" t="s">
        <v>16</v>
      </c>
      <c r="G551" s="1">
        <v>0.156</v>
      </c>
      <c r="H551" s="4" t="s">
        <v>42</v>
      </c>
      <c r="I551" s="4" t="s">
        <v>1145</v>
      </c>
      <c r="J551" s="4" t="s">
        <v>1146</v>
      </c>
      <c r="K551" s="4" t="s">
        <v>24</v>
      </c>
    </row>
    <row r="552" spans="1:11" x14ac:dyDescent="0.2">
      <c r="A552" s="4" t="s">
        <v>1194</v>
      </c>
      <c r="B552" s="4" t="s">
        <v>1195</v>
      </c>
      <c r="C552" s="4" t="s">
        <v>13</v>
      </c>
      <c r="D552" s="4" t="s">
        <v>1143</v>
      </c>
      <c r="E552" s="4" t="s">
        <v>1144</v>
      </c>
      <c r="F552" s="4" t="s">
        <v>16</v>
      </c>
      <c r="G552" s="1">
        <v>0.156</v>
      </c>
      <c r="H552" s="4" t="s">
        <v>42</v>
      </c>
      <c r="I552" s="4" t="s">
        <v>1145</v>
      </c>
      <c r="J552" s="4" t="s">
        <v>1146</v>
      </c>
      <c r="K552" s="4" t="s">
        <v>24</v>
      </c>
    </row>
    <row r="553" spans="1:11" x14ac:dyDescent="0.2">
      <c r="A553" s="4" t="s">
        <v>1196</v>
      </c>
      <c r="B553" s="4" t="s">
        <v>1197</v>
      </c>
      <c r="C553" s="4" t="s">
        <v>13</v>
      </c>
      <c r="D553" s="4" t="s">
        <v>1143</v>
      </c>
      <c r="E553" s="4" t="s">
        <v>1144</v>
      </c>
      <c r="F553" s="4" t="s">
        <v>16</v>
      </c>
      <c r="G553" s="1">
        <v>0.13300000000000001</v>
      </c>
      <c r="H553" s="4" t="s">
        <v>36</v>
      </c>
      <c r="I553" s="4" t="s">
        <v>1145</v>
      </c>
      <c r="J553" s="4" t="s">
        <v>1146</v>
      </c>
      <c r="K553" s="4" t="s">
        <v>24</v>
      </c>
    </row>
    <row r="554" spans="1:11" x14ac:dyDescent="0.2">
      <c r="A554" s="4" t="s">
        <v>1198</v>
      </c>
      <c r="B554" s="4" t="s">
        <v>1199</v>
      </c>
      <c r="C554" s="4" t="s">
        <v>13</v>
      </c>
      <c r="D554" s="4" t="s">
        <v>1143</v>
      </c>
      <c r="E554" s="4" t="s">
        <v>1144</v>
      </c>
      <c r="F554" s="4" t="s">
        <v>16</v>
      </c>
      <c r="G554" s="1">
        <v>0.156</v>
      </c>
      <c r="H554" s="4" t="s">
        <v>42</v>
      </c>
      <c r="I554" s="4" t="s">
        <v>1145</v>
      </c>
      <c r="J554" s="4" t="s">
        <v>1146</v>
      </c>
      <c r="K554" s="4" t="s">
        <v>24</v>
      </c>
    </row>
    <row r="555" spans="1:11" x14ac:dyDescent="0.2">
      <c r="A555" s="4" t="s">
        <v>1200</v>
      </c>
      <c r="B555" s="4" t="s">
        <v>1201</v>
      </c>
      <c r="C555" s="4" t="s">
        <v>13</v>
      </c>
      <c r="D555" s="4" t="s">
        <v>1143</v>
      </c>
      <c r="E555" s="4" t="s">
        <v>1144</v>
      </c>
      <c r="F555" s="4" t="s">
        <v>16</v>
      </c>
      <c r="G555" s="1">
        <v>0.156</v>
      </c>
      <c r="H555" s="4" t="s">
        <v>42</v>
      </c>
      <c r="I555" s="4" t="s">
        <v>1145</v>
      </c>
      <c r="J555" s="4" t="s">
        <v>1146</v>
      </c>
      <c r="K555" s="4" t="s">
        <v>24</v>
      </c>
    </row>
    <row r="556" spans="1:11" x14ac:dyDescent="0.2">
      <c r="A556" s="4" t="s">
        <v>1202</v>
      </c>
      <c r="B556" s="4" t="s">
        <v>1203</v>
      </c>
      <c r="C556" s="4" t="s">
        <v>13</v>
      </c>
      <c r="D556" s="4" t="s">
        <v>1143</v>
      </c>
      <c r="E556" s="4" t="s">
        <v>1144</v>
      </c>
      <c r="F556" s="4" t="s">
        <v>16</v>
      </c>
      <c r="G556" s="1">
        <v>0.111</v>
      </c>
      <c r="H556" s="4" t="s">
        <v>55</v>
      </c>
      <c r="I556" s="4" t="s">
        <v>1145</v>
      </c>
      <c r="J556" s="4" t="s">
        <v>1146</v>
      </c>
      <c r="K556" s="4" t="s">
        <v>24</v>
      </c>
    </row>
    <row r="557" spans="1:11" x14ac:dyDescent="0.2">
      <c r="A557" s="4" t="s">
        <v>1204</v>
      </c>
      <c r="B557" s="4" t="s">
        <v>1205</v>
      </c>
      <c r="C557" s="4" t="s">
        <v>13</v>
      </c>
      <c r="D557" s="4" t="s">
        <v>1143</v>
      </c>
      <c r="E557" s="4" t="s">
        <v>1144</v>
      </c>
      <c r="F557" s="4" t="s">
        <v>16</v>
      </c>
      <c r="G557" s="1">
        <v>2.1999999999999999E-2</v>
      </c>
      <c r="H557" s="4" t="s">
        <v>23</v>
      </c>
      <c r="I557" s="4" t="s">
        <v>1145</v>
      </c>
      <c r="J557" s="4" t="s">
        <v>1146</v>
      </c>
      <c r="K557" s="4" t="s">
        <v>24</v>
      </c>
    </row>
    <row r="558" spans="1:11" x14ac:dyDescent="0.2">
      <c r="A558" s="4" t="s">
        <v>1206</v>
      </c>
      <c r="B558" s="4" t="s">
        <v>1207</v>
      </c>
      <c r="C558" s="4" t="s">
        <v>13</v>
      </c>
      <c r="D558" s="4" t="s">
        <v>1143</v>
      </c>
      <c r="E558" s="4" t="s">
        <v>1144</v>
      </c>
      <c r="F558" s="4" t="s">
        <v>16</v>
      </c>
      <c r="G558" s="1">
        <v>0.156</v>
      </c>
      <c r="H558" s="4" t="s">
        <v>42</v>
      </c>
      <c r="I558" s="4" t="s">
        <v>1145</v>
      </c>
      <c r="J558" s="4" t="s">
        <v>1146</v>
      </c>
      <c r="K558" s="4" t="s">
        <v>24</v>
      </c>
    </row>
    <row r="559" spans="1:11" x14ac:dyDescent="0.2">
      <c r="A559" s="4" t="s">
        <v>1208</v>
      </c>
      <c r="B559" s="4" t="s">
        <v>1209</v>
      </c>
      <c r="C559" s="4" t="s">
        <v>13</v>
      </c>
      <c r="D559" s="4" t="s">
        <v>1143</v>
      </c>
      <c r="E559" s="4" t="s">
        <v>1144</v>
      </c>
      <c r="F559" s="4" t="s">
        <v>16</v>
      </c>
      <c r="G559" s="1">
        <v>0.156</v>
      </c>
      <c r="H559" s="4" t="s">
        <v>42</v>
      </c>
      <c r="I559" s="4" t="s">
        <v>1145</v>
      </c>
      <c r="J559" s="4" t="s">
        <v>1146</v>
      </c>
      <c r="K559" s="4" t="s">
        <v>24</v>
      </c>
    </row>
    <row r="560" spans="1:11" x14ac:dyDescent="0.2">
      <c r="A560" s="4" t="s">
        <v>1210</v>
      </c>
      <c r="B560" s="4" t="s">
        <v>1211</v>
      </c>
      <c r="C560" s="4" t="s">
        <v>13</v>
      </c>
      <c r="D560" s="4" t="s">
        <v>1143</v>
      </c>
      <c r="E560" s="4" t="s">
        <v>1144</v>
      </c>
      <c r="F560" s="4" t="s">
        <v>16</v>
      </c>
      <c r="G560" s="1">
        <v>0.13300000000000001</v>
      </c>
      <c r="H560" s="4" t="s">
        <v>36</v>
      </c>
      <c r="I560" s="4" t="s">
        <v>1145</v>
      </c>
      <c r="J560" s="4" t="s">
        <v>1146</v>
      </c>
      <c r="K560" s="4" t="s">
        <v>24</v>
      </c>
    </row>
    <row r="561" spans="1:11" x14ac:dyDescent="0.2">
      <c r="A561" s="4" t="s">
        <v>1212</v>
      </c>
      <c r="B561" s="4" t="s">
        <v>1213</v>
      </c>
      <c r="C561" s="4" t="s">
        <v>13</v>
      </c>
      <c r="D561" s="4" t="s">
        <v>1143</v>
      </c>
      <c r="E561" s="4" t="s">
        <v>1144</v>
      </c>
      <c r="F561" s="4" t="s">
        <v>16</v>
      </c>
      <c r="G561" s="1">
        <v>0</v>
      </c>
      <c r="H561" s="4" t="s">
        <v>1149</v>
      </c>
      <c r="I561" s="4" t="s">
        <v>1145</v>
      </c>
      <c r="J561" s="4" t="s">
        <v>1146</v>
      </c>
      <c r="K561" s="4" t="s">
        <v>1214</v>
      </c>
    </row>
    <row r="562" spans="1:11" x14ac:dyDescent="0.2">
      <c r="A562" s="4" t="s">
        <v>1215</v>
      </c>
      <c r="B562" s="4" t="s">
        <v>1216</v>
      </c>
      <c r="C562" s="4" t="s">
        <v>13</v>
      </c>
      <c r="D562" s="4" t="s">
        <v>1217</v>
      </c>
      <c r="E562" s="4" t="s">
        <v>1218</v>
      </c>
      <c r="F562" s="4" t="s">
        <v>335</v>
      </c>
      <c r="G562" s="1">
        <v>0.16700000000000001</v>
      </c>
      <c r="H562" s="4" t="s">
        <v>229</v>
      </c>
      <c r="I562" s="4" t="s">
        <v>1145</v>
      </c>
      <c r="J562" s="4" t="s">
        <v>1219</v>
      </c>
      <c r="K562" s="4" t="s">
        <v>1220</v>
      </c>
    </row>
    <row r="563" spans="1:11" x14ac:dyDescent="0.2">
      <c r="A563" s="4" t="s">
        <v>1221</v>
      </c>
      <c r="B563" s="4" t="s">
        <v>1222</v>
      </c>
      <c r="C563" s="4" t="s">
        <v>13</v>
      </c>
      <c r="D563" s="4" t="s">
        <v>1217</v>
      </c>
      <c r="E563" s="4" t="s">
        <v>1218</v>
      </c>
      <c r="F563" s="4" t="s">
        <v>335</v>
      </c>
      <c r="G563" s="1">
        <v>0.16700000000000001</v>
      </c>
      <c r="H563" s="4" t="s">
        <v>229</v>
      </c>
      <c r="I563" s="4" t="s">
        <v>1145</v>
      </c>
      <c r="J563" s="4" t="s">
        <v>1219</v>
      </c>
      <c r="K563" s="4" t="s">
        <v>1220</v>
      </c>
    </row>
    <row r="564" spans="1:11" x14ac:dyDescent="0.2">
      <c r="A564" s="4" t="s">
        <v>1223</v>
      </c>
      <c r="B564" s="4" t="s">
        <v>1224</v>
      </c>
      <c r="C564" s="4" t="s">
        <v>13</v>
      </c>
      <c r="D564" s="4" t="s">
        <v>1217</v>
      </c>
      <c r="E564" s="4" t="s">
        <v>1218</v>
      </c>
      <c r="F564" s="4" t="s">
        <v>335</v>
      </c>
      <c r="G564" s="1">
        <v>0.16700000000000001</v>
      </c>
      <c r="H564" s="4" t="s">
        <v>229</v>
      </c>
      <c r="I564" s="4" t="s">
        <v>1145</v>
      </c>
      <c r="J564" s="4" t="s">
        <v>1219</v>
      </c>
      <c r="K564" s="4" t="s">
        <v>1220</v>
      </c>
    </row>
    <row r="565" spans="1:11" x14ac:dyDescent="0.2">
      <c r="A565" s="4" t="s">
        <v>1225</v>
      </c>
      <c r="B565" s="4" t="s">
        <v>1226</v>
      </c>
      <c r="C565" s="4" t="s">
        <v>13</v>
      </c>
      <c r="D565" s="4" t="s">
        <v>1217</v>
      </c>
      <c r="E565" s="4" t="s">
        <v>1218</v>
      </c>
      <c r="F565" s="4" t="s">
        <v>335</v>
      </c>
      <c r="G565" s="1">
        <v>0.16700000000000001</v>
      </c>
      <c r="H565" s="4" t="s">
        <v>229</v>
      </c>
      <c r="I565" s="4" t="s">
        <v>1145</v>
      </c>
      <c r="J565" s="4" t="s">
        <v>1219</v>
      </c>
      <c r="K565" s="4" t="s">
        <v>1220</v>
      </c>
    </row>
    <row r="566" spans="1:11" x14ac:dyDescent="0.2">
      <c r="A566" s="4" t="s">
        <v>1227</v>
      </c>
      <c r="B566" s="4" t="s">
        <v>1228</v>
      </c>
      <c r="C566" s="4" t="s">
        <v>13</v>
      </c>
      <c r="D566" s="4" t="s">
        <v>1217</v>
      </c>
      <c r="E566" s="4" t="s">
        <v>1218</v>
      </c>
      <c r="F566" s="4" t="s">
        <v>335</v>
      </c>
      <c r="G566" s="1">
        <v>0.16700000000000001</v>
      </c>
      <c r="H566" s="4" t="s">
        <v>229</v>
      </c>
      <c r="I566" s="4" t="s">
        <v>1145</v>
      </c>
      <c r="J566" s="4" t="s">
        <v>1219</v>
      </c>
      <c r="K566" s="4" t="s">
        <v>24</v>
      </c>
    </row>
    <row r="567" spans="1:11" x14ac:dyDescent="0.2">
      <c r="A567" s="4" t="s">
        <v>1229</v>
      </c>
      <c r="B567" s="4" t="s">
        <v>1230</v>
      </c>
      <c r="C567" s="4" t="s">
        <v>13</v>
      </c>
      <c r="D567" s="4" t="s">
        <v>1217</v>
      </c>
      <c r="E567" s="4" t="s">
        <v>1218</v>
      </c>
      <c r="F567" s="4" t="s">
        <v>335</v>
      </c>
      <c r="G567" s="1">
        <v>3.3000000000000002E-2</v>
      </c>
      <c r="H567" s="4" t="s">
        <v>225</v>
      </c>
      <c r="I567" s="4" t="s">
        <v>1145</v>
      </c>
      <c r="J567" s="4" t="s">
        <v>1219</v>
      </c>
      <c r="K567" s="4" t="s">
        <v>24</v>
      </c>
    </row>
    <row r="568" spans="1:11" x14ac:dyDescent="0.2">
      <c r="A568" s="4" t="s">
        <v>1231</v>
      </c>
      <c r="B568" s="4" t="s">
        <v>1232</v>
      </c>
      <c r="C568" s="4" t="s">
        <v>13</v>
      </c>
      <c r="D568" s="4" t="s">
        <v>1217</v>
      </c>
      <c r="E568" s="4" t="s">
        <v>1218</v>
      </c>
      <c r="F568" s="4" t="s">
        <v>335</v>
      </c>
      <c r="G568" s="1">
        <v>3.3000000000000002E-2</v>
      </c>
      <c r="H568" s="4" t="s">
        <v>225</v>
      </c>
      <c r="I568" s="4" t="s">
        <v>1145</v>
      </c>
      <c r="J568" s="4" t="s">
        <v>1219</v>
      </c>
      <c r="K568" s="4" t="s">
        <v>24</v>
      </c>
    </row>
    <row r="569" spans="1:11" x14ac:dyDescent="0.2">
      <c r="A569" s="4" t="s">
        <v>1233</v>
      </c>
      <c r="B569" s="4" t="s">
        <v>1234</v>
      </c>
      <c r="C569" s="4" t="s">
        <v>13</v>
      </c>
      <c r="D569" s="4" t="s">
        <v>1217</v>
      </c>
      <c r="E569" s="4" t="s">
        <v>1218</v>
      </c>
      <c r="F569" s="4" t="s">
        <v>335</v>
      </c>
      <c r="G569" s="1">
        <v>0.16700000000000001</v>
      </c>
      <c r="H569" s="4" t="s">
        <v>229</v>
      </c>
      <c r="I569" s="4" t="s">
        <v>1145</v>
      </c>
      <c r="J569" s="4" t="s">
        <v>1219</v>
      </c>
      <c r="K569" s="4" t="s">
        <v>24</v>
      </c>
    </row>
    <row r="570" spans="1:11" x14ac:dyDescent="0.2">
      <c r="A570" s="4" t="s">
        <v>1235</v>
      </c>
      <c r="B570" s="4" t="s">
        <v>1236</v>
      </c>
      <c r="C570" s="4" t="s">
        <v>13</v>
      </c>
      <c r="D570" s="4" t="s">
        <v>1217</v>
      </c>
      <c r="E570" s="4" t="s">
        <v>1218</v>
      </c>
      <c r="F570" s="4" t="s">
        <v>335</v>
      </c>
      <c r="G570" s="1">
        <v>0.16700000000000001</v>
      </c>
      <c r="H570" s="4" t="s">
        <v>229</v>
      </c>
      <c r="I570" s="4" t="s">
        <v>1145</v>
      </c>
      <c r="J570" s="4" t="s">
        <v>1219</v>
      </c>
      <c r="K570" s="4" t="s">
        <v>24</v>
      </c>
    </row>
    <row r="571" spans="1:11" x14ac:dyDescent="0.2">
      <c r="A571" s="4" t="s">
        <v>1237</v>
      </c>
      <c r="B571" s="4" t="s">
        <v>1238</v>
      </c>
      <c r="C571" s="4" t="s">
        <v>13</v>
      </c>
      <c r="D571" s="4" t="s">
        <v>1217</v>
      </c>
      <c r="E571" s="4" t="s">
        <v>1218</v>
      </c>
      <c r="F571" s="4" t="s">
        <v>335</v>
      </c>
      <c r="G571" s="1">
        <v>0.13300000000000001</v>
      </c>
      <c r="H571" s="4" t="s">
        <v>112</v>
      </c>
      <c r="I571" s="4" t="s">
        <v>1145</v>
      </c>
      <c r="J571" s="4" t="s">
        <v>1219</v>
      </c>
      <c r="K571" s="4" t="s">
        <v>24</v>
      </c>
    </row>
    <row r="572" spans="1:11" x14ac:dyDescent="0.2">
      <c r="A572" s="4" t="s">
        <v>1239</v>
      </c>
      <c r="B572" s="4" t="s">
        <v>1240</v>
      </c>
      <c r="C572" s="4" t="s">
        <v>13</v>
      </c>
      <c r="D572" s="4" t="s">
        <v>1217</v>
      </c>
      <c r="E572" s="4" t="s">
        <v>1218</v>
      </c>
      <c r="F572" s="4" t="s">
        <v>335</v>
      </c>
      <c r="G572" s="1">
        <v>0.16700000000000001</v>
      </c>
      <c r="H572" s="4" t="s">
        <v>229</v>
      </c>
      <c r="I572" s="4" t="s">
        <v>1145</v>
      </c>
      <c r="J572" s="4" t="s">
        <v>1219</v>
      </c>
      <c r="K572" s="4" t="s">
        <v>24</v>
      </c>
    </row>
    <row r="573" spans="1:11" x14ac:dyDescent="0.2">
      <c r="A573" s="4" t="s">
        <v>1241</v>
      </c>
      <c r="B573" s="4" t="s">
        <v>1242</v>
      </c>
      <c r="C573" s="4" t="s">
        <v>13</v>
      </c>
      <c r="D573" s="4" t="s">
        <v>1217</v>
      </c>
      <c r="E573" s="4" t="s">
        <v>1218</v>
      </c>
      <c r="F573" s="4" t="s">
        <v>335</v>
      </c>
      <c r="G573" s="1">
        <v>0.13300000000000001</v>
      </c>
      <c r="H573" s="4" t="s">
        <v>112</v>
      </c>
      <c r="I573" s="4" t="s">
        <v>1145</v>
      </c>
      <c r="J573" s="4" t="s">
        <v>1219</v>
      </c>
      <c r="K573" s="4" t="s">
        <v>24</v>
      </c>
    </row>
    <row r="574" spans="1:11" x14ac:dyDescent="0.2">
      <c r="A574" s="4" t="s">
        <v>1243</v>
      </c>
      <c r="B574" s="4" t="s">
        <v>1244</v>
      </c>
      <c r="C574" s="4" t="s">
        <v>13</v>
      </c>
      <c r="D574" s="4" t="s">
        <v>1217</v>
      </c>
      <c r="E574" s="4" t="s">
        <v>1218</v>
      </c>
      <c r="F574" s="4" t="s">
        <v>335</v>
      </c>
      <c r="G574" s="1">
        <v>0.16700000000000001</v>
      </c>
      <c r="H574" s="4" t="s">
        <v>229</v>
      </c>
      <c r="I574" s="4" t="s">
        <v>1145</v>
      </c>
      <c r="J574" s="4" t="s">
        <v>1219</v>
      </c>
      <c r="K574" s="4" t="s">
        <v>24</v>
      </c>
    </row>
    <row r="575" spans="1:11" x14ac:dyDescent="0.2">
      <c r="A575" s="4" t="s">
        <v>1245</v>
      </c>
      <c r="B575" s="4" t="s">
        <v>1246</v>
      </c>
      <c r="C575" s="4" t="s">
        <v>13</v>
      </c>
      <c r="D575" s="4" t="s">
        <v>1217</v>
      </c>
      <c r="E575" s="4" t="s">
        <v>1218</v>
      </c>
      <c r="F575" s="4" t="s">
        <v>335</v>
      </c>
      <c r="G575" s="1">
        <v>0.16700000000000001</v>
      </c>
      <c r="H575" s="4" t="s">
        <v>229</v>
      </c>
      <c r="I575" s="4" t="s">
        <v>1145</v>
      </c>
      <c r="J575" s="4" t="s">
        <v>1219</v>
      </c>
      <c r="K575" s="4" t="s">
        <v>24</v>
      </c>
    </row>
    <row r="576" spans="1:11" x14ac:dyDescent="0.2">
      <c r="A576" s="4" t="s">
        <v>1247</v>
      </c>
      <c r="B576" s="4" t="s">
        <v>1248</v>
      </c>
      <c r="C576" s="4" t="s">
        <v>13</v>
      </c>
      <c r="D576" s="4" t="s">
        <v>1217</v>
      </c>
      <c r="E576" s="4" t="s">
        <v>1218</v>
      </c>
      <c r="F576" s="4" t="s">
        <v>335</v>
      </c>
      <c r="G576" s="1">
        <v>0.13300000000000001</v>
      </c>
      <c r="H576" s="4" t="s">
        <v>112</v>
      </c>
      <c r="I576" s="4" t="s">
        <v>1145</v>
      </c>
      <c r="J576" s="4" t="s">
        <v>1219</v>
      </c>
      <c r="K576" s="4" t="s">
        <v>24</v>
      </c>
    </row>
    <row r="577" spans="1:11" x14ac:dyDescent="0.2">
      <c r="A577" s="4" t="s">
        <v>1249</v>
      </c>
      <c r="B577" s="4" t="s">
        <v>1250</v>
      </c>
      <c r="C577" s="4" t="s">
        <v>13</v>
      </c>
      <c r="D577" s="4" t="s">
        <v>1217</v>
      </c>
      <c r="E577" s="4" t="s">
        <v>1218</v>
      </c>
      <c r="F577" s="4" t="s">
        <v>335</v>
      </c>
      <c r="G577" s="1">
        <v>0.1</v>
      </c>
      <c r="H577" s="4" t="s">
        <v>117</v>
      </c>
      <c r="I577" s="4" t="s">
        <v>1145</v>
      </c>
      <c r="J577" s="4" t="s">
        <v>1219</v>
      </c>
      <c r="K577" s="4" t="s">
        <v>24</v>
      </c>
    </row>
    <row r="578" spans="1:11" x14ac:dyDescent="0.2">
      <c r="A578" s="4" t="s">
        <v>1251</v>
      </c>
      <c r="B578" s="4" t="s">
        <v>1252</v>
      </c>
      <c r="C578" s="4" t="s">
        <v>13</v>
      </c>
      <c r="D578" s="4" t="s">
        <v>1217</v>
      </c>
      <c r="E578" s="4" t="s">
        <v>1218</v>
      </c>
      <c r="F578" s="4" t="s">
        <v>335</v>
      </c>
      <c r="G578" s="1">
        <v>0.16700000000000001</v>
      </c>
      <c r="H578" s="4" t="s">
        <v>229</v>
      </c>
      <c r="I578" s="4" t="s">
        <v>1145</v>
      </c>
      <c r="J578" s="4" t="s">
        <v>1219</v>
      </c>
      <c r="K578" s="4" t="s">
        <v>24</v>
      </c>
    </row>
    <row r="579" spans="1:11" x14ac:dyDescent="0.2">
      <c r="A579" s="4" t="s">
        <v>1253</v>
      </c>
      <c r="B579" s="4" t="s">
        <v>1254</v>
      </c>
      <c r="C579" s="4" t="s">
        <v>13</v>
      </c>
      <c r="D579" s="4" t="s">
        <v>1217</v>
      </c>
      <c r="E579" s="4" t="s">
        <v>1218</v>
      </c>
      <c r="F579" s="4" t="s">
        <v>335</v>
      </c>
      <c r="G579" s="1">
        <v>0.16700000000000001</v>
      </c>
      <c r="H579" s="4" t="s">
        <v>229</v>
      </c>
      <c r="I579" s="4" t="s">
        <v>1145</v>
      </c>
      <c r="J579" s="4" t="s">
        <v>1219</v>
      </c>
      <c r="K579" s="4" t="s">
        <v>24</v>
      </c>
    </row>
    <row r="580" spans="1:11" x14ac:dyDescent="0.2">
      <c r="A580" s="4" t="s">
        <v>1255</v>
      </c>
      <c r="B580" s="4" t="s">
        <v>1256</v>
      </c>
      <c r="C580" s="4" t="s">
        <v>13</v>
      </c>
      <c r="D580" s="4" t="s">
        <v>1217</v>
      </c>
      <c r="E580" s="4" t="s">
        <v>1218</v>
      </c>
      <c r="F580" s="4" t="s">
        <v>335</v>
      </c>
      <c r="G580" s="1">
        <v>0.16700000000000001</v>
      </c>
      <c r="H580" s="4" t="s">
        <v>229</v>
      </c>
      <c r="I580" s="4" t="s">
        <v>1145</v>
      </c>
      <c r="J580" s="4" t="s">
        <v>1219</v>
      </c>
      <c r="K580" s="4" t="s">
        <v>24</v>
      </c>
    </row>
    <row r="581" spans="1:11" x14ac:dyDescent="0.2">
      <c r="A581" s="4" t="s">
        <v>1257</v>
      </c>
      <c r="B581" s="4" t="s">
        <v>1258</v>
      </c>
      <c r="C581" s="4" t="s">
        <v>13</v>
      </c>
      <c r="D581" s="4" t="s">
        <v>1217</v>
      </c>
      <c r="E581" s="4" t="s">
        <v>1218</v>
      </c>
      <c r="F581" s="4" t="s">
        <v>335</v>
      </c>
      <c r="G581" s="1">
        <v>0.16700000000000001</v>
      </c>
      <c r="H581" s="4" t="s">
        <v>229</v>
      </c>
      <c r="I581" s="4" t="s">
        <v>1145</v>
      </c>
      <c r="J581" s="4" t="s">
        <v>1219</v>
      </c>
      <c r="K581" s="4" t="s">
        <v>24</v>
      </c>
    </row>
    <row r="582" spans="1:11" x14ac:dyDescent="0.2">
      <c r="A582" s="4" t="s">
        <v>1259</v>
      </c>
      <c r="B582" s="4" t="s">
        <v>1260</v>
      </c>
      <c r="C582" s="4" t="s">
        <v>13</v>
      </c>
      <c r="D582" s="4" t="s">
        <v>1217</v>
      </c>
      <c r="E582" s="4" t="s">
        <v>1218</v>
      </c>
      <c r="F582" s="4" t="s">
        <v>335</v>
      </c>
      <c r="G582" s="1">
        <v>3.3000000000000002E-2</v>
      </c>
      <c r="H582" s="4" t="s">
        <v>225</v>
      </c>
      <c r="I582" s="4" t="s">
        <v>1145</v>
      </c>
      <c r="J582" s="4" t="s">
        <v>1219</v>
      </c>
      <c r="K582" s="4" t="s">
        <v>24</v>
      </c>
    </row>
    <row r="583" spans="1:11" x14ac:dyDescent="0.2">
      <c r="A583" s="4" t="s">
        <v>1261</v>
      </c>
      <c r="B583" s="4" t="s">
        <v>1262</v>
      </c>
      <c r="C583" s="4" t="s">
        <v>13</v>
      </c>
      <c r="D583" s="4" t="s">
        <v>1217</v>
      </c>
      <c r="E583" s="4" t="s">
        <v>1218</v>
      </c>
      <c r="F583" s="4" t="s">
        <v>335</v>
      </c>
      <c r="G583" s="1">
        <v>0.13300000000000001</v>
      </c>
      <c r="H583" s="4" t="s">
        <v>112</v>
      </c>
      <c r="I583" s="4" t="s">
        <v>1145</v>
      </c>
      <c r="J583" s="4" t="s">
        <v>1219</v>
      </c>
      <c r="K583" s="4" t="s">
        <v>24</v>
      </c>
    </row>
    <row r="584" spans="1:11" x14ac:dyDescent="0.2">
      <c r="A584" s="4" t="s">
        <v>1263</v>
      </c>
      <c r="B584" s="4" t="s">
        <v>1264</v>
      </c>
      <c r="C584" s="4" t="s">
        <v>13</v>
      </c>
      <c r="D584" s="4" t="s">
        <v>1217</v>
      </c>
      <c r="E584" s="4" t="s">
        <v>1218</v>
      </c>
      <c r="F584" s="4" t="s">
        <v>335</v>
      </c>
      <c r="G584" s="1">
        <v>3.3000000000000002E-2</v>
      </c>
      <c r="H584" s="4" t="s">
        <v>225</v>
      </c>
      <c r="I584" s="4" t="s">
        <v>1145</v>
      </c>
      <c r="J584" s="4" t="s">
        <v>1219</v>
      </c>
      <c r="K584" s="4" t="s">
        <v>24</v>
      </c>
    </row>
    <row r="585" spans="1:11" x14ac:dyDescent="0.2">
      <c r="A585" s="4" t="s">
        <v>1265</v>
      </c>
      <c r="B585" s="4" t="s">
        <v>1266</v>
      </c>
      <c r="C585" s="4" t="s">
        <v>13</v>
      </c>
      <c r="D585" s="4" t="s">
        <v>1217</v>
      </c>
      <c r="E585" s="4" t="s">
        <v>1218</v>
      </c>
      <c r="F585" s="4" t="s">
        <v>335</v>
      </c>
      <c r="G585" s="1">
        <v>3.3000000000000002E-2</v>
      </c>
      <c r="H585" s="4" t="s">
        <v>225</v>
      </c>
      <c r="I585" s="4" t="s">
        <v>1145</v>
      </c>
      <c r="J585" s="4" t="s">
        <v>1219</v>
      </c>
      <c r="K585" s="4" t="s">
        <v>24</v>
      </c>
    </row>
    <row r="586" spans="1:11" x14ac:dyDescent="0.2">
      <c r="A586" s="4" t="s">
        <v>1267</v>
      </c>
      <c r="B586" s="4" t="s">
        <v>1268</v>
      </c>
      <c r="C586" s="4" t="s">
        <v>13</v>
      </c>
      <c r="D586" s="4" t="s">
        <v>1217</v>
      </c>
      <c r="E586" s="4" t="s">
        <v>1218</v>
      </c>
      <c r="F586" s="4" t="s">
        <v>335</v>
      </c>
      <c r="G586" s="1">
        <v>0.16700000000000001</v>
      </c>
      <c r="H586" s="4" t="s">
        <v>229</v>
      </c>
      <c r="I586" s="4" t="s">
        <v>1145</v>
      </c>
      <c r="J586" s="4" t="s">
        <v>1219</v>
      </c>
      <c r="K586" s="4" t="s">
        <v>24</v>
      </c>
    </row>
    <row r="587" spans="1:11" x14ac:dyDescent="0.2">
      <c r="A587" s="4" t="s">
        <v>1269</v>
      </c>
      <c r="B587" s="4" t="s">
        <v>1270</v>
      </c>
      <c r="C587" s="4" t="s">
        <v>13</v>
      </c>
      <c r="D587" s="4" t="s">
        <v>1217</v>
      </c>
      <c r="E587" s="4" t="s">
        <v>1218</v>
      </c>
      <c r="F587" s="4" t="s">
        <v>335</v>
      </c>
      <c r="G587" s="1">
        <v>0.13300000000000001</v>
      </c>
      <c r="H587" s="4" t="s">
        <v>112</v>
      </c>
      <c r="I587" s="4" t="s">
        <v>1145</v>
      </c>
      <c r="J587" s="4" t="s">
        <v>1219</v>
      </c>
      <c r="K587" s="4" t="s">
        <v>24</v>
      </c>
    </row>
    <row r="588" spans="1:11" x14ac:dyDescent="0.2">
      <c r="A588" s="4" t="s">
        <v>1271</v>
      </c>
      <c r="B588" s="4" t="s">
        <v>1272</v>
      </c>
      <c r="C588" s="4" t="s">
        <v>13</v>
      </c>
      <c r="D588" s="4" t="s">
        <v>1217</v>
      </c>
      <c r="E588" s="4" t="s">
        <v>1218</v>
      </c>
      <c r="F588" s="4" t="s">
        <v>335</v>
      </c>
      <c r="G588" s="1">
        <v>0.16700000000000001</v>
      </c>
      <c r="H588" s="4" t="s">
        <v>229</v>
      </c>
      <c r="I588" s="4" t="s">
        <v>1145</v>
      </c>
      <c r="J588" s="4" t="s">
        <v>1219</v>
      </c>
      <c r="K588" s="4" t="s">
        <v>24</v>
      </c>
    </row>
    <row r="589" spans="1:11" x14ac:dyDescent="0.2">
      <c r="A589" s="4" t="s">
        <v>1273</v>
      </c>
      <c r="B589" s="4" t="s">
        <v>1274</v>
      </c>
      <c r="C589" s="4" t="s">
        <v>13</v>
      </c>
      <c r="D589" s="4" t="s">
        <v>1217</v>
      </c>
      <c r="E589" s="4" t="s">
        <v>1218</v>
      </c>
      <c r="F589" s="4" t="s">
        <v>335</v>
      </c>
      <c r="G589" s="1">
        <v>0.1</v>
      </c>
      <c r="H589" s="4" t="s">
        <v>117</v>
      </c>
      <c r="I589" s="4" t="s">
        <v>1145</v>
      </c>
      <c r="J589" s="4" t="s">
        <v>1219</v>
      </c>
      <c r="K589" s="4" t="s">
        <v>24</v>
      </c>
    </row>
    <row r="590" spans="1:11" x14ac:dyDescent="0.2">
      <c r="A590" s="4" t="s">
        <v>1275</v>
      </c>
      <c r="B590" s="4" t="s">
        <v>1276</v>
      </c>
      <c r="C590" s="4" t="s">
        <v>13</v>
      </c>
      <c r="D590" s="4" t="s">
        <v>1217</v>
      </c>
      <c r="E590" s="4" t="s">
        <v>1218</v>
      </c>
      <c r="F590" s="4" t="s">
        <v>335</v>
      </c>
      <c r="G590" s="1">
        <v>0.13300000000000001</v>
      </c>
      <c r="H590" s="4" t="s">
        <v>112</v>
      </c>
      <c r="I590" s="4" t="s">
        <v>1145</v>
      </c>
      <c r="J590" s="4" t="s">
        <v>1219</v>
      </c>
      <c r="K590" s="4" t="s">
        <v>24</v>
      </c>
    </row>
    <row r="591" spans="1:11" x14ac:dyDescent="0.2">
      <c r="A591" s="4" t="s">
        <v>1277</v>
      </c>
      <c r="B591" s="4" t="s">
        <v>1278</v>
      </c>
      <c r="C591" s="4" t="s">
        <v>13</v>
      </c>
      <c r="D591" s="4" t="s">
        <v>1217</v>
      </c>
      <c r="E591" s="4" t="s">
        <v>1218</v>
      </c>
      <c r="F591" s="4" t="s">
        <v>335</v>
      </c>
      <c r="G591" s="1">
        <v>0.16700000000000001</v>
      </c>
      <c r="H591" s="4" t="s">
        <v>229</v>
      </c>
      <c r="I591" s="4" t="s">
        <v>1145</v>
      </c>
      <c r="J591" s="4" t="s">
        <v>1219</v>
      </c>
      <c r="K591" s="4" t="s">
        <v>24</v>
      </c>
    </row>
    <row r="592" spans="1:11" x14ac:dyDescent="0.2">
      <c r="A592" s="4" t="s">
        <v>1279</v>
      </c>
      <c r="B592" s="4" t="s">
        <v>1280</v>
      </c>
      <c r="C592" s="4" t="s">
        <v>13</v>
      </c>
      <c r="D592" s="4" t="s">
        <v>1217</v>
      </c>
      <c r="E592" s="4" t="s">
        <v>1218</v>
      </c>
      <c r="F592" s="4" t="s">
        <v>335</v>
      </c>
      <c r="G592" s="1">
        <v>0.16700000000000001</v>
      </c>
      <c r="H592" s="4" t="s">
        <v>229</v>
      </c>
      <c r="I592" s="4" t="s">
        <v>1145</v>
      </c>
      <c r="J592" s="4" t="s">
        <v>1219</v>
      </c>
      <c r="K592" s="4" t="s">
        <v>24</v>
      </c>
    </row>
    <row r="593" spans="1:11" x14ac:dyDescent="0.2">
      <c r="A593" s="4" t="s">
        <v>1281</v>
      </c>
      <c r="B593" s="4" t="s">
        <v>1282</v>
      </c>
      <c r="C593" s="4" t="s">
        <v>13</v>
      </c>
      <c r="D593" s="4" t="s">
        <v>1217</v>
      </c>
      <c r="E593" s="4" t="s">
        <v>1218</v>
      </c>
      <c r="F593" s="4" t="s">
        <v>335</v>
      </c>
      <c r="G593" s="1">
        <v>0.13300000000000001</v>
      </c>
      <c r="H593" s="4" t="s">
        <v>112</v>
      </c>
      <c r="I593" s="4" t="s">
        <v>1145</v>
      </c>
      <c r="J593" s="4" t="s">
        <v>1219</v>
      </c>
      <c r="K593" s="4" t="s">
        <v>24</v>
      </c>
    </row>
    <row r="594" spans="1:11" x14ac:dyDescent="0.2">
      <c r="A594" s="4" t="s">
        <v>1283</v>
      </c>
      <c r="B594" s="4" t="s">
        <v>1284</v>
      </c>
      <c r="C594" s="4" t="s">
        <v>13</v>
      </c>
      <c r="D594" s="4" t="s">
        <v>1217</v>
      </c>
      <c r="E594" s="4" t="s">
        <v>1218</v>
      </c>
      <c r="F594" s="4" t="s">
        <v>335</v>
      </c>
      <c r="G594" s="1">
        <v>0.13300000000000001</v>
      </c>
      <c r="H594" s="4" t="s">
        <v>112</v>
      </c>
      <c r="I594" s="4" t="s">
        <v>1145</v>
      </c>
      <c r="J594" s="4" t="s">
        <v>1219</v>
      </c>
      <c r="K594" s="4" t="s">
        <v>24</v>
      </c>
    </row>
    <row r="595" spans="1:11" x14ac:dyDescent="0.2">
      <c r="A595" s="4" t="s">
        <v>1285</v>
      </c>
      <c r="B595" s="4" t="s">
        <v>1286</v>
      </c>
      <c r="C595" s="4" t="s">
        <v>13</v>
      </c>
      <c r="D595" s="4" t="s">
        <v>1217</v>
      </c>
      <c r="E595" s="4" t="s">
        <v>1218</v>
      </c>
      <c r="F595" s="4" t="s">
        <v>335</v>
      </c>
      <c r="G595" s="1">
        <v>0.16700000000000001</v>
      </c>
      <c r="H595" s="4" t="s">
        <v>229</v>
      </c>
      <c r="I595" s="4" t="s">
        <v>1145</v>
      </c>
      <c r="J595" s="4" t="s">
        <v>1219</v>
      </c>
      <c r="K595" s="4" t="s">
        <v>24</v>
      </c>
    </row>
    <row r="596" spans="1:11" x14ac:dyDescent="0.2">
      <c r="A596" s="4" t="s">
        <v>1287</v>
      </c>
      <c r="B596" s="4" t="s">
        <v>1288</v>
      </c>
      <c r="C596" s="4" t="s">
        <v>13</v>
      </c>
      <c r="D596" s="4" t="s">
        <v>1217</v>
      </c>
      <c r="E596" s="4" t="s">
        <v>1218</v>
      </c>
      <c r="F596" s="4" t="s">
        <v>335</v>
      </c>
      <c r="G596" s="1">
        <v>0.16700000000000001</v>
      </c>
      <c r="H596" s="4" t="s">
        <v>229</v>
      </c>
      <c r="I596" s="4" t="s">
        <v>1145</v>
      </c>
      <c r="J596" s="4" t="s">
        <v>1219</v>
      </c>
      <c r="K596" s="4" t="s">
        <v>24</v>
      </c>
    </row>
    <row r="597" spans="1:11" x14ac:dyDescent="0.2">
      <c r="A597" s="4" t="s">
        <v>1289</v>
      </c>
      <c r="B597" s="4" t="s">
        <v>1290</v>
      </c>
      <c r="C597" s="4" t="s">
        <v>13</v>
      </c>
      <c r="D597" s="4" t="s">
        <v>1217</v>
      </c>
      <c r="E597" s="4" t="s">
        <v>1218</v>
      </c>
      <c r="F597" s="4" t="s">
        <v>335</v>
      </c>
      <c r="G597" s="1">
        <v>0.16700000000000001</v>
      </c>
      <c r="H597" s="4" t="s">
        <v>229</v>
      </c>
      <c r="I597" s="4" t="s">
        <v>1145</v>
      </c>
      <c r="J597" s="4" t="s">
        <v>1219</v>
      </c>
      <c r="K597" s="4" t="s">
        <v>24</v>
      </c>
    </row>
    <row r="598" spans="1:11" x14ac:dyDescent="0.2">
      <c r="A598" s="4" t="s">
        <v>1291</v>
      </c>
      <c r="B598" s="4" t="s">
        <v>1292</v>
      </c>
      <c r="C598" s="4" t="s">
        <v>49</v>
      </c>
      <c r="D598" s="4" t="s">
        <v>1217</v>
      </c>
      <c r="E598" s="4" t="s">
        <v>1218</v>
      </c>
      <c r="F598" s="4" t="s">
        <v>335</v>
      </c>
      <c r="G598" s="1">
        <v>0.13300000000000001</v>
      </c>
      <c r="H598" s="4" t="s">
        <v>112</v>
      </c>
      <c r="I598" s="4" t="s">
        <v>1145</v>
      </c>
      <c r="J598" s="4" t="s">
        <v>1219</v>
      </c>
      <c r="K598" s="4" t="s">
        <v>24</v>
      </c>
    </row>
    <row r="599" spans="1:11" x14ac:dyDescent="0.2">
      <c r="A599" s="4" t="s">
        <v>1293</v>
      </c>
      <c r="B599" s="4" t="s">
        <v>1294</v>
      </c>
      <c r="C599" s="4" t="s">
        <v>13</v>
      </c>
      <c r="D599" s="4" t="s">
        <v>1295</v>
      </c>
      <c r="E599" s="4" t="s">
        <v>1296</v>
      </c>
      <c r="F599" s="4" t="s">
        <v>111</v>
      </c>
      <c r="G599" s="1">
        <v>0.13300000000000001</v>
      </c>
      <c r="H599" s="4" t="s">
        <v>112</v>
      </c>
      <c r="I599" s="4" t="s">
        <v>1145</v>
      </c>
      <c r="J599" s="4" t="s">
        <v>1219</v>
      </c>
      <c r="K599" s="4" t="s">
        <v>1214</v>
      </c>
    </row>
    <row r="600" spans="1:11" x14ac:dyDescent="0.2">
      <c r="A600" s="4" t="s">
        <v>1297</v>
      </c>
      <c r="B600" s="4" t="s">
        <v>1298</v>
      </c>
      <c r="C600" s="4" t="s">
        <v>13</v>
      </c>
      <c r="D600" s="4" t="s">
        <v>1295</v>
      </c>
      <c r="E600" s="4" t="s">
        <v>1296</v>
      </c>
      <c r="F600" s="4" t="s">
        <v>111</v>
      </c>
      <c r="G600" s="1">
        <v>0.1</v>
      </c>
      <c r="H600" s="4" t="s">
        <v>380</v>
      </c>
      <c r="I600" s="4" t="s">
        <v>1145</v>
      </c>
      <c r="J600" s="4" t="s">
        <v>1219</v>
      </c>
      <c r="K600" s="4" t="s">
        <v>1299</v>
      </c>
    </row>
    <row r="601" spans="1:11" x14ac:dyDescent="0.2">
      <c r="A601" s="4" t="s">
        <v>1300</v>
      </c>
      <c r="B601" s="4" t="s">
        <v>1301</v>
      </c>
      <c r="C601" s="4" t="s">
        <v>13</v>
      </c>
      <c r="D601" s="4" t="s">
        <v>1295</v>
      </c>
      <c r="E601" s="4" t="s">
        <v>1296</v>
      </c>
      <c r="F601" s="4" t="s">
        <v>111</v>
      </c>
      <c r="G601" s="1">
        <v>0</v>
      </c>
      <c r="H601" s="4" t="s">
        <v>254</v>
      </c>
      <c r="I601" s="4" t="s">
        <v>1145</v>
      </c>
      <c r="J601" s="4" t="s">
        <v>1219</v>
      </c>
      <c r="K601" s="4" t="s">
        <v>24</v>
      </c>
    </row>
    <row r="602" spans="1:11" x14ac:dyDescent="0.2">
      <c r="A602" s="4" t="s">
        <v>1302</v>
      </c>
      <c r="B602" s="4" t="s">
        <v>1303</v>
      </c>
      <c r="C602" s="4" t="s">
        <v>13</v>
      </c>
      <c r="D602" s="4" t="s">
        <v>1295</v>
      </c>
      <c r="E602" s="4" t="s">
        <v>1296</v>
      </c>
      <c r="F602" s="4" t="s">
        <v>111</v>
      </c>
      <c r="G602" s="1">
        <v>0.13300000000000001</v>
      </c>
      <c r="H602" s="4" t="s">
        <v>112</v>
      </c>
      <c r="I602" s="4" t="s">
        <v>1145</v>
      </c>
      <c r="J602" s="4" t="s">
        <v>1219</v>
      </c>
      <c r="K602" s="4" t="s">
        <v>24</v>
      </c>
    </row>
    <row r="603" spans="1:11" x14ac:dyDescent="0.2">
      <c r="A603" s="4" t="s">
        <v>1304</v>
      </c>
      <c r="B603" s="4" t="s">
        <v>1305</v>
      </c>
      <c r="C603" s="4" t="s">
        <v>13</v>
      </c>
      <c r="D603" s="4" t="s">
        <v>1295</v>
      </c>
      <c r="E603" s="4" t="s">
        <v>1296</v>
      </c>
      <c r="F603" s="4" t="s">
        <v>111</v>
      </c>
      <c r="G603" s="1">
        <v>0.16700000000000001</v>
      </c>
      <c r="H603" s="4" t="s">
        <v>229</v>
      </c>
      <c r="I603" s="4" t="s">
        <v>1145</v>
      </c>
      <c r="J603" s="4" t="s">
        <v>1219</v>
      </c>
      <c r="K603" s="4" t="s">
        <v>24</v>
      </c>
    </row>
    <row r="604" spans="1:11" x14ac:dyDescent="0.2">
      <c r="A604" s="4" t="s">
        <v>1306</v>
      </c>
      <c r="B604" s="4" t="s">
        <v>1307</v>
      </c>
      <c r="C604" s="4" t="s">
        <v>13</v>
      </c>
      <c r="D604" s="4" t="s">
        <v>1295</v>
      </c>
      <c r="E604" s="4" t="s">
        <v>1296</v>
      </c>
      <c r="F604" s="4" t="s">
        <v>111</v>
      </c>
      <c r="G604" s="1">
        <v>0.2</v>
      </c>
      <c r="H604" s="4" t="s">
        <v>232</v>
      </c>
      <c r="I604" s="4" t="s">
        <v>1145</v>
      </c>
      <c r="J604" s="4" t="s">
        <v>1219</v>
      </c>
      <c r="K604" s="4" t="s">
        <v>24</v>
      </c>
    </row>
    <row r="605" spans="1:11" x14ac:dyDescent="0.2">
      <c r="A605" s="4" t="s">
        <v>1308</v>
      </c>
      <c r="B605" s="4" t="s">
        <v>1309</v>
      </c>
      <c r="C605" s="4" t="s">
        <v>13</v>
      </c>
      <c r="D605" s="4" t="s">
        <v>1295</v>
      </c>
      <c r="E605" s="4" t="s">
        <v>1296</v>
      </c>
      <c r="F605" s="4" t="s">
        <v>111</v>
      </c>
      <c r="G605" s="1">
        <v>3.3000000000000002E-2</v>
      </c>
      <c r="H605" s="4" t="s">
        <v>225</v>
      </c>
      <c r="I605" s="4" t="s">
        <v>1145</v>
      </c>
      <c r="J605" s="4" t="s">
        <v>1219</v>
      </c>
      <c r="K605" s="4" t="s">
        <v>24</v>
      </c>
    </row>
    <row r="606" spans="1:11" x14ac:dyDescent="0.2">
      <c r="A606" s="4" t="s">
        <v>1310</v>
      </c>
      <c r="B606" s="4" t="s">
        <v>1311</v>
      </c>
      <c r="C606" s="4" t="s">
        <v>13</v>
      </c>
      <c r="D606" s="4" t="s">
        <v>1295</v>
      </c>
      <c r="E606" s="4" t="s">
        <v>1296</v>
      </c>
      <c r="F606" s="4" t="s">
        <v>111</v>
      </c>
      <c r="G606" s="1">
        <v>0</v>
      </c>
      <c r="H606" s="4" t="s">
        <v>254</v>
      </c>
      <c r="I606" s="4" t="s">
        <v>1145</v>
      </c>
      <c r="J606" s="4" t="s">
        <v>1219</v>
      </c>
      <c r="K606" s="4" t="s">
        <v>24</v>
      </c>
    </row>
    <row r="607" spans="1:11" x14ac:dyDescent="0.2">
      <c r="A607" s="4" t="s">
        <v>1312</v>
      </c>
      <c r="B607" s="4" t="s">
        <v>1313</v>
      </c>
      <c r="C607" s="4" t="s">
        <v>13</v>
      </c>
      <c r="D607" s="4" t="s">
        <v>1295</v>
      </c>
      <c r="E607" s="4" t="s">
        <v>1296</v>
      </c>
      <c r="F607" s="4" t="s">
        <v>111</v>
      </c>
      <c r="G607" s="1">
        <v>0.2</v>
      </c>
      <c r="H607" s="4" t="s">
        <v>232</v>
      </c>
      <c r="I607" s="4" t="s">
        <v>1145</v>
      </c>
      <c r="J607" s="4" t="s">
        <v>1219</v>
      </c>
      <c r="K607" s="4" t="s">
        <v>24</v>
      </c>
    </row>
    <row r="608" spans="1:11" x14ac:dyDescent="0.2">
      <c r="A608" s="4" t="s">
        <v>1314</v>
      </c>
      <c r="B608" s="4" t="s">
        <v>1315</v>
      </c>
      <c r="C608" s="4" t="s">
        <v>13</v>
      </c>
      <c r="D608" s="4" t="s">
        <v>1295</v>
      </c>
      <c r="E608" s="4" t="s">
        <v>1296</v>
      </c>
      <c r="F608" s="4" t="s">
        <v>111</v>
      </c>
      <c r="G608" s="1">
        <v>0.16700000000000001</v>
      </c>
      <c r="H608" s="4" t="s">
        <v>229</v>
      </c>
      <c r="I608" s="4" t="s">
        <v>1145</v>
      </c>
      <c r="J608" s="4" t="s">
        <v>1219</v>
      </c>
      <c r="K608" s="4" t="s">
        <v>24</v>
      </c>
    </row>
    <row r="609" spans="1:11" x14ac:dyDescent="0.2">
      <c r="A609" s="4" t="s">
        <v>1316</v>
      </c>
      <c r="B609" s="4" t="s">
        <v>1317</v>
      </c>
      <c r="C609" s="4" t="s">
        <v>13</v>
      </c>
      <c r="D609" s="4" t="s">
        <v>1295</v>
      </c>
      <c r="E609" s="4" t="s">
        <v>1296</v>
      </c>
      <c r="F609" s="4" t="s">
        <v>111</v>
      </c>
      <c r="G609" s="1">
        <v>0.16700000000000001</v>
      </c>
      <c r="H609" s="4" t="s">
        <v>229</v>
      </c>
      <c r="I609" s="4" t="s">
        <v>1145</v>
      </c>
      <c r="J609" s="4" t="s">
        <v>1219</v>
      </c>
      <c r="K609" s="4" t="s">
        <v>24</v>
      </c>
    </row>
    <row r="610" spans="1:11" x14ac:dyDescent="0.2">
      <c r="A610" s="4" t="s">
        <v>1318</v>
      </c>
      <c r="B610" s="4" t="s">
        <v>1319</v>
      </c>
      <c r="C610" s="4" t="s">
        <v>13</v>
      </c>
      <c r="D610" s="4" t="s">
        <v>1295</v>
      </c>
      <c r="E610" s="4" t="s">
        <v>1296</v>
      </c>
      <c r="F610" s="4" t="s">
        <v>111</v>
      </c>
      <c r="G610" s="1">
        <v>0.2</v>
      </c>
      <c r="H610" s="4" t="s">
        <v>232</v>
      </c>
      <c r="I610" s="4" t="s">
        <v>1145</v>
      </c>
      <c r="J610" s="4" t="s">
        <v>1219</v>
      </c>
      <c r="K610" s="4" t="s">
        <v>24</v>
      </c>
    </row>
    <row r="611" spans="1:11" x14ac:dyDescent="0.2">
      <c r="A611" s="4" t="s">
        <v>1320</v>
      </c>
      <c r="B611" s="4" t="s">
        <v>1321</v>
      </c>
      <c r="C611" s="4" t="s">
        <v>13</v>
      </c>
      <c r="D611" s="4" t="s">
        <v>1295</v>
      </c>
      <c r="E611" s="4" t="s">
        <v>1296</v>
      </c>
      <c r="F611" s="4" t="s">
        <v>111</v>
      </c>
      <c r="G611" s="1">
        <v>0</v>
      </c>
      <c r="H611" s="4" t="s">
        <v>254</v>
      </c>
      <c r="I611" s="4" t="s">
        <v>1145</v>
      </c>
      <c r="J611" s="4" t="s">
        <v>1219</v>
      </c>
      <c r="K611" s="4" t="s">
        <v>24</v>
      </c>
    </row>
    <row r="612" spans="1:11" x14ac:dyDescent="0.2">
      <c r="A612" s="4" t="s">
        <v>1322</v>
      </c>
      <c r="B612" s="4" t="s">
        <v>1323</v>
      </c>
      <c r="C612" s="4" t="s">
        <v>13</v>
      </c>
      <c r="D612" s="4" t="s">
        <v>1295</v>
      </c>
      <c r="E612" s="4" t="s">
        <v>1296</v>
      </c>
      <c r="F612" s="4" t="s">
        <v>111</v>
      </c>
      <c r="G612" s="1">
        <v>0.2</v>
      </c>
      <c r="H612" s="4" t="s">
        <v>232</v>
      </c>
      <c r="I612" s="4" t="s">
        <v>1145</v>
      </c>
      <c r="J612" s="4" t="s">
        <v>1219</v>
      </c>
      <c r="K612" s="4" t="s">
        <v>24</v>
      </c>
    </row>
    <row r="613" spans="1:11" x14ac:dyDescent="0.2">
      <c r="A613" s="4" t="s">
        <v>1324</v>
      </c>
      <c r="B613" s="4" t="s">
        <v>1325</v>
      </c>
      <c r="C613" s="4" t="s">
        <v>13</v>
      </c>
      <c r="D613" s="4" t="s">
        <v>1295</v>
      </c>
      <c r="E613" s="4" t="s">
        <v>1296</v>
      </c>
      <c r="F613" s="4" t="s">
        <v>111</v>
      </c>
      <c r="G613" s="1">
        <v>0.1</v>
      </c>
      <c r="H613" s="4" t="s">
        <v>117</v>
      </c>
      <c r="I613" s="4" t="s">
        <v>1145</v>
      </c>
      <c r="J613" s="4" t="s">
        <v>1219</v>
      </c>
      <c r="K613" s="4" t="s">
        <v>24</v>
      </c>
    </row>
    <row r="614" spans="1:11" x14ac:dyDescent="0.2">
      <c r="A614" s="4" t="s">
        <v>1326</v>
      </c>
      <c r="B614" s="4" t="s">
        <v>1327</v>
      </c>
      <c r="C614" s="4" t="s">
        <v>13</v>
      </c>
      <c r="D614" s="4" t="s">
        <v>1295</v>
      </c>
      <c r="E614" s="4" t="s">
        <v>1296</v>
      </c>
      <c r="F614" s="4" t="s">
        <v>111</v>
      </c>
      <c r="G614" s="1">
        <v>0</v>
      </c>
      <c r="H614" s="4" t="s">
        <v>254</v>
      </c>
      <c r="I614" s="4" t="s">
        <v>1145</v>
      </c>
      <c r="J614" s="4" t="s">
        <v>1219</v>
      </c>
      <c r="K614" s="4" t="s">
        <v>24</v>
      </c>
    </row>
    <row r="615" spans="1:11" x14ac:dyDescent="0.2">
      <c r="A615" s="4" t="s">
        <v>1328</v>
      </c>
      <c r="B615" s="4" t="s">
        <v>1329</v>
      </c>
      <c r="C615" s="4" t="s">
        <v>13</v>
      </c>
      <c r="D615" s="4" t="s">
        <v>1295</v>
      </c>
      <c r="E615" s="4" t="s">
        <v>1296</v>
      </c>
      <c r="F615" s="4" t="s">
        <v>111</v>
      </c>
      <c r="G615" s="1">
        <v>0.16700000000000001</v>
      </c>
      <c r="H615" s="4" t="s">
        <v>229</v>
      </c>
      <c r="I615" s="4" t="s">
        <v>1145</v>
      </c>
      <c r="J615" s="4" t="s">
        <v>1219</v>
      </c>
      <c r="K615" s="4" t="s">
        <v>24</v>
      </c>
    </row>
    <row r="616" spans="1:11" x14ac:dyDescent="0.2">
      <c r="A616" s="4" t="s">
        <v>1330</v>
      </c>
      <c r="B616" s="4" t="s">
        <v>1331</v>
      </c>
      <c r="C616" s="4" t="s">
        <v>13</v>
      </c>
      <c r="D616" s="4" t="s">
        <v>1295</v>
      </c>
      <c r="E616" s="4" t="s">
        <v>1296</v>
      </c>
      <c r="F616" s="4" t="s">
        <v>111</v>
      </c>
      <c r="G616" s="1">
        <v>0.13300000000000001</v>
      </c>
      <c r="H616" s="4" t="s">
        <v>112</v>
      </c>
      <c r="I616" s="4" t="s">
        <v>1145</v>
      </c>
      <c r="J616" s="4" t="s">
        <v>1219</v>
      </c>
      <c r="K616" s="4" t="s">
        <v>24</v>
      </c>
    </row>
    <row r="617" spans="1:11" x14ac:dyDescent="0.2">
      <c r="A617" s="4" t="s">
        <v>1332</v>
      </c>
      <c r="B617" s="4" t="s">
        <v>1333</v>
      </c>
      <c r="C617" s="4" t="s">
        <v>13</v>
      </c>
      <c r="D617" s="4" t="s">
        <v>1295</v>
      </c>
      <c r="E617" s="4" t="s">
        <v>1296</v>
      </c>
      <c r="F617" s="4" t="s">
        <v>111</v>
      </c>
      <c r="G617" s="1">
        <v>0.2</v>
      </c>
      <c r="H617" s="4" t="s">
        <v>232</v>
      </c>
      <c r="I617" s="4" t="s">
        <v>1145</v>
      </c>
      <c r="J617" s="4" t="s">
        <v>1219</v>
      </c>
      <c r="K617" s="4" t="s">
        <v>24</v>
      </c>
    </row>
    <row r="618" spans="1:11" x14ac:dyDescent="0.2">
      <c r="A618" s="4" t="s">
        <v>1334</v>
      </c>
      <c r="B618" s="4" t="s">
        <v>1335</v>
      </c>
      <c r="C618" s="4" t="s">
        <v>13</v>
      </c>
      <c r="D618" s="4" t="s">
        <v>1295</v>
      </c>
      <c r="E618" s="4" t="s">
        <v>1296</v>
      </c>
      <c r="F618" s="4" t="s">
        <v>111</v>
      </c>
      <c r="G618" s="1">
        <v>0.2</v>
      </c>
      <c r="H618" s="4" t="s">
        <v>232</v>
      </c>
      <c r="I618" s="4" t="s">
        <v>1145</v>
      </c>
      <c r="J618" s="4" t="s">
        <v>1219</v>
      </c>
      <c r="K618" s="4" t="s">
        <v>24</v>
      </c>
    </row>
    <row r="619" spans="1:11" x14ac:dyDescent="0.2">
      <c r="A619" s="4" t="s">
        <v>1336</v>
      </c>
      <c r="B619" s="4" t="s">
        <v>1337</v>
      </c>
      <c r="C619" s="4" t="s">
        <v>13</v>
      </c>
      <c r="D619" s="4" t="s">
        <v>1295</v>
      </c>
      <c r="E619" s="4" t="s">
        <v>1296</v>
      </c>
      <c r="F619" s="4" t="s">
        <v>111</v>
      </c>
      <c r="G619" s="1">
        <v>6.7000000000000004E-2</v>
      </c>
      <c r="H619" s="4" t="s">
        <v>166</v>
      </c>
      <c r="I619" s="4" t="s">
        <v>1145</v>
      </c>
      <c r="J619" s="4" t="s">
        <v>1219</v>
      </c>
      <c r="K619" s="4" t="s">
        <v>24</v>
      </c>
    </row>
    <row r="620" spans="1:11" x14ac:dyDescent="0.2">
      <c r="A620" s="4" t="s">
        <v>1338</v>
      </c>
      <c r="B620" s="4" t="s">
        <v>1339</v>
      </c>
      <c r="C620" s="4" t="s">
        <v>13</v>
      </c>
      <c r="D620" s="4" t="s">
        <v>1295</v>
      </c>
      <c r="E620" s="4" t="s">
        <v>1296</v>
      </c>
      <c r="F620" s="4" t="s">
        <v>111</v>
      </c>
      <c r="G620" s="1">
        <v>0.16700000000000001</v>
      </c>
      <c r="H620" s="4" t="s">
        <v>229</v>
      </c>
      <c r="I620" s="4" t="s">
        <v>1145</v>
      </c>
      <c r="J620" s="4" t="s">
        <v>1219</v>
      </c>
      <c r="K620" s="4" t="s">
        <v>24</v>
      </c>
    </row>
    <row r="621" spans="1:11" x14ac:dyDescent="0.2">
      <c r="A621" s="4" t="s">
        <v>1340</v>
      </c>
      <c r="B621" s="4" t="s">
        <v>1341</v>
      </c>
      <c r="C621" s="4" t="s">
        <v>13</v>
      </c>
      <c r="D621" s="4" t="s">
        <v>1295</v>
      </c>
      <c r="E621" s="4" t="s">
        <v>1296</v>
      </c>
      <c r="F621" s="4" t="s">
        <v>111</v>
      </c>
      <c r="G621" s="1">
        <v>6.7000000000000004E-2</v>
      </c>
      <c r="H621" s="4" t="s">
        <v>166</v>
      </c>
      <c r="I621" s="4" t="s">
        <v>1145</v>
      </c>
      <c r="J621" s="4" t="s">
        <v>1219</v>
      </c>
      <c r="K621" s="4" t="s">
        <v>24</v>
      </c>
    </row>
    <row r="622" spans="1:11" x14ac:dyDescent="0.2">
      <c r="A622" s="4" t="s">
        <v>1342</v>
      </c>
      <c r="B622" s="4" t="s">
        <v>1343</v>
      </c>
      <c r="C622" s="4" t="s">
        <v>13</v>
      </c>
      <c r="D622" s="4" t="s">
        <v>1295</v>
      </c>
      <c r="E622" s="4" t="s">
        <v>1296</v>
      </c>
      <c r="F622" s="4" t="s">
        <v>111</v>
      </c>
      <c r="G622" s="1">
        <v>0.16700000000000001</v>
      </c>
      <c r="H622" s="4" t="s">
        <v>229</v>
      </c>
      <c r="I622" s="4" t="s">
        <v>1145</v>
      </c>
      <c r="J622" s="4" t="s">
        <v>1219</v>
      </c>
      <c r="K622" s="4" t="s">
        <v>24</v>
      </c>
    </row>
    <row r="623" spans="1:11" x14ac:dyDescent="0.2">
      <c r="A623" s="4" t="s">
        <v>1344</v>
      </c>
      <c r="B623" s="4" t="s">
        <v>1345</v>
      </c>
      <c r="C623" s="4" t="s">
        <v>13</v>
      </c>
      <c r="D623" s="4" t="s">
        <v>1295</v>
      </c>
      <c r="E623" s="4" t="s">
        <v>1296</v>
      </c>
      <c r="F623" s="4" t="s">
        <v>111</v>
      </c>
      <c r="G623" s="1">
        <v>6.7000000000000004E-2</v>
      </c>
      <c r="H623" s="4" t="s">
        <v>166</v>
      </c>
      <c r="I623" s="4" t="s">
        <v>1145</v>
      </c>
      <c r="J623" s="4" t="s">
        <v>1219</v>
      </c>
      <c r="K623" s="4" t="s">
        <v>24</v>
      </c>
    </row>
    <row r="624" spans="1:11" x14ac:dyDescent="0.2">
      <c r="A624" s="4" t="s">
        <v>1346</v>
      </c>
      <c r="B624" s="4" t="s">
        <v>1347</v>
      </c>
      <c r="C624" s="4" t="s">
        <v>13</v>
      </c>
      <c r="D624" s="4" t="s">
        <v>1295</v>
      </c>
      <c r="E624" s="4" t="s">
        <v>1296</v>
      </c>
      <c r="F624" s="4" t="s">
        <v>111</v>
      </c>
      <c r="G624" s="1">
        <v>0.16700000000000001</v>
      </c>
      <c r="H624" s="4" t="s">
        <v>229</v>
      </c>
      <c r="I624" s="4" t="s">
        <v>1145</v>
      </c>
      <c r="J624" s="4" t="s">
        <v>1219</v>
      </c>
      <c r="K624" s="4" t="s">
        <v>24</v>
      </c>
    </row>
    <row r="625" spans="1:11" x14ac:dyDescent="0.2">
      <c r="A625" s="4" t="s">
        <v>1348</v>
      </c>
      <c r="B625" s="4" t="s">
        <v>1349</v>
      </c>
      <c r="C625" s="4" t="s">
        <v>13</v>
      </c>
      <c r="D625" s="4" t="s">
        <v>1295</v>
      </c>
      <c r="E625" s="4" t="s">
        <v>1296</v>
      </c>
      <c r="F625" s="4" t="s">
        <v>111</v>
      </c>
      <c r="G625" s="1">
        <v>0.2</v>
      </c>
      <c r="H625" s="4" t="s">
        <v>232</v>
      </c>
      <c r="I625" s="4" t="s">
        <v>1145</v>
      </c>
      <c r="J625" s="4" t="s">
        <v>1219</v>
      </c>
      <c r="K625" s="4" t="s">
        <v>24</v>
      </c>
    </row>
    <row r="626" spans="1:11" x14ac:dyDescent="0.2">
      <c r="A626" s="4" t="s">
        <v>1350</v>
      </c>
      <c r="B626" s="4" t="s">
        <v>1351</v>
      </c>
      <c r="C626" s="4" t="s">
        <v>13</v>
      </c>
      <c r="D626" s="4" t="s">
        <v>1295</v>
      </c>
      <c r="E626" s="4" t="s">
        <v>1296</v>
      </c>
      <c r="F626" s="4" t="s">
        <v>111</v>
      </c>
      <c r="G626" s="1">
        <v>0.16700000000000001</v>
      </c>
      <c r="H626" s="4" t="s">
        <v>229</v>
      </c>
      <c r="I626" s="4" t="s">
        <v>1145</v>
      </c>
      <c r="J626" s="4" t="s">
        <v>1219</v>
      </c>
      <c r="K626" s="4" t="s">
        <v>24</v>
      </c>
    </row>
    <row r="627" spans="1:11" x14ac:dyDescent="0.2">
      <c r="A627" s="4" t="s">
        <v>1352</v>
      </c>
      <c r="B627" s="4" t="s">
        <v>1353</v>
      </c>
      <c r="C627" s="4" t="s">
        <v>13</v>
      </c>
      <c r="D627" s="4" t="s">
        <v>1295</v>
      </c>
      <c r="E627" s="4" t="s">
        <v>1296</v>
      </c>
      <c r="F627" s="4" t="s">
        <v>111</v>
      </c>
      <c r="G627" s="1">
        <v>0.16700000000000001</v>
      </c>
      <c r="H627" s="4" t="s">
        <v>229</v>
      </c>
      <c r="I627" s="4" t="s">
        <v>1145</v>
      </c>
      <c r="J627" s="4" t="s">
        <v>1219</v>
      </c>
      <c r="K627" s="4" t="s">
        <v>24</v>
      </c>
    </row>
    <row r="628" spans="1:11" x14ac:dyDescent="0.2">
      <c r="A628" s="4" t="s">
        <v>1354</v>
      </c>
      <c r="B628" s="4" t="s">
        <v>1355</v>
      </c>
      <c r="C628" s="4" t="s">
        <v>13</v>
      </c>
      <c r="D628" s="4" t="s">
        <v>1295</v>
      </c>
      <c r="E628" s="4" t="s">
        <v>1296</v>
      </c>
      <c r="F628" s="4" t="s">
        <v>111</v>
      </c>
      <c r="G628" s="1">
        <v>0.16700000000000001</v>
      </c>
      <c r="H628" s="4" t="s">
        <v>229</v>
      </c>
      <c r="I628" s="4" t="s">
        <v>1145</v>
      </c>
      <c r="J628" s="4" t="s">
        <v>1219</v>
      </c>
      <c r="K628" s="4" t="s">
        <v>24</v>
      </c>
    </row>
    <row r="629" spans="1:11" x14ac:dyDescent="0.2">
      <c r="A629" s="4" t="s">
        <v>1356</v>
      </c>
      <c r="B629" s="4" t="s">
        <v>1357</v>
      </c>
      <c r="C629" s="4" t="s">
        <v>13</v>
      </c>
      <c r="D629" s="4" t="s">
        <v>1295</v>
      </c>
      <c r="E629" s="4" t="s">
        <v>1296</v>
      </c>
      <c r="F629" s="4" t="s">
        <v>111</v>
      </c>
      <c r="G629" s="1">
        <v>6.7000000000000004E-2</v>
      </c>
      <c r="H629" s="4" t="s">
        <v>166</v>
      </c>
      <c r="I629" s="4" t="s">
        <v>1145</v>
      </c>
      <c r="J629" s="4" t="s">
        <v>1219</v>
      </c>
      <c r="K629" s="4" t="s">
        <v>24</v>
      </c>
    </row>
    <row r="630" spans="1:11" x14ac:dyDescent="0.2">
      <c r="A630" s="4" t="s">
        <v>1358</v>
      </c>
      <c r="B630" s="4" t="s">
        <v>1359</v>
      </c>
      <c r="C630" s="4" t="s">
        <v>13</v>
      </c>
      <c r="D630" s="4" t="s">
        <v>1295</v>
      </c>
      <c r="E630" s="4" t="s">
        <v>1296</v>
      </c>
      <c r="F630" s="4" t="s">
        <v>111</v>
      </c>
      <c r="G630" s="1">
        <v>0.2</v>
      </c>
      <c r="H630" s="4" t="s">
        <v>232</v>
      </c>
      <c r="I630" s="4" t="s">
        <v>1145</v>
      </c>
      <c r="J630" s="4" t="s">
        <v>1219</v>
      </c>
      <c r="K630" s="4" t="s">
        <v>24</v>
      </c>
    </row>
    <row r="631" spans="1:11" x14ac:dyDescent="0.2">
      <c r="A631" s="4" t="s">
        <v>1360</v>
      </c>
      <c r="B631" s="4" t="s">
        <v>1361</v>
      </c>
      <c r="C631" s="4" t="s">
        <v>13</v>
      </c>
      <c r="D631" s="4" t="s">
        <v>1295</v>
      </c>
      <c r="E631" s="4" t="s">
        <v>1296</v>
      </c>
      <c r="F631" s="4" t="s">
        <v>111</v>
      </c>
      <c r="G631" s="1">
        <v>0.2</v>
      </c>
      <c r="H631" s="4" t="s">
        <v>232</v>
      </c>
      <c r="I631" s="4" t="s">
        <v>1145</v>
      </c>
      <c r="J631" s="4" t="s">
        <v>1219</v>
      </c>
      <c r="K631" s="4" t="s">
        <v>24</v>
      </c>
    </row>
    <row r="632" spans="1:11" x14ac:dyDescent="0.2">
      <c r="A632" s="4" t="s">
        <v>1362</v>
      </c>
      <c r="B632" s="4" t="s">
        <v>1363</v>
      </c>
      <c r="C632" s="4" t="s">
        <v>13</v>
      </c>
      <c r="D632" s="4" t="s">
        <v>1295</v>
      </c>
      <c r="E632" s="4" t="s">
        <v>1296</v>
      </c>
      <c r="F632" s="4" t="s">
        <v>111</v>
      </c>
      <c r="G632" s="1">
        <v>0</v>
      </c>
      <c r="H632" s="4" t="s">
        <v>254</v>
      </c>
      <c r="I632" s="4" t="s">
        <v>1145</v>
      </c>
      <c r="J632" s="4" t="s">
        <v>1219</v>
      </c>
      <c r="K632" s="4" t="s">
        <v>24</v>
      </c>
    </row>
    <row r="633" spans="1:11" x14ac:dyDescent="0.2">
      <c r="A633" s="4" t="s">
        <v>1364</v>
      </c>
      <c r="B633" s="4" t="s">
        <v>1365</v>
      </c>
      <c r="C633" s="4" t="s">
        <v>13</v>
      </c>
      <c r="D633" s="4" t="s">
        <v>1295</v>
      </c>
      <c r="E633" s="4" t="s">
        <v>1296</v>
      </c>
      <c r="F633" s="4" t="s">
        <v>111</v>
      </c>
      <c r="G633" s="1">
        <v>0.2</v>
      </c>
      <c r="H633" s="4" t="s">
        <v>232</v>
      </c>
      <c r="I633" s="4" t="s">
        <v>1145</v>
      </c>
      <c r="J633" s="4" t="s">
        <v>1219</v>
      </c>
      <c r="K633" s="4" t="s">
        <v>1366</v>
      </c>
    </row>
    <row r="634" spans="1:11" x14ac:dyDescent="0.2">
      <c r="A634" s="4" t="s">
        <v>1367</v>
      </c>
      <c r="B634" s="4" t="s">
        <v>1368</v>
      </c>
      <c r="C634" s="4" t="s">
        <v>13</v>
      </c>
      <c r="D634" s="4" t="s">
        <v>1295</v>
      </c>
      <c r="E634" s="4" t="s">
        <v>1296</v>
      </c>
      <c r="F634" s="4" t="s">
        <v>111</v>
      </c>
      <c r="G634" s="1">
        <v>0.13300000000000001</v>
      </c>
      <c r="H634" s="4" t="s">
        <v>112</v>
      </c>
      <c r="I634" s="4" t="s">
        <v>1145</v>
      </c>
      <c r="J634" s="4" t="s">
        <v>1219</v>
      </c>
      <c r="K634" s="4" t="s">
        <v>1366</v>
      </c>
    </row>
    <row r="635" spans="1:11" x14ac:dyDescent="0.2">
      <c r="A635" s="4" t="s">
        <v>1369</v>
      </c>
      <c r="B635" s="4" t="s">
        <v>1370</v>
      </c>
      <c r="C635" s="4" t="s">
        <v>13</v>
      </c>
      <c r="D635" s="4" t="s">
        <v>1295</v>
      </c>
      <c r="E635" s="4" t="s">
        <v>1296</v>
      </c>
      <c r="F635" s="4" t="s">
        <v>111</v>
      </c>
      <c r="G635" s="1">
        <v>0.16700000000000001</v>
      </c>
      <c r="H635" s="4" t="s">
        <v>229</v>
      </c>
      <c r="I635" s="4" t="s">
        <v>1145</v>
      </c>
      <c r="J635" s="4" t="s">
        <v>1219</v>
      </c>
      <c r="K635" s="4" t="s">
        <v>1371</v>
      </c>
    </row>
    <row r="636" spans="1:11" x14ac:dyDescent="0.2">
      <c r="A636" s="4" t="s">
        <v>1372</v>
      </c>
      <c r="B636" s="4" t="s">
        <v>1373</v>
      </c>
      <c r="C636" s="4" t="s">
        <v>13</v>
      </c>
      <c r="D636" s="4" t="s">
        <v>1295</v>
      </c>
      <c r="E636" s="4" t="s">
        <v>1296</v>
      </c>
      <c r="F636" s="4" t="s">
        <v>111</v>
      </c>
      <c r="G636" s="1">
        <v>0.04</v>
      </c>
      <c r="H636" s="4" t="s">
        <v>1374</v>
      </c>
      <c r="I636" s="4" t="s">
        <v>1145</v>
      </c>
      <c r="J636" s="4" t="s">
        <v>1219</v>
      </c>
      <c r="K636" s="4" t="s">
        <v>1371</v>
      </c>
    </row>
    <row r="637" spans="1:11" x14ac:dyDescent="0.2">
      <c r="A637" s="4" t="s">
        <v>1375</v>
      </c>
      <c r="B637" s="4" t="s">
        <v>1376</v>
      </c>
      <c r="C637" s="4" t="s">
        <v>13</v>
      </c>
      <c r="D637" s="4" t="s">
        <v>1295</v>
      </c>
      <c r="E637" s="4" t="s">
        <v>1296</v>
      </c>
      <c r="F637" s="4" t="s">
        <v>111</v>
      </c>
      <c r="G637" s="1">
        <v>0.1</v>
      </c>
      <c r="H637" s="4" t="s">
        <v>117</v>
      </c>
      <c r="I637" s="4" t="s">
        <v>1145</v>
      </c>
      <c r="J637" s="4" t="s">
        <v>1219</v>
      </c>
      <c r="K637" s="4" t="s">
        <v>24</v>
      </c>
    </row>
    <row r="638" spans="1:11" x14ac:dyDescent="0.2">
      <c r="A638" s="4" t="s">
        <v>1377</v>
      </c>
      <c r="B638" s="4" t="s">
        <v>1378</v>
      </c>
      <c r="C638" s="4" t="s">
        <v>49</v>
      </c>
      <c r="D638" s="4" t="s">
        <v>1295</v>
      </c>
      <c r="E638" s="4" t="s">
        <v>1296</v>
      </c>
      <c r="F638" s="4" t="s">
        <v>111</v>
      </c>
      <c r="G638" s="1">
        <v>3.3000000000000002E-2</v>
      </c>
      <c r="H638" s="4" t="s">
        <v>225</v>
      </c>
      <c r="I638" s="4" t="s">
        <v>1145</v>
      </c>
      <c r="J638" s="4" t="s">
        <v>1219</v>
      </c>
      <c r="K638" s="4" t="s">
        <v>24</v>
      </c>
    </row>
    <row r="639" spans="1:11" x14ac:dyDescent="0.2">
      <c r="A639" s="4" t="s">
        <v>441</v>
      </c>
      <c r="B639" s="4" t="s">
        <v>442</v>
      </c>
      <c r="C639" s="4" t="s">
        <v>13</v>
      </c>
      <c r="D639" s="4" t="s">
        <v>1295</v>
      </c>
      <c r="E639" s="4" t="s">
        <v>1296</v>
      </c>
      <c r="F639" s="4" t="s">
        <v>111</v>
      </c>
      <c r="G639" s="1">
        <v>0.16700000000000001</v>
      </c>
      <c r="H639" s="4" t="s">
        <v>229</v>
      </c>
      <c r="I639" s="4" t="s">
        <v>1145</v>
      </c>
      <c r="J639" s="4" t="s">
        <v>1219</v>
      </c>
      <c r="K639" s="4" t="s">
        <v>1366</v>
      </c>
    </row>
    <row r="640" spans="1:11" x14ac:dyDescent="0.2">
      <c r="A640" s="4" t="s">
        <v>1379</v>
      </c>
      <c r="B640" s="4" t="s">
        <v>1380</v>
      </c>
      <c r="C640" s="4" t="s">
        <v>13</v>
      </c>
      <c r="D640" s="4" t="s">
        <v>1381</v>
      </c>
      <c r="E640" s="4" t="s">
        <v>1382</v>
      </c>
      <c r="F640" s="4" t="s">
        <v>750</v>
      </c>
      <c r="G640" s="1">
        <v>0.13300000000000001</v>
      </c>
      <c r="H640" s="4" t="s">
        <v>112</v>
      </c>
      <c r="I640" s="4" t="s">
        <v>1145</v>
      </c>
      <c r="J640" s="4" t="s">
        <v>1383</v>
      </c>
      <c r="K640" s="4" t="s">
        <v>1384</v>
      </c>
    </row>
    <row r="641" spans="1:11" x14ac:dyDescent="0.2">
      <c r="A641" s="4" t="s">
        <v>1385</v>
      </c>
      <c r="B641" s="4" t="s">
        <v>1386</v>
      </c>
      <c r="C641" s="4" t="s">
        <v>13</v>
      </c>
      <c r="D641" s="4" t="s">
        <v>1381</v>
      </c>
      <c r="E641" s="4" t="s">
        <v>1382</v>
      </c>
      <c r="F641" s="4" t="s">
        <v>750</v>
      </c>
      <c r="G641" s="1">
        <v>6.7000000000000004E-2</v>
      </c>
      <c r="H641" s="4" t="s">
        <v>166</v>
      </c>
      <c r="I641" s="4" t="s">
        <v>1145</v>
      </c>
      <c r="J641" s="4" t="s">
        <v>1383</v>
      </c>
      <c r="K641" s="4" t="s">
        <v>1371</v>
      </c>
    </row>
    <row r="642" spans="1:11" x14ac:dyDescent="0.2">
      <c r="A642" s="4" t="s">
        <v>1387</v>
      </c>
      <c r="B642" s="4" t="s">
        <v>1388</v>
      </c>
      <c r="C642" s="4" t="s">
        <v>13</v>
      </c>
      <c r="D642" s="4" t="s">
        <v>1381</v>
      </c>
      <c r="E642" s="4" t="s">
        <v>1382</v>
      </c>
      <c r="F642" s="4" t="s">
        <v>750</v>
      </c>
      <c r="G642" s="1">
        <v>0.13300000000000001</v>
      </c>
      <c r="H642" s="4" t="s">
        <v>112</v>
      </c>
      <c r="I642" s="4" t="s">
        <v>1145</v>
      </c>
      <c r="J642" s="4" t="s">
        <v>1383</v>
      </c>
      <c r="K642" s="4" t="s">
        <v>24</v>
      </c>
    </row>
    <row r="643" spans="1:11" x14ac:dyDescent="0.2">
      <c r="A643" s="4" t="s">
        <v>1389</v>
      </c>
      <c r="B643" s="4" t="s">
        <v>1390</v>
      </c>
      <c r="C643" s="4" t="s">
        <v>13</v>
      </c>
      <c r="D643" s="4" t="s">
        <v>1381</v>
      </c>
      <c r="E643" s="4" t="s">
        <v>1382</v>
      </c>
      <c r="F643" s="4" t="s">
        <v>750</v>
      </c>
      <c r="G643" s="1">
        <v>6.7000000000000004E-2</v>
      </c>
      <c r="H643" s="4" t="s">
        <v>166</v>
      </c>
      <c r="I643" s="4" t="s">
        <v>1145</v>
      </c>
      <c r="J643" s="4" t="s">
        <v>1383</v>
      </c>
      <c r="K643" s="4" t="s">
        <v>24</v>
      </c>
    </row>
    <row r="644" spans="1:11" x14ac:dyDescent="0.2">
      <c r="A644" s="4" t="s">
        <v>1391</v>
      </c>
      <c r="B644" s="4" t="s">
        <v>1392</v>
      </c>
      <c r="C644" s="4" t="s">
        <v>13</v>
      </c>
      <c r="D644" s="4" t="s">
        <v>1381</v>
      </c>
      <c r="E644" s="4" t="s">
        <v>1382</v>
      </c>
      <c r="F644" s="4" t="s">
        <v>750</v>
      </c>
      <c r="G644" s="1">
        <v>0</v>
      </c>
      <c r="H644" s="4" t="s">
        <v>254</v>
      </c>
      <c r="I644" s="4" t="s">
        <v>1145</v>
      </c>
      <c r="J644" s="4" t="s">
        <v>1383</v>
      </c>
      <c r="K644" s="4" t="s">
        <v>24</v>
      </c>
    </row>
    <row r="645" spans="1:11" x14ac:dyDescent="0.2">
      <c r="A645" s="4" t="s">
        <v>1393</v>
      </c>
      <c r="B645" s="4" t="s">
        <v>1394</v>
      </c>
      <c r="C645" s="4" t="s">
        <v>49</v>
      </c>
      <c r="D645" s="4" t="s">
        <v>1381</v>
      </c>
      <c r="E645" s="4" t="s">
        <v>1382</v>
      </c>
      <c r="F645" s="4" t="s">
        <v>750</v>
      </c>
      <c r="G645" s="1">
        <v>0</v>
      </c>
      <c r="H645" s="4" t="s">
        <v>254</v>
      </c>
      <c r="I645" s="4" t="s">
        <v>1145</v>
      </c>
      <c r="J645" s="4" t="s">
        <v>1383</v>
      </c>
      <c r="K645" s="4" t="s">
        <v>24</v>
      </c>
    </row>
    <row r="646" spans="1:11" x14ac:dyDescent="0.2">
      <c r="A646" s="4" t="s">
        <v>1395</v>
      </c>
      <c r="B646" s="4" t="s">
        <v>1396</v>
      </c>
      <c r="C646" s="4" t="s">
        <v>13</v>
      </c>
      <c r="D646" s="4" t="s">
        <v>1381</v>
      </c>
      <c r="E646" s="4" t="s">
        <v>1382</v>
      </c>
      <c r="F646" s="4" t="s">
        <v>750</v>
      </c>
      <c r="G646" s="1">
        <v>0</v>
      </c>
      <c r="H646" s="4" t="s">
        <v>254</v>
      </c>
      <c r="I646" s="4" t="s">
        <v>1145</v>
      </c>
      <c r="J646" s="4" t="s">
        <v>1383</v>
      </c>
      <c r="K646" s="4" t="s">
        <v>24</v>
      </c>
    </row>
    <row r="647" spans="1:11" x14ac:dyDescent="0.2">
      <c r="A647" s="4" t="s">
        <v>1397</v>
      </c>
      <c r="B647" s="4" t="s">
        <v>1398</v>
      </c>
      <c r="C647" s="4" t="s">
        <v>13</v>
      </c>
      <c r="D647" s="4" t="s">
        <v>1381</v>
      </c>
      <c r="E647" s="4" t="s">
        <v>1382</v>
      </c>
      <c r="F647" s="4" t="s">
        <v>750</v>
      </c>
      <c r="G647" s="1">
        <v>0.13300000000000001</v>
      </c>
      <c r="H647" s="4" t="s">
        <v>112</v>
      </c>
      <c r="I647" s="4" t="s">
        <v>1145</v>
      </c>
      <c r="J647" s="4" t="s">
        <v>1383</v>
      </c>
      <c r="K647" s="4" t="s">
        <v>24</v>
      </c>
    </row>
    <row r="648" spans="1:11" x14ac:dyDescent="0.2">
      <c r="A648" s="4" t="s">
        <v>1399</v>
      </c>
      <c r="B648" s="4" t="s">
        <v>1400</v>
      </c>
      <c r="C648" s="4" t="s">
        <v>13</v>
      </c>
      <c r="D648" s="4" t="s">
        <v>1381</v>
      </c>
      <c r="E648" s="4" t="s">
        <v>1382</v>
      </c>
      <c r="F648" s="4" t="s">
        <v>750</v>
      </c>
      <c r="G648" s="1">
        <v>0.13300000000000001</v>
      </c>
      <c r="H648" s="4" t="s">
        <v>112</v>
      </c>
      <c r="I648" s="4" t="s">
        <v>1145</v>
      </c>
      <c r="J648" s="4" t="s">
        <v>1383</v>
      </c>
      <c r="K648" s="4" t="s">
        <v>24</v>
      </c>
    </row>
    <row r="649" spans="1:11" x14ac:dyDescent="0.2">
      <c r="A649" s="4" t="s">
        <v>1401</v>
      </c>
      <c r="B649" s="4" t="s">
        <v>1402</v>
      </c>
      <c r="C649" s="4" t="s">
        <v>13</v>
      </c>
      <c r="D649" s="4" t="s">
        <v>1381</v>
      </c>
      <c r="E649" s="4" t="s">
        <v>1382</v>
      </c>
      <c r="F649" s="4" t="s">
        <v>750</v>
      </c>
      <c r="G649" s="1">
        <v>6.7000000000000004E-2</v>
      </c>
      <c r="H649" s="4" t="s">
        <v>166</v>
      </c>
      <c r="I649" s="4" t="s">
        <v>1145</v>
      </c>
      <c r="J649" s="4" t="s">
        <v>1383</v>
      </c>
      <c r="K649" s="4" t="s">
        <v>24</v>
      </c>
    </row>
    <row r="650" spans="1:11" x14ac:dyDescent="0.2">
      <c r="A650" s="4" t="s">
        <v>1403</v>
      </c>
      <c r="B650" s="4" t="s">
        <v>1404</v>
      </c>
      <c r="C650" s="4" t="s">
        <v>13</v>
      </c>
      <c r="D650" s="4" t="s">
        <v>1381</v>
      </c>
      <c r="E650" s="4" t="s">
        <v>1382</v>
      </c>
      <c r="F650" s="4" t="s">
        <v>750</v>
      </c>
      <c r="G650" s="1">
        <v>0.13300000000000001</v>
      </c>
      <c r="H650" s="4" t="s">
        <v>112</v>
      </c>
      <c r="I650" s="4" t="s">
        <v>1145</v>
      </c>
      <c r="J650" s="4" t="s">
        <v>1383</v>
      </c>
      <c r="K650" s="4" t="s">
        <v>24</v>
      </c>
    </row>
    <row r="651" spans="1:11" x14ac:dyDescent="0.2">
      <c r="A651" s="4" t="s">
        <v>1405</v>
      </c>
      <c r="B651" s="4" t="s">
        <v>1406</v>
      </c>
      <c r="C651" s="4" t="s">
        <v>13</v>
      </c>
      <c r="D651" s="4" t="s">
        <v>1381</v>
      </c>
      <c r="E651" s="4" t="s">
        <v>1382</v>
      </c>
      <c r="F651" s="4" t="s">
        <v>750</v>
      </c>
      <c r="G651" s="1">
        <v>0.13300000000000001</v>
      </c>
      <c r="H651" s="4" t="s">
        <v>112</v>
      </c>
      <c r="I651" s="4" t="s">
        <v>1145</v>
      </c>
      <c r="J651" s="4" t="s">
        <v>1383</v>
      </c>
      <c r="K651" s="4" t="s">
        <v>24</v>
      </c>
    </row>
    <row r="652" spans="1:11" x14ac:dyDescent="0.2">
      <c r="A652" s="4" t="s">
        <v>1407</v>
      </c>
      <c r="B652" s="4" t="s">
        <v>1408</v>
      </c>
      <c r="C652" s="4" t="s">
        <v>13</v>
      </c>
      <c r="D652" s="4" t="s">
        <v>1381</v>
      </c>
      <c r="E652" s="4" t="s">
        <v>1382</v>
      </c>
      <c r="F652" s="4" t="s">
        <v>750</v>
      </c>
      <c r="G652" s="1">
        <v>6.7000000000000004E-2</v>
      </c>
      <c r="H652" s="4" t="s">
        <v>166</v>
      </c>
      <c r="I652" s="4" t="s">
        <v>1145</v>
      </c>
      <c r="J652" s="4" t="s">
        <v>1383</v>
      </c>
      <c r="K652" s="4" t="s">
        <v>24</v>
      </c>
    </row>
    <row r="653" spans="1:11" x14ac:dyDescent="0.2">
      <c r="A653" s="4" t="s">
        <v>1409</v>
      </c>
      <c r="B653" s="4" t="s">
        <v>1410</v>
      </c>
      <c r="C653" s="4" t="s">
        <v>13</v>
      </c>
      <c r="D653" s="4" t="s">
        <v>1381</v>
      </c>
      <c r="E653" s="4" t="s">
        <v>1382</v>
      </c>
      <c r="F653" s="4" t="s">
        <v>750</v>
      </c>
      <c r="G653" s="1">
        <v>0</v>
      </c>
      <c r="H653" s="4" t="s">
        <v>254</v>
      </c>
      <c r="I653" s="4" t="s">
        <v>1145</v>
      </c>
      <c r="J653" s="4" t="s">
        <v>1383</v>
      </c>
      <c r="K653" s="4" t="s">
        <v>24</v>
      </c>
    </row>
    <row r="654" spans="1:11" x14ac:dyDescent="0.2">
      <c r="A654" s="4" t="s">
        <v>1411</v>
      </c>
      <c r="B654" s="4" t="s">
        <v>1412</v>
      </c>
      <c r="C654" s="4" t="s">
        <v>13</v>
      </c>
      <c r="D654" s="4" t="s">
        <v>1381</v>
      </c>
      <c r="E654" s="4" t="s">
        <v>1382</v>
      </c>
      <c r="F654" s="4" t="s">
        <v>750</v>
      </c>
      <c r="G654" s="1">
        <v>0</v>
      </c>
      <c r="H654" s="4" t="s">
        <v>254</v>
      </c>
      <c r="I654" s="4" t="s">
        <v>1145</v>
      </c>
      <c r="J654" s="4" t="s">
        <v>1383</v>
      </c>
      <c r="K654" s="4" t="s">
        <v>24</v>
      </c>
    </row>
    <row r="655" spans="1:11" x14ac:dyDescent="0.2">
      <c r="A655" s="4" t="s">
        <v>1413</v>
      </c>
      <c r="B655" s="4" t="s">
        <v>1414</v>
      </c>
      <c r="C655" s="4" t="s">
        <v>13</v>
      </c>
      <c r="D655" s="4" t="s">
        <v>1381</v>
      </c>
      <c r="E655" s="4" t="s">
        <v>1382</v>
      </c>
      <c r="F655" s="4" t="s">
        <v>750</v>
      </c>
      <c r="G655" s="1">
        <v>6.7000000000000004E-2</v>
      </c>
      <c r="H655" s="4" t="s">
        <v>166</v>
      </c>
      <c r="I655" s="4" t="s">
        <v>1145</v>
      </c>
      <c r="J655" s="4" t="s">
        <v>1383</v>
      </c>
      <c r="K655" s="4" t="s">
        <v>24</v>
      </c>
    </row>
    <row r="656" spans="1:11" x14ac:dyDescent="0.2">
      <c r="A656" s="4" t="s">
        <v>1415</v>
      </c>
      <c r="B656" s="4" t="s">
        <v>1416</v>
      </c>
      <c r="C656" s="4" t="s">
        <v>13</v>
      </c>
      <c r="D656" s="4" t="s">
        <v>1381</v>
      </c>
      <c r="E656" s="4" t="s">
        <v>1382</v>
      </c>
      <c r="F656" s="4" t="s">
        <v>750</v>
      </c>
      <c r="G656" s="1">
        <v>0.13300000000000001</v>
      </c>
      <c r="H656" s="4" t="s">
        <v>112</v>
      </c>
      <c r="I656" s="4" t="s">
        <v>1145</v>
      </c>
      <c r="J656" s="4" t="s">
        <v>1383</v>
      </c>
      <c r="K656" s="4" t="s">
        <v>24</v>
      </c>
    </row>
    <row r="657" spans="1:11" x14ac:dyDescent="0.2">
      <c r="A657" s="4" t="s">
        <v>1417</v>
      </c>
      <c r="B657" s="4" t="s">
        <v>1418</v>
      </c>
      <c r="C657" s="4" t="s">
        <v>13</v>
      </c>
      <c r="D657" s="4" t="s">
        <v>1381</v>
      </c>
      <c r="E657" s="4" t="s">
        <v>1382</v>
      </c>
      <c r="F657" s="4" t="s">
        <v>750</v>
      </c>
      <c r="G657" s="1">
        <v>0.13300000000000001</v>
      </c>
      <c r="H657" s="4" t="s">
        <v>112</v>
      </c>
      <c r="I657" s="4" t="s">
        <v>1145</v>
      </c>
      <c r="J657" s="4" t="s">
        <v>1383</v>
      </c>
      <c r="K657" s="4" t="s">
        <v>24</v>
      </c>
    </row>
    <row r="658" spans="1:11" x14ac:dyDescent="0.2">
      <c r="A658" s="4" t="s">
        <v>1419</v>
      </c>
      <c r="B658" s="4" t="s">
        <v>1420</v>
      </c>
      <c r="C658" s="4" t="s">
        <v>13</v>
      </c>
      <c r="D658" s="4" t="s">
        <v>1381</v>
      </c>
      <c r="E658" s="4" t="s">
        <v>1382</v>
      </c>
      <c r="F658" s="4" t="s">
        <v>750</v>
      </c>
      <c r="G658" s="1">
        <v>6.7000000000000004E-2</v>
      </c>
      <c r="H658" s="4" t="s">
        <v>166</v>
      </c>
      <c r="I658" s="4" t="s">
        <v>1145</v>
      </c>
      <c r="J658" s="4" t="s">
        <v>1383</v>
      </c>
      <c r="K658" s="4" t="s">
        <v>24</v>
      </c>
    </row>
    <row r="659" spans="1:11" x14ac:dyDescent="0.2">
      <c r="A659" s="4" t="s">
        <v>1421</v>
      </c>
      <c r="B659" s="4" t="s">
        <v>1422</v>
      </c>
      <c r="C659" s="4" t="s">
        <v>13</v>
      </c>
      <c r="D659" s="4" t="s">
        <v>1381</v>
      </c>
      <c r="E659" s="4" t="s">
        <v>1382</v>
      </c>
      <c r="F659" s="4" t="s">
        <v>750</v>
      </c>
      <c r="G659" s="1">
        <v>0.13300000000000001</v>
      </c>
      <c r="H659" s="4" t="s">
        <v>112</v>
      </c>
      <c r="I659" s="4" t="s">
        <v>1145</v>
      </c>
      <c r="J659" s="4" t="s">
        <v>1383</v>
      </c>
      <c r="K659" s="4" t="s">
        <v>24</v>
      </c>
    </row>
    <row r="660" spans="1:11" x14ac:dyDescent="0.2">
      <c r="A660" s="4" t="s">
        <v>1423</v>
      </c>
      <c r="B660" s="4" t="s">
        <v>1424</v>
      </c>
      <c r="C660" s="4" t="s">
        <v>13</v>
      </c>
      <c r="D660" s="4" t="s">
        <v>1381</v>
      </c>
      <c r="E660" s="4" t="s">
        <v>1382</v>
      </c>
      <c r="F660" s="4" t="s">
        <v>750</v>
      </c>
      <c r="G660" s="1">
        <v>6.7000000000000004E-2</v>
      </c>
      <c r="H660" s="4" t="s">
        <v>166</v>
      </c>
      <c r="I660" s="4" t="s">
        <v>1145</v>
      </c>
      <c r="J660" s="4" t="s">
        <v>1383</v>
      </c>
      <c r="K660" s="4" t="s">
        <v>24</v>
      </c>
    </row>
    <row r="661" spans="1:11" x14ac:dyDescent="0.2">
      <c r="A661" s="4" t="s">
        <v>1425</v>
      </c>
      <c r="B661" s="4" t="s">
        <v>1426</v>
      </c>
      <c r="C661" s="4" t="s">
        <v>13</v>
      </c>
      <c r="D661" s="4" t="s">
        <v>1381</v>
      </c>
      <c r="E661" s="4" t="s">
        <v>1382</v>
      </c>
      <c r="F661" s="4" t="s">
        <v>750</v>
      </c>
      <c r="G661" s="1">
        <v>0.13300000000000001</v>
      </c>
      <c r="H661" s="4" t="s">
        <v>112</v>
      </c>
      <c r="I661" s="4" t="s">
        <v>1145</v>
      </c>
      <c r="J661" s="4" t="s">
        <v>1383</v>
      </c>
      <c r="K661" s="4" t="s">
        <v>24</v>
      </c>
    </row>
    <row r="662" spans="1:11" x14ac:dyDescent="0.2">
      <c r="A662" s="4" t="s">
        <v>1427</v>
      </c>
      <c r="B662" s="4" t="s">
        <v>1428</v>
      </c>
      <c r="C662" s="4" t="s">
        <v>13</v>
      </c>
      <c r="D662" s="4" t="s">
        <v>1381</v>
      </c>
      <c r="E662" s="4" t="s">
        <v>1382</v>
      </c>
      <c r="F662" s="4" t="s">
        <v>750</v>
      </c>
      <c r="G662" s="1">
        <v>0.13300000000000001</v>
      </c>
      <c r="H662" s="4" t="s">
        <v>112</v>
      </c>
      <c r="I662" s="4" t="s">
        <v>1145</v>
      </c>
      <c r="J662" s="4" t="s">
        <v>1383</v>
      </c>
      <c r="K662" s="4" t="s">
        <v>24</v>
      </c>
    </row>
    <row r="663" spans="1:11" x14ac:dyDescent="0.2">
      <c r="A663" s="4" t="s">
        <v>1429</v>
      </c>
      <c r="B663" s="4" t="s">
        <v>1430</v>
      </c>
      <c r="C663" s="4" t="s">
        <v>13</v>
      </c>
      <c r="D663" s="4" t="s">
        <v>1381</v>
      </c>
      <c r="E663" s="4" t="s">
        <v>1382</v>
      </c>
      <c r="F663" s="4" t="s">
        <v>750</v>
      </c>
      <c r="G663" s="1">
        <v>0</v>
      </c>
      <c r="H663" s="4" t="s">
        <v>254</v>
      </c>
      <c r="I663" s="4" t="s">
        <v>1145</v>
      </c>
      <c r="J663" s="4" t="s">
        <v>1383</v>
      </c>
      <c r="K663" s="4" t="s">
        <v>24</v>
      </c>
    </row>
    <row r="664" spans="1:11" x14ac:dyDescent="0.2">
      <c r="A664" s="4" t="s">
        <v>1431</v>
      </c>
      <c r="B664" s="4" t="s">
        <v>1432</v>
      </c>
      <c r="C664" s="4" t="s">
        <v>13</v>
      </c>
      <c r="D664" s="4" t="s">
        <v>1381</v>
      </c>
      <c r="E664" s="4" t="s">
        <v>1382</v>
      </c>
      <c r="F664" s="4" t="s">
        <v>750</v>
      </c>
      <c r="G664" s="1">
        <v>0.13300000000000001</v>
      </c>
      <c r="H664" s="4" t="s">
        <v>112</v>
      </c>
      <c r="I664" s="4" t="s">
        <v>1145</v>
      </c>
      <c r="J664" s="4" t="s">
        <v>1383</v>
      </c>
      <c r="K664" s="4" t="s">
        <v>24</v>
      </c>
    </row>
    <row r="665" spans="1:11" x14ac:dyDescent="0.2">
      <c r="A665" s="4" t="s">
        <v>1433</v>
      </c>
      <c r="B665" s="4" t="s">
        <v>1434</v>
      </c>
      <c r="C665" s="4" t="s">
        <v>13</v>
      </c>
      <c r="D665" s="4" t="s">
        <v>1381</v>
      </c>
      <c r="E665" s="4" t="s">
        <v>1382</v>
      </c>
      <c r="F665" s="4" t="s">
        <v>750</v>
      </c>
      <c r="G665" s="1">
        <v>0.13300000000000001</v>
      </c>
      <c r="H665" s="4" t="s">
        <v>112</v>
      </c>
      <c r="I665" s="4" t="s">
        <v>1145</v>
      </c>
      <c r="J665" s="4" t="s">
        <v>1383</v>
      </c>
      <c r="K665" s="4" t="s">
        <v>24</v>
      </c>
    </row>
    <row r="666" spans="1:11" x14ac:dyDescent="0.2">
      <c r="A666" s="4" t="s">
        <v>1435</v>
      </c>
      <c r="B666" s="4" t="s">
        <v>1436</v>
      </c>
      <c r="C666" s="4" t="s">
        <v>13</v>
      </c>
      <c r="D666" s="4" t="s">
        <v>1381</v>
      </c>
      <c r="E666" s="4" t="s">
        <v>1382</v>
      </c>
      <c r="F666" s="4" t="s">
        <v>750</v>
      </c>
      <c r="G666" s="1">
        <v>0.13300000000000001</v>
      </c>
      <c r="H666" s="4" t="s">
        <v>112</v>
      </c>
      <c r="I666" s="4" t="s">
        <v>1145</v>
      </c>
      <c r="J666" s="4" t="s">
        <v>1383</v>
      </c>
      <c r="K666" s="4" t="s">
        <v>24</v>
      </c>
    </row>
    <row r="667" spans="1:11" x14ac:dyDescent="0.2">
      <c r="A667" s="4" t="s">
        <v>1437</v>
      </c>
      <c r="B667" s="4" t="s">
        <v>1438</v>
      </c>
      <c r="C667" s="4" t="s">
        <v>13</v>
      </c>
      <c r="D667" s="4" t="s">
        <v>1381</v>
      </c>
      <c r="E667" s="4" t="s">
        <v>1382</v>
      </c>
      <c r="F667" s="4" t="s">
        <v>750</v>
      </c>
      <c r="G667" s="1">
        <v>0</v>
      </c>
      <c r="H667" s="4" t="s">
        <v>254</v>
      </c>
      <c r="I667" s="4" t="s">
        <v>1145</v>
      </c>
      <c r="J667" s="4" t="s">
        <v>1383</v>
      </c>
      <c r="K667" s="4" t="s">
        <v>24</v>
      </c>
    </row>
    <row r="668" spans="1:11" x14ac:dyDescent="0.2">
      <c r="A668" s="4" t="s">
        <v>1439</v>
      </c>
      <c r="B668" s="4" t="s">
        <v>1440</v>
      </c>
      <c r="C668" s="4" t="s">
        <v>49</v>
      </c>
      <c r="D668" s="4" t="s">
        <v>1381</v>
      </c>
      <c r="E668" s="4" t="s">
        <v>1382</v>
      </c>
      <c r="F668" s="4" t="s">
        <v>750</v>
      </c>
      <c r="G668" s="1">
        <v>0</v>
      </c>
      <c r="H668" s="4" t="s">
        <v>254</v>
      </c>
      <c r="I668" s="4" t="s">
        <v>1145</v>
      </c>
      <c r="J668" s="4" t="s">
        <v>1383</v>
      </c>
      <c r="K668" s="4" t="s">
        <v>24</v>
      </c>
    </row>
    <row r="669" spans="1:11" x14ac:dyDescent="0.2">
      <c r="A669" s="4" t="s">
        <v>1441</v>
      </c>
      <c r="B669" s="4" t="s">
        <v>1442</v>
      </c>
      <c r="C669" s="4" t="s">
        <v>13</v>
      </c>
      <c r="D669" s="4" t="s">
        <v>1381</v>
      </c>
      <c r="E669" s="4" t="s">
        <v>1382</v>
      </c>
      <c r="F669" s="4" t="s">
        <v>750</v>
      </c>
      <c r="G669" s="1">
        <v>0</v>
      </c>
      <c r="H669" s="4" t="s">
        <v>254</v>
      </c>
      <c r="I669" s="4" t="s">
        <v>1145</v>
      </c>
      <c r="J669" s="4" t="s">
        <v>1383</v>
      </c>
      <c r="K669" s="4" t="s">
        <v>24</v>
      </c>
    </row>
    <row r="670" spans="1:11" x14ac:dyDescent="0.2">
      <c r="A670" s="4" t="s">
        <v>1443</v>
      </c>
      <c r="B670" s="4" t="s">
        <v>1444</v>
      </c>
      <c r="C670" s="4" t="s">
        <v>13</v>
      </c>
      <c r="D670" s="4" t="s">
        <v>1381</v>
      </c>
      <c r="E670" s="4" t="s">
        <v>1382</v>
      </c>
      <c r="F670" s="4" t="s">
        <v>750</v>
      </c>
      <c r="G670" s="1">
        <v>0.13300000000000001</v>
      </c>
      <c r="H670" s="4" t="s">
        <v>112</v>
      </c>
      <c r="I670" s="4" t="s">
        <v>1145</v>
      </c>
      <c r="J670" s="4" t="s">
        <v>1383</v>
      </c>
      <c r="K670" s="4" t="s">
        <v>24</v>
      </c>
    </row>
    <row r="671" spans="1:11" x14ac:dyDescent="0.2">
      <c r="A671" s="4" t="s">
        <v>1445</v>
      </c>
      <c r="B671" s="4" t="s">
        <v>1446</v>
      </c>
      <c r="C671" s="4" t="s">
        <v>13</v>
      </c>
      <c r="D671" s="4" t="s">
        <v>1381</v>
      </c>
      <c r="E671" s="4" t="s">
        <v>1382</v>
      </c>
      <c r="F671" s="4" t="s">
        <v>750</v>
      </c>
      <c r="G671" s="1">
        <v>0.13300000000000001</v>
      </c>
      <c r="H671" s="4" t="s">
        <v>112</v>
      </c>
      <c r="I671" s="4" t="s">
        <v>1145</v>
      </c>
      <c r="J671" s="4" t="s">
        <v>1383</v>
      </c>
      <c r="K671" s="4" t="s">
        <v>24</v>
      </c>
    </row>
    <row r="672" spans="1:11" x14ac:dyDescent="0.2">
      <c r="A672" s="4" t="s">
        <v>1447</v>
      </c>
      <c r="B672" s="4" t="s">
        <v>1448</v>
      </c>
      <c r="C672" s="4" t="s">
        <v>13</v>
      </c>
      <c r="D672" s="4" t="s">
        <v>1381</v>
      </c>
      <c r="E672" s="4" t="s">
        <v>1382</v>
      </c>
      <c r="F672" s="4" t="s">
        <v>750</v>
      </c>
      <c r="G672" s="1">
        <v>0</v>
      </c>
      <c r="H672" s="4" t="s">
        <v>254</v>
      </c>
      <c r="I672" s="4" t="s">
        <v>1145</v>
      </c>
      <c r="J672" s="4" t="s">
        <v>1383</v>
      </c>
      <c r="K672" s="4" t="s">
        <v>1371</v>
      </c>
    </row>
    <row r="673" spans="1:11" x14ac:dyDescent="0.2">
      <c r="A673" s="4" t="s">
        <v>1449</v>
      </c>
      <c r="B673" s="4" t="s">
        <v>1450</v>
      </c>
      <c r="C673" s="4" t="s">
        <v>13</v>
      </c>
      <c r="D673" s="4" t="s">
        <v>1451</v>
      </c>
      <c r="E673" s="4" t="s">
        <v>1452</v>
      </c>
      <c r="F673" s="4" t="s">
        <v>1453</v>
      </c>
      <c r="G673" s="1">
        <v>0.2</v>
      </c>
      <c r="H673" s="4" t="s">
        <v>232</v>
      </c>
      <c r="I673" s="4" t="s">
        <v>1145</v>
      </c>
      <c r="J673" s="4" t="s">
        <v>1219</v>
      </c>
      <c r="K673" s="4" t="s">
        <v>24</v>
      </c>
    </row>
    <row r="674" spans="1:11" x14ac:dyDescent="0.2">
      <c r="A674" s="4" t="s">
        <v>1454</v>
      </c>
      <c r="B674" s="4" t="s">
        <v>1455</v>
      </c>
      <c r="C674" s="4" t="s">
        <v>13</v>
      </c>
      <c r="D674" s="4" t="s">
        <v>1451</v>
      </c>
      <c r="E674" s="4" t="s">
        <v>1452</v>
      </c>
      <c r="F674" s="4" t="s">
        <v>1453</v>
      </c>
      <c r="G674" s="1">
        <v>3.3000000000000002E-2</v>
      </c>
      <c r="H674" s="4" t="s">
        <v>225</v>
      </c>
      <c r="I674" s="4" t="s">
        <v>1145</v>
      </c>
      <c r="J674" s="4" t="s">
        <v>1219</v>
      </c>
      <c r="K674" s="4" t="s">
        <v>24</v>
      </c>
    </row>
    <row r="675" spans="1:11" x14ac:dyDescent="0.2">
      <c r="A675" s="4" t="s">
        <v>1456</v>
      </c>
      <c r="B675" s="4" t="s">
        <v>1457</v>
      </c>
      <c r="C675" s="4" t="s">
        <v>13</v>
      </c>
      <c r="D675" s="4" t="s">
        <v>1451</v>
      </c>
      <c r="E675" s="4" t="s">
        <v>1452</v>
      </c>
      <c r="F675" s="4" t="s">
        <v>1453</v>
      </c>
      <c r="G675" s="1">
        <v>0.16700000000000001</v>
      </c>
      <c r="H675" s="4" t="s">
        <v>229</v>
      </c>
      <c r="I675" s="4" t="s">
        <v>1145</v>
      </c>
      <c r="J675" s="4" t="s">
        <v>1219</v>
      </c>
      <c r="K675" s="4" t="s">
        <v>24</v>
      </c>
    </row>
    <row r="676" spans="1:11" x14ac:dyDescent="0.2">
      <c r="A676" s="4" t="s">
        <v>1458</v>
      </c>
      <c r="B676" s="4" t="s">
        <v>1459</v>
      </c>
      <c r="C676" s="4" t="s">
        <v>13</v>
      </c>
      <c r="D676" s="4" t="s">
        <v>1451</v>
      </c>
      <c r="E676" s="4" t="s">
        <v>1452</v>
      </c>
      <c r="F676" s="4" t="s">
        <v>1453</v>
      </c>
      <c r="G676" s="1">
        <v>0.2</v>
      </c>
      <c r="H676" s="4" t="s">
        <v>232</v>
      </c>
      <c r="I676" s="4" t="s">
        <v>1145</v>
      </c>
      <c r="J676" s="4" t="s">
        <v>1219</v>
      </c>
      <c r="K676" s="4" t="s">
        <v>24</v>
      </c>
    </row>
    <row r="677" spans="1:11" x14ac:dyDescent="0.2">
      <c r="A677" s="4" t="s">
        <v>1460</v>
      </c>
      <c r="B677" s="4" t="s">
        <v>1461</v>
      </c>
      <c r="C677" s="4" t="s">
        <v>13</v>
      </c>
      <c r="D677" s="4" t="s">
        <v>1451</v>
      </c>
      <c r="E677" s="4" t="s">
        <v>1452</v>
      </c>
      <c r="F677" s="4" t="s">
        <v>1453</v>
      </c>
      <c r="G677" s="1">
        <v>0.2</v>
      </c>
      <c r="H677" s="4" t="s">
        <v>232</v>
      </c>
      <c r="I677" s="4" t="s">
        <v>1145</v>
      </c>
      <c r="J677" s="4" t="s">
        <v>1219</v>
      </c>
      <c r="K677" s="4" t="s">
        <v>24</v>
      </c>
    </row>
    <row r="678" spans="1:11" x14ac:dyDescent="0.2">
      <c r="A678" s="4" t="s">
        <v>1462</v>
      </c>
      <c r="B678" s="4" t="s">
        <v>1463</v>
      </c>
      <c r="C678" s="4" t="s">
        <v>13</v>
      </c>
      <c r="D678" s="4" t="s">
        <v>1451</v>
      </c>
      <c r="E678" s="4" t="s">
        <v>1452</v>
      </c>
      <c r="F678" s="4" t="s">
        <v>1453</v>
      </c>
      <c r="G678" s="1">
        <v>0.16700000000000001</v>
      </c>
      <c r="H678" s="4" t="s">
        <v>229</v>
      </c>
      <c r="I678" s="4" t="s">
        <v>1145</v>
      </c>
      <c r="J678" s="4" t="s">
        <v>1219</v>
      </c>
      <c r="K678" s="4" t="s">
        <v>24</v>
      </c>
    </row>
    <row r="679" spans="1:11" x14ac:dyDescent="0.2">
      <c r="A679" s="4" t="s">
        <v>1464</v>
      </c>
      <c r="B679" s="4" t="s">
        <v>1465</v>
      </c>
      <c r="C679" s="4" t="s">
        <v>13</v>
      </c>
      <c r="D679" s="4" t="s">
        <v>1451</v>
      </c>
      <c r="E679" s="4" t="s">
        <v>1452</v>
      </c>
      <c r="F679" s="4" t="s">
        <v>1453</v>
      </c>
      <c r="G679" s="1">
        <v>3.3000000000000002E-2</v>
      </c>
      <c r="H679" s="4" t="s">
        <v>225</v>
      </c>
      <c r="I679" s="4" t="s">
        <v>1145</v>
      </c>
      <c r="J679" s="4" t="s">
        <v>1219</v>
      </c>
      <c r="K679" s="4" t="s">
        <v>24</v>
      </c>
    </row>
    <row r="680" spans="1:11" x14ac:dyDescent="0.2">
      <c r="A680" s="4" t="s">
        <v>1466</v>
      </c>
      <c r="B680" s="4" t="s">
        <v>1467</v>
      </c>
      <c r="C680" s="4" t="s">
        <v>13</v>
      </c>
      <c r="D680" s="4" t="s">
        <v>1451</v>
      </c>
      <c r="E680" s="4" t="s">
        <v>1452</v>
      </c>
      <c r="F680" s="4" t="s">
        <v>1453</v>
      </c>
      <c r="G680" s="1">
        <v>0.2</v>
      </c>
      <c r="H680" s="4" t="s">
        <v>232</v>
      </c>
      <c r="I680" s="4" t="s">
        <v>1145</v>
      </c>
      <c r="J680" s="4" t="s">
        <v>1219</v>
      </c>
      <c r="K680" s="4" t="s">
        <v>24</v>
      </c>
    </row>
    <row r="681" spans="1:11" x14ac:dyDescent="0.2">
      <c r="A681" s="4" t="s">
        <v>1468</v>
      </c>
      <c r="B681" s="4" t="s">
        <v>1469</v>
      </c>
      <c r="C681" s="4" t="s">
        <v>13</v>
      </c>
      <c r="D681" s="4" t="s">
        <v>1451</v>
      </c>
      <c r="E681" s="4" t="s">
        <v>1452</v>
      </c>
      <c r="F681" s="4" t="s">
        <v>1453</v>
      </c>
      <c r="G681" s="1">
        <v>0.1</v>
      </c>
      <c r="H681" s="4" t="s">
        <v>117</v>
      </c>
      <c r="I681" s="4" t="s">
        <v>1145</v>
      </c>
      <c r="J681" s="4" t="s">
        <v>1219</v>
      </c>
      <c r="K681" s="4" t="s">
        <v>24</v>
      </c>
    </row>
    <row r="682" spans="1:11" x14ac:dyDescent="0.2">
      <c r="A682" s="4" t="s">
        <v>1470</v>
      </c>
      <c r="B682" s="4" t="s">
        <v>1471</v>
      </c>
      <c r="C682" s="4" t="s">
        <v>13</v>
      </c>
      <c r="D682" s="4" t="s">
        <v>1451</v>
      </c>
      <c r="E682" s="4" t="s">
        <v>1452</v>
      </c>
      <c r="F682" s="4" t="s">
        <v>1453</v>
      </c>
      <c r="G682" s="1">
        <v>0.2</v>
      </c>
      <c r="H682" s="4" t="s">
        <v>232</v>
      </c>
      <c r="I682" s="4" t="s">
        <v>1145</v>
      </c>
      <c r="J682" s="4" t="s">
        <v>1219</v>
      </c>
      <c r="K682" s="4" t="s">
        <v>24</v>
      </c>
    </row>
    <row r="683" spans="1:11" x14ac:dyDescent="0.2">
      <c r="A683" s="4" t="s">
        <v>1472</v>
      </c>
      <c r="B683" s="4" t="s">
        <v>1473</v>
      </c>
      <c r="C683" s="4" t="s">
        <v>13</v>
      </c>
      <c r="D683" s="4" t="s">
        <v>1451</v>
      </c>
      <c r="E683" s="4" t="s">
        <v>1452</v>
      </c>
      <c r="F683" s="4" t="s">
        <v>1453</v>
      </c>
      <c r="G683" s="1">
        <v>0</v>
      </c>
      <c r="H683" s="4" t="s">
        <v>254</v>
      </c>
      <c r="I683" s="4" t="s">
        <v>1145</v>
      </c>
      <c r="J683" s="4" t="s">
        <v>1219</v>
      </c>
      <c r="K683" s="4" t="s">
        <v>24</v>
      </c>
    </row>
    <row r="684" spans="1:11" x14ac:dyDescent="0.2">
      <c r="A684" s="4" t="s">
        <v>1474</v>
      </c>
      <c r="B684" s="4" t="s">
        <v>1475</v>
      </c>
      <c r="C684" s="4" t="s">
        <v>13</v>
      </c>
      <c r="D684" s="4" t="s">
        <v>1451</v>
      </c>
      <c r="E684" s="4" t="s">
        <v>1452</v>
      </c>
      <c r="F684" s="4" t="s">
        <v>1453</v>
      </c>
      <c r="G684" s="1">
        <v>0.08</v>
      </c>
      <c r="H684" s="4" t="s">
        <v>1476</v>
      </c>
      <c r="I684" s="4" t="s">
        <v>1145</v>
      </c>
      <c r="J684" s="4" t="s">
        <v>1219</v>
      </c>
      <c r="K684" s="4" t="s">
        <v>1371</v>
      </c>
    </row>
    <row r="685" spans="1:11" x14ac:dyDescent="0.2">
      <c r="A685" s="4" t="s">
        <v>1477</v>
      </c>
      <c r="B685" s="4" t="s">
        <v>1478</v>
      </c>
      <c r="C685" s="4" t="s">
        <v>13</v>
      </c>
      <c r="D685" s="4" t="s">
        <v>1451</v>
      </c>
      <c r="E685" s="4" t="s">
        <v>1452</v>
      </c>
      <c r="F685" s="4" t="s">
        <v>1453</v>
      </c>
      <c r="G685" s="1">
        <v>0.16700000000000001</v>
      </c>
      <c r="H685" s="4" t="s">
        <v>229</v>
      </c>
      <c r="I685" s="4" t="s">
        <v>1145</v>
      </c>
      <c r="J685" s="4" t="s">
        <v>1219</v>
      </c>
      <c r="K685" s="4" t="s">
        <v>24</v>
      </c>
    </row>
    <row r="686" spans="1:11" x14ac:dyDescent="0.2">
      <c r="A686" s="4" t="s">
        <v>1479</v>
      </c>
      <c r="B686" s="4" t="s">
        <v>1480</v>
      </c>
      <c r="C686" s="4" t="s">
        <v>13</v>
      </c>
      <c r="D686" s="4" t="s">
        <v>1451</v>
      </c>
      <c r="E686" s="4" t="s">
        <v>1452</v>
      </c>
      <c r="F686" s="4" t="s">
        <v>1453</v>
      </c>
      <c r="G686" s="1">
        <v>0</v>
      </c>
      <c r="H686" s="4" t="s">
        <v>254</v>
      </c>
      <c r="I686" s="4" t="s">
        <v>1145</v>
      </c>
      <c r="J686" s="4" t="s">
        <v>1219</v>
      </c>
      <c r="K686" s="4" t="s">
        <v>24</v>
      </c>
    </row>
    <row r="687" spans="1:11" x14ac:dyDescent="0.2">
      <c r="A687" s="4" t="s">
        <v>1481</v>
      </c>
      <c r="B687" s="4" t="s">
        <v>1482</v>
      </c>
      <c r="C687" s="4" t="s">
        <v>13</v>
      </c>
      <c r="D687" s="4" t="s">
        <v>1451</v>
      </c>
      <c r="E687" s="4" t="s">
        <v>1452</v>
      </c>
      <c r="F687" s="4" t="s">
        <v>1453</v>
      </c>
      <c r="G687" s="1">
        <v>6.7000000000000004E-2</v>
      </c>
      <c r="H687" s="4" t="s">
        <v>166</v>
      </c>
      <c r="I687" s="4" t="s">
        <v>1145</v>
      </c>
      <c r="J687" s="4" t="s">
        <v>1219</v>
      </c>
      <c r="K687" s="4" t="s">
        <v>24</v>
      </c>
    </row>
    <row r="688" spans="1:11" x14ac:dyDescent="0.2">
      <c r="A688" s="4" t="s">
        <v>1483</v>
      </c>
      <c r="B688" s="4" t="s">
        <v>1484</v>
      </c>
      <c r="C688" s="4" t="s">
        <v>13</v>
      </c>
      <c r="D688" s="4" t="s">
        <v>1451</v>
      </c>
      <c r="E688" s="4" t="s">
        <v>1452</v>
      </c>
      <c r="F688" s="4" t="s">
        <v>1453</v>
      </c>
      <c r="G688" s="1">
        <v>0.13300000000000001</v>
      </c>
      <c r="H688" s="4" t="s">
        <v>112</v>
      </c>
      <c r="I688" s="4" t="s">
        <v>1145</v>
      </c>
      <c r="J688" s="4" t="s">
        <v>1219</v>
      </c>
      <c r="K688" s="4" t="s">
        <v>24</v>
      </c>
    </row>
    <row r="689" spans="1:11" x14ac:dyDescent="0.2">
      <c r="A689" s="4" t="s">
        <v>1485</v>
      </c>
      <c r="B689" s="4" t="s">
        <v>1486</v>
      </c>
      <c r="C689" s="4" t="s">
        <v>13</v>
      </c>
      <c r="D689" s="4" t="s">
        <v>1451</v>
      </c>
      <c r="E689" s="4" t="s">
        <v>1452</v>
      </c>
      <c r="F689" s="4" t="s">
        <v>1453</v>
      </c>
      <c r="G689" s="1">
        <v>0.08</v>
      </c>
      <c r="H689" s="4" t="s">
        <v>1476</v>
      </c>
      <c r="I689" s="4" t="s">
        <v>1145</v>
      </c>
      <c r="J689" s="4" t="s">
        <v>1219</v>
      </c>
      <c r="K689" s="4" t="s">
        <v>1371</v>
      </c>
    </row>
    <row r="690" spans="1:11" x14ac:dyDescent="0.2">
      <c r="A690" s="4" t="s">
        <v>1487</v>
      </c>
      <c r="B690" s="4" t="s">
        <v>1488</v>
      </c>
      <c r="C690" s="4" t="s">
        <v>13</v>
      </c>
      <c r="D690" s="4" t="s">
        <v>1451</v>
      </c>
      <c r="E690" s="4" t="s">
        <v>1452</v>
      </c>
      <c r="F690" s="4" t="s">
        <v>1453</v>
      </c>
      <c r="G690" s="1">
        <v>0.2</v>
      </c>
      <c r="H690" s="4" t="s">
        <v>232</v>
      </c>
      <c r="I690" s="4" t="s">
        <v>1145</v>
      </c>
      <c r="J690" s="4" t="s">
        <v>1219</v>
      </c>
      <c r="K690" s="4" t="s">
        <v>24</v>
      </c>
    </row>
    <row r="691" spans="1:11" x14ac:dyDescent="0.2">
      <c r="A691" s="4" t="s">
        <v>1489</v>
      </c>
      <c r="B691" s="4" t="s">
        <v>1490</v>
      </c>
      <c r="C691" s="4" t="s">
        <v>13</v>
      </c>
      <c r="D691" s="4" t="s">
        <v>1451</v>
      </c>
      <c r="E691" s="4" t="s">
        <v>1452</v>
      </c>
      <c r="F691" s="4" t="s">
        <v>1453</v>
      </c>
      <c r="G691" s="1">
        <v>6.7000000000000004E-2</v>
      </c>
      <c r="H691" s="4" t="s">
        <v>166</v>
      </c>
      <c r="I691" s="4" t="s">
        <v>1145</v>
      </c>
      <c r="J691" s="4" t="s">
        <v>1219</v>
      </c>
      <c r="K691" s="4" t="s">
        <v>24</v>
      </c>
    </row>
    <row r="692" spans="1:11" x14ac:dyDescent="0.2">
      <c r="A692" s="4" t="s">
        <v>1491</v>
      </c>
      <c r="B692" s="4" t="s">
        <v>1492</v>
      </c>
      <c r="C692" s="4" t="s">
        <v>13</v>
      </c>
      <c r="D692" s="4" t="s">
        <v>1451</v>
      </c>
      <c r="E692" s="4" t="s">
        <v>1452</v>
      </c>
      <c r="F692" s="4" t="s">
        <v>1453</v>
      </c>
      <c r="G692" s="1">
        <v>0.2</v>
      </c>
      <c r="H692" s="4" t="s">
        <v>232</v>
      </c>
      <c r="I692" s="4" t="s">
        <v>1145</v>
      </c>
      <c r="J692" s="4" t="s">
        <v>1219</v>
      </c>
      <c r="K692" s="4" t="s">
        <v>24</v>
      </c>
    </row>
    <row r="693" spans="1:11" x14ac:dyDescent="0.2">
      <c r="A693" s="4" t="s">
        <v>1493</v>
      </c>
      <c r="B693" s="4" t="s">
        <v>1494</v>
      </c>
      <c r="C693" s="4" t="s">
        <v>13</v>
      </c>
      <c r="D693" s="4" t="s">
        <v>1451</v>
      </c>
      <c r="E693" s="4" t="s">
        <v>1452</v>
      </c>
      <c r="F693" s="4" t="s">
        <v>1453</v>
      </c>
      <c r="G693" s="1">
        <v>0.2</v>
      </c>
      <c r="H693" s="4" t="s">
        <v>232</v>
      </c>
      <c r="I693" s="4" t="s">
        <v>1145</v>
      </c>
      <c r="J693" s="4" t="s">
        <v>1219</v>
      </c>
      <c r="K693" s="4" t="s">
        <v>24</v>
      </c>
    </row>
    <row r="694" spans="1:11" x14ac:dyDescent="0.2">
      <c r="A694" s="4" t="s">
        <v>1495</v>
      </c>
      <c r="B694" s="4" t="s">
        <v>1496</v>
      </c>
      <c r="C694" s="4" t="s">
        <v>13</v>
      </c>
      <c r="D694" s="4" t="s">
        <v>1451</v>
      </c>
      <c r="E694" s="4" t="s">
        <v>1452</v>
      </c>
      <c r="F694" s="4" t="s">
        <v>1453</v>
      </c>
      <c r="G694" s="1">
        <v>0.2</v>
      </c>
      <c r="H694" s="4" t="s">
        <v>232</v>
      </c>
      <c r="I694" s="4" t="s">
        <v>1145</v>
      </c>
      <c r="J694" s="4" t="s">
        <v>1219</v>
      </c>
      <c r="K694" s="4" t="s">
        <v>24</v>
      </c>
    </row>
    <row r="695" spans="1:11" x14ac:dyDescent="0.2">
      <c r="A695" s="4" t="s">
        <v>1497</v>
      </c>
      <c r="B695" s="4" t="s">
        <v>1498</v>
      </c>
      <c r="C695" s="4" t="s">
        <v>13</v>
      </c>
      <c r="D695" s="4" t="s">
        <v>1451</v>
      </c>
      <c r="E695" s="4" t="s">
        <v>1452</v>
      </c>
      <c r="F695" s="4" t="s">
        <v>1453</v>
      </c>
      <c r="G695" s="1">
        <v>0.16700000000000001</v>
      </c>
      <c r="H695" s="4" t="s">
        <v>229</v>
      </c>
      <c r="I695" s="4" t="s">
        <v>1145</v>
      </c>
      <c r="J695" s="4" t="s">
        <v>1219</v>
      </c>
      <c r="K695" s="4" t="s">
        <v>24</v>
      </c>
    </row>
    <row r="696" spans="1:11" x14ac:dyDescent="0.2">
      <c r="A696" s="4" t="s">
        <v>1499</v>
      </c>
      <c r="B696" s="4" t="s">
        <v>1500</v>
      </c>
      <c r="C696" s="4" t="s">
        <v>13</v>
      </c>
      <c r="D696" s="4" t="s">
        <v>1451</v>
      </c>
      <c r="E696" s="4" t="s">
        <v>1452</v>
      </c>
      <c r="F696" s="4" t="s">
        <v>1453</v>
      </c>
      <c r="G696" s="1">
        <v>0.2</v>
      </c>
      <c r="H696" s="4" t="s">
        <v>232</v>
      </c>
      <c r="I696" s="4" t="s">
        <v>1145</v>
      </c>
      <c r="J696" s="4" t="s">
        <v>1219</v>
      </c>
      <c r="K696" s="4" t="s">
        <v>24</v>
      </c>
    </row>
    <row r="697" spans="1:11" x14ac:dyDescent="0.2">
      <c r="A697" s="4" t="s">
        <v>1501</v>
      </c>
      <c r="B697" s="4" t="s">
        <v>1502</v>
      </c>
      <c r="C697" s="4" t="s">
        <v>13</v>
      </c>
      <c r="D697" s="4" t="s">
        <v>1451</v>
      </c>
      <c r="E697" s="4" t="s">
        <v>1452</v>
      </c>
      <c r="F697" s="4" t="s">
        <v>1453</v>
      </c>
      <c r="G697" s="1">
        <v>0.2</v>
      </c>
      <c r="H697" s="4" t="s">
        <v>232</v>
      </c>
      <c r="I697" s="4" t="s">
        <v>1145</v>
      </c>
      <c r="J697" s="4" t="s">
        <v>1219</v>
      </c>
      <c r="K697" s="4" t="s">
        <v>24</v>
      </c>
    </row>
    <row r="698" spans="1:11" x14ac:dyDescent="0.2">
      <c r="A698" s="4" t="s">
        <v>1503</v>
      </c>
      <c r="B698" s="4" t="s">
        <v>1504</v>
      </c>
      <c r="C698" s="4" t="s">
        <v>13</v>
      </c>
      <c r="D698" s="4" t="s">
        <v>1451</v>
      </c>
      <c r="E698" s="4" t="s">
        <v>1452</v>
      </c>
      <c r="F698" s="4" t="s">
        <v>1453</v>
      </c>
      <c r="G698" s="1">
        <v>3.3000000000000002E-2</v>
      </c>
      <c r="H698" s="4" t="s">
        <v>225</v>
      </c>
      <c r="I698" s="4" t="s">
        <v>1145</v>
      </c>
      <c r="J698" s="4" t="s">
        <v>1219</v>
      </c>
      <c r="K698" s="4" t="s">
        <v>1220</v>
      </c>
    </row>
    <row r="699" spans="1:11" x14ac:dyDescent="0.2">
      <c r="A699" s="4" t="s">
        <v>1505</v>
      </c>
      <c r="B699" s="4" t="s">
        <v>1506</v>
      </c>
      <c r="C699" s="4" t="s">
        <v>13</v>
      </c>
      <c r="D699" s="4" t="s">
        <v>1451</v>
      </c>
      <c r="E699" s="4" t="s">
        <v>1452</v>
      </c>
      <c r="F699" s="4" t="s">
        <v>1453</v>
      </c>
      <c r="G699" s="1">
        <v>0.16700000000000001</v>
      </c>
      <c r="H699" s="4" t="s">
        <v>229</v>
      </c>
      <c r="I699" s="4" t="s">
        <v>1145</v>
      </c>
      <c r="J699" s="4" t="s">
        <v>1219</v>
      </c>
      <c r="K699" s="4" t="s">
        <v>24</v>
      </c>
    </row>
    <row r="700" spans="1:11" x14ac:dyDescent="0.2">
      <c r="A700" s="4" t="s">
        <v>1507</v>
      </c>
      <c r="B700" s="4" t="s">
        <v>1508</v>
      </c>
      <c r="C700" s="4" t="s">
        <v>13</v>
      </c>
      <c r="D700" s="4" t="s">
        <v>1509</v>
      </c>
      <c r="E700" s="4" t="s">
        <v>1510</v>
      </c>
      <c r="F700" s="4" t="s">
        <v>516</v>
      </c>
      <c r="G700" s="1">
        <v>6.7000000000000004E-2</v>
      </c>
      <c r="H700" s="4" t="s">
        <v>166</v>
      </c>
      <c r="I700" s="4" t="s">
        <v>1145</v>
      </c>
      <c r="J700" s="4" t="s">
        <v>1511</v>
      </c>
      <c r="K700" s="4" t="s">
        <v>24</v>
      </c>
    </row>
    <row r="701" spans="1:11" x14ac:dyDescent="0.2">
      <c r="A701" s="4" t="s">
        <v>1512</v>
      </c>
      <c r="B701" s="4" t="s">
        <v>1513</v>
      </c>
      <c r="C701" s="4" t="s">
        <v>13</v>
      </c>
      <c r="D701" s="4" t="s">
        <v>1509</v>
      </c>
      <c r="E701" s="4" t="s">
        <v>1510</v>
      </c>
      <c r="F701" s="4" t="s">
        <v>516</v>
      </c>
      <c r="G701" s="1">
        <v>6.7000000000000004E-2</v>
      </c>
      <c r="H701" s="4" t="s">
        <v>166</v>
      </c>
      <c r="I701" s="4" t="s">
        <v>1145</v>
      </c>
      <c r="J701" s="4" t="s">
        <v>1511</v>
      </c>
      <c r="K701" s="4" t="s">
        <v>24</v>
      </c>
    </row>
    <row r="702" spans="1:11" x14ac:dyDescent="0.2">
      <c r="A702" s="4" t="s">
        <v>1514</v>
      </c>
      <c r="B702" s="4" t="s">
        <v>1515</v>
      </c>
      <c r="C702" s="4" t="s">
        <v>13</v>
      </c>
      <c r="D702" s="4" t="s">
        <v>1509</v>
      </c>
      <c r="E702" s="4" t="s">
        <v>1510</v>
      </c>
      <c r="F702" s="4" t="s">
        <v>516</v>
      </c>
      <c r="G702" s="1">
        <v>6.7000000000000004E-2</v>
      </c>
      <c r="H702" s="4" t="s">
        <v>166</v>
      </c>
      <c r="I702" s="4" t="s">
        <v>1145</v>
      </c>
      <c r="J702" s="4" t="s">
        <v>1511</v>
      </c>
      <c r="K702" s="4" t="s">
        <v>24</v>
      </c>
    </row>
    <row r="703" spans="1:11" x14ac:dyDescent="0.2">
      <c r="A703" s="4" t="s">
        <v>1516</v>
      </c>
      <c r="B703" s="4" t="s">
        <v>1517</v>
      </c>
      <c r="C703" s="4" t="s">
        <v>13</v>
      </c>
      <c r="D703" s="4" t="s">
        <v>1509</v>
      </c>
      <c r="E703" s="4" t="s">
        <v>1510</v>
      </c>
      <c r="F703" s="4" t="s">
        <v>516</v>
      </c>
      <c r="G703" s="1">
        <v>6.7000000000000004E-2</v>
      </c>
      <c r="H703" s="4" t="s">
        <v>166</v>
      </c>
      <c r="I703" s="4" t="s">
        <v>1145</v>
      </c>
      <c r="J703" s="4" t="s">
        <v>1511</v>
      </c>
      <c r="K703" s="4" t="s">
        <v>24</v>
      </c>
    </row>
    <row r="704" spans="1:11" x14ac:dyDescent="0.2">
      <c r="A704" s="4" t="s">
        <v>1518</v>
      </c>
      <c r="B704" s="4" t="s">
        <v>1519</v>
      </c>
      <c r="C704" s="4" t="s">
        <v>13</v>
      </c>
      <c r="D704" s="4" t="s">
        <v>1509</v>
      </c>
      <c r="E704" s="4" t="s">
        <v>1510</v>
      </c>
      <c r="F704" s="4" t="s">
        <v>516</v>
      </c>
      <c r="G704" s="1">
        <v>0</v>
      </c>
      <c r="H704" s="4" t="s">
        <v>254</v>
      </c>
      <c r="I704" s="4" t="s">
        <v>1145</v>
      </c>
      <c r="J704" s="4" t="s">
        <v>1511</v>
      </c>
      <c r="K704" s="4" t="s">
        <v>24</v>
      </c>
    </row>
    <row r="705" spans="1:11" x14ac:dyDescent="0.2">
      <c r="A705" s="4" t="s">
        <v>1520</v>
      </c>
      <c r="B705" s="4" t="s">
        <v>1521</v>
      </c>
      <c r="C705" s="4" t="s">
        <v>13</v>
      </c>
      <c r="D705" s="4" t="s">
        <v>1509</v>
      </c>
      <c r="E705" s="4" t="s">
        <v>1510</v>
      </c>
      <c r="F705" s="4" t="s">
        <v>516</v>
      </c>
      <c r="G705" s="1">
        <v>6.7000000000000004E-2</v>
      </c>
      <c r="H705" s="4" t="s">
        <v>166</v>
      </c>
      <c r="I705" s="4" t="s">
        <v>1145</v>
      </c>
      <c r="J705" s="4" t="s">
        <v>1511</v>
      </c>
      <c r="K705" s="4" t="s">
        <v>24</v>
      </c>
    </row>
    <row r="706" spans="1:11" x14ac:dyDescent="0.2">
      <c r="A706" s="4" t="s">
        <v>1522</v>
      </c>
      <c r="B706" s="4" t="s">
        <v>1523</v>
      </c>
      <c r="C706" s="4" t="s">
        <v>13</v>
      </c>
      <c r="D706" s="4" t="s">
        <v>1509</v>
      </c>
      <c r="E706" s="4" t="s">
        <v>1510</v>
      </c>
      <c r="F706" s="4" t="s">
        <v>516</v>
      </c>
      <c r="G706" s="1">
        <v>6.7000000000000004E-2</v>
      </c>
      <c r="H706" s="4" t="s">
        <v>166</v>
      </c>
      <c r="I706" s="4" t="s">
        <v>1145</v>
      </c>
      <c r="J706" s="4" t="s">
        <v>1511</v>
      </c>
      <c r="K706" s="4" t="s">
        <v>24</v>
      </c>
    </row>
    <row r="707" spans="1:11" x14ac:dyDescent="0.2">
      <c r="A707" s="4" t="s">
        <v>1524</v>
      </c>
      <c r="B707" s="4" t="s">
        <v>1525</v>
      </c>
      <c r="C707" s="4" t="s">
        <v>13</v>
      </c>
      <c r="D707" s="4" t="s">
        <v>1509</v>
      </c>
      <c r="E707" s="4" t="s">
        <v>1510</v>
      </c>
      <c r="F707" s="4" t="s">
        <v>516</v>
      </c>
      <c r="G707" s="1">
        <v>6.7000000000000004E-2</v>
      </c>
      <c r="H707" s="4" t="s">
        <v>166</v>
      </c>
      <c r="I707" s="4" t="s">
        <v>1145</v>
      </c>
      <c r="J707" s="4" t="s">
        <v>1511</v>
      </c>
      <c r="K707" s="4" t="s">
        <v>24</v>
      </c>
    </row>
    <row r="708" spans="1:11" x14ac:dyDescent="0.2">
      <c r="A708" s="4" t="s">
        <v>1526</v>
      </c>
      <c r="B708" s="4" t="s">
        <v>1527</v>
      </c>
      <c r="C708" s="4" t="s">
        <v>13</v>
      </c>
      <c r="D708" s="4" t="s">
        <v>1509</v>
      </c>
      <c r="E708" s="4" t="s">
        <v>1510</v>
      </c>
      <c r="F708" s="4" t="s">
        <v>516</v>
      </c>
      <c r="G708" s="1">
        <v>6.7000000000000004E-2</v>
      </c>
      <c r="H708" s="4" t="s">
        <v>166</v>
      </c>
      <c r="I708" s="4" t="s">
        <v>1145</v>
      </c>
      <c r="J708" s="4" t="s">
        <v>1511</v>
      </c>
      <c r="K708" s="4" t="s">
        <v>24</v>
      </c>
    </row>
    <row r="709" spans="1:11" x14ac:dyDescent="0.2">
      <c r="A709" s="4" t="s">
        <v>1528</v>
      </c>
      <c r="B709" s="4" t="s">
        <v>1529</v>
      </c>
      <c r="C709" s="4" t="s">
        <v>13</v>
      </c>
      <c r="D709" s="4" t="s">
        <v>1509</v>
      </c>
      <c r="E709" s="4" t="s">
        <v>1510</v>
      </c>
      <c r="F709" s="4" t="s">
        <v>516</v>
      </c>
      <c r="G709" s="1">
        <v>6.7000000000000004E-2</v>
      </c>
      <c r="H709" s="4" t="s">
        <v>166</v>
      </c>
      <c r="I709" s="4" t="s">
        <v>1145</v>
      </c>
      <c r="J709" s="4" t="s">
        <v>1511</v>
      </c>
      <c r="K709" s="4" t="s">
        <v>24</v>
      </c>
    </row>
    <row r="710" spans="1:11" x14ac:dyDescent="0.2">
      <c r="A710" s="4" t="s">
        <v>1530</v>
      </c>
      <c r="B710" s="4" t="s">
        <v>1531</v>
      </c>
      <c r="C710" s="4" t="s">
        <v>13</v>
      </c>
      <c r="D710" s="4" t="s">
        <v>1509</v>
      </c>
      <c r="E710" s="4" t="s">
        <v>1510</v>
      </c>
      <c r="F710" s="4" t="s">
        <v>516</v>
      </c>
      <c r="G710" s="1">
        <v>0</v>
      </c>
      <c r="H710" s="4" t="s">
        <v>254</v>
      </c>
      <c r="I710" s="4" t="s">
        <v>1145</v>
      </c>
      <c r="J710" s="4" t="s">
        <v>1511</v>
      </c>
      <c r="K710" s="4" t="s">
        <v>24</v>
      </c>
    </row>
    <row r="711" spans="1:11" x14ac:dyDescent="0.2">
      <c r="A711" s="4" t="s">
        <v>1532</v>
      </c>
      <c r="B711" s="4" t="s">
        <v>1533</v>
      </c>
      <c r="C711" s="4" t="s">
        <v>13</v>
      </c>
      <c r="D711" s="4" t="s">
        <v>1509</v>
      </c>
      <c r="E711" s="4" t="s">
        <v>1510</v>
      </c>
      <c r="F711" s="4" t="s">
        <v>516</v>
      </c>
      <c r="G711" s="1">
        <v>6.7000000000000004E-2</v>
      </c>
      <c r="H711" s="4" t="s">
        <v>166</v>
      </c>
      <c r="I711" s="4" t="s">
        <v>1145</v>
      </c>
      <c r="J711" s="4" t="s">
        <v>1511</v>
      </c>
      <c r="K711" s="4" t="s">
        <v>24</v>
      </c>
    </row>
    <row r="712" spans="1:11" x14ac:dyDescent="0.2">
      <c r="A712" s="4" t="s">
        <v>1534</v>
      </c>
      <c r="B712" s="4" t="s">
        <v>1535</v>
      </c>
      <c r="C712" s="4" t="s">
        <v>13</v>
      </c>
      <c r="D712" s="4" t="s">
        <v>1509</v>
      </c>
      <c r="E712" s="4" t="s">
        <v>1510</v>
      </c>
      <c r="F712" s="4" t="s">
        <v>516</v>
      </c>
      <c r="G712" s="1">
        <v>6.7000000000000004E-2</v>
      </c>
      <c r="H712" s="4" t="s">
        <v>166</v>
      </c>
      <c r="I712" s="4" t="s">
        <v>1145</v>
      </c>
      <c r="J712" s="4" t="s">
        <v>1511</v>
      </c>
      <c r="K712" s="4" t="s">
        <v>24</v>
      </c>
    </row>
    <row r="713" spans="1:11" x14ac:dyDescent="0.2">
      <c r="A713" s="4" t="s">
        <v>1536</v>
      </c>
      <c r="B713" s="4" t="s">
        <v>1537</v>
      </c>
      <c r="C713" s="4" t="s">
        <v>13</v>
      </c>
      <c r="D713" s="4" t="s">
        <v>1509</v>
      </c>
      <c r="E713" s="4" t="s">
        <v>1510</v>
      </c>
      <c r="F713" s="4" t="s">
        <v>516</v>
      </c>
      <c r="G713" s="1">
        <v>6.7000000000000004E-2</v>
      </c>
      <c r="H713" s="4" t="s">
        <v>166</v>
      </c>
      <c r="I713" s="4" t="s">
        <v>1145</v>
      </c>
      <c r="J713" s="4" t="s">
        <v>1511</v>
      </c>
      <c r="K713" s="4" t="s">
        <v>24</v>
      </c>
    </row>
    <row r="714" spans="1:11" x14ac:dyDescent="0.2">
      <c r="A714" s="4" t="s">
        <v>1538</v>
      </c>
      <c r="B714" s="4" t="s">
        <v>1539</v>
      </c>
      <c r="C714" s="4" t="s">
        <v>13</v>
      </c>
      <c r="D714" s="4" t="s">
        <v>1509</v>
      </c>
      <c r="E714" s="4" t="s">
        <v>1510</v>
      </c>
      <c r="F714" s="4" t="s">
        <v>516</v>
      </c>
      <c r="G714" s="1">
        <v>6.7000000000000004E-2</v>
      </c>
      <c r="H714" s="4" t="s">
        <v>166</v>
      </c>
      <c r="I714" s="4" t="s">
        <v>1145</v>
      </c>
      <c r="J714" s="4" t="s">
        <v>1511</v>
      </c>
      <c r="K714" s="4" t="s">
        <v>24</v>
      </c>
    </row>
    <row r="715" spans="1:11" x14ac:dyDescent="0.2">
      <c r="A715" s="4" t="s">
        <v>1540</v>
      </c>
      <c r="B715" s="4" t="s">
        <v>1541</v>
      </c>
      <c r="C715" s="4" t="s">
        <v>13</v>
      </c>
      <c r="D715" s="4" t="s">
        <v>1509</v>
      </c>
      <c r="E715" s="4" t="s">
        <v>1510</v>
      </c>
      <c r="F715" s="4" t="s">
        <v>516</v>
      </c>
      <c r="G715" s="1">
        <v>0</v>
      </c>
      <c r="H715" s="4" t="s">
        <v>254</v>
      </c>
      <c r="I715" s="4" t="s">
        <v>1145</v>
      </c>
      <c r="J715" s="4" t="s">
        <v>1511</v>
      </c>
      <c r="K715" s="4" t="s">
        <v>24</v>
      </c>
    </row>
    <row r="716" spans="1:11" x14ac:dyDescent="0.2">
      <c r="A716" s="4" t="s">
        <v>1542</v>
      </c>
      <c r="B716" s="4" t="s">
        <v>1543</v>
      </c>
      <c r="C716" s="4" t="s">
        <v>13</v>
      </c>
      <c r="D716" s="4" t="s">
        <v>1509</v>
      </c>
      <c r="E716" s="4" t="s">
        <v>1510</v>
      </c>
      <c r="F716" s="4" t="s">
        <v>516</v>
      </c>
      <c r="G716" s="1">
        <v>6.7000000000000004E-2</v>
      </c>
      <c r="H716" s="4" t="s">
        <v>166</v>
      </c>
      <c r="I716" s="4" t="s">
        <v>1145</v>
      </c>
      <c r="J716" s="4" t="s">
        <v>1511</v>
      </c>
      <c r="K716" s="4" t="s">
        <v>24</v>
      </c>
    </row>
    <row r="717" spans="1:11" x14ac:dyDescent="0.2">
      <c r="A717" s="4" t="s">
        <v>1544</v>
      </c>
      <c r="B717" s="4" t="s">
        <v>1545</v>
      </c>
      <c r="C717" s="4" t="s">
        <v>13</v>
      </c>
      <c r="D717" s="4" t="s">
        <v>1509</v>
      </c>
      <c r="E717" s="4" t="s">
        <v>1510</v>
      </c>
      <c r="F717" s="4" t="s">
        <v>516</v>
      </c>
      <c r="G717" s="1">
        <v>6.7000000000000004E-2</v>
      </c>
      <c r="H717" s="4" t="s">
        <v>166</v>
      </c>
      <c r="I717" s="4" t="s">
        <v>1145</v>
      </c>
      <c r="J717" s="4" t="s">
        <v>1511</v>
      </c>
      <c r="K717" s="4" t="s">
        <v>24</v>
      </c>
    </row>
    <row r="718" spans="1:11" x14ac:dyDescent="0.2">
      <c r="A718" s="4" t="s">
        <v>1546</v>
      </c>
      <c r="B718" s="4" t="s">
        <v>1547</v>
      </c>
      <c r="C718" s="4" t="s">
        <v>13</v>
      </c>
      <c r="D718" s="4" t="s">
        <v>1509</v>
      </c>
      <c r="E718" s="4" t="s">
        <v>1510</v>
      </c>
      <c r="F718" s="4" t="s">
        <v>516</v>
      </c>
      <c r="G718" s="1">
        <v>6.7000000000000004E-2</v>
      </c>
      <c r="H718" s="4" t="s">
        <v>166</v>
      </c>
      <c r="I718" s="4" t="s">
        <v>1145</v>
      </c>
      <c r="J718" s="4" t="s">
        <v>1511</v>
      </c>
      <c r="K718" s="4" t="s">
        <v>24</v>
      </c>
    </row>
    <row r="719" spans="1:11" x14ac:dyDescent="0.2">
      <c r="A719" s="4" t="s">
        <v>1548</v>
      </c>
      <c r="B719" s="4" t="s">
        <v>1549</v>
      </c>
      <c r="C719" s="4" t="s">
        <v>13</v>
      </c>
      <c r="D719" s="4" t="s">
        <v>1509</v>
      </c>
      <c r="E719" s="4" t="s">
        <v>1510</v>
      </c>
      <c r="F719" s="4" t="s">
        <v>516</v>
      </c>
      <c r="G719" s="1">
        <v>6.7000000000000004E-2</v>
      </c>
      <c r="H719" s="4" t="s">
        <v>166</v>
      </c>
      <c r="I719" s="4" t="s">
        <v>1145</v>
      </c>
      <c r="J719" s="4" t="s">
        <v>1511</v>
      </c>
      <c r="K719" s="4" t="s">
        <v>24</v>
      </c>
    </row>
    <row r="720" spans="1:11" x14ac:dyDescent="0.2">
      <c r="A720" s="4" t="s">
        <v>1550</v>
      </c>
      <c r="B720" s="4" t="s">
        <v>1551</v>
      </c>
      <c r="C720" s="4" t="s">
        <v>13</v>
      </c>
      <c r="D720" s="4" t="s">
        <v>1509</v>
      </c>
      <c r="E720" s="4" t="s">
        <v>1510</v>
      </c>
      <c r="F720" s="4" t="s">
        <v>516</v>
      </c>
      <c r="G720" s="1">
        <v>6.7000000000000004E-2</v>
      </c>
      <c r="H720" s="4" t="s">
        <v>166</v>
      </c>
      <c r="I720" s="4" t="s">
        <v>1145</v>
      </c>
      <c r="J720" s="4" t="s">
        <v>1511</v>
      </c>
      <c r="K720" s="4" t="s">
        <v>24</v>
      </c>
    </row>
    <row r="721" spans="1:11" x14ac:dyDescent="0.2">
      <c r="A721" s="4" t="s">
        <v>1552</v>
      </c>
      <c r="B721" s="4" t="s">
        <v>1553</v>
      </c>
      <c r="C721" s="4" t="s">
        <v>13</v>
      </c>
      <c r="D721" s="4" t="s">
        <v>1509</v>
      </c>
      <c r="E721" s="4" t="s">
        <v>1510</v>
      </c>
      <c r="F721" s="4" t="s">
        <v>516</v>
      </c>
      <c r="G721" s="1">
        <v>0</v>
      </c>
      <c r="H721" s="4" t="s">
        <v>254</v>
      </c>
      <c r="I721" s="4" t="s">
        <v>1145</v>
      </c>
      <c r="J721" s="4" t="s">
        <v>1511</v>
      </c>
      <c r="K721" s="4" t="s">
        <v>24</v>
      </c>
    </row>
    <row r="722" spans="1:11" x14ac:dyDescent="0.2">
      <c r="A722" s="4" t="s">
        <v>643</v>
      </c>
      <c r="B722" s="4" t="s">
        <v>644</v>
      </c>
      <c r="C722" s="4" t="s">
        <v>49</v>
      </c>
      <c r="D722" s="4" t="s">
        <v>1509</v>
      </c>
      <c r="E722" s="4" t="s">
        <v>1510</v>
      </c>
      <c r="F722" s="4" t="s">
        <v>516</v>
      </c>
      <c r="G722" s="1">
        <v>0</v>
      </c>
      <c r="H722" s="4" t="s">
        <v>254</v>
      </c>
      <c r="I722" s="4" t="s">
        <v>1145</v>
      </c>
      <c r="J722" s="4" t="s">
        <v>1511</v>
      </c>
      <c r="K722" s="4" t="s">
        <v>24</v>
      </c>
    </row>
    <row r="723" spans="1:11" x14ac:dyDescent="0.2">
      <c r="A723" s="4" t="s">
        <v>1554</v>
      </c>
      <c r="B723" s="4" t="s">
        <v>1555</v>
      </c>
      <c r="C723" s="4" t="s">
        <v>13</v>
      </c>
      <c r="D723" s="4" t="s">
        <v>1509</v>
      </c>
      <c r="E723" s="4" t="s">
        <v>1510</v>
      </c>
      <c r="F723" s="4" t="s">
        <v>516</v>
      </c>
      <c r="G723" s="1">
        <v>0</v>
      </c>
      <c r="H723" s="4" t="s">
        <v>254</v>
      </c>
      <c r="I723" s="4" t="s">
        <v>1145</v>
      </c>
      <c r="J723" s="4" t="s">
        <v>1511</v>
      </c>
      <c r="K723" s="4" t="s">
        <v>24</v>
      </c>
    </row>
    <row r="724" spans="1:11" x14ac:dyDescent="0.2">
      <c r="A724" s="4" t="s">
        <v>1556</v>
      </c>
      <c r="B724" s="4" t="s">
        <v>1557</v>
      </c>
      <c r="C724" s="4" t="s">
        <v>13</v>
      </c>
      <c r="D724" s="4" t="s">
        <v>1509</v>
      </c>
      <c r="E724" s="4" t="s">
        <v>1510</v>
      </c>
      <c r="F724" s="4" t="s">
        <v>516</v>
      </c>
      <c r="G724" s="1">
        <v>6.7000000000000004E-2</v>
      </c>
      <c r="H724" s="4" t="s">
        <v>166</v>
      </c>
      <c r="I724" s="4" t="s">
        <v>1145</v>
      </c>
      <c r="J724" s="4" t="s">
        <v>1511</v>
      </c>
      <c r="K724" s="4" t="s">
        <v>24</v>
      </c>
    </row>
    <row r="725" spans="1:11" x14ac:dyDescent="0.2">
      <c r="A725" s="4" t="s">
        <v>1558</v>
      </c>
      <c r="B725" s="4" t="s">
        <v>1559</v>
      </c>
      <c r="C725" s="4" t="s">
        <v>13</v>
      </c>
      <c r="D725" s="4" t="s">
        <v>1509</v>
      </c>
      <c r="E725" s="4" t="s">
        <v>1510</v>
      </c>
      <c r="F725" s="4" t="s">
        <v>516</v>
      </c>
      <c r="G725" s="1">
        <v>3.3000000000000002E-2</v>
      </c>
      <c r="H725" s="4" t="s">
        <v>225</v>
      </c>
      <c r="I725" s="4" t="s">
        <v>1145</v>
      </c>
      <c r="J725" s="4" t="s">
        <v>1511</v>
      </c>
      <c r="K725" s="4" t="s">
        <v>24</v>
      </c>
    </row>
    <row r="726" spans="1:11" x14ac:dyDescent="0.2">
      <c r="A726" s="4" t="s">
        <v>1560</v>
      </c>
      <c r="B726" s="4" t="s">
        <v>1561</v>
      </c>
      <c r="C726" s="4" t="s">
        <v>13</v>
      </c>
      <c r="D726" s="4" t="s">
        <v>1509</v>
      </c>
      <c r="E726" s="4" t="s">
        <v>1510</v>
      </c>
      <c r="F726" s="4" t="s">
        <v>516</v>
      </c>
      <c r="G726" s="1">
        <v>6.7000000000000004E-2</v>
      </c>
      <c r="H726" s="4" t="s">
        <v>166</v>
      </c>
      <c r="I726" s="4" t="s">
        <v>1145</v>
      </c>
      <c r="J726" s="4" t="s">
        <v>1511</v>
      </c>
      <c r="K726" s="4" t="s">
        <v>24</v>
      </c>
    </row>
    <row r="727" spans="1:11" x14ac:dyDescent="0.2">
      <c r="A727" s="4" t="s">
        <v>1562</v>
      </c>
      <c r="B727" s="4" t="s">
        <v>1563</v>
      </c>
      <c r="C727" s="4" t="s">
        <v>13</v>
      </c>
      <c r="D727" s="4" t="s">
        <v>1509</v>
      </c>
      <c r="E727" s="4" t="s">
        <v>1510</v>
      </c>
      <c r="F727" s="4" t="s">
        <v>516</v>
      </c>
      <c r="G727" s="1">
        <v>6.7000000000000004E-2</v>
      </c>
      <c r="H727" s="4" t="s">
        <v>166</v>
      </c>
      <c r="I727" s="4" t="s">
        <v>1145</v>
      </c>
      <c r="J727" s="4" t="s">
        <v>1511</v>
      </c>
      <c r="K727" s="4" t="s">
        <v>24</v>
      </c>
    </row>
    <row r="728" spans="1:11" x14ac:dyDescent="0.2">
      <c r="A728" s="4" t="s">
        <v>1564</v>
      </c>
      <c r="B728" s="4" t="s">
        <v>1565</v>
      </c>
      <c r="C728" s="4" t="s">
        <v>13</v>
      </c>
      <c r="D728" s="4" t="s">
        <v>1509</v>
      </c>
      <c r="E728" s="4" t="s">
        <v>1510</v>
      </c>
      <c r="F728" s="4" t="s">
        <v>516</v>
      </c>
      <c r="G728" s="1">
        <v>3.3000000000000002E-2</v>
      </c>
      <c r="H728" s="4" t="s">
        <v>225</v>
      </c>
      <c r="I728" s="4" t="s">
        <v>1145</v>
      </c>
      <c r="J728" s="4" t="s">
        <v>1511</v>
      </c>
      <c r="K728" s="4" t="s">
        <v>24</v>
      </c>
    </row>
    <row r="729" spans="1:11" x14ac:dyDescent="0.2">
      <c r="A729" s="4" t="s">
        <v>1566</v>
      </c>
      <c r="B729" s="4" t="s">
        <v>1567</v>
      </c>
      <c r="C729" s="4" t="s">
        <v>13</v>
      </c>
      <c r="D729" s="4" t="s">
        <v>1509</v>
      </c>
      <c r="E729" s="4" t="s">
        <v>1510</v>
      </c>
      <c r="F729" s="4" t="s">
        <v>516</v>
      </c>
      <c r="G729" s="1">
        <v>6.7000000000000004E-2</v>
      </c>
      <c r="H729" s="4" t="s">
        <v>166</v>
      </c>
      <c r="I729" s="4" t="s">
        <v>1145</v>
      </c>
      <c r="J729" s="4" t="s">
        <v>1511</v>
      </c>
      <c r="K729" s="4" t="s">
        <v>24</v>
      </c>
    </row>
    <row r="730" spans="1:11" x14ac:dyDescent="0.2">
      <c r="A730" s="4" t="s">
        <v>1568</v>
      </c>
      <c r="B730" s="4" t="s">
        <v>1569</v>
      </c>
      <c r="C730" s="4" t="s">
        <v>49</v>
      </c>
      <c r="D730" s="4" t="s">
        <v>1509</v>
      </c>
      <c r="E730" s="4" t="s">
        <v>1510</v>
      </c>
      <c r="F730" s="4" t="s">
        <v>516</v>
      </c>
      <c r="G730" s="1">
        <v>0</v>
      </c>
      <c r="H730" s="4" t="s">
        <v>254</v>
      </c>
      <c r="I730" s="4" t="s">
        <v>1145</v>
      </c>
      <c r="J730" s="4" t="s">
        <v>1511</v>
      </c>
      <c r="K730" s="4" t="s">
        <v>1220</v>
      </c>
    </row>
    <row r="731" spans="1:11" x14ac:dyDescent="0.2">
      <c r="A731" s="4" t="s">
        <v>1570</v>
      </c>
      <c r="B731" s="4" t="s">
        <v>1571</v>
      </c>
      <c r="C731" s="4" t="s">
        <v>13</v>
      </c>
      <c r="D731" s="4" t="s">
        <v>1509</v>
      </c>
      <c r="E731" s="4" t="s">
        <v>1510</v>
      </c>
      <c r="F731" s="4" t="s">
        <v>516</v>
      </c>
      <c r="G731" s="1">
        <v>6.7000000000000004E-2</v>
      </c>
      <c r="H731" s="4" t="s">
        <v>166</v>
      </c>
      <c r="I731" s="4" t="s">
        <v>1145</v>
      </c>
      <c r="J731" s="4" t="s">
        <v>1511</v>
      </c>
      <c r="K731" s="4" t="s">
        <v>1366</v>
      </c>
    </row>
    <row r="732" spans="1:11" x14ac:dyDescent="0.2">
      <c r="A732" s="4" t="s">
        <v>1572</v>
      </c>
      <c r="B732" s="4" t="s">
        <v>1573</v>
      </c>
      <c r="C732" s="4" t="s">
        <v>13</v>
      </c>
      <c r="D732" s="4" t="s">
        <v>1509</v>
      </c>
      <c r="E732" s="4" t="s">
        <v>1510</v>
      </c>
      <c r="F732" s="4" t="s">
        <v>516</v>
      </c>
      <c r="G732" s="1">
        <v>6.7000000000000004E-2</v>
      </c>
      <c r="H732" s="4" t="s">
        <v>166</v>
      </c>
      <c r="I732" s="4" t="s">
        <v>1145</v>
      </c>
      <c r="J732" s="4" t="s">
        <v>1511</v>
      </c>
      <c r="K732" s="4" t="s">
        <v>24</v>
      </c>
    </row>
    <row r="733" spans="1:11" x14ac:dyDescent="0.2">
      <c r="A733" s="4" t="s">
        <v>656</v>
      </c>
      <c r="B733" s="4" t="s">
        <v>657</v>
      </c>
      <c r="C733" s="4" t="s">
        <v>13</v>
      </c>
      <c r="D733" s="4" t="s">
        <v>1509</v>
      </c>
      <c r="E733" s="4" t="s">
        <v>1510</v>
      </c>
      <c r="F733" s="4" t="s">
        <v>516</v>
      </c>
      <c r="G733" s="1">
        <v>6.7000000000000004E-2</v>
      </c>
      <c r="H733" s="4" t="s">
        <v>166</v>
      </c>
      <c r="I733" s="4" t="s">
        <v>1145</v>
      </c>
      <c r="J733" s="4" t="s">
        <v>1511</v>
      </c>
      <c r="K733" s="4" t="s">
        <v>24</v>
      </c>
    </row>
    <row r="734" spans="1:11" x14ac:dyDescent="0.2">
      <c r="A734" s="4" t="s">
        <v>1574</v>
      </c>
      <c r="B734" s="4" t="s">
        <v>1575</v>
      </c>
      <c r="C734" s="4" t="s">
        <v>13</v>
      </c>
      <c r="D734" s="4" t="s">
        <v>1509</v>
      </c>
      <c r="E734" s="4" t="s">
        <v>1510</v>
      </c>
      <c r="F734" s="4" t="s">
        <v>516</v>
      </c>
      <c r="G734" s="1">
        <v>6.7000000000000004E-2</v>
      </c>
      <c r="H734" s="4" t="s">
        <v>166</v>
      </c>
      <c r="I734" s="4" t="s">
        <v>1145</v>
      </c>
      <c r="J734" s="4" t="s">
        <v>1511</v>
      </c>
      <c r="K734" s="4" t="s">
        <v>24</v>
      </c>
    </row>
    <row r="735" spans="1:11" x14ac:dyDescent="0.2">
      <c r="A735" s="4" t="s">
        <v>1576</v>
      </c>
      <c r="B735" s="4" t="s">
        <v>1577</v>
      </c>
      <c r="C735" s="4" t="s">
        <v>13</v>
      </c>
      <c r="D735" s="4" t="s">
        <v>1578</v>
      </c>
      <c r="E735" s="4" t="s">
        <v>1579</v>
      </c>
      <c r="F735" s="4" t="s">
        <v>16</v>
      </c>
      <c r="G735" s="1">
        <v>0.08</v>
      </c>
      <c r="H735" s="4" t="s">
        <v>1476</v>
      </c>
      <c r="I735" s="4" t="s">
        <v>1580</v>
      </c>
      <c r="J735" s="4" t="s">
        <v>1581</v>
      </c>
      <c r="K735" s="4" t="s">
        <v>1582</v>
      </c>
    </row>
    <row r="736" spans="1:11" x14ac:dyDescent="0.2">
      <c r="A736" s="4" t="s">
        <v>1583</v>
      </c>
      <c r="B736" s="4" t="s">
        <v>1584</v>
      </c>
      <c r="C736" s="4" t="s">
        <v>13</v>
      </c>
      <c r="D736" s="4" t="s">
        <v>1578</v>
      </c>
      <c r="E736" s="4" t="s">
        <v>1579</v>
      </c>
      <c r="F736" s="4" t="s">
        <v>16</v>
      </c>
      <c r="G736" s="1">
        <v>0.13300000000000001</v>
      </c>
      <c r="H736" s="4" t="s">
        <v>36</v>
      </c>
      <c r="I736" s="4" t="s">
        <v>1580</v>
      </c>
      <c r="J736" s="4" t="s">
        <v>1581</v>
      </c>
      <c r="K736" s="4" t="s">
        <v>1585</v>
      </c>
    </row>
    <row r="737" spans="1:11" x14ac:dyDescent="0.2">
      <c r="A737" s="4" t="s">
        <v>1586</v>
      </c>
      <c r="B737" s="4" t="s">
        <v>1587</v>
      </c>
      <c r="C737" s="4" t="s">
        <v>13</v>
      </c>
      <c r="D737" s="4" t="s">
        <v>1578</v>
      </c>
      <c r="E737" s="4" t="s">
        <v>1579</v>
      </c>
      <c r="F737" s="4" t="s">
        <v>16</v>
      </c>
      <c r="G737" s="1">
        <v>0.13300000000000001</v>
      </c>
      <c r="H737" s="4" t="s">
        <v>36</v>
      </c>
      <c r="I737" s="4" t="s">
        <v>1580</v>
      </c>
      <c r="J737" s="4" t="s">
        <v>1581</v>
      </c>
      <c r="K737" s="4" t="s">
        <v>1585</v>
      </c>
    </row>
    <row r="738" spans="1:11" x14ac:dyDescent="0.2">
      <c r="A738" s="4" t="s">
        <v>1588</v>
      </c>
      <c r="B738" s="4" t="s">
        <v>1589</v>
      </c>
      <c r="C738" s="4" t="s">
        <v>13</v>
      </c>
      <c r="D738" s="4" t="s">
        <v>1578</v>
      </c>
      <c r="E738" s="4" t="s">
        <v>1579</v>
      </c>
      <c r="F738" s="4" t="s">
        <v>16</v>
      </c>
      <c r="G738" s="1">
        <v>8.8999999999999996E-2</v>
      </c>
      <c r="H738" s="4" t="s">
        <v>17</v>
      </c>
      <c r="I738" s="4" t="s">
        <v>1580</v>
      </c>
      <c r="J738" s="4" t="s">
        <v>1581</v>
      </c>
      <c r="K738" s="4" t="s">
        <v>1590</v>
      </c>
    </row>
    <row r="739" spans="1:11" x14ac:dyDescent="0.2">
      <c r="A739" s="4" t="s">
        <v>1591</v>
      </c>
      <c r="B739" s="4" t="s">
        <v>1592</v>
      </c>
      <c r="C739" s="4" t="s">
        <v>13</v>
      </c>
      <c r="D739" s="4" t="s">
        <v>1578</v>
      </c>
      <c r="E739" s="4" t="s">
        <v>1579</v>
      </c>
      <c r="F739" s="4" t="s">
        <v>16</v>
      </c>
      <c r="G739" s="1">
        <v>0</v>
      </c>
      <c r="H739" s="4" t="s">
        <v>1149</v>
      </c>
      <c r="I739" s="4" t="s">
        <v>1580</v>
      </c>
      <c r="J739" s="4" t="s">
        <v>1581</v>
      </c>
      <c r="K739" s="4" t="s">
        <v>24</v>
      </c>
    </row>
    <row r="740" spans="1:11" x14ac:dyDescent="0.2">
      <c r="A740" s="4" t="s">
        <v>1593</v>
      </c>
      <c r="B740" s="4" t="s">
        <v>1594</v>
      </c>
      <c r="C740" s="4" t="s">
        <v>13</v>
      </c>
      <c r="D740" s="4" t="s">
        <v>1578</v>
      </c>
      <c r="E740" s="4" t="s">
        <v>1579</v>
      </c>
      <c r="F740" s="4" t="s">
        <v>16</v>
      </c>
      <c r="G740" s="1">
        <v>0</v>
      </c>
      <c r="H740" s="4" t="s">
        <v>1149</v>
      </c>
      <c r="I740" s="4" t="s">
        <v>1580</v>
      </c>
      <c r="J740" s="4" t="s">
        <v>1581</v>
      </c>
      <c r="K740" s="4" t="s">
        <v>24</v>
      </c>
    </row>
    <row r="741" spans="1:11" x14ac:dyDescent="0.2">
      <c r="A741" s="4" t="s">
        <v>1595</v>
      </c>
      <c r="B741" s="4" t="s">
        <v>1596</v>
      </c>
      <c r="C741" s="4" t="s">
        <v>13</v>
      </c>
      <c r="D741" s="4" t="s">
        <v>1578</v>
      </c>
      <c r="E741" s="4" t="s">
        <v>1579</v>
      </c>
      <c r="F741" s="4" t="s">
        <v>16</v>
      </c>
      <c r="G741" s="1">
        <v>0.111</v>
      </c>
      <c r="H741" s="4" t="s">
        <v>55</v>
      </c>
      <c r="I741" s="4" t="s">
        <v>1580</v>
      </c>
      <c r="J741" s="4" t="s">
        <v>1581</v>
      </c>
      <c r="K741" s="4" t="s">
        <v>24</v>
      </c>
    </row>
    <row r="742" spans="1:11" x14ac:dyDescent="0.2">
      <c r="A742" s="4" t="s">
        <v>1597</v>
      </c>
      <c r="B742" s="4" t="s">
        <v>1598</v>
      </c>
      <c r="C742" s="4" t="s">
        <v>13</v>
      </c>
      <c r="D742" s="4" t="s">
        <v>1578</v>
      </c>
      <c r="E742" s="4" t="s">
        <v>1579</v>
      </c>
      <c r="F742" s="4" t="s">
        <v>16</v>
      </c>
      <c r="G742" s="1">
        <v>0.13300000000000001</v>
      </c>
      <c r="H742" s="4" t="s">
        <v>36</v>
      </c>
      <c r="I742" s="4" t="s">
        <v>1580</v>
      </c>
      <c r="J742" s="4" t="s">
        <v>1581</v>
      </c>
      <c r="K742" s="4" t="s">
        <v>24</v>
      </c>
    </row>
    <row r="743" spans="1:11" x14ac:dyDescent="0.2">
      <c r="A743" s="4" t="s">
        <v>1599</v>
      </c>
      <c r="B743" s="4" t="s">
        <v>1600</v>
      </c>
      <c r="C743" s="4" t="s">
        <v>13</v>
      </c>
      <c r="D743" s="4" t="s">
        <v>1578</v>
      </c>
      <c r="E743" s="4" t="s">
        <v>1579</v>
      </c>
      <c r="F743" s="4" t="s">
        <v>16</v>
      </c>
      <c r="G743" s="1">
        <v>0</v>
      </c>
      <c r="H743" s="4" t="s">
        <v>1149</v>
      </c>
      <c r="I743" s="4" t="s">
        <v>1580</v>
      </c>
      <c r="J743" s="4" t="s">
        <v>1581</v>
      </c>
      <c r="K743" s="4" t="s">
        <v>24</v>
      </c>
    </row>
    <row r="744" spans="1:11" x14ac:dyDescent="0.2">
      <c r="A744" s="4" t="s">
        <v>1601</v>
      </c>
      <c r="B744" s="4" t="s">
        <v>1602</v>
      </c>
      <c r="C744" s="4" t="s">
        <v>13</v>
      </c>
      <c r="D744" s="4" t="s">
        <v>1578</v>
      </c>
      <c r="E744" s="4" t="s">
        <v>1579</v>
      </c>
      <c r="F744" s="4" t="s">
        <v>16</v>
      </c>
      <c r="G744" s="1">
        <v>8.8999999999999996E-2</v>
      </c>
      <c r="H744" s="4" t="s">
        <v>17</v>
      </c>
      <c r="I744" s="4" t="s">
        <v>1580</v>
      </c>
      <c r="J744" s="4" t="s">
        <v>1581</v>
      </c>
      <c r="K744" s="4" t="s">
        <v>24</v>
      </c>
    </row>
    <row r="745" spans="1:11" x14ac:dyDescent="0.2">
      <c r="A745" s="4" t="s">
        <v>1603</v>
      </c>
      <c r="B745" s="4" t="s">
        <v>1604</v>
      </c>
      <c r="C745" s="4" t="s">
        <v>13</v>
      </c>
      <c r="D745" s="4" t="s">
        <v>1578</v>
      </c>
      <c r="E745" s="4" t="s">
        <v>1579</v>
      </c>
      <c r="F745" s="4" t="s">
        <v>16</v>
      </c>
      <c r="G745" s="1">
        <v>0.13300000000000001</v>
      </c>
      <c r="H745" s="4" t="s">
        <v>36</v>
      </c>
      <c r="I745" s="4" t="s">
        <v>1580</v>
      </c>
      <c r="J745" s="4" t="s">
        <v>1581</v>
      </c>
      <c r="K745" s="4" t="s">
        <v>24</v>
      </c>
    </row>
    <row r="746" spans="1:11" x14ac:dyDescent="0.2">
      <c r="A746" s="4" t="s">
        <v>1605</v>
      </c>
      <c r="B746" s="4" t="s">
        <v>1606</v>
      </c>
      <c r="C746" s="4" t="s">
        <v>13</v>
      </c>
      <c r="D746" s="4" t="s">
        <v>1578</v>
      </c>
      <c r="E746" s="4" t="s">
        <v>1579</v>
      </c>
      <c r="F746" s="4" t="s">
        <v>16</v>
      </c>
      <c r="G746" s="1">
        <v>0.13300000000000001</v>
      </c>
      <c r="H746" s="4" t="s">
        <v>36</v>
      </c>
      <c r="I746" s="4" t="s">
        <v>1580</v>
      </c>
      <c r="J746" s="4" t="s">
        <v>1581</v>
      </c>
      <c r="K746" s="4" t="s">
        <v>24</v>
      </c>
    </row>
    <row r="747" spans="1:11" x14ac:dyDescent="0.2">
      <c r="A747" s="4" t="s">
        <v>1607</v>
      </c>
      <c r="B747" s="4" t="s">
        <v>1608</v>
      </c>
      <c r="C747" s="4" t="s">
        <v>13</v>
      </c>
      <c r="D747" s="4" t="s">
        <v>1578</v>
      </c>
      <c r="E747" s="4" t="s">
        <v>1579</v>
      </c>
      <c r="F747" s="4" t="s">
        <v>16</v>
      </c>
      <c r="G747" s="1">
        <v>0.111</v>
      </c>
      <c r="H747" s="4" t="s">
        <v>55</v>
      </c>
      <c r="I747" s="4" t="s">
        <v>1580</v>
      </c>
      <c r="J747" s="4" t="s">
        <v>1581</v>
      </c>
      <c r="K747" s="4" t="s">
        <v>24</v>
      </c>
    </row>
    <row r="748" spans="1:11" x14ac:dyDescent="0.2">
      <c r="A748" s="4" t="s">
        <v>1609</v>
      </c>
      <c r="B748" s="4" t="s">
        <v>1610</v>
      </c>
      <c r="C748" s="4" t="s">
        <v>13</v>
      </c>
      <c r="D748" s="4" t="s">
        <v>1578</v>
      </c>
      <c r="E748" s="4" t="s">
        <v>1579</v>
      </c>
      <c r="F748" s="4" t="s">
        <v>16</v>
      </c>
      <c r="G748" s="1">
        <v>4.3999999999999997E-2</v>
      </c>
      <c r="H748" s="4" t="s">
        <v>76</v>
      </c>
      <c r="I748" s="4" t="s">
        <v>1580</v>
      </c>
      <c r="J748" s="4" t="s">
        <v>1581</v>
      </c>
      <c r="K748" s="4" t="s">
        <v>24</v>
      </c>
    </row>
    <row r="749" spans="1:11" x14ac:dyDescent="0.2">
      <c r="A749" s="4" t="s">
        <v>1611</v>
      </c>
      <c r="B749" s="4" t="s">
        <v>1612</v>
      </c>
      <c r="C749" s="4" t="s">
        <v>13</v>
      </c>
      <c r="D749" s="4" t="s">
        <v>1578</v>
      </c>
      <c r="E749" s="4" t="s">
        <v>1579</v>
      </c>
      <c r="F749" s="4" t="s">
        <v>16</v>
      </c>
      <c r="G749" s="1">
        <v>0.13300000000000001</v>
      </c>
      <c r="H749" s="4" t="s">
        <v>36</v>
      </c>
      <c r="I749" s="4" t="s">
        <v>1580</v>
      </c>
      <c r="J749" s="4" t="s">
        <v>1581</v>
      </c>
      <c r="K749" s="4" t="s">
        <v>24</v>
      </c>
    </row>
    <row r="750" spans="1:11" x14ac:dyDescent="0.2">
      <c r="A750" s="4" t="s">
        <v>1613</v>
      </c>
      <c r="B750" s="4" t="s">
        <v>1614</v>
      </c>
      <c r="C750" s="4" t="s">
        <v>13</v>
      </c>
      <c r="D750" s="4" t="s">
        <v>1578</v>
      </c>
      <c r="E750" s="4" t="s">
        <v>1579</v>
      </c>
      <c r="F750" s="4" t="s">
        <v>16</v>
      </c>
      <c r="G750" s="1">
        <v>2.1999999999999999E-2</v>
      </c>
      <c r="H750" s="4" t="s">
        <v>23</v>
      </c>
      <c r="I750" s="4" t="s">
        <v>1580</v>
      </c>
      <c r="J750" s="4" t="s">
        <v>1581</v>
      </c>
      <c r="K750" s="4" t="s">
        <v>24</v>
      </c>
    </row>
    <row r="751" spans="1:11" x14ac:dyDescent="0.2">
      <c r="A751" s="4" t="s">
        <v>1615</v>
      </c>
      <c r="B751" s="4" t="s">
        <v>1616</v>
      </c>
      <c r="C751" s="4" t="s">
        <v>13</v>
      </c>
      <c r="D751" s="4" t="s">
        <v>1578</v>
      </c>
      <c r="E751" s="4" t="s">
        <v>1579</v>
      </c>
      <c r="F751" s="4" t="s">
        <v>16</v>
      </c>
      <c r="G751" s="1">
        <v>0.13300000000000001</v>
      </c>
      <c r="H751" s="4" t="s">
        <v>36</v>
      </c>
      <c r="I751" s="4" t="s">
        <v>1580</v>
      </c>
      <c r="J751" s="4" t="s">
        <v>1581</v>
      </c>
      <c r="K751" s="4" t="s">
        <v>24</v>
      </c>
    </row>
    <row r="752" spans="1:11" x14ac:dyDescent="0.2">
      <c r="A752" s="4" t="s">
        <v>1617</v>
      </c>
      <c r="B752" s="4" t="s">
        <v>1618</v>
      </c>
      <c r="C752" s="4" t="s">
        <v>13</v>
      </c>
      <c r="D752" s="4" t="s">
        <v>1578</v>
      </c>
      <c r="E752" s="4" t="s">
        <v>1579</v>
      </c>
      <c r="F752" s="4" t="s">
        <v>16</v>
      </c>
      <c r="G752" s="1">
        <v>0.111</v>
      </c>
      <c r="H752" s="4" t="s">
        <v>55</v>
      </c>
      <c r="I752" s="4" t="s">
        <v>1580</v>
      </c>
      <c r="J752" s="4" t="s">
        <v>1581</v>
      </c>
      <c r="K752" s="4" t="s">
        <v>24</v>
      </c>
    </row>
    <row r="753" spans="1:11" x14ac:dyDescent="0.2">
      <c r="A753" s="4" t="s">
        <v>1619</v>
      </c>
      <c r="B753" s="4" t="s">
        <v>1620</v>
      </c>
      <c r="C753" s="4" t="s">
        <v>13</v>
      </c>
      <c r="D753" s="4" t="s">
        <v>1578</v>
      </c>
      <c r="E753" s="4" t="s">
        <v>1579</v>
      </c>
      <c r="F753" s="4" t="s">
        <v>16</v>
      </c>
      <c r="G753" s="1">
        <v>2.1999999999999999E-2</v>
      </c>
      <c r="H753" s="4" t="s">
        <v>23</v>
      </c>
      <c r="I753" s="4" t="s">
        <v>1580</v>
      </c>
      <c r="J753" s="4" t="s">
        <v>1581</v>
      </c>
      <c r="K753" s="4" t="s">
        <v>24</v>
      </c>
    </row>
    <row r="754" spans="1:11" x14ac:dyDescent="0.2">
      <c r="A754" s="4" t="s">
        <v>1621</v>
      </c>
      <c r="B754" s="4" t="s">
        <v>1622</v>
      </c>
      <c r="C754" s="4" t="s">
        <v>13</v>
      </c>
      <c r="D754" s="4" t="s">
        <v>1578</v>
      </c>
      <c r="E754" s="4" t="s">
        <v>1579</v>
      </c>
      <c r="F754" s="4" t="s">
        <v>16</v>
      </c>
      <c r="G754" s="1">
        <v>0.111</v>
      </c>
      <c r="H754" s="4" t="s">
        <v>55</v>
      </c>
      <c r="I754" s="4" t="s">
        <v>1580</v>
      </c>
      <c r="J754" s="4" t="s">
        <v>1581</v>
      </c>
      <c r="K754" s="4" t="s">
        <v>24</v>
      </c>
    </row>
    <row r="755" spans="1:11" x14ac:dyDescent="0.2">
      <c r="A755" s="4" t="s">
        <v>1623</v>
      </c>
      <c r="B755" s="4" t="s">
        <v>1624</v>
      </c>
      <c r="C755" s="4" t="s">
        <v>13</v>
      </c>
      <c r="D755" s="4" t="s">
        <v>1578</v>
      </c>
      <c r="E755" s="4" t="s">
        <v>1579</v>
      </c>
      <c r="F755" s="4" t="s">
        <v>16</v>
      </c>
      <c r="G755" s="1">
        <v>0.111</v>
      </c>
      <c r="H755" s="4" t="s">
        <v>55</v>
      </c>
      <c r="I755" s="4" t="s">
        <v>1580</v>
      </c>
      <c r="J755" s="4" t="s">
        <v>1581</v>
      </c>
      <c r="K755" s="4" t="s">
        <v>24</v>
      </c>
    </row>
    <row r="756" spans="1:11" x14ac:dyDescent="0.2">
      <c r="A756" s="4" t="s">
        <v>1625</v>
      </c>
      <c r="B756" s="4" t="s">
        <v>1626</v>
      </c>
      <c r="C756" s="4" t="s">
        <v>49</v>
      </c>
      <c r="D756" s="4" t="s">
        <v>1578</v>
      </c>
      <c r="E756" s="4" t="s">
        <v>1579</v>
      </c>
      <c r="F756" s="4" t="s">
        <v>16</v>
      </c>
      <c r="G756" s="1">
        <v>0</v>
      </c>
      <c r="H756" s="4" t="s">
        <v>1149</v>
      </c>
      <c r="I756" s="4" t="s">
        <v>1580</v>
      </c>
      <c r="J756" s="4" t="s">
        <v>1581</v>
      </c>
      <c r="K756" s="4" t="s">
        <v>24</v>
      </c>
    </row>
    <row r="757" spans="1:11" x14ac:dyDescent="0.2">
      <c r="A757" s="4" t="s">
        <v>1627</v>
      </c>
      <c r="B757" s="4" t="s">
        <v>1628</v>
      </c>
      <c r="C757" s="4" t="s">
        <v>13</v>
      </c>
      <c r="D757" s="4" t="s">
        <v>1578</v>
      </c>
      <c r="E757" s="4" t="s">
        <v>1579</v>
      </c>
      <c r="F757" s="4" t="s">
        <v>16</v>
      </c>
      <c r="G757" s="1">
        <v>0.111</v>
      </c>
      <c r="H757" s="4" t="s">
        <v>55</v>
      </c>
      <c r="I757" s="4" t="s">
        <v>1580</v>
      </c>
      <c r="J757" s="4" t="s">
        <v>1581</v>
      </c>
      <c r="K757" s="4" t="s">
        <v>24</v>
      </c>
    </row>
    <row r="758" spans="1:11" x14ac:dyDescent="0.2">
      <c r="A758" s="4" t="s">
        <v>1629</v>
      </c>
      <c r="B758" s="4" t="s">
        <v>1630</v>
      </c>
      <c r="C758" s="4" t="s">
        <v>13</v>
      </c>
      <c r="D758" s="4" t="s">
        <v>1578</v>
      </c>
      <c r="E758" s="4" t="s">
        <v>1579</v>
      </c>
      <c r="F758" s="4" t="s">
        <v>16</v>
      </c>
      <c r="G758" s="1">
        <v>0.111</v>
      </c>
      <c r="H758" s="4" t="s">
        <v>55</v>
      </c>
      <c r="I758" s="4" t="s">
        <v>1580</v>
      </c>
      <c r="J758" s="4" t="s">
        <v>1581</v>
      </c>
      <c r="K758" s="4" t="s">
        <v>24</v>
      </c>
    </row>
    <row r="759" spans="1:11" x14ac:dyDescent="0.2">
      <c r="A759" s="4" t="s">
        <v>1631</v>
      </c>
      <c r="B759" s="4" t="s">
        <v>1632</v>
      </c>
      <c r="C759" s="4" t="s">
        <v>13</v>
      </c>
      <c r="D759" s="4" t="s">
        <v>1578</v>
      </c>
      <c r="E759" s="4" t="s">
        <v>1579</v>
      </c>
      <c r="F759" s="4" t="s">
        <v>16</v>
      </c>
      <c r="G759" s="1">
        <v>0.13300000000000001</v>
      </c>
      <c r="H759" s="4" t="s">
        <v>36</v>
      </c>
      <c r="I759" s="4" t="s">
        <v>1580</v>
      </c>
      <c r="J759" s="4" t="s">
        <v>1581</v>
      </c>
      <c r="K759" s="4" t="s">
        <v>24</v>
      </c>
    </row>
    <row r="760" spans="1:11" x14ac:dyDescent="0.2">
      <c r="A760" s="4" t="s">
        <v>1633</v>
      </c>
      <c r="B760" s="4" t="s">
        <v>1634</v>
      </c>
      <c r="C760" s="4" t="s">
        <v>13</v>
      </c>
      <c r="D760" s="4" t="s">
        <v>1578</v>
      </c>
      <c r="E760" s="4" t="s">
        <v>1579</v>
      </c>
      <c r="F760" s="4" t="s">
        <v>16</v>
      </c>
      <c r="G760" s="1">
        <v>0.111</v>
      </c>
      <c r="H760" s="4" t="s">
        <v>55</v>
      </c>
      <c r="I760" s="4" t="s">
        <v>1580</v>
      </c>
      <c r="J760" s="4" t="s">
        <v>1581</v>
      </c>
      <c r="K760" s="4" t="s">
        <v>24</v>
      </c>
    </row>
    <row r="761" spans="1:11" x14ac:dyDescent="0.2">
      <c r="A761" s="4" t="s">
        <v>1635</v>
      </c>
      <c r="B761" s="4" t="s">
        <v>1636</v>
      </c>
      <c r="C761" s="4" t="s">
        <v>13</v>
      </c>
      <c r="D761" s="4" t="s">
        <v>1578</v>
      </c>
      <c r="E761" s="4" t="s">
        <v>1579</v>
      </c>
      <c r="F761" s="4" t="s">
        <v>16</v>
      </c>
      <c r="G761" s="1">
        <v>0</v>
      </c>
      <c r="H761" s="4" t="s">
        <v>1149</v>
      </c>
      <c r="I761" s="4" t="s">
        <v>1580</v>
      </c>
      <c r="J761" s="4" t="s">
        <v>1581</v>
      </c>
      <c r="K761" s="4" t="s">
        <v>24</v>
      </c>
    </row>
    <row r="762" spans="1:11" x14ac:dyDescent="0.2">
      <c r="A762" s="4" t="s">
        <v>1637</v>
      </c>
      <c r="B762" s="4" t="s">
        <v>1638</v>
      </c>
      <c r="C762" s="4" t="s">
        <v>13</v>
      </c>
      <c r="D762" s="4" t="s">
        <v>1578</v>
      </c>
      <c r="E762" s="4" t="s">
        <v>1579</v>
      </c>
      <c r="F762" s="4" t="s">
        <v>16</v>
      </c>
      <c r="G762" s="1">
        <v>0</v>
      </c>
      <c r="H762" s="4" t="s">
        <v>1149</v>
      </c>
      <c r="I762" s="4" t="s">
        <v>1580</v>
      </c>
      <c r="J762" s="4" t="s">
        <v>1581</v>
      </c>
      <c r="K762" s="4" t="s">
        <v>24</v>
      </c>
    </row>
    <row r="763" spans="1:11" x14ac:dyDescent="0.2">
      <c r="A763" s="4" t="s">
        <v>1639</v>
      </c>
      <c r="B763" s="4" t="s">
        <v>1640</v>
      </c>
      <c r="C763" s="4" t="s">
        <v>13</v>
      </c>
      <c r="D763" s="4" t="s">
        <v>1578</v>
      </c>
      <c r="E763" s="4" t="s">
        <v>1579</v>
      </c>
      <c r="F763" s="4" t="s">
        <v>16</v>
      </c>
      <c r="G763" s="1">
        <v>0</v>
      </c>
      <c r="H763" s="4" t="s">
        <v>1149</v>
      </c>
      <c r="I763" s="4" t="s">
        <v>1580</v>
      </c>
      <c r="J763" s="4" t="s">
        <v>1581</v>
      </c>
      <c r="K763" s="4" t="s">
        <v>24</v>
      </c>
    </row>
    <row r="764" spans="1:11" x14ac:dyDescent="0.2">
      <c r="A764" s="4" t="s">
        <v>1641</v>
      </c>
      <c r="B764" s="4" t="s">
        <v>1642</v>
      </c>
      <c r="C764" s="4" t="s">
        <v>13</v>
      </c>
      <c r="D764" s="4" t="s">
        <v>1578</v>
      </c>
      <c r="E764" s="4" t="s">
        <v>1579</v>
      </c>
      <c r="F764" s="4" t="s">
        <v>16</v>
      </c>
      <c r="G764" s="1">
        <v>0.13300000000000001</v>
      </c>
      <c r="H764" s="4" t="s">
        <v>36</v>
      </c>
      <c r="I764" s="4" t="s">
        <v>1580</v>
      </c>
      <c r="J764" s="4" t="s">
        <v>1581</v>
      </c>
      <c r="K764" s="4" t="s">
        <v>24</v>
      </c>
    </row>
    <row r="765" spans="1:11" x14ac:dyDescent="0.2">
      <c r="A765" s="4" t="s">
        <v>1643</v>
      </c>
      <c r="B765" s="4" t="s">
        <v>1644</v>
      </c>
      <c r="C765" s="4" t="s">
        <v>13</v>
      </c>
      <c r="D765" s="4" t="s">
        <v>1578</v>
      </c>
      <c r="E765" s="4" t="s">
        <v>1579</v>
      </c>
      <c r="F765" s="4" t="s">
        <v>16</v>
      </c>
      <c r="G765" s="1">
        <v>0.13300000000000001</v>
      </c>
      <c r="H765" s="4" t="s">
        <v>36</v>
      </c>
      <c r="I765" s="4" t="s">
        <v>1580</v>
      </c>
      <c r="J765" s="4" t="s">
        <v>1581</v>
      </c>
      <c r="K765" s="4" t="s">
        <v>24</v>
      </c>
    </row>
    <row r="766" spans="1:11" x14ac:dyDescent="0.2">
      <c r="A766" s="4" t="s">
        <v>1645</v>
      </c>
      <c r="B766" s="4" t="s">
        <v>1646</v>
      </c>
      <c r="C766" s="4" t="s">
        <v>13</v>
      </c>
      <c r="D766" s="4" t="s">
        <v>1578</v>
      </c>
      <c r="E766" s="4" t="s">
        <v>1579</v>
      </c>
      <c r="F766" s="4" t="s">
        <v>16</v>
      </c>
      <c r="G766" s="1">
        <v>0.111</v>
      </c>
      <c r="H766" s="4" t="s">
        <v>55</v>
      </c>
      <c r="I766" s="4" t="s">
        <v>1580</v>
      </c>
      <c r="J766" s="4" t="s">
        <v>1581</v>
      </c>
      <c r="K766" s="4" t="s">
        <v>24</v>
      </c>
    </row>
    <row r="767" spans="1:11" x14ac:dyDescent="0.2">
      <c r="A767" s="4" t="s">
        <v>1158</v>
      </c>
      <c r="B767" s="4" t="s">
        <v>1159</v>
      </c>
      <c r="C767" s="4" t="s">
        <v>13</v>
      </c>
      <c r="D767" s="4" t="s">
        <v>1578</v>
      </c>
      <c r="E767" s="4" t="s">
        <v>1579</v>
      </c>
      <c r="F767" s="4" t="s">
        <v>16</v>
      </c>
      <c r="G767" s="1">
        <v>4.3999999999999997E-2</v>
      </c>
      <c r="H767" s="4" t="s">
        <v>76</v>
      </c>
      <c r="I767" s="4" t="s">
        <v>1580</v>
      </c>
      <c r="J767" s="4" t="s">
        <v>1581</v>
      </c>
      <c r="K767" s="4" t="s">
        <v>24</v>
      </c>
    </row>
    <row r="768" spans="1:11" x14ac:dyDescent="0.2">
      <c r="A768" s="4" t="s">
        <v>47</v>
      </c>
      <c r="B768" s="4" t="s">
        <v>48</v>
      </c>
      <c r="C768" s="4" t="s">
        <v>13</v>
      </c>
      <c r="D768" s="4" t="s">
        <v>1578</v>
      </c>
      <c r="E768" s="4" t="s">
        <v>1579</v>
      </c>
      <c r="F768" s="4" t="s">
        <v>16</v>
      </c>
      <c r="G768" s="1">
        <v>0.111</v>
      </c>
      <c r="H768" s="4" t="s">
        <v>55</v>
      </c>
      <c r="I768" s="4" t="s">
        <v>1580</v>
      </c>
      <c r="J768" s="4" t="s">
        <v>1581</v>
      </c>
      <c r="K768" s="4" t="s">
        <v>24</v>
      </c>
    </row>
    <row r="769" spans="1:11" x14ac:dyDescent="0.2">
      <c r="A769" s="4" t="s">
        <v>1647</v>
      </c>
      <c r="B769" s="4" t="s">
        <v>1648</v>
      </c>
      <c r="C769" s="4" t="s">
        <v>13</v>
      </c>
      <c r="D769" s="4" t="s">
        <v>1578</v>
      </c>
      <c r="E769" s="4" t="s">
        <v>1579</v>
      </c>
      <c r="F769" s="4" t="s">
        <v>16</v>
      </c>
      <c r="G769" s="1">
        <v>0</v>
      </c>
      <c r="H769" s="4" t="s">
        <v>1649</v>
      </c>
      <c r="I769" s="4" t="s">
        <v>1580</v>
      </c>
      <c r="J769" s="4" t="s">
        <v>1581</v>
      </c>
      <c r="K769" s="4" t="s">
        <v>24</v>
      </c>
    </row>
    <row r="770" spans="1:11" x14ac:dyDescent="0.2">
      <c r="A770" s="4" t="s">
        <v>1650</v>
      </c>
      <c r="B770" s="4" t="s">
        <v>1651</v>
      </c>
      <c r="C770" s="4" t="s">
        <v>13</v>
      </c>
      <c r="D770" s="4" t="s">
        <v>1652</v>
      </c>
      <c r="E770" s="4" t="s">
        <v>1653</v>
      </c>
      <c r="F770" s="4" t="s">
        <v>16</v>
      </c>
      <c r="G770" s="1">
        <v>2.1999999999999999E-2</v>
      </c>
      <c r="H770" s="4" t="s">
        <v>23</v>
      </c>
      <c r="I770" s="4" t="s">
        <v>1580</v>
      </c>
      <c r="J770" s="4" t="s">
        <v>1654</v>
      </c>
      <c r="K770" s="4" t="s">
        <v>1655</v>
      </c>
    </row>
    <row r="771" spans="1:11" x14ac:dyDescent="0.2">
      <c r="A771" s="4" t="s">
        <v>1656</v>
      </c>
      <c r="B771" s="4" t="s">
        <v>1657</v>
      </c>
      <c r="C771" s="4" t="s">
        <v>13</v>
      </c>
      <c r="D771" s="4" t="s">
        <v>1652</v>
      </c>
      <c r="E771" s="4" t="s">
        <v>1653</v>
      </c>
      <c r="F771" s="4" t="s">
        <v>16</v>
      </c>
      <c r="G771" s="1">
        <v>0</v>
      </c>
      <c r="H771" s="4" t="s">
        <v>1649</v>
      </c>
      <c r="I771" s="4" t="s">
        <v>1580</v>
      </c>
      <c r="J771" s="4" t="s">
        <v>1654</v>
      </c>
      <c r="K771" s="4" t="s">
        <v>24</v>
      </c>
    </row>
    <row r="772" spans="1:11" x14ac:dyDescent="0.2">
      <c r="A772" s="4" t="s">
        <v>1658</v>
      </c>
      <c r="B772" s="4" t="s">
        <v>1659</v>
      </c>
      <c r="C772" s="4" t="s">
        <v>13</v>
      </c>
      <c r="D772" s="4" t="s">
        <v>1652</v>
      </c>
      <c r="E772" s="4" t="s">
        <v>1653</v>
      </c>
      <c r="F772" s="4" t="s">
        <v>16</v>
      </c>
      <c r="G772" s="1">
        <v>0</v>
      </c>
      <c r="H772" s="4" t="s">
        <v>1649</v>
      </c>
      <c r="I772" s="4" t="s">
        <v>1580</v>
      </c>
      <c r="J772" s="4" t="s">
        <v>1654</v>
      </c>
      <c r="K772" s="4" t="s">
        <v>24</v>
      </c>
    </row>
    <row r="773" spans="1:11" x14ac:dyDescent="0.2">
      <c r="A773" s="4" t="s">
        <v>1660</v>
      </c>
      <c r="B773" s="4" t="s">
        <v>1661</v>
      </c>
      <c r="C773" s="4" t="s">
        <v>13</v>
      </c>
      <c r="D773" s="4" t="s">
        <v>1652</v>
      </c>
      <c r="E773" s="4" t="s">
        <v>1653</v>
      </c>
      <c r="F773" s="4" t="s">
        <v>16</v>
      </c>
      <c r="G773" s="1">
        <v>0</v>
      </c>
      <c r="H773" s="4" t="s">
        <v>1649</v>
      </c>
      <c r="I773" s="4" t="s">
        <v>1580</v>
      </c>
      <c r="J773" s="4" t="s">
        <v>1654</v>
      </c>
      <c r="K773" s="4" t="s">
        <v>24</v>
      </c>
    </row>
    <row r="774" spans="1:11" x14ac:dyDescent="0.2">
      <c r="A774" s="4" t="s">
        <v>1662</v>
      </c>
      <c r="B774" s="4" t="s">
        <v>1663</v>
      </c>
      <c r="C774" s="4" t="s">
        <v>13</v>
      </c>
      <c r="D774" s="4" t="s">
        <v>1652</v>
      </c>
      <c r="E774" s="4" t="s">
        <v>1653</v>
      </c>
      <c r="F774" s="4" t="s">
        <v>16</v>
      </c>
      <c r="G774" s="1">
        <v>0</v>
      </c>
      <c r="H774" s="4" t="s">
        <v>1649</v>
      </c>
      <c r="I774" s="4" t="s">
        <v>1580</v>
      </c>
      <c r="J774" s="4" t="s">
        <v>1654</v>
      </c>
      <c r="K774" s="4" t="s">
        <v>24</v>
      </c>
    </row>
    <row r="775" spans="1:11" x14ac:dyDescent="0.2">
      <c r="A775" s="4" t="s">
        <v>1664</v>
      </c>
      <c r="B775" s="4" t="s">
        <v>1665</v>
      </c>
      <c r="C775" s="4" t="s">
        <v>13</v>
      </c>
      <c r="D775" s="4" t="s">
        <v>1652</v>
      </c>
      <c r="E775" s="4" t="s">
        <v>1653</v>
      </c>
      <c r="F775" s="4" t="s">
        <v>16</v>
      </c>
      <c r="G775" s="1">
        <v>0</v>
      </c>
      <c r="H775" s="4" t="s">
        <v>1649</v>
      </c>
      <c r="I775" s="4" t="s">
        <v>1580</v>
      </c>
      <c r="J775" s="4" t="s">
        <v>1654</v>
      </c>
      <c r="K775" s="4" t="s">
        <v>24</v>
      </c>
    </row>
    <row r="776" spans="1:11" x14ac:dyDescent="0.2">
      <c r="A776" s="4" t="s">
        <v>1666</v>
      </c>
      <c r="B776" s="4" t="s">
        <v>1667</v>
      </c>
      <c r="C776" s="4" t="s">
        <v>13</v>
      </c>
      <c r="D776" s="4" t="s">
        <v>1652</v>
      </c>
      <c r="E776" s="4" t="s">
        <v>1653</v>
      </c>
      <c r="F776" s="4" t="s">
        <v>16</v>
      </c>
      <c r="G776" s="1">
        <v>0</v>
      </c>
      <c r="H776" s="4" t="s">
        <v>1649</v>
      </c>
      <c r="I776" s="4" t="s">
        <v>1580</v>
      </c>
      <c r="J776" s="4" t="s">
        <v>1654</v>
      </c>
      <c r="K776" s="4" t="s">
        <v>24</v>
      </c>
    </row>
    <row r="777" spans="1:11" x14ac:dyDescent="0.2">
      <c r="A777" s="4" t="s">
        <v>1668</v>
      </c>
      <c r="B777" s="4" t="s">
        <v>1669</v>
      </c>
      <c r="C777" s="4" t="s">
        <v>13</v>
      </c>
      <c r="D777" s="4" t="s">
        <v>1652</v>
      </c>
      <c r="E777" s="4" t="s">
        <v>1653</v>
      </c>
      <c r="F777" s="4" t="s">
        <v>16</v>
      </c>
      <c r="G777" s="1">
        <v>0</v>
      </c>
      <c r="H777" s="4" t="s">
        <v>1649</v>
      </c>
      <c r="I777" s="4" t="s">
        <v>1580</v>
      </c>
      <c r="J777" s="4" t="s">
        <v>1654</v>
      </c>
      <c r="K777" s="4" t="s">
        <v>24</v>
      </c>
    </row>
    <row r="778" spans="1:11" x14ac:dyDescent="0.2">
      <c r="A778" s="4" t="s">
        <v>1670</v>
      </c>
      <c r="B778" s="4" t="s">
        <v>1671</v>
      </c>
      <c r="C778" s="4" t="s">
        <v>49</v>
      </c>
      <c r="D778" s="4" t="s">
        <v>1652</v>
      </c>
      <c r="E778" s="4" t="s">
        <v>1653</v>
      </c>
      <c r="F778" s="4" t="s">
        <v>16</v>
      </c>
      <c r="G778" s="1">
        <v>0</v>
      </c>
      <c r="H778" s="4" t="s">
        <v>1649</v>
      </c>
      <c r="I778" s="4" t="s">
        <v>1580</v>
      </c>
      <c r="J778" s="4" t="s">
        <v>1654</v>
      </c>
      <c r="K778" s="4" t="s">
        <v>24</v>
      </c>
    </row>
    <row r="779" spans="1:11" x14ac:dyDescent="0.2">
      <c r="A779" s="4" t="s">
        <v>1672</v>
      </c>
      <c r="B779" s="4" t="s">
        <v>1673</v>
      </c>
      <c r="C779" s="4" t="s">
        <v>13</v>
      </c>
      <c r="D779" s="4" t="s">
        <v>1652</v>
      </c>
      <c r="E779" s="4" t="s">
        <v>1653</v>
      </c>
      <c r="F779" s="4" t="s">
        <v>16</v>
      </c>
      <c r="G779" s="1">
        <v>0</v>
      </c>
      <c r="H779" s="4" t="s">
        <v>1649</v>
      </c>
      <c r="I779" s="4" t="s">
        <v>1580</v>
      </c>
      <c r="J779" s="4" t="s">
        <v>1654</v>
      </c>
      <c r="K779" s="4" t="s">
        <v>24</v>
      </c>
    </row>
    <row r="780" spans="1:11" x14ac:dyDescent="0.2">
      <c r="A780" s="4" t="s">
        <v>1674</v>
      </c>
      <c r="B780" s="4" t="s">
        <v>1675</v>
      </c>
      <c r="C780" s="4" t="s">
        <v>13</v>
      </c>
      <c r="D780" s="4" t="s">
        <v>1652</v>
      </c>
      <c r="E780" s="4" t="s">
        <v>1653</v>
      </c>
      <c r="F780" s="4" t="s">
        <v>16</v>
      </c>
      <c r="G780" s="1">
        <v>0</v>
      </c>
      <c r="H780" s="4" t="s">
        <v>1649</v>
      </c>
      <c r="I780" s="4" t="s">
        <v>1580</v>
      </c>
      <c r="J780" s="4" t="s">
        <v>1654</v>
      </c>
      <c r="K780" s="4" t="s">
        <v>24</v>
      </c>
    </row>
    <row r="781" spans="1:11" x14ac:dyDescent="0.2">
      <c r="A781" s="4" t="s">
        <v>1676</v>
      </c>
      <c r="B781" s="4" t="s">
        <v>1677</v>
      </c>
      <c r="C781" s="4" t="s">
        <v>13</v>
      </c>
      <c r="D781" s="4" t="s">
        <v>1652</v>
      </c>
      <c r="E781" s="4" t="s">
        <v>1653</v>
      </c>
      <c r="F781" s="4" t="s">
        <v>16</v>
      </c>
      <c r="G781" s="1">
        <v>0</v>
      </c>
      <c r="H781" s="4" t="s">
        <v>1649</v>
      </c>
      <c r="I781" s="4" t="s">
        <v>1580</v>
      </c>
      <c r="J781" s="4" t="s">
        <v>1654</v>
      </c>
      <c r="K781" s="4" t="s">
        <v>24</v>
      </c>
    </row>
    <row r="782" spans="1:11" x14ac:dyDescent="0.2">
      <c r="A782" s="4" t="s">
        <v>1678</v>
      </c>
      <c r="B782" s="4" t="s">
        <v>1679</v>
      </c>
      <c r="C782" s="4" t="s">
        <v>13</v>
      </c>
      <c r="D782" s="4" t="s">
        <v>1652</v>
      </c>
      <c r="E782" s="4" t="s">
        <v>1653</v>
      </c>
      <c r="F782" s="4" t="s">
        <v>16</v>
      </c>
      <c r="G782" s="1">
        <v>0</v>
      </c>
      <c r="H782" s="4" t="s">
        <v>1649</v>
      </c>
      <c r="I782" s="4" t="s">
        <v>1580</v>
      </c>
      <c r="J782" s="4" t="s">
        <v>1654</v>
      </c>
      <c r="K782" s="4" t="s">
        <v>24</v>
      </c>
    </row>
    <row r="783" spans="1:11" x14ac:dyDescent="0.2">
      <c r="A783" s="4" t="s">
        <v>1680</v>
      </c>
      <c r="B783" s="4" t="s">
        <v>1681</v>
      </c>
      <c r="C783" s="4" t="s">
        <v>13</v>
      </c>
      <c r="D783" s="4" t="s">
        <v>1652</v>
      </c>
      <c r="E783" s="4" t="s">
        <v>1653</v>
      </c>
      <c r="F783" s="4" t="s">
        <v>16</v>
      </c>
      <c r="G783" s="1">
        <v>0</v>
      </c>
      <c r="H783" s="4" t="s">
        <v>1649</v>
      </c>
      <c r="I783" s="4" t="s">
        <v>1580</v>
      </c>
      <c r="J783" s="4" t="s">
        <v>1654</v>
      </c>
      <c r="K783" s="4" t="s">
        <v>24</v>
      </c>
    </row>
    <row r="784" spans="1:11" x14ac:dyDescent="0.2">
      <c r="A784" s="4" t="s">
        <v>1682</v>
      </c>
      <c r="B784" s="4" t="s">
        <v>1683</v>
      </c>
      <c r="C784" s="4" t="s">
        <v>13</v>
      </c>
      <c r="D784" s="4" t="s">
        <v>1652</v>
      </c>
      <c r="E784" s="4" t="s">
        <v>1653</v>
      </c>
      <c r="F784" s="4" t="s">
        <v>16</v>
      </c>
      <c r="G784" s="1">
        <v>0</v>
      </c>
      <c r="H784" s="4" t="s">
        <v>1649</v>
      </c>
      <c r="I784" s="4" t="s">
        <v>1580</v>
      </c>
      <c r="J784" s="4" t="s">
        <v>1654</v>
      </c>
      <c r="K784" s="4" t="s">
        <v>24</v>
      </c>
    </row>
    <row r="785" spans="1:11" x14ac:dyDescent="0.2">
      <c r="A785" s="4" t="s">
        <v>1684</v>
      </c>
      <c r="B785" s="4" t="s">
        <v>1685</v>
      </c>
      <c r="C785" s="4" t="s">
        <v>13</v>
      </c>
      <c r="D785" s="4" t="s">
        <v>1652</v>
      </c>
      <c r="E785" s="4" t="s">
        <v>1653</v>
      </c>
      <c r="F785" s="4" t="s">
        <v>16</v>
      </c>
      <c r="G785" s="1">
        <v>0</v>
      </c>
      <c r="H785" s="4" t="s">
        <v>1649</v>
      </c>
      <c r="I785" s="4" t="s">
        <v>1580</v>
      </c>
      <c r="J785" s="4" t="s">
        <v>1654</v>
      </c>
      <c r="K785" s="4" t="s">
        <v>24</v>
      </c>
    </row>
    <row r="786" spans="1:11" x14ac:dyDescent="0.2">
      <c r="A786" s="4" t="s">
        <v>1686</v>
      </c>
      <c r="B786" s="4" t="s">
        <v>1687</v>
      </c>
      <c r="C786" s="4" t="s">
        <v>13</v>
      </c>
      <c r="D786" s="4" t="s">
        <v>1652</v>
      </c>
      <c r="E786" s="4" t="s">
        <v>1653</v>
      </c>
      <c r="F786" s="4" t="s">
        <v>16</v>
      </c>
      <c r="G786" s="1">
        <v>0</v>
      </c>
      <c r="H786" s="4" t="s">
        <v>1649</v>
      </c>
      <c r="I786" s="4" t="s">
        <v>1580</v>
      </c>
      <c r="J786" s="4" t="s">
        <v>1654</v>
      </c>
      <c r="K786" s="4" t="s">
        <v>24</v>
      </c>
    </row>
    <row r="787" spans="1:11" x14ac:dyDescent="0.2">
      <c r="A787" s="4" t="s">
        <v>1688</v>
      </c>
      <c r="B787" s="4" t="s">
        <v>1689</v>
      </c>
      <c r="C787" s="4" t="s">
        <v>13</v>
      </c>
      <c r="D787" s="4" t="s">
        <v>1652</v>
      </c>
      <c r="E787" s="4" t="s">
        <v>1653</v>
      </c>
      <c r="F787" s="4" t="s">
        <v>16</v>
      </c>
      <c r="G787" s="1">
        <v>0</v>
      </c>
      <c r="H787" s="4" t="s">
        <v>1649</v>
      </c>
      <c r="I787" s="4" t="s">
        <v>1580</v>
      </c>
      <c r="J787" s="4" t="s">
        <v>1654</v>
      </c>
      <c r="K787" s="4" t="s">
        <v>24</v>
      </c>
    </row>
    <row r="788" spans="1:11" x14ac:dyDescent="0.2">
      <c r="A788" s="4" t="s">
        <v>1690</v>
      </c>
      <c r="B788" s="4" t="s">
        <v>1691</v>
      </c>
      <c r="C788" s="4" t="s">
        <v>13</v>
      </c>
      <c r="D788" s="4" t="s">
        <v>1652</v>
      </c>
      <c r="E788" s="4" t="s">
        <v>1653</v>
      </c>
      <c r="F788" s="4" t="s">
        <v>16</v>
      </c>
      <c r="G788" s="1">
        <v>0</v>
      </c>
      <c r="H788" s="4" t="s">
        <v>1649</v>
      </c>
      <c r="I788" s="4" t="s">
        <v>1580</v>
      </c>
      <c r="J788" s="4" t="s">
        <v>1654</v>
      </c>
      <c r="K788" s="4" t="s">
        <v>24</v>
      </c>
    </row>
    <row r="789" spans="1:11" x14ac:dyDescent="0.2">
      <c r="A789" s="4" t="s">
        <v>1692</v>
      </c>
      <c r="B789" s="4" t="s">
        <v>1693</v>
      </c>
      <c r="C789" s="4" t="s">
        <v>13</v>
      </c>
      <c r="D789" s="4" t="s">
        <v>1652</v>
      </c>
      <c r="E789" s="4" t="s">
        <v>1653</v>
      </c>
      <c r="F789" s="4" t="s">
        <v>16</v>
      </c>
      <c r="G789" s="1">
        <v>0</v>
      </c>
      <c r="H789" s="4" t="s">
        <v>1649</v>
      </c>
      <c r="I789" s="4" t="s">
        <v>1580</v>
      </c>
      <c r="J789" s="4" t="s">
        <v>1654</v>
      </c>
      <c r="K789" s="4" t="s">
        <v>24</v>
      </c>
    </row>
    <row r="790" spans="1:11" x14ac:dyDescent="0.2">
      <c r="A790" s="4" t="s">
        <v>1694</v>
      </c>
      <c r="B790" s="4" t="s">
        <v>1695</v>
      </c>
      <c r="C790" s="4" t="s">
        <v>13</v>
      </c>
      <c r="D790" s="4" t="s">
        <v>1652</v>
      </c>
      <c r="E790" s="4" t="s">
        <v>1653</v>
      </c>
      <c r="F790" s="4" t="s">
        <v>16</v>
      </c>
      <c r="G790" s="1">
        <v>0</v>
      </c>
      <c r="H790" s="4" t="s">
        <v>1649</v>
      </c>
      <c r="I790" s="4" t="s">
        <v>1580</v>
      </c>
      <c r="J790" s="4" t="s">
        <v>1654</v>
      </c>
      <c r="K790" s="4" t="s">
        <v>24</v>
      </c>
    </row>
    <row r="791" spans="1:11" x14ac:dyDescent="0.2">
      <c r="A791" s="4" t="s">
        <v>1696</v>
      </c>
      <c r="B791" s="4" t="s">
        <v>1697</v>
      </c>
      <c r="C791" s="4" t="s">
        <v>13</v>
      </c>
      <c r="D791" s="4" t="s">
        <v>1652</v>
      </c>
      <c r="E791" s="4" t="s">
        <v>1653</v>
      </c>
      <c r="F791" s="4" t="s">
        <v>16</v>
      </c>
      <c r="G791" s="1">
        <v>0</v>
      </c>
      <c r="H791" s="4" t="s">
        <v>1649</v>
      </c>
      <c r="I791" s="4" t="s">
        <v>1580</v>
      </c>
      <c r="J791" s="4" t="s">
        <v>1654</v>
      </c>
      <c r="K791" s="4" t="s">
        <v>24</v>
      </c>
    </row>
    <row r="792" spans="1:11" x14ac:dyDescent="0.2">
      <c r="A792" s="4" t="s">
        <v>1698</v>
      </c>
      <c r="B792" s="4" t="s">
        <v>1699</v>
      </c>
      <c r="C792" s="4" t="s">
        <v>13</v>
      </c>
      <c r="D792" s="4" t="s">
        <v>1652</v>
      </c>
      <c r="E792" s="4" t="s">
        <v>1653</v>
      </c>
      <c r="F792" s="4" t="s">
        <v>16</v>
      </c>
      <c r="G792" s="1">
        <v>0</v>
      </c>
      <c r="H792" s="4" t="s">
        <v>1649</v>
      </c>
      <c r="I792" s="4" t="s">
        <v>1580</v>
      </c>
      <c r="J792" s="4" t="s">
        <v>1654</v>
      </c>
      <c r="K792" s="4" t="s">
        <v>24</v>
      </c>
    </row>
    <row r="793" spans="1:11" x14ac:dyDescent="0.2">
      <c r="A793" s="4" t="s">
        <v>1700</v>
      </c>
      <c r="B793" s="4" t="s">
        <v>1701</v>
      </c>
      <c r="C793" s="4" t="s">
        <v>13</v>
      </c>
      <c r="D793" s="4" t="s">
        <v>1652</v>
      </c>
      <c r="E793" s="4" t="s">
        <v>1653</v>
      </c>
      <c r="F793" s="4" t="s">
        <v>16</v>
      </c>
      <c r="G793" s="1">
        <v>0</v>
      </c>
      <c r="H793" s="4" t="s">
        <v>1649</v>
      </c>
      <c r="I793" s="4" t="s">
        <v>1580</v>
      </c>
      <c r="J793" s="4" t="s">
        <v>1654</v>
      </c>
      <c r="K793" s="4" t="s">
        <v>24</v>
      </c>
    </row>
    <row r="794" spans="1:11" x14ac:dyDescent="0.2">
      <c r="A794" s="4" t="s">
        <v>1702</v>
      </c>
      <c r="B794" s="4" t="s">
        <v>1703</v>
      </c>
      <c r="C794" s="4" t="s">
        <v>13</v>
      </c>
      <c r="D794" s="4" t="s">
        <v>1652</v>
      </c>
      <c r="E794" s="4" t="s">
        <v>1653</v>
      </c>
      <c r="F794" s="4" t="s">
        <v>16</v>
      </c>
      <c r="G794" s="1">
        <v>0</v>
      </c>
      <c r="H794" s="4" t="s">
        <v>1649</v>
      </c>
      <c r="I794" s="4" t="s">
        <v>1580</v>
      </c>
      <c r="J794" s="4" t="s">
        <v>1654</v>
      </c>
      <c r="K794" s="4" t="s">
        <v>24</v>
      </c>
    </row>
    <row r="795" spans="1:11" x14ac:dyDescent="0.2">
      <c r="A795" s="4" t="s">
        <v>1704</v>
      </c>
      <c r="B795" s="4" t="s">
        <v>1705</v>
      </c>
      <c r="C795" s="4" t="s">
        <v>13</v>
      </c>
      <c r="D795" s="4" t="s">
        <v>1652</v>
      </c>
      <c r="E795" s="4" t="s">
        <v>1653</v>
      </c>
      <c r="F795" s="4" t="s">
        <v>16</v>
      </c>
      <c r="G795" s="1">
        <v>0</v>
      </c>
      <c r="H795" s="4" t="s">
        <v>1649</v>
      </c>
      <c r="I795" s="4" t="s">
        <v>1580</v>
      </c>
      <c r="J795" s="4" t="s">
        <v>1654</v>
      </c>
      <c r="K795" s="4" t="s">
        <v>24</v>
      </c>
    </row>
    <row r="796" spans="1:11" x14ac:dyDescent="0.2">
      <c r="A796" s="4" t="s">
        <v>1706</v>
      </c>
      <c r="B796" s="4" t="s">
        <v>1707</v>
      </c>
      <c r="C796" s="4" t="s">
        <v>13</v>
      </c>
      <c r="D796" s="4" t="s">
        <v>1652</v>
      </c>
      <c r="E796" s="4" t="s">
        <v>1653</v>
      </c>
      <c r="F796" s="4" t="s">
        <v>16</v>
      </c>
      <c r="G796" s="1">
        <v>0</v>
      </c>
      <c r="H796" s="4" t="s">
        <v>1649</v>
      </c>
      <c r="I796" s="4" t="s">
        <v>1580</v>
      </c>
      <c r="J796" s="4" t="s">
        <v>1654</v>
      </c>
      <c r="K796" s="4" t="s">
        <v>24</v>
      </c>
    </row>
    <row r="797" spans="1:11" x14ac:dyDescent="0.2">
      <c r="A797" s="4" t="s">
        <v>1708</v>
      </c>
      <c r="B797" s="4" t="s">
        <v>1709</v>
      </c>
      <c r="C797" s="4" t="s">
        <v>13</v>
      </c>
      <c r="D797" s="4" t="s">
        <v>1652</v>
      </c>
      <c r="E797" s="4" t="s">
        <v>1653</v>
      </c>
      <c r="F797" s="4" t="s">
        <v>16</v>
      </c>
      <c r="G797" s="1">
        <v>0</v>
      </c>
      <c r="H797" s="4" t="s">
        <v>1649</v>
      </c>
      <c r="I797" s="4" t="s">
        <v>1580</v>
      </c>
      <c r="J797" s="4" t="s">
        <v>1654</v>
      </c>
      <c r="K797" s="4" t="s">
        <v>1710</v>
      </c>
    </row>
    <row r="798" spans="1:11" x14ac:dyDescent="0.2">
      <c r="A798" s="4" t="s">
        <v>1711</v>
      </c>
      <c r="B798" s="4" t="s">
        <v>1712</v>
      </c>
      <c r="C798" s="4" t="s">
        <v>13</v>
      </c>
      <c r="D798" s="4" t="s">
        <v>1713</v>
      </c>
      <c r="E798" s="4" t="s">
        <v>1714</v>
      </c>
      <c r="F798" s="4" t="s">
        <v>1453</v>
      </c>
      <c r="G798" s="1">
        <v>2.1999999999999999E-2</v>
      </c>
      <c r="H798" s="4" t="s">
        <v>23</v>
      </c>
      <c r="I798" s="4" t="s">
        <v>1580</v>
      </c>
      <c r="J798" s="4" t="s">
        <v>1581</v>
      </c>
      <c r="K798" s="4" t="s">
        <v>1715</v>
      </c>
    </row>
    <row r="799" spans="1:11" x14ac:dyDescent="0.2">
      <c r="A799" s="4" t="s">
        <v>1716</v>
      </c>
      <c r="B799" s="4" t="s">
        <v>1717</v>
      </c>
      <c r="C799" s="4" t="s">
        <v>13</v>
      </c>
      <c r="D799" s="4" t="s">
        <v>1713</v>
      </c>
      <c r="E799" s="4" t="s">
        <v>1714</v>
      </c>
      <c r="F799" s="4" t="s">
        <v>1453</v>
      </c>
      <c r="G799" s="1">
        <v>6.7000000000000004E-2</v>
      </c>
      <c r="H799" s="4" t="s">
        <v>50</v>
      </c>
      <c r="I799" s="4" t="s">
        <v>1580</v>
      </c>
      <c r="J799" s="4" t="s">
        <v>1581</v>
      </c>
      <c r="K799" s="4" t="s">
        <v>24</v>
      </c>
    </row>
    <row r="800" spans="1:11" x14ac:dyDescent="0.2">
      <c r="A800" s="4" t="s">
        <v>1718</v>
      </c>
      <c r="B800" s="4" t="s">
        <v>1719</v>
      </c>
      <c r="C800" s="4" t="s">
        <v>13</v>
      </c>
      <c r="D800" s="4" t="s">
        <v>1713</v>
      </c>
      <c r="E800" s="4" t="s">
        <v>1714</v>
      </c>
      <c r="F800" s="4" t="s">
        <v>1453</v>
      </c>
      <c r="G800" s="1">
        <v>6.7000000000000004E-2</v>
      </c>
      <c r="H800" s="4" t="s">
        <v>50</v>
      </c>
      <c r="I800" s="4" t="s">
        <v>1580</v>
      </c>
      <c r="J800" s="4" t="s">
        <v>1581</v>
      </c>
      <c r="K800" s="4" t="s">
        <v>24</v>
      </c>
    </row>
    <row r="801" spans="1:11" x14ac:dyDescent="0.2">
      <c r="A801" s="4" t="s">
        <v>1720</v>
      </c>
      <c r="B801" s="4" t="s">
        <v>1721</v>
      </c>
      <c r="C801" s="4" t="s">
        <v>13</v>
      </c>
      <c r="D801" s="4" t="s">
        <v>1713</v>
      </c>
      <c r="E801" s="4" t="s">
        <v>1714</v>
      </c>
      <c r="F801" s="4" t="s">
        <v>1453</v>
      </c>
      <c r="G801" s="1">
        <v>2.1999999999999999E-2</v>
      </c>
      <c r="H801" s="4" t="s">
        <v>23</v>
      </c>
      <c r="I801" s="4" t="s">
        <v>1580</v>
      </c>
      <c r="J801" s="4" t="s">
        <v>1581</v>
      </c>
      <c r="K801" s="4" t="s">
        <v>24</v>
      </c>
    </row>
    <row r="802" spans="1:11" x14ac:dyDescent="0.2">
      <c r="A802" s="4" t="s">
        <v>1722</v>
      </c>
      <c r="B802" s="4" t="s">
        <v>1723</v>
      </c>
      <c r="C802" s="4" t="s">
        <v>13</v>
      </c>
      <c r="D802" s="4" t="s">
        <v>1713</v>
      </c>
      <c r="E802" s="4" t="s">
        <v>1714</v>
      </c>
      <c r="F802" s="4" t="s">
        <v>1453</v>
      </c>
      <c r="G802" s="1">
        <v>2.1999999999999999E-2</v>
      </c>
      <c r="H802" s="4" t="s">
        <v>23</v>
      </c>
      <c r="I802" s="4" t="s">
        <v>1580</v>
      </c>
      <c r="J802" s="4" t="s">
        <v>1581</v>
      </c>
      <c r="K802" s="4" t="s">
        <v>24</v>
      </c>
    </row>
    <row r="803" spans="1:11" x14ac:dyDescent="0.2">
      <c r="A803" s="4" t="s">
        <v>1724</v>
      </c>
      <c r="B803" s="4" t="s">
        <v>1725</v>
      </c>
      <c r="C803" s="4" t="s">
        <v>13</v>
      </c>
      <c r="D803" s="4" t="s">
        <v>1713</v>
      </c>
      <c r="E803" s="4" t="s">
        <v>1714</v>
      </c>
      <c r="F803" s="4" t="s">
        <v>1453</v>
      </c>
      <c r="G803" s="1">
        <v>6.7000000000000004E-2</v>
      </c>
      <c r="H803" s="4" t="s">
        <v>50</v>
      </c>
      <c r="I803" s="4" t="s">
        <v>1580</v>
      </c>
      <c r="J803" s="4" t="s">
        <v>1581</v>
      </c>
      <c r="K803" s="4" t="s">
        <v>24</v>
      </c>
    </row>
    <row r="804" spans="1:11" x14ac:dyDescent="0.2">
      <c r="A804" s="4" t="s">
        <v>1726</v>
      </c>
      <c r="B804" s="4" t="s">
        <v>1727</v>
      </c>
      <c r="C804" s="4" t="s">
        <v>13</v>
      </c>
      <c r="D804" s="4" t="s">
        <v>1713</v>
      </c>
      <c r="E804" s="4" t="s">
        <v>1714</v>
      </c>
      <c r="F804" s="4" t="s">
        <v>1453</v>
      </c>
      <c r="G804" s="1">
        <v>2.1999999999999999E-2</v>
      </c>
      <c r="H804" s="4" t="s">
        <v>23</v>
      </c>
      <c r="I804" s="4" t="s">
        <v>1580</v>
      </c>
      <c r="J804" s="4" t="s">
        <v>1581</v>
      </c>
      <c r="K804" s="4" t="s">
        <v>24</v>
      </c>
    </row>
    <row r="805" spans="1:11" x14ac:dyDescent="0.2">
      <c r="A805" s="4" t="s">
        <v>1728</v>
      </c>
      <c r="B805" s="4" t="s">
        <v>1729</v>
      </c>
      <c r="C805" s="4" t="s">
        <v>13</v>
      </c>
      <c r="D805" s="4" t="s">
        <v>1713</v>
      </c>
      <c r="E805" s="4" t="s">
        <v>1714</v>
      </c>
      <c r="F805" s="4" t="s">
        <v>1453</v>
      </c>
      <c r="G805" s="1">
        <v>6.7000000000000004E-2</v>
      </c>
      <c r="H805" s="4" t="s">
        <v>50</v>
      </c>
      <c r="I805" s="4" t="s">
        <v>1580</v>
      </c>
      <c r="J805" s="4" t="s">
        <v>1581</v>
      </c>
      <c r="K805" s="4" t="s">
        <v>24</v>
      </c>
    </row>
    <row r="806" spans="1:11" x14ac:dyDescent="0.2">
      <c r="A806" s="4" t="s">
        <v>1730</v>
      </c>
      <c r="B806" s="4" t="s">
        <v>1731</v>
      </c>
      <c r="C806" s="4" t="s">
        <v>13</v>
      </c>
      <c r="D806" s="4" t="s">
        <v>1713</v>
      </c>
      <c r="E806" s="4" t="s">
        <v>1714</v>
      </c>
      <c r="F806" s="4" t="s">
        <v>1453</v>
      </c>
      <c r="G806" s="1">
        <v>4.3999999999999997E-2</v>
      </c>
      <c r="H806" s="4" t="s">
        <v>76</v>
      </c>
      <c r="I806" s="4" t="s">
        <v>1580</v>
      </c>
      <c r="J806" s="4" t="s">
        <v>1581</v>
      </c>
      <c r="K806" s="4" t="s">
        <v>24</v>
      </c>
    </row>
    <row r="807" spans="1:11" x14ac:dyDescent="0.2">
      <c r="A807" s="4" t="s">
        <v>1732</v>
      </c>
      <c r="B807" s="4" t="s">
        <v>1733</v>
      </c>
      <c r="C807" s="4" t="s">
        <v>13</v>
      </c>
      <c r="D807" s="4" t="s">
        <v>1713</v>
      </c>
      <c r="E807" s="4" t="s">
        <v>1714</v>
      </c>
      <c r="F807" s="4" t="s">
        <v>1453</v>
      </c>
      <c r="G807" s="1">
        <v>4.3999999999999997E-2</v>
      </c>
      <c r="H807" s="4" t="s">
        <v>76</v>
      </c>
      <c r="I807" s="4" t="s">
        <v>1580</v>
      </c>
      <c r="J807" s="4" t="s">
        <v>1581</v>
      </c>
      <c r="K807" s="4" t="s">
        <v>24</v>
      </c>
    </row>
    <row r="808" spans="1:11" x14ac:dyDescent="0.2">
      <c r="A808" s="4" t="s">
        <v>1734</v>
      </c>
      <c r="B808" s="4" t="s">
        <v>1735</v>
      </c>
      <c r="C808" s="4" t="s">
        <v>13</v>
      </c>
      <c r="D808" s="4" t="s">
        <v>1713</v>
      </c>
      <c r="E808" s="4" t="s">
        <v>1714</v>
      </c>
      <c r="F808" s="4" t="s">
        <v>1453</v>
      </c>
      <c r="G808" s="1">
        <v>6.7000000000000004E-2</v>
      </c>
      <c r="H808" s="4" t="s">
        <v>50</v>
      </c>
      <c r="I808" s="4" t="s">
        <v>1580</v>
      </c>
      <c r="J808" s="4" t="s">
        <v>1581</v>
      </c>
      <c r="K808" s="4" t="s">
        <v>24</v>
      </c>
    </row>
    <row r="809" spans="1:11" x14ac:dyDescent="0.2">
      <c r="A809" s="4" t="s">
        <v>1736</v>
      </c>
      <c r="B809" s="4" t="s">
        <v>1737</v>
      </c>
      <c r="C809" s="4" t="s">
        <v>13</v>
      </c>
      <c r="D809" s="4" t="s">
        <v>1713</v>
      </c>
      <c r="E809" s="4" t="s">
        <v>1714</v>
      </c>
      <c r="F809" s="4" t="s">
        <v>1453</v>
      </c>
      <c r="G809" s="1">
        <v>6.7000000000000004E-2</v>
      </c>
      <c r="H809" s="4" t="s">
        <v>50</v>
      </c>
      <c r="I809" s="4" t="s">
        <v>1580</v>
      </c>
      <c r="J809" s="4" t="s">
        <v>1581</v>
      </c>
      <c r="K809" s="4" t="s">
        <v>24</v>
      </c>
    </row>
    <row r="810" spans="1:11" x14ac:dyDescent="0.2">
      <c r="A810" s="4" t="s">
        <v>1738</v>
      </c>
      <c r="B810" s="4" t="s">
        <v>1739</v>
      </c>
      <c r="C810" s="4" t="s">
        <v>13</v>
      </c>
      <c r="D810" s="4" t="s">
        <v>1713</v>
      </c>
      <c r="E810" s="4" t="s">
        <v>1714</v>
      </c>
      <c r="F810" s="4" t="s">
        <v>1453</v>
      </c>
      <c r="G810" s="1">
        <v>6.7000000000000004E-2</v>
      </c>
      <c r="H810" s="4" t="s">
        <v>50</v>
      </c>
      <c r="I810" s="4" t="s">
        <v>1580</v>
      </c>
      <c r="J810" s="4" t="s">
        <v>1581</v>
      </c>
      <c r="K810" s="4" t="s">
        <v>24</v>
      </c>
    </row>
    <row r="811" spans="1:11" x14ac:dyDescent="0.2">
      <c r="A811" s="4" t="s">
        <v>1740</v>
      </c>
      <c r="B811" s="4" t="s">
        <v>1741</v>
      </c>
      <c r="C811" s="4" t="s">
        <v>13</v>
      </c>
      <c r="D811" s="4" t="s">
        <v>1713</v>
      </c>
      <c r="E811" s="4" t="s">
        <v>1714</v>
      </c>
      <c r="F811" s="4" t="s">
        <v>1453</v>
      </c>
      <c r="G811" s="1">
        <v>6.7000000000000004E-2</v>
      </c>
      <c r="H811" s="4" t="s">
        <v>50</v>
      </c>
      <c r="I811" s="4" t="s">
        <v>1580</v>
      </c>
      <c r="J811" s="4" t="s">
        <v>1581</v>
      </c>
      <c r="K811" s="4" t="s">
        <v>24</v>
      </c>
    </row>
    <row r="812" spans="1:11" x14ac:dyDescent="0.2">
      <c r="A812" s="4" t="s">
        <v>1742</v>
      </c>
      <c r="B812" s="4" t="s">
        <v>1743</v>
      </c>
      <c r="C812" s="4" t="s">
        <v>13</v>
      </c>
      <c r="D812" s="4" t="s">
        <v>1713</v>
      </c>
      <c r="E812" s="4" t="s">
        <v>1714</v>
      </c>
      <c r="F812" s="4" t="s">
        <v>1453</v>
      </c>
      <c r="G812" s="1">
        <v>2.1999999999999999E-2</v>
      </c>
      <c r="H812" s="4" t="s">
        <v>23</v>
      </c>
      <c r="I812" s="4" t="s">
        <v>1580</v>
      </c>
      <c r="J812" s="4" t="s">
        <v>1581</v>
      </c>
      <c r="K812" s="4" t="s">
        <v>24</v>
      </c>
    </row>
    <row r="813" spans="1:11" x14ac:dyDescent="0.2">
      <c r="A813" s="4" t="s">
        <v>1744</v>
      </c>
      <c r="B813" s="4" t="s">
        <v>1745</v>
      </c>
      <c r="C813" s="4" t="s">
        <v>13</v>
      </c>
      <c r="D813" s="4" t="s">
        <v>1713</v>
      </c>
      <c r="E813" s="4" t="s">
        <v>1714</v>
      </c>
      <c r="F813" s="4" t="s">
        <v>1453</v>
      </c>
      <c r="G813" s="1">
        <v>4.3999999999999997E-2</v>
      </c>
      <c r="H813" s="4" t="s">
        <v>76</v>
      </c>
      <c r="I813" s="4" t="s">
        <v>1580</v>
      </c>
      <c r="J813" s="4" t="s">
        <v>1581</v>
      </c>
      <c r="K813" s="4" t="s">
        <v>24</v>
      </c>
    </row>
    <row r="814" spans="1:11" x14ac:dyDescent="0.2">
      <c r="A814" s="4" t="s">
        <v>1003</v>
      </c>
      <c r="B814" s="4" t="s">
        <v>1004</v>
      </c>
      <c r="C814" s="4" t="s">
        <v>49</v>
      </c>
      <c r="D814" s="4" t="s">
        <v>1713</v>
      </c>
      <c r="E814" s="4" t="s">
        <v>1714</v>
      </c>
      <c r="F814" s="4" t="s">
        <v>1453</v>
      </c>
      <c r="G814" s="1">
        <v>2.1999999999999999E-2</v>
      </c>
      <c r="H814" s="4" t="s">
        <v>23</v>
      </c>
      <c r="I814" s="4" t="s">
        <v>1580</v>
      </c>
      <c r="J814" s="4" t="s">
        <v>1581</v>
      </c>
      <c r="K814" s="4" t="s">
        <v>24</v>
      </c>
    </row>
    <row r="815" spans="1:11" x14ac:dyDescent="0.2">
      <c r="A815" s="4" t="s">
        <v>1746</v>
      </c>
      <c r="B815" s="4" t="s">
        <v>1747</v>
      </c>
      <c r="C815" s="4" t="s">
        <v>13</v>
      </c>
      <c r="D815" s="4" t="s">
        <v>1713</v>
      </c>
      <c r="E815" s="4" t="s">
        <v>1714</v>
      </c>
      <c r="F815" s="4" t="s">
        <v>1453</v>
      </c>
      <c r="G815" s="1">
        <v>6.7000000000000004E-2</v>
      </c>
      <c r="H815" s="4" t="s">
        <v>50</v>
      </c>
      <c r="I815" s="4" t="s">
        <v>1580</v>
      </c>
      <c r="J815" s="4" t="s">
        <v>1581</v>
      </c>
      <c r="K815" s="4" t="s">
        <v>24</v>
      </c>
    </row>
    <row r="816" spans="1:11" x14ac:dyDescent="0.2">
      <c r="A816" s="4" t="s">
        <v>1748</v>
      </c>
      <c r="B816" s="4" t="s">
        <v>1749</v>
      </c>
      <c r="C816" s="4" t="s">
        <v>49</v>
      </c>
      <c r="D816" s="4" t="s">
        <v>1713</v>
      </c>
      <c r="E816" s="4" t="s">
        <v>1714</v>
      </c>
      <c r="F816" s="4" t="s">
        <v>1453</v>
      </c>
      <c r="G816" s="1">
        <v>9.2999999999999999E-2</v>
      </c>
      <c r="H816" s="4" t="s">
        <v>1750</v>
      </c>
      <c r="I816" s="4" t="s">
        <v>1580</v>
      </c>
      <c r="J816" s="4" t="s">
        <v>1581</v>
      </c>
      <c r="K816" s="4" t="s">
        <v>24</v>
      </c>
    </row>
    <row r="817" spans="1:11" x14ac:dyDescent="0.2">
      <c r="A817" s="4" t="s">
        <v>1751</v>
      </c>
      <c r="B817" s="4" t="s">
        <v>1752</v>
      </c>
      <c r="C817" s="4" t="s">
        <v>13</v>
      </c>
      <c r="D817" s="4" t="s">
        <v>1713</v>
      </c>
      <c r="E817" s="4" t="s">
        <v>1714</v>
      </c>
      <c r="F817" s="4" t="s">
        <v>1453</v>
      </c>
      <c r="G817" s="1">
        <v>4.3999999999999997E-2</v>
      </c>
      <c r="H817" s="4" t="s">
        <v>76</v>
      </c>
      <c r="I817" s="4" t="s">
        <v>1580</v>
      </c>
      <c r="J817" s="4" t="s">
        <v>1581</v>
      </c>
      <c r="K817" s="4" t="s">
        <v>1715</v>
      </c>
    </row>
    <row r="818" spans="1:11" x14ac:dyDescent="0.2">
      <c r="A818" s="4" t="s">
        <v>1753</v>
      </c>
      <c r="B818" s="4" t="s">
        <v>1754</v>
      </c>
      <c r="C818" s="4" t="s">
        <v>13</v>
      </c>
      <c r="D818" s="4" t="s">
        <v>1713</v>
      </c>
      <c r="E818" s="4" t="s">
        <v>1714</v>
      </c>
      <c r="F818" s="4" t="s">
        <v>1453</v>
      </c>
      <c r="G818" s="1">
        <v>6.7000000000000004E-2</v>
      </c>
      <c r="H818" s="4" t="s">
        <v>50</v>
      </c>
      <c r="I818" s="4" t="s">
        <v>1580</v>
      </c>
      <c r="J818" s="4" t="s">
        <v>1581</v>
      </c>
      <c r="K818" s="4" t="s">
        <v>24</v>
      </c>
    </row>
    <row r="819" spans="1:11" x14ac:dyDescent="0.2">
      <c r="A819" s="4" t="s">
        <v>1755</v>
      </c>
      <c r="B819" s="4" t="s">
        <v>1756</v>
      </c>
      <c r="C819" s="4" t="s">
        <v>13</v>
      </c>
      <c r="D819" s="4" t="s">
        <v>1713</v>
      </c>
      <c r="E819" s="4" t="s">
        <v>1714</v>
      </c>
      <c r="F819" s="4" t="s">
        <v>1453</v>
      </c>
      <c r="G819" s="1">
        <v>6.7000000000000004E-2</v>
      </c>
      <c r="H819" s="4" t="s">
        <v>50</v>
      </c>
      <c r="I819" s="4" t="s">
        <v>1580</v>
      </c>
      <c r="J819" s="4" t="s">
        <v>1581</v>
      </c>
      <c r="K819" s="4" t="s">
        <v>24</v>
      </c>
    </row>
    <row r="820" spans="1:11" x14ac:dyDescent="0.2">
      <c r="A820" s="4" t="s">
        <v>1757</v>
      </c>
      <c r="B820" s="4" t="s">
        <v>1758</v>
      </c>
      <c r="C820" s="4" t="s">
        <v>13</v>
      </c>
      <c r="D820" s="4" t="s">
        <v>1713</v>
      </c>
      <c r="E820" s="4" t="s">
        <v>1714</v>
      </c>
      <c r="F820" s="4" t="s">
        <v>1453</v>
      </c>
      <c r="G820" s="1">
        <v>2.1999999999999999E-2</v>
      </c>
      <c r="H820" s="4" t="s">
        <v>23</v>
      </c>
      <c r="I820" s="4" t="s">
        <v>1580</v>
      </c>
      <c r="J820" s="4" t="s">
        <v>1581</v>
      </c>
      <c r="K820" s="4" t="s">
        <v>24</v>
      </c>
    </row>
    <row r="821" spans="1:11" x14ac:dyDescent="0.2">
      <c r="A821" s="4" t="s">
        <v>1759</v>
      </c>
      <c r="B821" s="4" t="s">
        <v>1760</v>
      </c>
      <c r="C821" s="4" t="s">
        <v>13</v>
      </c>
      <c r="D821" s="4" t="s">
        <v>1713</v>
      </c>
      <c r="E821" s="4" t="s">
        <v>1714</v>
      </c>
      <c r="F821" s="4" t="s">
        <v>1453</v>
      </c>
      <c r="G821" s="1">
        <v>6.7000000000000004E-2</v>
      </c>
      <c r="H821" s="4" t="s">
        <v>50</v>
      </c>
      <c r="I821" s="4" t="s">
        <v>1580</v>
      </c>
      <c r="J821" s="4" t="s">
        <v>1581</v>
      </c>
      <c r="K821" s="4" t="s">
        <v>24</v>
      </c>
    </row>
    <row r="822" spans="1:11" x14ac:dyDescent="0.2">
      <c r="A822" s="4" t="s">
        <v>1761</v>
      </c>
      <c r="B822" s="4" t="s">
        <v>1762</v>
      </c>
      <c r="C822" s="4" t="s">
        <v>13</v>
      </c>
      <c r="D822" s="4" t="s">
        <v>1713</v>
      </c>
      <c r="E822" s="4" t="s">
        <v>1714</v>
      </c>
      <c r="F822" s="4" t="s">
        <v>1453</v>
      </c>
      <c r="G822" s="1">
        <v>6.7000000000000004E-2</v>
      </c>
      <c r="H822" s="4" t="s">
        <v>50</v>
      </c>
      <c r="I822" s="4" t="s">
        <v>1580</v>
      </c>
      <c r="J822" s="4" t="s">
        <v>1581</v>
      </c>
      <c r="K822" s="4" t="s">
        <v>24</v>
      </c>
    </row>
    <row r="823" spans="1:11" x14ac:dyDescent="0.2">
      <c r="A823" s="4" t="s">
        <v>1763</v>
      </c>
      <c r="B823" s="4" t="s">
        <v>1764</v>
      </c>
      <c r="C823" s="4" t="s">
        <v>13</v>
      </c>
      <c r="D823" s="4" t="s">
        <v>1713</v>
      </c>
      <c r="E823" s="4" t="s">
        <v>1714</v>
      </c>
      <c r="F823" s="4" t="s">
        <v>1453</v>
      </c>
      <c r="G823" s="1">
        <v>6.7000000000000004E-2</v>
      </c>
      <c r="H823" s="4" t="s">
        <v>50</v>
      </c>
      <c r="I823" s="4" t="s">
        <v>1580</v>
      </c>
      <c r="J823" s="4" t="s">
        <v>1581</v>
      </c>
      <c r="K823" s="4" t="s">
        <v>24</v>
      </c>
    </row>
    <row r="824" spans="1:11" x14ac:dyDescent="0.2">
      <c r="A824" s="4" t="s">
        <v>1765</v>
      </c>
      <c r="B824" s="4" t="s">
        <v>1766</v>
      </c>
      <c r="C824" s="4" t="s">
        <v>13</v>
      </c>
      <c r="D824" s="4" t="s">
        <v>1713</v>
      </c>
      <c r="E824" s="4" t="s">
        <v>1714</v>
      </c>
      <c r="F824" s="4" t="s">
        <v>1453</v>
      </c>
      <c r="G824" s="1">
        <v>4.3999999999999997E-2</v>
      </c>
      <c r="H824" s="4" t="s">
        <v>76</v>
      </c>
      <c r="I824" s="4" t="s">
        <v>1580</v>
      </c>
      <c r="J824" s="4" t="s">
        <v>1581</v>
      </c>
      <c r="K824" s="4" t="s">
        <v>24</v>
      </c>
    </row>
    <row r="825" spans="1:11" x14ac:dyDescent="0.2">
      <c r="A825" s="4" t="s">
        <v>1767</v>
      </c>
      <c r="B825" s="4" t="s">
        <v>1768</v>
      </c>
      <c r="C825" s="4" t="s">
        <v>49</v>
      </c>
      <c r="D825" s="4" t="s">
        <v>1713</v>
      </c>
      <c r="E825" s="4" t="s">
        <v>1714</v>
      </c>
      <c r="F825" s="4" t="s">
        <v>1453</v>
      </c>
      <c r="G825" s="1">
        <v>4.3999999999999997E-2</v>
      </c>
      <c r="H825" s="4" t="s">
        <v>76</v>
      </c>
      <c r="I825" s="4" t="s">
        <v>1580</v>
      </c>
      <c r="J825" s="4" t="s">
        <v>1581</v>
      </c>
      <c r="K825" s="4" t="s">
        <v>24</v>
      </c>
    </row>
    <row r="826" spans="1:11" x14ac:dyDescent="0.2">
      <c r="A826" s="4" t="s">
        <v>1769</v>
      </c>
      <c r="B826" s="4" t="s">
        <v>1770</v>
      </c>
      <c r="C826" s="4" t="s">
        <v>13</v>
      </c>
      <c r="D826" s="4" t="s">
        <v>1713</v>
      </c>
      <c r="E826" s="4" t="s">
        <v>1714</v>
      </c>
      <c r="F826" s="4" t="s">
        <v>1453</v>
      </c>
      <c r="G826" s="1">
        <v>2.1999999999999999E-2</v>
      </c>
      <c r="H826" s="4" t="s">
        <v>23</v>
      </c>
      <c r="I826" s="4" t="s">
        <v>1580</v>
      </c>
      <c r="J826" s="4" t="s">
        <v>1581</v>
      </c>
      <c r="K826" s="4" t="s">
        <v>1710</v>
      </c>
    </row>
    <row r="827" spans="1:11" x14ac:dyDescent="0.2">
      <c r="A827" s="4" t="s">
        <v>1771</v>
      </c>
      <c r="B827" s="4" t="s">
        <v>1772</v>
      </c>
      <c r="C827" s="4" t="s">
        <v>13</v>
      </c>
      <c r="D827" s="4" t="s">
        <v>1713</v>
      </c>
      <c r="E827" s="4" t="s">
        <v>1714</v>
      </c>
      <c r="F827" s="4" t="s">
        <v>1453</v>
      </c>
      <c r="G827" s="1">
        <v>0</v>
      </c>
      <c r="H827" s="4" t="s">
        <v>1149</v>
      </c>
      <c r="I827" s="4" t="s">
        <v>1580</v>
      </c>
      <c r="J827" s="4" t="s">
        <v>1581</v>
      </c>
      <c r="K827" s="4" t="s">
        <v>24</v>
      </c>
    </row>
    <row r="828" spans="1:11" x14ac:dyDescent="0.2">
      <c r="A828" s="4" t="s">
        <v>1773</v>
      </c>
      <c r="B828" s="4" t="s">
        <v>1774</v>
      </c>
      <c r="C828" s="4" t="s">
        <v>13</v>
      </c>
      <c r="D828" s="4" t="s">
        <v>1775</v>
      </c>
      <c r="E828" s="4" t="s">
        <v>1776</v>
      </c>
      <c r="F828" s="4" t="s">
        <v>1453</v>
      </c>
      <c r="G828" s="1">
        <v>0.13300000000000001</v>
      </c>
      <c r="H828" s="4" t="s">
        <v>112</v>
      </c>
      <c r="I828" s="4" t="s">
        <v>1580</v>
      </c>
      <c r="J828" s="4" t="s">
        <v>1777</v>
      </c>
      <c r="K828" s="4" t="s">
        <v>1778</v>
      </c>
    </row>
    <row r="829" spans="1:11" x14ac:dyDescent="0.2">
      <c r="A829" s="4" t="s">
        <v>1779</v>
      </c>
      <c r="B829" s="4" t="s">
        <v>1780</v>
      </c>
      <c r="C829" s="4" t="s">
        <v>13</v>
      </c>
      <c r="D829" s="4" t="s">
        <v>1775</v>
      </c>
      <c r="E829" s="4" t="s">
        <v>1776</v>
      </c>
      <c r="F829" s="4" t="s">
        <v>1453</v>
      </c>
      <c r="G829" s="1">
        <v>0.1</v>
      </c>
      <c r="H829" s="4" t="s">
        <v>117</v>
      </c>
      <c r="I829" s="4" t="s">
        <v>1580</v>
      </c>
      <c r="J829" s="4" t="s">
        <v>1777</v>
      </c>
      <c r="K829" s="4" t="s">
        <v>1781</v>
      </c>
    </row>
    <row r="830" spans="1:11" x14ac:dyDescent="0.2">
      <c r="A830" s="4" t="s">
        <v>1782</v>
      </c>
      <c r="B830" s="4" t="s">
        <v>1783</v>
      </c>
      <c r="C830" s="4" t="s">
        <v>13</v>
      </c>
      <c r="D830" s="4" t="s">
        <v>1775</v>
      </c>
      <c r="E830" s="4" t="s">
        <v>1776</v>
      </c>
      <c r="F830" s="4" t="s">
        <v>1453</v>
      </c>
      <c r="G830" s="1">
        <v>0.16700000000000001</v>
      </c>
      <c r="H830" s="4" t="s">
        <v>229</v>
      </c>
      <c r="I830" s="4" t="s">
        <v>1580</v>
      </c>
      <c r="J830" s="4" t="s">
        <v>1777</v>
      </c>
      <c r="K830" s="4" t="s">
        <v>1715</v>
      </c>
    </row>
    <row r="831" spans="1:11" x14ac:dyDescent="0.2">
      <c r="A831" s="4" t="s">
        <v>1784</v>
      </c>
      <c r="B831" s="4" t="s">
        <v>1785</v>
      </c>
      <c r="C831" s="4" t="s">
        <v>13</v>
      </c>
      <c r="D831" s="4" t="s">
        <v>1775</v>
      </c>
      <c r="E831" s="4" t="s">
        <v>1776</v>
      </c>
      <c r="F831" s="4" t="s">
        <v>1453</v>
      </c>
      <c r="G831" s="1">
        <v>0.2</v>
      </c>
      <c r="H831" s="4" t="s">
        <v>232</v>
      </c>
      <c r="I831" s="4" t="s">
        <v>1580</v>
      </c>
      <c r="J831" s="4" t="s">
        <v>1777</v>
      </c>
      <c r="K831" s="4" t="s">
        <v>1715</v>
      </c>
    </row>
    <row r="832" spans="1:11" x14ac:dyDescent="0.2">
      <c r="A832" s="4" t="s">
        <v>1786</v>
      </c>
      <c r="B832" s="4" t="s">
        <v>1787</v>
      </c>
      <c r="C832" s="4" t="s">
        <v>49</v>
      </c>
      <c r="D832" s="4" t="s">
        <v>1775</v>
      </c>
      <c r="E832" s="4" t="s">
        <v>1776</v>
      </c>
      <c r="F832" s="4" t="s">
        <v>1453</v>
      </c>
      <c r="G832" s="1">
        <v>0.05</v>
      </c>
      <c r="H832" s="4" t="s">
        <v>336</v>
      </c>
      <c r="I832" s="4" t="s">
        <v>1580</v>
      </c>
      <c r="J832" s="4" t="s">
        <v>1777</v>
      </c>
      <c r="K832" s="4" t="s">
        <v>1788</v>
      </c>
    </row>
    <row r="833" spans="1:11" x14ac:dyDescent="0.2">
      <c r="A833" s="4" t="s">
        <v>1789</v>
      </c>
      <c r="B833" s="4" t="s">
        <v>1790</v>
      </c>
      <c r="C833" s="4" t="s">
        <v>13</v>
      </c>
      <c r="D833" s="4" t="s">
        <v>1775</v>
      </c>
      <c r="E833" s="4" t="s">
        <v>1776</v>
      </c>
      <c r="F833" s="4" t="s">
        <v>1453</v>
      </c>
      <c r="G833" s="1">
        <v>0.13300000000000001</v>
      </c>
      <c r="H833" s="4" t="s">
        <v>112</v>
      </c>
      <c r="I833" s="4" t="s">
        <v>1580</v>
      </c>
      <c r="J833" s="4" t="s">
        <v>1777</v>
      </c>
      <c r="K833" s="4" t="s">
        <v>24</v>
      </c>
    </row>
    <row r="834" spans="1:11" x14ac:dyDescent="0.2">
      <c r="A834" s="4" t="s">
        <v>1791</v>
      </c>
      <c r="B834" s="4" t="s">
        <v>1792</v>
      </c>
      <c r="C834" s="4" t="s">
        <v>13</v>
      </c>
      <c r="D834" s="4" t="s">
        <v>1775</v>
      </c>
      <c r="E834" s="4" t="s">
        <v>1776</v>
      </c>
      <c r="F834" s="4" t="s">
        <v>1453</v>
      </c>
      <c r="G834" s="1">
        <v>3.3000000000000002E-2</v>
      </c>
      <c r="H834" s="4" t="s">
        <v>225</v>
      </c>
      <c r="I834" s="4" t="s">
        <v>1580</v>
      </c>
      <c r="J834" s="4" t="s">
        <v>1777</v>
      </c>
      <c r="K834" s="4" t="s">
        <v>24</v>
      </c>
    </row>
    <row r="835" spans="1:11" x14ac:dyDescent="0.2">
      <c r="A835" s="4" t="s">
        <v>1793</v>
      </c>
      <c r="B835" s="4" t="s">
        <v>1794</v>
      </c>
      <c r="C835" s="4" t="s">
        <v>13</v>
      </c>
      <c r="D835" s="4" t="s">
        <v>1775</v>
      </c>
      <c r="E835" s="4" t="s">
        <v>1776</v>
      </c>
      <c r="F835" s="4" t="s">
        <v>1453</v>
      </c>
      <c r="G835" s="1">
        <v>0</v>
      </c>
      <c r="H835" s="4" t="s">
        <v>254</v>
      </c>
      <c r="I835" s="4" t="s">
        <v>1580</v>
      </c>
      <c r="J835" s="4" t="s">
        <v>1777</v>
      </c>
      <c r="K835" s="4" t="s">
        <v>24</v>
      </c>
    </row>
    <row r="836" spans="1:11" x14ac:dyDescent="0.2">
      <c r="A836" s="4" t="s">
        <v>1795</v>
      </c>
      <c r="B836" s="4" t="s">
        <v>1796</v>
      </c>
      <c r="C836" s="4" t="s">
        <v>13</v>
      </c>
      <c r="D836" s="4" t="s">
        <v>1775</v>
      </c>
      <c r="E836" s="4" t="s">
        <v>1776</v>
      </c>
      <c r="F836" s="4" t="s">
        <v>1453</v>
      </c>
      <c r="G836" s="1">
        <v>0.16700000000000001</v>
      </c>
      <c r="H836" s="4" t="s">
        <v>229</v>
      </c>
      <c r="I836" s="4" t="s">
        <v>1580</v>
      </c>
      <c r="J836" s="4" t="s">
        <v>1777</v>
      </c>
      <c r="K836" s="4" t="s">
        <v>24</v>
      </c>
    </row>
    <row r="837" spans="1:11" x14ac:dyDescent="0.2">
      <c r="A837" s="4" t="s">
        <v>1797</v>
      </c>
      <c r="B837" s="4" t="s">
        <v>1798</v>
      </c>
      <c r="C837" s="4" t="s">
        <v>13</v>
      </c>
      <c r="D837" s="4" t="s">
        <v>1775</v>
      </c>
      <c r="E837" s="4" t="s">
        <v>1776</v>
      </c>
      <c r="F837" s="4" t="s">
        <v>1453</v>
      </c>
      <c r="G837" s="1">
        <v>0.2</v>
      </c>
      <c r="H837" s="4" t="s">
        <v>232</v>
      </c>
      <c r="I837" s="4" t="s">
        <v>1580</v>
      </c>
      <c r="J837" s="4" t="s">
        <v>1777</v>
      </c>
      <c r="K837" s="4" t="s">
        <v>24</v>
      </c>
    </row>
    <row r="838" spans="1:11" x14ac:dyDescent="0.2">
      <c r="A838" s="4" t="s">
        <v>1799</v>
      </c>
      <c r="B838" s="4" t="s">
        <v>1800</v>
      </c>
      <c r="C838" s="4" t="s">
        <v>49</v>
      </c>
      <c r="D838" s="4" t="s">
        <v>1775</v>
      </c>
      <c r="E838" s="4" t="s">
        <v>1776</v>
      </c>
      <c r="F838" s="4" t="s">
        <v>1453</v>
      </c>
      <c r="G838" s="1">
        <v>0</v>
      </c>
      <c r="H838" s="4" t="s">
        <v>254</v>
      </c>
      <c r="I838" s="4" t="s">
        <v>1580</v>
      </c>
      <c r="J838" s="4" t="s">
        <v>1777</v>
      </c>
      <c r="K838" s="4" t="s">
        <v>24</v>
      </c>
    </row>
    <row r="839" spans="1:11" x14ac:dyDescent="0.2">
      <c r="A839" s="4" t="s">
        <v>1801</v>
      </c>
      <c r="B839" s="4" t="s">
        <v>1802</v>
      </c>
      <c r="C839" s="4" t="s">
        <v>13</v>
      </c>
      <c r="D839" s="4" t="s">
        <v>1775</v>
      </c>
      <c r="E839" s="4" t="s">
        <v>1776</v>
      </c>
      <c r="F839" s="4" t="s">
        <v>1453</v>
      </c>
      <c r="G839" s="1">
        <v>0.16700000000000001</v>
      </c>
      <c r="H839" s="4" t="s">
        <v>229</v>
      </c>
      <c r="I839" s="4" t="s">
        <v>1580</v>
      </c>
      <c r="J839" s="4" t="s">
        <v>1777</v>
      </c>
      <c r="K839" s="4" t="s">
        <v>24</v>
      </c>
    </row>
    <row r="840" spans="1:11" x14ac:dyDescent="0.2">
      <c r="A840" s="4" t="s">
        <v>1803</v>
      </c>
      <c r="B840" s="4" t="s">
        <v>1804</v>
      </c>
      <c r="C840" s="4" t="s">
        <v>13</v>
      </c>
      <c r="D840" s="4" t="s">
        <v>1775</v>
      </c>
      <c r="E840" s="4" t="s">
        <v>1776</v>
      </c>
      <c r="F840" s="4" t="s">
        <v>1453</v>
      </c>
      <c r="G840" s="1">
        <v>0.16700000000000001</v>
      </c>
      <c r="H840" s="4" t="s">
        <v>229</v>
      </c>
      <c r="I840" s="4" t="s">
        <v>1580</v>
      </c>
      <c r="J840" s="4" t="s">
        <v>1777</v>
      </c>
      <c r="K840" s="4" t="s">
        <v>24</v>
      </c>
    </row>
    <row r="841" spans="1:11" x14ac:dyDescent="0.2">
      <c r="A841" s="4" t="s">
        <v>1805</v>
      </c>
      <c r="B841" s="4" t="s">
        <v>1806</v>
      </c>
      <c r="C841" s="4" t="s">
        <v>13</v>
      </c>
      <c r="D841" s="4" t="s">
        <v>1775</v>
      </c>
      <c r="E841" s="4" t="s">
        <v>1776</v>
      </c>
      <c r="F841" s="4" t="s">
        <v>1453</v>
      </c>
      <c r="G841" s="1">
        <v>0.2</v>
      </c>
      <c r="H841" s="4" t="s">
        <v>232</v>
      </c>
      <c r="I841" s="4" t="s">
        <v>1580</v>
      </c>
      <c r="J841" s="4" t="s">
        <v>1777</v>
      </c>
      <c r="K841" s="4" t="s">
        <v>24</v>
      </c>
    </row>
    <row r="842" spans="1:11" x14ac:dyDescent="0.2">
      <c r="A842" s="4" t="s">
        <v>1807</v>
      </c>
      <c r="B842" s="4" t="s">
        <v>1808</v>
      </c>
      <c r="C842" s="4" t="s">
        <v>13</v>
      </c>
      <c r="D842" s="4" t="s">
        <v>1775</v>
      </c>
      <c r="E842" s="4" t="s">
        <v>1776</v>
      </c>
      <c r="F842" s="4" t="s">
        <v>1453</v>
      </c>
      <c r="G842" s="1">
        <v>0.1</v>
      </c>
      <c r="H842" s="4" t="s">
        <v>117</v>
      </c>
      <c r="I842" s="4" t="s">
        <v>1580</v>
      </c>
      <c r="J842" s="4" t="s">
        <v>1777</v>
      </c>
      <c r="K842" s="4" t="s">
        <v>24</v>
      </c>
    </row>
    <row r="843" spans="1:11" x14ac:dyDescent="0.2">
      <c r="A843" s="4" t="s">
        <v>1809</v>
      </c>
      <c r="B843" s="4" t="s">
        <v>1810</v>
      </c>
      <c r="C843" s="4" t="s">
        <v>13</v>
      </c>
      <c r="D843" s="4" t="s">
        <v>1775</v>
      </c>
      <c r="E843" s="4" t="s">
        <v>1776</v>
      </c>
      <c r="F843" s="4" t="s">
        <v>1453</v>
      </c>
      <c r="G843" s="1">
        <v>0.2</v>
      </c>
      <c r="H843" s="4" t="s">
        <v>232</v>
      </c>
      <c r="I843" s="4" t="s">
        <v>1580</v>
      </c>
      <c r="J843" s="4" t="s">
        <v>1777</v>
      </c>
      <c r="K843" s="4" t="s">
        <v>24</v>
      </c>
    </row>
    <row r="844" spans="1:11" x14ac:dyDescent="0.2">
      <c r="A844" s="4" t="s">
        <v>1811</v>
      </c>
      <c r="B844" s="4" t="s">
        <v>1812</v>
      </c>
      <c r="C844" s="4" t="s">
        <v>13</v>
      </c>
      <c r="D844" s="4" t="s">
        <v>1775</v>
      </c>
      <c r="E844" s="4" t="s">
        <v>1776</v>
      </c>
      <c r="F844" s="4" t="s">
        <v>1453</v>
      </c>
      <c r="G844" s="1">
        <v>0.16700000000000001</v>
      </c>
      <c r="H844" s="4" t="s">
        <v>229</v>
      </c>
      <c r="I844" s="4" t="s">
        <v>1580</v>
      </c>
      <c r="J844" s="4" t="s">
        <v>1777</v>
      </c>
      <c r="K844" s="4" t="s">
        <v>24</v>
      </c>
    </row>
    <row r="845" spans="1:11" x14ac:dyDescent="0.2">
      <c r="A845" s="4" t="s">
        <v>1813</v>
      </c>
      <c r="B845" s="4" t="s">
        <v>1814</v>
      </c>
      <c r="C845" s="4" t="s">
        <v>13</v>
      </c>
      <c r="D845" s="4" t="s">
        <v>1775</v>
      </c>
      <c r="E845" s="4" t="s">
        <v>1776</v>
      </c>
      <c r="F845" s="4" t="s">
        <v>1453</v>
      </c>
      <c r="G845" s="1">
        <v>0.13300000000000001</v>
      </c>
      <c r="H845" s="4" t="s">
        <v>112</v>
      </c>
      <c r="I845" s="4" t="s">
        <v>1580</v>
      </c>
      <c r="J845" s="4" t="s">
        <v>1777</v>
      </c>
      <c r="K845" s="4" t="s">
        <v>24</v>
      </c>
    </row>
    <row r="846" spans="1:11" x14ac:dyDescent="0.2">
      <c r="A846" s="4" t="s">
        <v>1815</v>
      </c>
      <c r="B846" s="4" t="s">
        <v>1816</v>
      </c>
      <c r="C846" s="4" t="s">
        <v>13</v>
      </c>
      <c r="D846" s="4" t="s">
        <v>1775</v>
      </c>
      <c r="E846" s="4" t="s">
        <v>1776</v>
      </c>
      <c r="F846" s="4" t="s">
        <v>1453</v>
      </c>
      <c r="G846" s="1">
        <v>0.1</v>
      </c>
      <c r="H846" s="4" t="s">
        <v>117</v>
      </c>
      <c r="I846" s="4" t="s">
        <v>1580</v>
      </c>
      <c r="J846" s="4" t="s">
        <v>1777</v>
      </c>
      <c r="K846" s="4" t="s">
        <v>24</v>
      </c>
    </row>
    <row r="847" spans="1:11" x14ac:dyDescent="0.2">
      <c r="A847" s="4" t="s">
        <v>1817</v>
      </c>
      <c r="B847" s="4" t="s">
        <v>1818</v>
      </c>
      <c r="C847" s="4" t="s">
        <v>13</v>
      </c>
      <c r="D847" s="4" t="s">
        <v>1775</v>
      </c>
      <c r="E847" s="4" t="s">
        <v>1776</v>
      </c>
      <c r="F847" s="4" t="s">
        <v>1453</v>
      </c>
      <c r="G847" s="1">
        <v>0.2</v>
      </c>
      <c r="H847" s="4" t="s">
        <v>232</v>
      </c>
      <c r="I847" s="4" t="s">
        <v>1580</v>
      </c>
      <c r="J847" s="4" t="s">
        <v>1777</v>
      </c>
      <c r="K847" s="4" t="s">
        <v>24</v>
      </c>
    </row>
    <row r="848" spans="1:11" x14ac:dyDescent="0.2">
      <c r="A848" s="4" t="s">
        <v>1819</v>
      </c>
      <c r="B848" s="4" t="s">
        <v>1820</v>
      </c>
      <c r="C848" s="4" t="s">
        <v>13</v>
      </c>
      <c r="D848" s="4" t="s">
        <v>1775</v>
      </c>
      <c r="E848" s="4" t="s">
        <v>1776</v>
      </c>
      <c r="F848" s="4" t="s">
        <v>1453</v>
      </c>
      <c r="G848" s="1">
        <v>0.2</v>
      </c>
      <c r="H848" s="4" t="s">
        <v>232</v>
      </c>
      <c r="I848" s="4" t="s">
        <v>1580</v>
      </c>
      <c r="J848" s="4" t="s">
        <v>1777</v>
      </c>
      <c r="K848" s="4" t="s">
        <v>24</v>
      </c>
    </row>
    <row r="849" spans="1:11" x14ac:dyDescent="0.2">
      <c r="A849" s="4" t="s">
        <v>1821</v>
      </c>
      <c r="B849" s="4" t="s">
        <v>1822</v>
      </c>
      <c r="C849" s="4" t="s">
        <v>13</v>
      </c>
      <c r="D849" s="4" t="s">
        <v>1775</v>
      </c>
      <c r="E849" s="4" t="s">
        <v>1776</v>
      </c>
      <c r="F849" s="4" t="s">
        <v>1453</v>
      </c>
      <c r="G849" s="1">
        <v>0.2</v>
      </c>
      <c r="H849" s="4" t="s">
        <v>232</v>
      </c>
      <c r="I849" s="4" t="s">
        <v>1580</v>
      </c>
      <c r="J849" s="4" t="s">
        <v>1777</v>
      </c>
      <c r="K849" s="4" t="s">
        <v>24</v>
      </c>
    </row>
    <row r="850" spans="1:11" x14ac:dyDescent="0.2">
      <c r="A850" s="4" t="s">
        <v>1823</v>
      </c>
      <c r="B850" s="4" t="s">
        <v>1824</v>
      </c>
      <c r="C850" s="4" t="s">
        <v>13</v>
      </c>
      <c r="D850" s="4" t="s">
        <v>1775</v>
      </c>
      <c r="E850" s="4" t="s">
        <v>1776</v>
      </c>
      <c r="F850" s="4" t="s">
        <v>1453</v>
      </c>
      <c r="G850" s="1">
        <v>0.2</v>
      </c>
      <c r="H850" s="4" t="s">
        <v>232</v>
      </c>
      <c r="I850" s="4" t="s">
        <v>1580</v>
      </c>
      <c r="J850" s="4" t="s">
        <v>1777</v>
      </c>
      <c r="K850" s="4" t="s">
        <v>24</v>
      </c>
    </row>
    <row r="851" spans="1:11" x14ac:dyDescent="0.2">
      <c r="A851" s="4" t="s">
        <v>1825</v>
      </c>
      <c r="B851" s="4" t="s">
        <v>1826</v>
      </c>
      <c r="C851" s="4" t="s">
        <v>13</v>
      </c>
      <c r="D851" s="4" t="s">
        <v>1775</v>
      </c>
      <c r="E851" s="4" t="s">
        <v>1776</v>
      </c>
      <c r="F851" s="4" t="s">
        <v>1453</v>
      </c>
      <c r="G851" s="1">
        <v>0.2</v>
      </c>
      <c r="H851" s="4" t="s">
        <v>232</v>
      </c>
      <c r="I851" s="4" t="s">
        <v>1580</v>
      </c>
      <c r="J851" s="4" t="s">
        <v>1777</v>
      </c>
      <c r="K851" s="4" t="s">
        <v>24</v>
      </c>
    </row>
    <row r="852" spans="1:11" x14ac:dyDescent="0.2">
      <c r="A852" s="4" t="s">
        <v>1827</v>
      </c>
      <c r="B852" s="4" t="s">
        <v>1828</v>
      </c>
      <c r="C852" s="4" t="s">
        <v>13</v>
      </c>
      <c r="D852" s="4" t="s">
        <v>1775</v>
      </c>
      <c r="E852" s="4" t="s">
        <v>1776</v>
      </c>
      <c r="F852" s="4" t="s">
        <v>1453</v>
      </c>
      <c r="G852" s="1">
        <v>0.2</v>
      </c>
      <c r="H852" s="4" t="s">
        <v>232</v>
      </c>
      <c r="I852" s="4" t="s">
        <v>1580</v>
      </c>
      <c r="J852" s="4" t="s">
        <v>1777</v>
      </c>
      <c r="K852" s="4" t="s">
        <v>24</v>
      </c>
    </row>
    <row r="853" spans="1:11" x14ac:dyDescent="0.2">
      <c r="A853" s="4" t="s">
        <v>1829</v>
      </c>
      <c r="B853" s="4" t="s">
        <v>1830</v>
      </c>
      <c r="C853" s="4" t="s">
        <v>13</v>
      </c>
      <c r="D853" s="4" t="s">
        <v>1775</v>
      </c>
      <c r="E853" s="4" t="s">
        <v>1776</v>
      </c>
      <c r="F853" s="4" t="s">
        <v>1453</v>
      </c>
      <c r="G853" s="1">
        <v>0.2</v>
      </c>
      <c r="H853" s="4" t="s">
        <v>232</v>
      </c>
      <c r="I853" s="4" t="s">
        <v>1580</v>
      </c>
      <c r="J853" s="4" t="s">
        <v>1777</v>
      </c>
      <c r="K853" s="4" t="s">
        <v>24</v>
      </c>
    </row>
    <row r="854" spans="1:11" x14ac:dyDescent="0.2">
      <c r="A854" s="4" t="s">
        <v>1831</v>
      </c>
      <c r="B854" s="4" t="s">
        <v>1832</v>
      </c>
      <c r="C854" s="4" t="s">
        <v>13</v>
      </c>
      <c r="D854" s="4" t="s">
        <v>1775</v>
      </c>
      <c r="E854" s="4" t="s">
        <v>1776</v>
      </c>
      <c r="F854" s="4" t="s">
        <v>1453</v>
      </c>
      <c r="G854" s="1">
        <v>0.16700000000000001</v>
      </c>
      <c r="H854" s="4" t="s">
        <v>229</v>
      </c>
      <c r="I854" s="4" t="s">
        <v>1580</v>
      </c>
      <c r="J854" s="4" t="s">
        <v>1777</v>
      </c>
      <c r="K854" s="4" t="s">
        <v>24</v>
      </c>
    </row>
    <row r="855" spans="1:11" x14ac:dyDescent="0.2">
      <c r="A855" s="4" t="s">
        <v>1833</v>
      </c>
      <c r="B855" s="4" t="s">
        <v>1834</v>
      </c>
      <c r="C855" s="4" t="s">
        <v>13</v>
      </c>
      <c r="D855" s="4" t="s">
        <v>1775</v>
      </c>
      <c r="E855" s="4" t="s">
        <v>1776</v>
      </c>
      <c r="F855" s="4" t="s">
        <v>1453</v>
      </c>
      <c r="G855" s="1">
        <v>3.3000000000000002E-2</v>
      </c>
      <c r="H855" s="4" t="s">
        <v>225</v>
      </c>
      <c r="I855" s="4" t="s">
        <v>1580</v>
      </c>
      <c r="J855" s="4" t="s">
        <v>1777</v>
      </c>
      <c r="K855" s="4" t="s">
        <v>24</v>
      </c>
    </row>
    <row r="856" spans="1:11" x14ac:dyDescent="0.2">
      <c r="A856" s="4" t="s">
        <v>1835</v>
      </c>
      <c r="B856" s="4" t="s">
        <v>1836</v>
      </c>
      <c r="C856" s="4" t="s">
        <v>13</v>
      </c>
      <c r="D856" s="4" t="s">
        <v>1775</v>
      </c>
      <c r="E856" s="4" t="s">
        <v>1776</v>
      </c>
      <c r="F856" s="4" t="s">
        <v>1453</v>
      </c>
      <c r="G856" s="1">
        <v>6.7000000000000004E-2</v>
      </c>
      <c r="H856" s="4" t="s">
        <v>166</v>
      </c>
      <c r="I856" s="4" t="s">
        <v>1580</v>
      </c>
      <c r="J856" s="4" t="s">
        <v>1777</v>
      </c>
      <c r="K856" s="4" t="s">
        <v>24</v>
      </c>
    </row>
    <row r="857" spans="1:11" x14ac:dyDescent="0.2">
      <c r="A857" s="4" t="s">
        <v>1837</v>
      </c>
      <c r="B857" s="4" t="s">
        <v>1838</v>
      </c>
      <c r="C857" s="4" t="s">
        <v>13</v>
      </c>
      <c r="D857" s="4" t="s">
        <v>1775</v>
      </c>
      <c r="E857" s="4" t="s">
        <v>1776</v>
      </c>
      <c r="F857" s="4" t="s">
        <v>1453</v>
      </c>
      <c r="G857" s="1">
        <v>6.7000000000000004E-2</v>
      </c>
      <c r="H857" s="4" t="s">
        <v>166</v>
      </c>
      <c r="I857" s="4" t="s">
        <v>1580</v>
      </c>
      <c r="J857" s="4" t="s">
        <v>1777</v>
      </c>
      <c r="K857" s="4" t="s">
        <v>24</v>
      </c>
    </row>
    <row r="858" spans="1:11" x14ac:dyDescent="0.2">
      <c r="A858" s="4" t="s">
        <v>1839</v>
      </c>
      <c r="B858" s="4" t="s">
        <v>1840</v>
      </c>
      <c r="C858" s="4" t="s">
        <v>13</v>
      </c>
      <c r="D858" s="4" t="s">
        <v>1775</v>
      </c>
      <c r="E858" s="4" t="s">
        <v>1776</v>
      </c>
      <c r="F858" s="4" t="s">
        <v>1453</v>
      </c>
      <c r="G858" s="1">
        <v>0.16700000000000001</v>
      </c>
      <c r="H858" s="4" t="s">
        <v>229</v>
      </c>
      <c r="I858" s="4" t="s">
        <v>1580</v>
      </c>
      <c r="J858" s="4" t="s">
        <v>1777</v>
      </c>
      <c r="K858" s="4" t="s">
        <v>24</v>
      </c>
    </row>
    <row r="859" spans="1:11" x14ac:dyDescent="0.2">
      <c r="A859" s="4" t="s">
        <v>1841</v>
      </c>
      <c r="B859" s="4" t="s">
        <v>1842</v>
      </c>
      <c r="C859" s="4" t="s">
        <v>13</v>
      </c>
      <c r="D859" s="4" t="s">
        <v>1775</v>
      </c>
      <c r="E859" s="4" t="s">
        <v>1776</v>
      </c>
      <c r="F859" s="4" t="s">
        <v>1453</v>
      </c>
      <c r="G859" s="1">
        <v>3.3000000000000002E-2</v>
      </c>
      <c r="H859" s="4" t="s">
        <v>225</v>
      </c>
      <c r="I859" s="4" t="s">
        <v>1580</v>
      </c>
      <c r="J859" s="4" t="s">
        <v>1777</v>
      </c>
      <c r="K859" s="4" t="s">
        <v>24</v>
      </c>
    </row>
    <row r="860" spans="1:11" x14ac:dyDescent="0.2">
      <c r="A860" s="4" t="s">
        <v>1843</v>
      </c>
      <c r="B860" s="4" t="s">
        <v>1844</v>
      </c>
      <c r="C860" s="4" t="s">
        <v>13</v>
      </c>
      <c r="D860" s="4" t="s">
        <v>1775</v>
      </c>
      <c r="E860" s="4" t="s">
        <v>1776</v>
      </c>
      <c r="F860" s="4" t="s">
        <v>1453</v>
      </c>
      <c r="G860" s="1">
        <v>0.13300000000000001</v>
      </c>
      <c r="H860" s="4" t="s">
        <v>112</v>
      </c>
      <c r="I860" s="4" t="s">
        <v>1580</v>
      </c>
      <c r="J860" s="4" t="s">
        <v>1777</v>
      </c>
      <c r="K860" s="4" t="s">
        <v>24</v>
      </c>
    </row>
    <row r="861" spans="1:11" x14ac:dyDescent="0.2">
      <c r="A861" s="4" t="s">
        <v>1845</v>
      </c>
      <c r="B861" s="4" t="s">
        <v>1846</v>
      </c>
      <c r="C861" s="4" t="s">
        <v>13</v>
      </c>
      <c r="D861" s="4" t="s">
        <v>1775</v>
      </c>
      <c r="E861" s="4" t="s">
        <v>1776</v>
      </c>
      <c r="F861" s="4" t="s">
        <v>1453</v>
      </c>
      <c r="G861" s="1">
        <v>6.7000000000000004E-2</v>
      </c>
      <c r="H861" s="4" t="s">
        <v>166</v>
      </c>
      <c r="I861" s="4" t="s">
        <v>1580</v>
      </c>
      <c r="J861" s="4" t="s">
        <v>1777</v>
      </c>
      <c r="K861" s="4" t="s">
        <v>24</v>
      </c>
    </row>
    <row r="862" spans="1:11" x14ac:dyDescent="0.2">
      <c r="A862" s="4" t="s">
        <v>1847</v>
      </c>
      <c r="B862" s="4" t="s">
        <v>1848</v>
      </c>
      <c r="C862" s="4" t="s">
        <v>13</v>
      </c>
      <c r="D862" s="4" t="s">
        <v>1775</v>
      </c>
      <c r="E862" s="4" t="s">
        <v>1776</v>
      </c>
      <c r="F862" s="4" t="s">
        <v>1453</v>
      </c>
      <c r="G862" s="1">
        <v>3.3000000000000002E-2</v>
      </c>
      <c r="H862" s="4" t="s">
        <v>225</v>
      </c>
      <c r="I862" s="4" t="s">
        <v>1580</v>
      </c>
      <c r="J862" s="4" t="s">
        <v>1777</v>
      </c>
      <c r="K862" s="4" t="s">
        <v>1655</v>
      </c>
    </row>
    <row r="863" spans="1:11" x14ac:dyDescent="0.2">
      <c r="A863" s="4" t="s">
        <v>1849</v>
      </c>
      <c r="B863" s="4" t="s">
        <v>1850</v>
      </c>
      <c r="C863" s="4" t="s">
        <v>49</v>
      </c>
      <c r="D863" s="4" t="s">
        <v>1775</v>
      </c>
      <c r="E863" s="4" t="s">
        <v>1776</v>
      </c>
      <c r="F863" s="4" t="s">
        <v>1453</v>
      </c>
      <c r="G863" s="1">
        <v>3.3000000000000002E-2</v>
      </c>
      <c r="H863" s="4" t="s">
        <v>225</v>
      </c>
      <c r="I863" s="4" t="s">
        <v>1580</v>
      </c>
      <c r="J863" s="4" t="s">
        <v>1777</v>
      </c>
      <c r="K863" s="4" t="s">
        <v>1655</v>
      </c>
    </row>
    <row r="864" spans="1:11" x14ac:dyDescent="0.2">
      <c r="A864" s="4" t="s">
        <v>1851</v>
      </c>
      <c r="B864" s="4" t="s">
        <v>1852</v>
      </c>
      <c r="C864" s="4" t="s">
        <v>13</v>
      </c>
      <c r="D864" s="4" t="s">
        <v>1775</v>
      </c>
      <c r="E864" s="4" t="s">
        <v>1776</v>
      </c>
      <c r="F864" s="4" t="s">
        <v>1453</v>
      </c>
      <c r="G864" s="1">
        <v>0.16700000000000001</v>
      </c>
      <c r="H864" s="4" t="s">
        <v>229</v>
      </c>
      <c r="I864" s="4" t="s">
        <v>1580</v>
      </c>
      <c r="J864" s="4" t="s">
        <v>1777</v>
      </c>
      <c r="K864" s="4" t="s">
        <v>1655</v>
      </c>
    </row>
    <row r="865" spans="1:11" x14ac:dyDescent="0.2">
      <c r="A865" s="4" t="s">
        <v>1853</v>
      </c>
      <c r="B865" s="4" t="s">
        <v>1854</v>
      </c>
      <c r="C865" s="4" t="s">
        <v>13</v>
      </c>
      <c r="D865" s="4" t="s">
        <v>1775</v>
      </c>
      <c r="E865" s="4" t="s">
        <v>1776</v>
      </c>
      <c r="F865" s="4" t="s">
        <v>1453</v>
      </c>
      <c r="G865" s="1">
        <v>0.16700000000000001</v>
      </c>
      <c r="H865" s="4" t="s">
        <v>229</v>
      </c>
      <c r="I865" s="4" t="s">
        <v>1580</v>
      </c>
      <c r="J865" s="4" t="s">
        <v>1777</v>
      </c>
      <c r="K865" s="4" t="s">
        <v>1655</v>
      </c>
    </row>
    <row r="866" spans="1:11" x14ac:dyDescent="0.2">
      <c r="A866" s="4" t="s">
        <v>1855</v>
      </c>
      <c r="B866" s="4" t="s">
        <v>1856</v>
      </c>
      <c r="C866" s="4" t="s">
        <v>13</v>
      </c>
      <c r="D866" s="4" t="s">
        <v>1775</v>
      </c>
      <c r="E866" s="4" t="s">
        <v>1776</v>
      </c>
      <c r="F866" s="4" t="s">
        <v>1453</v>
      </c>
      <c r="G866" s="1">
        <v>0.16700000000000001</v>
      </c>
      <c r="H866" s="4" t="s">
        <v>229</v>
      </c>
      <c r="I866" s="4" t="s">
        <v>1580</v>
      </c>
      <c r="J866" s="4" t="s">
        <v>1777</v>
      </c>
      <c r="K866" s="4" t="s">
        <v>1655</v>
      </c>
    </row>
    <row r="867" spans="1:11" x14ac:dyDescent="0.2">
      <c r="A867" s="4" t="s">
        <v>1857</v>
      </c>
      <c r="B867" s="4" t="s">
        <v>1858</v>
      </c>
      <c r="C867" s="4" t="s">
        <v>13</v>
      </c>
      <c r="D867" s="4" t="s">
        <v>1775</v>
      </c>
      <c r="E867" s="4" t="s">
        <v>1776</v>
      </c>
      <c r="F867" s="4" t="s">
        <v>1453</v>
      </c>
      <c r="G867" s="1">
        <v>0.13300000000000001</v>
      </c>
      <c r="H867" s="4" t="s">
        <v>112</v>
      </c>
      <c r="I867" s="4" t="s">
        <v>1580</v>
      </c>
      <c r="J867" s="4" t="s">
        <v>1777</v>
      </c>
      <c r="K867" s="4" t="s">
        <v>1655</v>
      </c>
    </row>
    <row r="868" spans="1:11" x14ac:dyDescent="0.2">
      <c r="A868" s="4" t="s">
        <v>1748</v>
      </c>
      <c r="B868" s="4" t="s">
        <v>1749</v>
      </c>
      <c r="C868" s="4" t="s">
        <v>13</v>
      </c>
      <c r="D868" s="4" t="s">
        <v>1775</v>
      </c>
      <c r="E868" s="4" t="s">
        <v>1776</v>
      </c>
      <c r="F868" s="4" t="s">
        <v>1453</v>
      </c>
      <c r="G868" s="1">
        <v>9.2999999999999999E-2</v>
      </c>
      <c r="H868" s="4" t="s">
        <v>1750</v>
      </c>
      <c r="I868" s="4" t="s">
        <v>1580</v>
      </c>
      <c r="J868" s="4" t="s">
        <v>1777</v>
      </c>
      <c r="K868" s="4" t="s">
        <v>24</v>
      </c>
    </row>
    <row r="869" spans="1:11" x14ac:dyDescent="0.2">
      <c r="A869" s="4" t="s">
        <v>1859</v>
      </c>
      <c r="B869" s="4" t="s">
        <v>1860</v>
      </c>
      <c r="C869" s="4" t="s">
        <v>13</v>
      </c>
      <c r="D869" s="4" t="s">
        <v>1861</v>
      </c>
      <c r="E869" s="4" t="s">
        <v>1862</v>
      </c>
      <c r="F869" s="4" t="s">
        <v>1863</v>
      </c>
      <c r="G869" s="1">
        <v>0.16700000000000001</v>
      </c>
      <c r="H869" s="4" t="s">
        <v>229</v>
      </c>
      <c r="I869" s="4" t="s">
        <v>1580</v>
      </c>
      <c r="J869" s="4" t="s">
        <v>1581</v>
      </c>
      <c r="K869" s="4" t="s">
        <v>1864</v>
      </c>
    </row>
    <row r="870" spans="1:11" x14ac:dyDescent="0.2">
      <c r="A870" s="4" t="s">
        <v>1865</v>
      </c>
      <c r="B870" s="4" t="s">
        <v>1866</v>
      </c>
      <c r="C870" s="4" t="s">
        <v>13</v>
      </c>
      <c r="D870" s="4" t="s">
        <v>1861</v>
      </c>
      <c r="E870" s="4" t="s">
        <v>1862</v>
      </c>
      <c r="F870" s="4" t="s">
        <v>1863</v>
      </c>
      <c r="G870" s="1">
        <v>8.3000000000000004E-2</v>
      </c>
      <c r="H870" s="4" t="s">
        <v>1867</v>
      </c>
      <c r="I870" s="4" t="s">
        <v>1580</v>
      </c>
      <c r="J870" s="4" t="s">
        <v>1581</v>
      </c>
      <c r="K870" s="4" t="s">
        <v>1868</v>
      </c>
    </row>
    <row r="871" spans="1:11" x14ac:dyDescent="0.2">
      <c r="A871" s="4" t="s">
        <v>1869</v>
      </c>
      <c r="B871" s="4" t="s">
        <v>1870</v>
      </c>
      <c r="C871" s="4" t="s">
        <v>13</v>
      </c>
      <c r="D871" s="4" t="s">
        <v>1861</v>
      </c>
      <c r="E871" s="4" t="s">
        <v>1862</v>
      </c>
      <c r="F871" s="4" t="s">
        <v>1863</v>
      </c>
      <c r="G871" s="1">
        <v>3.3000000000000002E-2</v>
      </c>
      <c r="H871" s="4" t="s">
        <v>225</v>
      </c>
      <c r="I871" s="4" t="s">
        <v>1580</v>
      </c>
      <c r="J871" s="4" t="s">
        <v>1581</v>
      </c>
      <c r="K871" s="4" t="s">
        <v>24</v>
      </c>
    </row>
    <row r="872" spans="1:11" x14ac:dyDescent="0.2">
      <c r="A872" s="4" t="s">
        <v>1871</v>
      </c>
      <c r="B872" s="4" t="s">
        <v>1872</v>
      </c>
      <c r="C872" s="4" t="s">
        <v>13</v>
      </c>
      <c r="D872" s="4" t="s">
        <v>1861</v>
      </c>
      <c r="E872" s="4" t="s">
        <v>1862</v>
      </c>
      <c r="F872" s="4" t="s">
        <v>1863</v>
      </c>
      <c r="G872" s="1">
        <v>3.3000000000000002E-2</v>
      </c>
      <c r="H872" s="4" t="s">
        <v>225</v>
      </c>
      <c r="I872" s="4" t="s">
        <v>1580</v>
      </c>
      <c r="J872" s="4" t="s">
        <v>1581</v>
      </c>
      <c r="K872" s="4" t="s">
        <v>24</v>
      </c>
    </row>
    <row r="873" spans="1:11" x14ac:dyDescent="0.2">
      <c r="A873" s="4" t="s">
        <v>1873</v>
      </c>
      <c r="B873" s="4" t="s">
        <v>1874</v>
      </c>
      <c r="C873" s="4" t="s">
        <v>13</v>
      </c>
      <c r="D873" s="4" t="s">
        <v>1861</v>
      </c>
      <c r="E873" s="4" t="s">
        <v>1862</v>
      </c>
      <c r="F873" s="4" t="s">
        <v>1863</v>
      </c>
      <c r="G873" s="1">
        <v>0.16700000000000001</v>
      </c>
      <c r="H873" s="4" t="s">
        <v>229</v>
      </c>
      <c r="I873" s="4" t="s">
        <v>1580</v>
      </c>
      <c r="J873" s="4" t="s">
        <v>1581</v>
      </c>
      <c r="K873" s="4" t="s">
        <v>24</v>
      </c>
    </row>
    <row r="874" spans="1:11" x14ac:dyDescent="0.2">
      <c r="A874" s="4" t="s">
        <v>1875</v>
      </c>
      <c r="B874" s="4" t="s">
        <v>1876</v>
      </c>
      <c r="C874" s="4" t="s">
        <v>13</v>
      </c>
      <c r="D874" s="4" t="s">
        <v>1861</v>
      </c>
      <c r="E874" s="4" t="s">
        <v>1862</v>
      </c>
      <c r="F874" s="4" t="s">
        <v>1863</v>
      </c>
      <c r="G874" s="1">
        <v>3.3000000000000002E-2</v>
      </c>
      <c r="H874" s="4" t="s">
        <v>225</v>
      </c>
      <c r="I874" s="4" t="s">
        <v>1580</v>
      </c>
      <c r="J874" s="4" t="s">
        <v>1581</v>
      </c>
      <c r="K874" s="4" t="s">
        <v>24</v>
      </c>
    </row>
    <row r="875" spans="1:11" x14ac:dyDescent="0.2">
      <c r="A875" s="4" t="s">
        <v>1877</v>
      </c>
      <c r="B875" s="4" t="s">
        <v>1878</v>
      </c>
      <c r="C875" s="4" t="s">
        <v>13</v>
      </c>
      <c r="D875" s="4" t="s">
        <v>1861</v>
      </c>
      <c r="E875" s="4" t="s">
        <v>1862</v>
      </c>
      <c r="F875" s="4" t="s">
        <v>1863</v>
      </c>
      <c r="G875" s="1">
        <v>0.13300000000000001</v>
      </c>
      <c r="H875" s="4" t="s">
        <v>112</v>
      </c>
      <c r="I875" s="4" t="s">
        <v>1580</v>
      </c>
      <c r="J875" s="4" t="s">
        <v>1581</v>
      </c>
      <c r="K875" s="4" t="s">
        <v>24</v>
      </c>
    </row>
    <row r="876" spans="1:11" x14ac:dyDescent="0.2">
      <c r="A876" s="4" t="s">
        <v>1879</v>
      </c>
      <c r="B876" s="4" t="s">
        <v>1880</v>
      </c>
      <c r="C876" s="4" t="s">
        <v>13</v>
      </c>
      <c r="D876" s="4" t="s">
        <v>1861</v>
      </c>
      <c r="E876" s="4" t="s">
        <v>1862</v>
      </c>
      <c r="F876" s="4" t="s">
        <v>1863</v>
      </c>
      <c r="G876" s="1">
        <v>0.16700000000000001</v>
      </c>
      <c r="H876" s="4" t="s">
        <v>229</v>
      </c>
      <c r="I876" s="4" t="s">
        <v>1580</v>
      </c>
      <c r="J876" s="4" t="s">
        <v>1581</v>
      </c>
      <c r="K876" s="4" t="s">
        <v>24</v>
      </c>
    </row>
    <row r="877" spans="1:11" x14ac:dyDescent="0.2">
      <c r="A877" s="4" t="s">
        <v>1881</v>
      </c>
      <c r="B877" s="4" t="s">
        <v>1882</v>
      </c>
      <c r="C877" s="4" t="s">
        <v>13</v>
      </c>
      <c r="D877" s="4" t="s">
        <v>1861</v>
      </c>
      <c r="E877" s="4" t="s">
        <v>1862</v>
      </c>
      <c r="F877" s="4" t="s">
        <v>1863</v>
      </c>
      <c r="G877" s="1">
        <v>0.13300000000000001</v>
      </c>
      <c r="H877" s="4" t="s">
        <v>112</v>
      </c>
      <c r="I877" s="4" t="s">
        <v>1580</v>
      </c>
      <c r="J877" s="4" t="s">
        <v>1581</v>
      </c>
      <c r="K877" s="4" t="s">
        <v>24</v>
      </c>
    </row>
    <row r="878" spans="1:11" x14ac:dyDescent="0.2">
      <c r="A878" s="4" t="s">
        <v>1883</v>
      </c>
      <c r="B878" s="4" t="s">
        <v>1884</v>
      </c>
      <c r="C878" s="4" t="s">
        <v>13</v>
      </c>
      <c r="D878" s="4" t="s">
        <v>1861</v>
      </c>
      <c r="E878" s="4" t="s">
        <v>1862</v>
      </c>
      <c r="F878" s="4" t="s">
        <v>1863</v>
      </c>
      <c r="G878" s="1">
        <v>3.3000000000000002E-2</v>
      </c>
      <c r="H878" s="4" t="s">
        <v>225</v>
      </c>
      <c r="I878" s="4" t="s">
        <v>1580</v>
      </c>
      <c r="J878" s="4" t="s">
        <v>1581</v>
      </c>
      <c r="K878" s="4" t="s">
        <v>24</v>
      </c>
    </row>
    <row r="879" spans="1:11" x14ac:dyDescent="0.2">
      <c r="A879" s="4" t="s">
        <v>1885</v>
      </c>
      <c r="B879" s="4" t="s">
        <v>1886</v>
      </c>
      <c r="C879" s="4" t="s">
        <v>13</v>
      </c>
      <c r="D879" s="4" t="s">
        <v>1861</v>
      </c>
      <c r="E879" s="4" t="s">
        <v>1862</v>
      </c>
      <c r="F879" s="4" t="s">
        <v>1863</v>
      </c>
      <c r="G879" s="1">
        <v>0.13300000000000001</v>
      </c>
      <c r="H879" s="4" t="s">
        <v>112</v>
      </c>
      <c r="I879" s="4" t="s">
        <v>1580</v>
      </c>
      <c r="J879" s="4" t="s">
        <v>1581</v>
      </c>
      <c r="K879" s="4" t="s">
        <v>24</v>
      </c>
    </row>
    <row r="880" spans="1:11" x14ac:dyDescent="0.2">
      <c r="A880" s="4" t="s">
        <v>1887</v>
      </c>
      <c r="B880" s="4" t="s">
        <v>1888</v>
      </c>
      <c r="C880" s="4" t="s">
        <v>13</v>
      </c>
      <c r="D880" s="4" t="s">
        <v>1861</v>
      </c>
      <c r="E880" s="4" t="s">
        <v>1862</v>
      </c>
      <c r="F880" s="4" t="s">
        <v>1863</v>
      </c>
      <c r="G880" s="1">
        <v>0.16700000000000001</v>
      </c>
      <c r="H880" s="4" t="s">
        <v>229</v>
      </c>
      <c r="I880" s="4" t="s">
        <v>1580</v>
      </c>
      <c r="J880" s="4" t="s">
        <v>1581</v>
      </c>
      <c r="K880" s="4" t="s">
        <v>24</v>
      </c>
    </row>
    <row r="881" spans="1:11" x14ac:dyDescent="0.2">
      <c r="A881" s="4" t="s">
        <v>1889</v>
      </c>
      <c r="B881" s="4" t="s">
        <v>1890</v>
      </c>
      <c r="C881" s="4" t="s">
        <v>13</v>
      </c>
      <c r="D881" s="4" t="s">
        <v>1861</v>
      </c>
      <c r="E881" s="4" t="s">
        <v>1862</v>
      </c>
      <c r="F881" s="4" t="s">
        <v>1863</v>
      </c>
      <c r="G881" s="1">
        <v>0.16700000000000001</v>
      </c>
      <c r="H881" s="4" t="s">
        <v>229</v>
      </c>
      <c r="I881" s="4" t="s">
        <v>1580</v>
      </c>
      <c r="J881" s="4" t="s">
        <v>1581</v>
      </c>
      <c r="K881" s="4" t="s">
        <v>24</v>
      </c>
    </row>
    <row r="882" spans="1:11" x14ac:dyDescent="0.2">
      <c r="A882" s="4" t="s">
        <v>1891</v>
      </c>
      <c r="B882" s="4" t="s">
        <v>1892</v>
      </c>
      <c r="C882" s="4" t="s">
        <v>13</v>
      </c>
      <c r="D882" s="4" t="s">
        <v>1861</v>
      </c>
      <c r="E882" s="4" t="s">
        <v>1862</v>
      </c>
      <c r="F882" s="4" t="s">
        <v>1863</v>
      </c>
      <c r="G882" s="1">
        <v>0.16700000000000001</v>
      </c>
      <c r="H882" s="4" t="s">
        <v>229</v>
      </c>
      <c r="I882" s="4" t="s">
        <v>1580</v>
      </c>
      <c r="J882" s="4" t="s">
        <v>1581</v>
      </c>
      <c r="K882" s="4" t="s">
        <v>24</v>
      </c>
    </row>
    <row r="883" spans="1:11" x14ac:dyDescent="0.2">
      <c r="A883" s="4" t="s">
        <v>1893</v>
      </c>
      <c r="B883" s="4" t="s">
        <v>1894</v>
      </c>
      <c r="C883" s="4" t="s">
        <v>13</v>
      </c>
      <c r="D883" s="4" t="s">
        <v>1861</v>
      </c>
      <c r="E883" s="4" t="s">
        <v>1862</v>
      </c>
      <c r="F883" s="4" t="s">
        <v>1863</v>
      </c>
      <c r="G883" s="1">
        <v>0.16700000000000001</v>
      </c>
      <c r="H883" s="4" t="s">
        <v>229</v>
      </c>
      <c r="I883" s="4" t="s">
        <v>1580</v>
      </c>
      <c r="J883" s="4" t="s">
        <v>1581</v>
      </c>
      <c r="K883" s="4" t="s">
        <v>24</v>
      </c>
    </row>
    <row r="884" spans="1:11" x14ac:dyDescent="0.2">
      <c r="A884" s="4" t="s">
        <v>1895</v>
      </c>
      <c r="B884" s="4" t="s">
        <v>1896</v>
      </c>
      <c r="C884" s="4" t="s">
        <v>13</v>
      </c>
      <c r="D884" s="4" t="s">
        <v>1861</v>
      </c>
      <c r="E884" s="4" t="s">
        <v>1862</v>
      </c>
      <c r="F884" s="4" t="s">
        <v>1863</v>
      </c>
      <c r="G884" s="1">
        <v>3.3000000000000002E-2</v>
      </c>
      <c r="H884" s="4" t="s">
        <v>225</v>
      </c>
      <c r="I884" s="4" t="s">
        <v>1580</v>
      </c>
      <c r="J884" s="4" t="s">
        <v>1581</v>
      </c>
      <c r="K884" s="4" t="s">
        <v>24</v>
      </c>
    </row>
    <row r="885" spans="1:11" x14ac:dyDescent="0.2">
      <c r="A885" s="4" t="s">
        <v>1897</v>
      </c>
      <c r="B885" s="4" t="s">
        <v>1898</v>
      </c>
      <c r="C885" s="4" t="s">
        <v>13</v>
      </c>
      <c r="D885" s="4" t="s">
        <v>1861</v>
      </c>
      <c r="E885" s="4" t="s">
        <v>1862</v>
      </c>
      <c r="F885" s="4" t="s">
        <v>1863</v>
      </c>
      <c r="G885" s="1">
        <v>0.1</v>
      </c>
      <c r="H885" s="4" t="s">
        <v>117</v>
      </c>
      <c r="I885" s="4" t="s">
        <v>1580</v>
      </c>
      <c r="J885" s="4" t="s">
        <v>1581</v>
      </c>
      <c r="K885" s="4" t="s">
        <v>24</v>
      </c>
    </row>
    <row r="886" spans="1:11" x14ac:dyDescent="0.2">
      <c r="A886" s="4" t="s">
        <v>1899</v>
      </c>
      <c r="B886" s="4" t="s">
        <v>1900</v>
      </c>
      <c r="C886" s="4" t="s">
        <v>13</v>
      </c>
      <c r="D886" s="4" t="s">
        <v>1861</v>
      </c>
      <c r="E886" s="4" t="s">
        <v>1862</v>
      </c>
      <c r="F886" s="4" t="s">
        <v>1863</v>
      </c>
      <c r="G886" s="1">
        <v>6.7000000000000004E-2</v>
      </c>
      <c r="H886" s="4" t="s">
        <v>166</v>
      </c>
      <c r="I886" s="4" t="s">
        <v>1580</v>
      </c>
      <c r="J886" s="4" t="s">
        <v>1581</v>
      </c>
      <c r="K886" s="4" t="s">
        <v>24</v>
      </c>
    </row>
    <row r="887" spans="1:11" x14ac:dyDescent="0.2">
      <c r="A887" s="4" t="s">
        <v>1901</v>
      </c>
      <c r="B887" s="4" t="s">
        <v>1902</v>
      </c>
      <c r="C887" s="4" t="s">
        <v>13</v>
      </c>
      <c r="D887" s="4" t="s">
        <v>1861</v>
      </c>
      <c r="E887" s="4" t="s">
        <v>1862</v>
      </c>
      <c r="F887" s="4" t="s">
        <v>1863</v>
      </c>
      <c r="G887" s="1">
        <v>6.7000000000000004E-2</v>
      </c>
      <c r="H887" s="4" t="s">
        <v>166</v>
      </c>
      <c r="I887" s="4" t="s">
        <v>1580</v>
      </c>
      <c r="J887" s="4" t="s">
        <v>1581</v>
      </c>
      <c r="K887" s="4" t="s">
        <v>24</v>
      </c>
    </row>
    <row r="888" spans="1:11" x14ac:dyDescent="0.2">
      <c r="A888" s="4" t="s">
        <v>1903</v>
      </c>
      <c r="B888" s="4" t="s">
        <v>1904</v>
      </c>
      <c r="C888" s="4" t="s">
        <v>13</v>
      </c>
      <c r="D888" s="4" t="s">
        <v>1861</v>
      </c>
      <c r="E888" s="4" t="s">
        <v>1862</v>
      </c>
      <c r="F888" s="4" t="s">
        <v>1863</v>
      </c>
      <c r="G888" s="1">
        <v>0.16700000000000001</v>
      </c>
      <c r="H888" s="4" t="s">
        <v>229</v>
      </c>
      <c r="I888" s="4" t="s">
        <v>1580</v>
      </c>
      <c r="J888" s="4" t="s">
        <v>1581</v>
      </c>
      <c r="K888" s="4" t="s">
        <v>24</v>
      </c>
    </row>
    <row r="889" spans="1:11" x14ac:dyDescent="0.2">
      <c r="A889" s="4" t="s">
        <v>1905</v>
      </c>
      <c r="B889" s="4" t="s">
        <v>1906</v>
      </c>
      <c r="C889" s="4" t="s">
        <v>13</v>
      </c>
      <c r="D889" s="4" t="s">
        <v>1861</v>
      </c>
      <c r="E889" s="4" t="s">
        <v>1862</v>
      </c>
      <c r="F889" s="4" t="s">
        <v>1863</v>
      </c>
      <c r="G889" s="1">
        <v>3.3000000000000002E-2</v>
      </c>
      <c r="H889" s="4" t="s">
        <v>225</v>
      </c>
      <c r="I889" s="4" t="s">
        <v>1580</v>
      </c>
      <c r="J889" s="4" t="s">
        <v>1581</v>
      </c>
      <c r="K889" s="4" t="s">
        <v>24</v>
      </c>
    </row>
    <row r="890" spans="1:11" x14ac:dyDescent="0.2">
      <c r="A890" s="4" t="s">
        <v>1907</v>
      </c>
      <c r="B890" s="4" t="s">
        <v>1908</v>
      </c>
      <c r="C890" s="4" t="s">
        <v>13</v>
      </c>
      <c r="D890" s="4" t="s">
        <v>1861</v>
      </c>
      <c r="E890" s="4" t="s">
        <v>1862</v>
      </c>
      <c r="F890" s="4" t="s">
        <v>1863</v>
      </c>
      <c r="G890" s="1">
        <v>0.13300000000000001</v>
      </c>
      <c r="H890" s="4" t="s">
        <v>112</v>
      </c>
      <c r="I890" s="4" t="s">
        <v>1580</v>
      </c>
      <c r="J890" s="4" t="s">
        <v>1581</v>
      </c>
      <c r="K890" s="4" t="s">
        <v>24</v>
      </c>
    </row>
    <row r="891" spans="1:11" x14ac:dyDescent="0.2">
      <c r="A891" s="4" t="s">
        <v>1909</v>
      </c>
      <c r="B891" s="4" t="s">
        <v>1910</v>
      </c>
      <c r="C891" s="4" t="s">
        <v>13</v>
      </c>
      <c r="D891" s="4" t="s">
        <v>1861</v>
      </c>
      <c r="E891" s="4" t="s">
        <v>1862</v>
      </c>
      <c r="F891" s="4" t="s">
        <v>1863</v>
      </c>
      <c r="G891" s="1">
        <v>0.16700000000000001</v>
      </c>
      <c r="H891" s="4" t="s">
        <v>229</v>
      </c>
      <c r="I891" s="4" t="s">
        <v>1580</v>
      </c>
      <c r="J891" s="4" t="s">
        <v>1581</v>
      </c>
      <c r="K891" s="4" t="s">
        <v>24</v>
      </c>
    </row>
    <row r="892" spans="1:11" x14ac:dyDescent="0.2">
      <c r="A892" s="4" t="s">
        <v>1911</v>
      </c>
      <c r="B892" s="4" t="s">
        <v>1912</v>
      </c>
      <c r="C892" s="4" t="s">
        <v>13</v>
      </c>
      <c r="D892" s="4" t="s">
        <v>1861</v>
      </c>
      <c r="E892" s="4" t="s">
        <v>1862</v>
      </c>
      <c r="F892" s="4" t="s">
        <v>1863</v>
      </c>
      <c r="G892" s="1">
        <v>0.1</v>
      </c>
      <c r="H892" s="4" t="s">
        <v>117</v>
      </c>
      <c r="I892" s="4" t="s">
        <v>1580</v>
      </c>
      <c r="J892" s="4" t="s">
        <v>1581</v>
      </c>
      <c r="K892" s="4" t="s">
        <v>24</v>
      </c>
    </row>
    <row r="893" spans="1:11" x14ac:dyDescent="0.2">
      <c r="A893" s="4" t="s">
        <v>1913</v>
      </c>
      <c r="B893" s="4" t="s">
        <v>1914</v>
      </c>
      <c r="C893" s="4" t="s">
        <v>13</v>
      </c>
      <c r="D893" s="4" t="s">
        <v>1861</v>
      </c>
      <c r="E893" s="4" t="s">
        <v>1862</v>
      </c>
      <c r="F893" s="4" t="s">
        <v>1863</v>
      </c>
      <c r="G893" s="1">
        <v>0.13300000000000001</v>
      </c>
      <c r="H893" s="4" t="s">
        <v>112</v>
      </c>
      <c r="I893" s="4" t="s">
        <v>1580</v>
      </c>
      <c r="J893" s="4" t="s">
        <v>1581</v>
      </c>
      <c r="K893" s="4" t="s">
        <v>24</v>
      </c>
    </row>
    <row r="894" spans="1:11" x14ac:dyDescent="0.2">
      <c r="A894" s="4" t="s">
        <v>1915</v>
      </c>
      <c r="B894" s="4" t="s">
        <v>1916</v>
      </c>
      <c r="C894" s="4" t="s">
        <v>13</v>
      </c>
      <c r="D894" s="4" t="s">
        <v>1861</v>
      </c>
      <c r="E894" s="4" t="s">
        <v>1862</v>
      </c>
      <c r="F894" s="4" t="s">
        <v>1863</v>
      </c>
      <c r="G894" s="1">
        <v>0.16700000000000001</v>
      </c>
      <c r="H894" s="4" t="s">
        <v>229</v>
      </c>
      <c r="I894" s="4" t="s">
        <v>1580</v>
      </c>
      <c r="J894" s="4" t="s">
        <v>1581</v>
      </c>
      <c r="K894" s="4" t="s">
        <v>1590</v>
      </c>
    </row>
    <row r="895" spans="1:11" x14ac:dyDescent="0.2">
      <c r="A895" s="4" t="s">
        <v>1917</v>
      </c>
      <c r="B895" s="4" t="s">
        <v>1918</v>
      </c>
      <c r="C895" s="4" t="s">
        <v>13</v>
      </c>
      <c r="D895" s="4" t="s">
        <v>1861</v>
      </c>
      <c r="E895" s="4" t="s">
        <v>1862</v>
      </c>
      <c r="F895" s="4" t="s">
        <v>1863</v>
      </c>
      <c r="G895" s="1">
        <v>0.1</v>
      </c>
      <c r="H895" s="4" t="s">
        <v>117</v>
      </c>
      <c r="I895" s="4" t="s">
        <v>1580</v>
      </c>
      <c r="J895" s="4" t="s">
        <v>1581</v>
      </c>
      <c r="K895" s="4" t="s">
        <v>24</v>
      </c>
    </row>
    <row r="896" spans="1:11" x14ac:dyDescent="0.2">
      <c r="A896" s="4" t="s">
        <v>1919</v>
      </c>
      <c r="B896" s="4" t="s">
        <v>1920</v>
      </c>
      <c r="C896" s="4" t="s">
        <v>13</v>
      </c>
      <c r="D896" s="4" t="s">
        <v>1921</v>
      </c>
      <c r="E896" s="4" t="s">
        <v>1922</v>
      </c>
      <c r="F896" s="4" t="s">
        <v>1863</v>
      </c>
      <c r="G896" s="1">
        <v>0</v>
      </c>
      <c r="H896" s="4" t="s">
        <v>1649</v>
      </c>
      <c r="I896" s="4" t="s">
        <v>1580</v>
      </c>
      <c r="J896" s="4" t="s">
        <v>1654</v>
      </c>
      <c r="K896" s="4" t="s">
        <v>1582</v>
      </c>
    </row>
    <row r="897" spans="1:11" x14ac:dyDescent="0.2">
      <c r="A897" s="4" t="s">
        <v>1923</v>
      </c>
      <c r="B897" s="4" t="s">
        <v>1924</v>
      </c>
      <c r="C897" s="4" t="s">
        <v>13</v>
      </c>
      <c r="D897" s="4" t="s">
        <v>1921</v>
      </c>
      <c r="E897" s="4" t="s">
        <v>1922</v>
      </c>
      <c r="F897" s="4" t="s">
        <v>1863</v>
      </c>
      <c r="G897" s="1">
        <v>0.1</v>
      </c>
      <c r="H897" s="4" t="s">
        <v>117</v>
      </c>
      <c r="I897" s="4" t="s">
        <v>1580</v>
      </c>
      <c r="J897" s="4" t="s">
        <v>1654</v>
      </c>
      <c r="K897" s="4" t="s">
        <v>1868</v>
      </c>
    </row>
    <row r="898" spans="1:11" x14ac:dyDescent="0.2">
      <c r="A898" s="4" t="s">
        <v>1925</v>
      </c>
      <c r="B898" s="4" t="s">
        <v>1926</v>
      </c>
      <c r="C898" s="4" t="s">
        <v>13</v>
      </c>
      <c r="D898" s="4" t="s">
        <v>1921</v>
      </c>
      <c r="E898" s="4" t="s">
        <v>1922</v>
      </c>
      <c r="F898" s="4" t="s">
        <v>1863</v>
      </c>
      <c r="G898" s="1">
        <v>0</v>
      </c>
      <c r="H898" s="4" t="s">
        <v>1649</v>
      </c>
      <c r="I898" s="4" t="s">
        <v>1580</v>
      </c>
      <c r="J898" s="4" t="s">
        <v>1654</v>
      </c>
      <c r="K898" s="4" t="s">
        <v>24</v>
      </c>
    </row>
    <row r="899" spans="1:11" x14ac:dyDescent="0.2">
      <c r="A899" s="4" t="s">
        <v>1927</v>
      </c>
      <c r="B899" s="4" t="s">
        <v>1928</v>
      </c>
      <c r="C899" s="4" t="s">
        <v>13</v>
      </c>
      <c r="D899" s="4" t="s">
        <v>1921</v>
      </c>
      <c r="E899" s="4" t="s">
        <v>1922</v>
      </c>
      <c r="F899" s="4" t="s">
        <v>1863</v>
      </c>
      <c r="G899" s="1">
        <v>0</v>
      </c>
      <c r="H899" s="4" t="s">
        <v>1649</v>
      </c>
      <c r="I899" s="4" t="s">
        <v>1580</v>
      </c>
      <c r="J899" s="4" t="s">
        <v>1654</v>
      </c>
      <c r="K899" s="4" t="s">
        <v>24</v>
      </c>
    </row>
    <row r="900" spans="1:11" x14ac:dyDescent="0.2">
      <c r="A900" s="4" t="s">
        <v>1929</v>
      </c>
      <c r="B900" s="4" t="s">
        <v>1930</v>
      </c>
      <c r="C900" s="4" t="s">
        <v>13</v>
      </c>
      <c r="D900" s="4" t="s">
        <v>1921</v>
      </c>
      <c r="E900" s="4" t="s">
        <v>1922</v>
      </c>
      <c r="F900" s="4" t="s">
        <v>1863</v>
      </c>
      <c r="G900" s="1">
        <v>0</v>
      </c>
      <c r="H900" s="4" t="s">
        <v>1649</v>
      </c>
      <c r="I900" s="4" t="s">
        <v>1580</v>
      </c>
      <c r="J900" s="4" t="s">
        <v>1654</v>
      </c>
      <c r="K900" s="4" t="s">
        <v>24</v>
      </c>
    </row>
    <row r="901" spans="1:11" x14ac:dyDescent="0.2">
      <c r="A901" s="4" t="s">
        <v>1931</v>
      </c>
      <c r="B901" s="4" t="s">
        <v>1932</v>
      </c>
      <c r="C901" s="4" t="s">
        <v>13</v>
      </c>
      <c r="D901" s="4" t="s">
        <v>1921</v>
      </c>
      <c r="E901" s="4" t="s">
        <v>1922</v>
      </c>
      <c r="F901" s="4" t="s">
        <v>1863</v>
      </c>
      <c r="G901" s="1">
        <v>0</v>
      </c>
      <c r="H901" s="4" t="s">
        <v>1649</v>
      </c>
      <c r="I901" s="4" t="s">
        <v>1580</v>
      </c>
      <c r="J901" s="4" t="s">
        <v>1654</v>
      </c>
      <c r="K901" s="4" t="s">
        <v>24</v>
      </c>
    </row>
    <row r="902" spans="1:11" x14ac:dyDescent="0.2">
      <c r="A902" s="4" t="s">
        <v>1933</v>
      </c>
      <c r="B902" s="4" t="s">
        <v>1934</v>
      </c>
      <c r="C902" s="4" t="s">
        <v>13</v>
      </c>
      <c r="D902" s="4" t="s">
        <v>1921</v>
      </c>
      <c r="E902" s="4" t="s">
        <v>1922</v>
      </c>
      <c r="F902" s="4" t="s">
        <v>1863</v>
      </c>
      <c r="G902" s="1">
        <v>0</v>
      </c>
      <c r="H902" s="4" t="s">
        <v>1649</v>
      </c>
      <c r="I902" s="4" t="s">
        <v>1580</v>
      </c>
      <c r="J902" s="4" t="s">
        <v>1654</v>
      </c>
      <c r="K902" s="4" t="s">
        <v>24</v>
      </c>
    </row>
    <row r="903" spans="1:11" x14ac:dyDescent="0.2">
      <c r="A903" s="4" t="s">
        <v>1935</v>
      </c>
      <c r="B903" s="4" t="s">
        <v>1936</v>
      </c>
      <c r="C903" s="4" t="s">
        <v>13</v>
      </c>
      <c r="D903" s="4" t="s">
        <v>1921</v>
      </c>
      <c r="E903" s="4" t="s">
        <v>1922</v>
      </c>
      <c r="F903" s="4" t="s">
        <v>1863</v>
      </c>
      <c r="G903" s="1">
        <v>0</v>
      </c>
      <c r="H903" s="4" t="s">
        <v>1649</v>
      </c>
      <c r="I903" s="4" t="s">
        <v>1580</v>
      </c>
      <c r="J903" s="4" t="s">
        <v>1654</v>
      </c>
      <c r="K903" s="4" t="s">
        <v>24</v>
      </c>
    </row>
    <row r="904" spans="1:11" x14ac:dyDescent="0.2">
      <c r="A904" s="4" t="s">
        <v>1937</v>
      </c>
      <c r="B904" s="4" t="s">
        <v>1938</v>
      </c>
      <c r="C904" s="4" t="s">
        <v>13</v>
      </c>
      <c r="D904" s="4" t="s">
        <v>1921</v>
      </c>
      <c r="E904" s="4" t="s">
        <v>1922</v>
      </c>
      <c r="F904" s="4" t="s">
        <v>1863</v>
      </c>
      <c r="G904" s="1">
        <v>0</v>
      </c>
      <c r="H904" s="4" t="s">
        <v>1649</v>
      </c>
      <c r="I904" s="4" t="s">
        <v>1580</v>
      </c>
      <c r="J904" s="4" t="s">
        <v>1654</v>
      </c>
      <c r="K904" s="4" t="s">
        <v>24</v>
      </c>
    </row>
    <row r="905" spans="1:11" x14ac:dyDescent="0.2">
      <c r="A905" s="4" t="s">
        <v>1939</v>
      </c>
      <c r="B905" s="4" t="s">
        <v>1940</v>
      </c>
      <c r="C905" s="4" t="s">
        <v>13</v>
      </c>
      <c r="D905" s="4" t="s">
        <v>1921</v>
      </c>
      <c r="E905" s="4" t="s">
        <v>1922</v>
      </c>
      <c r="F905" s="4" t="s">
        <v>1863</v>
      </c>
      <c r="G905" s="1">
        <v>0</v>
      </c>
      <c r="H905" s="4" t="s">
        <v>1649</v>
      </c>
      <c r="I905" s="4" t="s">
        <v>1580</v>
      </c>
      <c r="J905" s="4" t="s">
        <v>1654</v>
      </c>
      <c r="K905" s="4" t="s">
        <v>24</v>
      </c>
    </row>
    <row r="906" spans="1:11" x14ac:dyDescent="0.2">
      <c r="A906" s="4" t="s">
        <v>1941</v>
      </c>
      <c r="B906" s="4" t="s">
        <v>1942</v>
      </c>
      <c r="C906" s="4" t="s">
        <v>13</v>
      </c>
      <c r="D906" s="4" t="s">
        <v>1921</v>
      </c>
      <c r="E906" s="4" t="s">
        <v>1922</v>
      </c>
      <c r="F906" s="4" t="s">
        <v>1863</v>
      </c>
      <c r="G906" s="1">
        <v>0</v>
      </c>
      <c r="H906" s="4" t="s">
        <v>1649</v>
      </c>
      <c r="I906" s="4" t="s">
        <v>1580</v>
      </c>
      <c r="J906" s="4" t="s">
        <v>1654</v>
      </c>
      <c r="K906" s="4" t="s">
        <v>24</v>
      </c>
    </row>
    <row r="907" spans="1:11" x14ac:dyDescent="0.2">
      <c r="A907" s="4" t="s">
        <v>1943</v>
      </c>
      <c r="B907" s="4" t="s">
        <v>1944</v>
      </c>
      <c r="C907" s="4" t="s">
        <v>13</v>
      </c>
      <c r="D907" s="4" t="s">
        <v>1921</v>
      </c>
      <c r="E907" s="4" t="s">
        <v>1922</v>
      </c>
      <c r="F907" s="4" t="s">
        <v>1863</v>
      </c>
      <c r="G907" s="1">
        <v>0</v>
      </c>
      <c r="H907" s="4" t="s">
        <v>1649</v>
      </c>
      <c r="I907" s="4" t="s">
        <v>1580</v>
      </c>
      <c r="J907" s="4" t="s">
        <v>1654</v>
      </c>
      <c r="K907" s="4" t="s">
        <v>24</v>
      </c>
    </row>
    <row r="908" spans="1:11" x14ac:dyDescent="0.2">
      <c r="A908" s="4" t="s">
        <v>1945</v>
      </c>
      <c r="B908" s="4" t="s">
        <v>1946</v>
      </c>
      <c r="C908" s="4" t="s">
        <v>13</v>
      </c>
      <c r="D908" s="4" t="s">
        <v>1921</v>
      </c>
      <c r="E908" s="4" t="s">
        <v>1922</v>
      </c>
      <c r="F908" s="4" t="s">
        <v>1863</v>
      </c>
      <c r="G908" s="1">
        <v>0</v>
      </c>
      <c r="H908" s="4" t="s">
        <v>1649</v>
      </c>
      <c r="I908" s="4" t="s">
        <v>1580</v>
      </c>
      <c r="J908" s="4" t="s">
        <v>1654</v>
      </c>
      <c r="K908" s="4" t="s">
        <v>24</v>
      </c>
    </row>
    <row r="909" spans="1:11" x14ac:dyDescent="0.2">
      <c r="A909" s="4" t="s">
        <v>1947</v>
      </c>
      <c r="B909" s="4" t="s">
        <v>1948</v>
      </c>
      <c r="C909" s="4" t="s">
        <v>13</v>
      </c>
      <c r="D909" s="4" t="s">
        <v>1921</v>
      </c>
      <c r="E909" s="4" t="s">
        <v>1922</v>
      </c>
      <c r="F909" s="4" t="s">
        <v>1863</v>
      </c>
      <c r="G909" s="1">
        <v>0</v>
      </c>
      <c r="H909" s="4" t="s">
        <v>1649</v>
      </c>
      <c r="I909" s="4" t="s">
        <v>1580</v>
      </c>
      <c r="J909" s="4" t="s">
        <v>1654</v>
      </c>
      <c r="K909" s="4" t="s">
        <v>24</v>
      </c>
    </row>
    <row r="910" spans="1:11" x14ac:dyDescent="0.2">
      <c r="A910" s="4" t="s">
        <v>1949</v>
      </c>
      <c r="B910" s="4" t="s">
        <v>1950</v>
      </c>
      <c r="C910" s="4" t="s">
        <v>13</v>
      </c>
      <c r="D910" s="4" t="s">
        <v>1921</v>
      </c>
      <c r="E910" s="4" t="s">
        <v>1922</v>
      </c>
      <c r="F910" s="4" t="s">
        <v>1863</v>
      </c>
      <c r="G910" s="1">
        <v>0</v>
      </c>
      <c r="H910" s="4" t="s">
        <v>1649</v>
      </c>
      <c r="I910" s="4" t="s">
        <v>1580</v>
      </c>
      <c r="J910" s="4" t="s">
        <v>1654</v>
      </c>
      <c r="K910" s="4" t="s">
        <v>24</v>
      </c>
    </row>
    <row r="911" spans="1:11" x14ac:dyDescent="0.2">
      <c r="A911" s="4" t="s">
        <v>1951</v>
      </c>
      <c r="B911" s="4" t="s">
        <v>1952</v>
      </c>
      <c r="C911" s="4" t="s">
        <v>13</v>
      </c>
      <c r="D911" s="4" t="s">
        <v>1921</v>
      </c>
      <c r="E911" s="4" t="s">
        <v>1922</v>
      </c>
      <c r="F911" s="4" t="s">
        <v>1863</v>
      </c>
      <c r="G911" s="1">
        <v>0</v>
      </c>
      <c r="H911" s="4" t="s">
        <v>1649</v>
      </c>
      <c r="I911" s="4" t="s">
        <v>1580</v>
      </c>
      <c r="J911" s="4" t="s">
        <v>1654</v>
      </c>
      <c r="K911" s="4" t="s">
        <v>24</v>
      </c>
    </row>
    <row r="912" spans="1:11" x14ac:dyDescent="0.2">
      <c r="A912" s="4" t="s">
        <v>1953</v>
      </c>
      <c r="B912" s="4" t="s">
        <v>1954</v>
      </c>
      <c r="C912" s="4" t="s">
        <v>13</v>
      </c>
      <c r="D912" s="4" t="s">
        <v>1921</v>
      </c>
      <c r="E912" s="4" t="s">
        <v>1922</v>
      </c>
      <c r="F912" s="4" t="s">
        <v>1863</v>
      </c>
      <c r="G912" s="1">
        <v>0</v>
      </c>
      <c r="H912" s="4" t="s">
        <v>1649</v>
      </c>
      <c r="I912" s="4" t="s">
        <v>1580</v>
      </c>
      <c r="J912" s="4" t="s">
        <v>1654</v>
      </c>
      <c r="K912" s="4" t="s">
        <v>24</v>
      </c>
    </row>
    <row r="913" spans="1:11" x14ac:dyDescent="0.2">
      <c r="A913" s="4" t="s">
        <v>1955</v>
      </c>
      <c r="B913" s="4" t="s">
        <v>1956</v>
      </c>
      <c r="C913" s="4" t="s">
        <v>13</v>
      </c>
      <c r="D913" s="4" t="s">
        <v>1921</v>
      </c>
      <c r="E913" s="4" t="s">
        <v>1922</v>
      </c>
      <c r="F913" s="4" t="s">
        <v>1863</v>
      </c>
      <c r="G913" s="1">
        <v>0</v>
      </c>
      <c r="H913" s="4" t="s">
        <v>1649</v>
      </c>
      <c r="I913" s="4" t="s">
        <v>1580</v>
      </c>
      <c r="J913" s="4" t="s">
        <v>1654</v>
      </c>
      <c r="K913" s="4" t="s">
        <v>24</v>
      </c>
    </row>
    <row r="914" spans="1:11" x14ac:dyDescent="0.2">
      <c r="A914" s="4" t="s">
        <v>1957</v>
      </c>
      <c r="B914" s="4" t="s">
        <v>1958</v>
      </c>
      <c r="C914" s="4" t="s">
        <v>13</v>
      </c>
      <c r="D914" s="4" t="s">
        <v>1921</v>
      </c>
      <c r="E914" s="4" t="s">
        <v>1922</v>
      </c>
      <c r="F914" s="4" t="s">
        <v>1863</v>
      </c>
      <c r="G914" s="1">
        <v>0</v>
      </c>
      <c r="H914" s="4" t="s">
        <v>1649</v>
      </c>
      <c r="I914" s="4" t="s">
        <v>1580</v>
      </c>
      <c r="J914" s="4" t="s">
        <v>1654</v>
      </c>
      <c r="K914" s="4" t="s">
        <v>24</v>
      </c>
    </row>
    <row r="915" spans="1:11" x14ac:dyDescent="0.2">
      <c r="A915" s="4" t="s">
        <v>1959</v>
      </c>
      <c r="B915" s="4" t="s">
        <v>1960</v>
      </c>
      <c r="C915" s="4" t="s">
        <v>13</v>
      </c>
      <c r="D915" s="4" t="s">
        <v>1921</v>
      </c>
      <c r="E915" s="4" t="s">
        <v>1922</v>
      </c>
      <c r="F915" s="4" t="s">
        <v>1863</v>
      </c>
      <c r="G915" s="1">
        <v>0</v>
      </c>
      <c r="H915" s="4" t="s">
        <v>1649</v>
      </c>
      <c r="I915" s="4" t="s">
        <v>1580</v>
      </c>
      <c r="J915" s="4" t="s">
        <v>1654</v>
      </c>
      <c r="K915" s="4" t="s">
        <v>24</v>
      </c>
    </row>
    <row r="916" spans="1:11" x14ac:dyDescent="0.2">
      <c r="A916" s="4" t="s">
        <v>1961</v>
      </c>
      <c r="B916" s="4" t="s">
        <v>1962</v>
      </c>
      <c r="C916" s="4" t="s">
        <v>13</v>
      </c>
      <c r="D916" s="4" t="s">
        <v>1921</v>
      </c>
      <c r="E916" s="4" t="s">
        <v>1922</v>
      </c>
      <c r="F916" s="4" t="s">
        <v>1863</v>
      </c>
      <c r="G916" s="1">
        <v>0</v>
      </c>
      <c r="H916" s="4" t="s">
        <v>1649</v>
      </c>
      <c r="I916" s="4" t="s">
        <v>1580</v>
      </c>
      <c r="J916" s="4" t="s">
        <v>1654</v>
      </c>
      <c r="K916" s="4" t="s">
        <v>24</v>
      </c>
    </row>
    <row r="917" spans="1:11" x14ac:dyDescent="0.2">
      <c r="A917" s="4" t="s">
        <v>1568</v>
      </c>
      <c r="B917" s="4" t="s">
        <v>1569</v>
      </c>
      <c r="C917" s="4" t="s">
        <v>13</v>
      </c>
      <c r="D917" s="4" t="s">
        <v>1921</v>
      </c>
      <c r="E917" s="4" t="s">
        <v>1922</v>
      </c>
      <c r="F917" s="4" t="s">
        <v>1863</v>
      </c>
      <c r="G917" s="1">
        <v>0</v>
      </c>
      <c r="H917" s="4" t="s">
        <v>1649</v>
      </c>
      <c r="I917" s="4" t="s">
        <v>1580</v>
      </c>
      <c r="J917" s="4" t="s">
        <v>1654</v>
      </c>
      <c r="K917" s="4" t="s">
        <v>24</v>
      </c>
    </row>
    <row r="918" spans="1:11" x14ac:dyDescent="0.2">
      <c r="A918" s="4" t="s">
        <v>1963</v>
      </c>
      <c r="B918" s="4" t="s">
        <v>1964</v>
      </c>
      <c r="C918" s="4" t="s">
        <v>13</v>
      </c>
      <c r="D918" s="4" t="s">
        <v>1965</v>
      </c>
      <c r="E918" s="4" t="s">
        <v>1966</v>
      </c>
      <c r="F918" s="4" t="s">
        <v>111</v>
      </c>
      <c r="G918" s="1">
        <v>0.13300000000000001</v>
      </c>
      <c r="H918" s="4" t="s">
        <v>112</v>
      </c>
      <c r="I918" s="4" t="s">
        <v>1580</v>
      </c>
      <c r="J918" s="4" t="s">
        <v>19</v>
      </c>
      <c r="K918" s="4" t="s">
        <v>1967</v>
      </c>
    </row>
    <row r="919" spans="1:11" x14ac:dyDescent="0.2">
      <c r="A919" s="4" t="s">
        <v>1968</v>
      </c>
      <c r="B919" s="4" t="s">
        <v>1969</v>
      </c>
      <c r="C919" s="4" t="s">
        <v>13</v>
      </c>
      <c r="D919" s="4" t="s">
        <v>1965</v>
      </c>
      <c r="E919" s="4" t="s">
        <v>1966</v>
      </c>
      <c r="F919" s="4" t="s">
        <v>111</v>
      </c>
      <c r="G919" s="1">
        <v>0.13300000000000001</v>
      </c>
      <c r="H919" s="4" t="s">
        <v>112</v>
      </c>
      <c r="I919" s="4" t="s">
        <v>1580</v>
      </c>
      <c r="J919" s="4" t="s">
        <v>19</v>
      </c>
      <c r="K919" s="4" t="s">
        <v>1781</v>
      </c>
    </row>
    <row r="920" spans="1:11" x14ac:dyDescent="0.2">
      <c r="A920" s="4" t="s">
        <v>1970</v>
      </c>
      <c r="B920" s="4" t="s">
        <v>1971</v>
      </c>
      <c r="C920" s="4" t="s">
        <v>13</v>
      </c>
      <c r="D920" s="4" t="s">
        <v>1965</v>
      </c>
      <c r="E920" s="4" t="s">
        <v>1966</v>
      </c>
      <c r="F920" s="4" t="s">
        <v>111</v>
      </c>
      <c r="G920" s="1">
        <v>0.13300000000000001</v>
      </c>
      <c r="H920" s="4" t="s">
        <v>112</v>
      </c>
      <c r="I920" s="4" t="s">
        <v>1580</v>
      </c>
      <c r="J920" s="4" t="s">
        <v>19</v>
      </c>
      <c r="K920" s="4" t="s">
        <v>1864</v>
      </c>
    </row>
    <row r="921" spans="1:11" x14ac:dyDescent="0.2">
      <c r="A921" s="4" t="s">
        <v>1972</v>
      </c>
      <c r="B921" s="4" t="s">
        <v>1973</v>
      </c>
      <c r="C921" s="4" t="s">
        <v>13</v>
      </c>
      <c r="D921" s="4" t="s">
        <v>1965</v>
      </c>
      <c r="E921" s="4" t="s">
        <v>1966</v>
      </c>
      <c r="F921" s="4" t="s">
        <v>111</v>
      </c>
      <c r="G921" s="1">
        <v>0.1</v>
      </c>
      <c r="H921" s="4" t="s">
        <v>117</v>
      </c>
      <c r="I921" s="4" t="s">
        <v>1580</v>
      </c>
      <c r="J921" s="4" t="s">
        <v>19</v>
      </c>
      <c r="K921" s="4" t="s">
        <v>1864</v>
      </c>
    </row>
    <row r="922" spans="1:11" x14ac:dyDescent="0.2">
      <c r="A922" s="4" t="s">
        <v>1974</v>
      </c>
      <c r="B922" s="4" t="s">
        <v>1975</v>
      </c>
      <c r="C922" s="4" t="s">
        <v>13</v>
      </c>
      <c r="D922" s="4" t="s">
        <v>1965</v>
      </c>
      <c r="E922" s="4" t="s">
        <v>1966</v>
      </c>
      <c r="F922" s="4" t="s">
        <v>111</v>
      </c>
      <c r="G922" s="1">
        <v>0.13300000000000001</v>
      </c>
      <c r="H922" s="4" t="s">
        <v>112</v>
      </c>
      <c r="I922" s="4" t="s">
        <v>1580</v>
      </c>
      <c r="J922" s="4" t="s">
        <v>19</v>
      </c>
      <c r="K922" s="4" t="s">
        <v>1864</v>
      </c>
    </row>
    <row r="923" spans="1:11" x14ac:dyDescent="0.2">
      <c r="A923" s="4" t="s">
        <v>1976</v>
      </c>
      <c r="B923" s="4" t="s">
        <v>1977</v>
      </c>
      <c r="C923" s="4" t="s">
        <v>13</v>
      </c>
      <c r="D923" s="4" t="s">
        <v>1965</v>
      </c>
      <c r="E923" s="4" t="s">
        <v>1966</v>
      </c>
      <c r="F923" s="4" t="s">
        <v>111</v>
      </c>
      <c r="G923" s="1">
        <v>0.13300000000000001</v>
      </c>
      <c r="H923" s="4" t="s">
        <v>112</v>
      </c>
      <c r="I923" s="4" t="s">
        <v>1580</v>
      </c>
      <c r="J923" s="4" t="s">
        <v>19</v>
      </c>
      <c r="K923" s="4" t="s">
        <v>1715</v>
      </c>
    </row>
    <row r="924" spans="1:11" x14ac:dyDescent="0.2">
      <c r="A924" s="4" t="s">
        <v>1978</v>
      </c>
      <c r="B924" s="4" t="s">
        <v>1979</v>
      </c>
      <c r="C924" s="4" t="s">
        <v>13</v>
      </c>
      <c r="D924" s="4" t="s">
        <v>1965</v>
      </c>
      <c r="E924" s="4" t="s">
        <v>1966</v>
      </c>
      <c r="F924" s="4" t="s">
        <v>111</v>
      </c>
      <c r="G924" s="1">
        <v>0.1</v>
      </c>
      <c r="H924" s="4" t="s">
        <v>117</v>
      </c>
      <c r="I924" s="4" t="s">
        <v>1580</v>
      </c>
      <c r="J924" s="4" t="s">
        <v>19</v>
      </c>
      <c r="K924" s="4" t="s">
        <v>1715</v>
      </c>
    </row>
    <row r="925" spans="1:11" x14ac:dyDescent="0.2">
      <c r="A925" s="4" t="s">
        <v>1980</v>
      </c>
      <c r="B925" s="4" t="s">
        <v>1981</v>
      </c>
      <c r="C925" s="4" t="s">
        <v>49</v>
      </c>
      <c r="D925" s="4" t="s">
        <v>1965</v>
      </c>
      <c r="E925" s="4" t="s">
        <v>1966</v>
      </c>
      <c r="F925" s="4" t="s">
        <v>111</v>
      </c>
      <c r="G925" s="1">
        <v>3.3000000000000002E-2</v>
      </c>
      <c r="H925" s="4" t="s">
        <v>225</v>
      </c>
      <c r="I925" s="4" t="s">
        <v>1580</v>
      </c>
      <c r="J925" s="4" t="s">
        <v>19</v>
      </c>
      <c r="K925" s="4" t="s">
        <v>1715</v>
      </c>
    </row>
    <row r="926" spans="1:11" x14ac:dyDescent="0.2">
      <c r="A926" s="4" t="s">
        <v>1982</v>
      </c>
      <c r="B926" s="4" t="s">
        <v>1983</v>
      </c>
      <c r="C926" s="4" t="s">
        <v>13</v>
      </c>
      <c r="D926" s="4" t="s">
        <v>1965</v>
      </c>
      <c r="E926" s="4" t="s">
        <v>1966</v>
      </c>
      <c r="F926" s="4" t="s">
        <v>111</v>
      </c>
      <c r="G926" s="1">
        <v>0.1</v>
      </c>
      <c r="H926" s="4" t="s">
        <v>117</v>
      </c>
      <c r="I926" s="4" t="s">
        <v>1580</v>
      </c>
      <c r="J926" s="4" t="s">
        <v>19</v>
      </c>
      <c r="K926" s="4" t="s">
        <v>1715</v>
      </c>
    </row>
    <row r="927" spans="1:11" x14ac:dyDescent="0.2">
      <c r="A927" s="4" t="s">
        <v>1984</v>
      </c>
      <c r="B927" s="4" t="s">
        <v>1985</v>
      </c>
      <c r="C927" s="4" t="s">
        <v>13</v>
      </c>
      <c r="D927" s="4" t="s">
        <v>1965</v>
      </c>
      <c r="E927" s="4" t="s">
        <v>1966</v>
      </c>
      <c r="F927" s="4" t="s">
        <v>111</v>
      </c>
      <c r="G927" s="1">
        <v>0.13300000000000001</v>
      </c>
      <c r="H927" s="4" t="s">
        <v>112</v>
      </c>
      <c r="I927" s="4" t="s">
        <v>1580</v>
      </c>
      <c r="J927" s="4" t="s">
        <v>19</v>
      </c>
      <c r="K927" s="4" t="s">
        <v>1986</v>
      </c>
    </row>
    <row r="928" spans="1:11" x14ac:dyDescent="0.2">
      <c r="A928" s="4" t="s">
        <v>1987</v>
      </c>
      <c r="B928" s="4" t="s">
        <v>1988</v>
      </c>
      <c r="C928" s="4" t="s">
        <v>13</v>
      </c>
      <c r="D928" s="4" t="s">
        <v>1965</v>
      </c>
      <c r="E928" s="4" t="s">
        <v>1966</v>
      </c>
      <c r="F928" s="4" t="s">
        <v>111</v>
      </c>
      <c r="G928" s="1">
        <v>0.13300000000000001</v>
      </c>
      <c r="H928" s="4" t="s">
        <v>112</v>
      </c>
      <c r="I928" s="4" t="s">
        <v>1580</v>
      </c>
      <c r="J928" s="4" t="s">
        <v>19</v>
      </c>
      <c r="K928" s="4" t="s">
        <v>1989</v>
      </c>
    </row>
    <row r="929" spans="1:11" x14ac:dyDescent="0.2">
      <c r="A929" s="4" t="s">
        <v>1990</v>
      </c>
      <c r="B929" s="4" t="s">
        <v>1991</v>
      </c>
      <c r="C929" s="4" t="s">
        <v>13</v>
      </c>
      <c r="D929" s="4" t="s">
        <v>1965</v>
      </c>
      <c r="E929" s="4" t="s">
        <v>1966</v>
      </c>
      <c r="F929" s="4" t="s">
        <v>111</v>
      </c>
      <c r="G929" s="1">
        <v>6.7000000000000004E-2</v>
      </c>
      <c r="H929" s="4" t="s">
        <v>166</v>
      </c>
      <c r="I929" s="4" t="s">
        <v>1580</v>
      </c>
      <c r="J929" s="4" t="s">
        <v>19</v>
      </c>
      <c r="K929" s="4" t="s">
        <v>1992</v>
      </c>
    </row>
    <row r="930" spans="1:11" x14ac:dyDescent="0.2">
      <c r="A930" s="4" t="s">
        <v>1993</v>
      </c>
      <c r="B930" s="4" t="s">
        <v>1994</v>
      </c>
      <c r="C930" s="4" t="s">
        <v>13</v>
      </c>
      <c r="D930" s="4" t="s">
        <v>1965</v>
      </c>
      <c r="E930" s="4" t="s">
        <v>1966</v>
      </c>
      <c r="F930" s="4" t="s">
        <v>111</v>
      </c>
      <c r="G930" s="1">
        <v>0.13300000000000001</v>
      </c>
      <c r="H930" s="4" t="s">
        <v>112</v>
      </c>
      <c r="I930" s="4" t="s">
        <v>1580</v>
      </c>
      <c r="J930" s="4" t="s">
        <v>19</v>
      </c>
      <c r="K930" s="4" t="s">
        <v>1992</v>
      </c>
    </row>
    <row r="931" spans="1:11" x14ac:dyDescent="0.2">
      <c r="A931" s="4" t="s">
        <v>1995</v>
      </c>
      <c r="B931" s="4" t="s">
        <v>1996</v>
      </c>
      <c r="C931" s="4" t="s">
        <v>13</v>
      </c>
      <c r="D931" s="4" t="s">
        <v>1965</v>
      </c>
      <c r="E931" s="4" t="s">
        <v>1966</v>
      </c>
      <c r="F931" s="4" t="s">
        <v>111</v>
      </c>
      <c r="G931" s="1">
        <v>0.13300000000000001</v>
      </c>
      <c r="H931" s="4" t="s">
        <v>112</v>
      </c>
      <c r="I931" s="4" t="s">
        <v>1580</v>
      </c>
      <c r="J931" s="4" t="s">
        <v>19</v>
      </c>
      <c r="K931" s="4" t="s">
        <v>1868</v>
      </c>
    </row>
    <row r="932" spans="1:11" x14ac:dyDescent="0.2">
      <c r="A932" s="4" t="s">
        <v>1997</v>
      </c>
      <c r="B932" s="4" t="s">
        <v>1998</v>
      </c>
      <c r="C932" s="4" t="s">
        <v>13</v>
      </c>
      <c r="D932" s="4" t="s">
        <v>1965</v>
      </c>
      <c r="E932" s="4" t="s">
        <v>1966</v>
      </c>
      <c r="F932" s="4" t="s">
        <v>111</v>
      </c>
      <c r="G932" s="1">
        <v>0.13300000000000001</v>
      </c>
      <c r="H932" s="4" t="s">
        <v>112</v>
      </c>
      <c r="I932" s="4" t="s">
        <v>1580</v>
      </c>
      <c r="J932" s="4" t="s">
        <v>19</v>
      </c>
      <c r="K932" s="4" t="s">
        <v>1999</v>
      </c>
    </row>
    <row r="933" spans="1:11" x14ac:dyDescent="0.2">
      <c r="A933" s="4" t="s">
        <v>2000</v>
      </c>
      <c r="B933" s="4" t="s">
        <v>2001</v>
      </c>
      <c r="C933" s="4" t="s">
        <v>13</v>
      </c>
      <c r="D933" s="4" t="s">
        <v>1965</v>
      </c>
      <c r="E933" s="4" t="s">
        <v>1966</v>
      </c>
      <c r="F933" s="4" t="s">
        <v>111</v>
      </c>
      <c r="G933" s="1">
        <v>0.13300000000000001</v>
      </c>
      <c r="H933" s="4" t="s">
        <v>112</v>
      </c>
      <c r="I933" s="4" t="s">
        <v>1580</v>
      </c>
      <c r="J933" s="4" t="s">
        <v>19</v>
      </c>
      <c r="K933" s="4" t="s">
        <v>24</v>
      </c>
    </row>
    <row r="934" spans="1:11" x14ac:dyDescent="0.2">
      <c r="A934" s="4" t="s">
        <v>2002</v>
      </c>
      <c r="B934" s="4" t="s">
        <v>2003</v>
      </c>
      <c r="C934" s="4" t="s">
        <v>13</v>
      </c>
      <c r="D934" s="4" t="s">
        <v>1965</v>
      </c>
      <c r="E934" s="4" t="s">
        <v>1966</v>
      </c>
      <c r="F934" s="4" t="s">
        <v>111</v>
      </c>
      <c r="G934" s="1">
        <v>0.13300000000000001</v>
      </c>
      <c r="H934" s="4" t="s">
        <v>112</v>
      </c>
      <c r="I934" s="4" t="s">
        <v>1580</v>
      </c>
      <c r="J934" s="4" t="s">
        <v>19</v>
      </c>
      <c r="K934" s="4" t="s">
        <v>24</v>
      </c>
    </row>
    <row r="935" spans="1:11" x14ac:dyDescent="0.2">
      <c r="A935" s="4" t="s">
        <v>2004</v>
      </c>
      <c r="B935" s="4" t="s">
        <v>2005</v>
      </c>
      <c r="C935" s="4" t="s">
        <v>13</v>
      </c>
      <c r="D935" s="4" t="s">
        <v>1965</v>
      </c>
      <c r="E935" s="4" t="s">
        <v>1966</v>
      </c>
      <c r="F935" s="4" t="s">
        <v>111</v>
      </c>
      <c r="G935" s="1">
        <v>0</v>
      </c>
      <c r="H935" s="4" t="s">
        <v>254</v>
      </c>
      <c r="I935" s="4" t="s">
        <v>1580</v>
      </c>
      <c r="J935" s="4" t="s">
        <v>19</v>
      </c>
      <c r="K935" s="4" t="s">
        <v>24</v>
      </c>
    </row>
    <row r="936" spans="1:11" x14ac:dyDescent="0.2">
      <c r="A936" s="4" t="s">
        <v>2006</v>
      </c>
      <c r="B936" s="4" t="s">
        <v>2007</v>
      </c>
      <c r="C936" s="4" t="s">
        <v>13</v>
      </c>
      <c r="D936" s="4" t="s">
        <v>1965</v>
      </c>
      <c r="E936" s="4" t="s">
        <v>1966</v>
      </c>
      <c r="F936" s="4" t="s">
        <v>111</v>
      </c>
      <c r="G936" s="1">
        <v>0.13300000000000001</v>
      </c>
      <c r="H936" s="4" t="s">
        <v>112</v>
      </c>
      <c r="I936" s="4" t="s">
        <v>1580</v>
      </c>
      <c r="J936" s="4" t="s">
        <v>19</v>
      </c>
      <c r="K936" s="4" t="s">
        <v>24</v>
      </c>
    </row>
    <row r="937" spans="1:11" x14ac:dyDescent="0.2">
      <c r="A937" s="4" t="s">
        <v>2008</v>
      </c>
      <c r="B937" s="4" t="s">
        <v>2009</v>
      </c>
      <c r="C937" s="4" t="s">
        <v>13</v>
      </c>
      <c r="D937" s="4" t="s">
        <v>1965</v>
      </c>
      <c r="E937" s="4" t="s">
        <v>1966</v>
      </c>
      <c r="F937" s="4" t="s">
        <v>111</v>
      </c>
      <c r="G937" s="1">
        <v>0.13300000000000001</v>
      </c>
      <c r="H937" s="4" t="s">
        <v>112</v>
      </c>
      <c r="I937" s="4" t="s">
        <v>1580</v>
      </c>
      <c r="J937" s="4" t="s">
        <v>19</v>
      </c>
      <c r="K937" s="4" t="s">
        <v>24</v>
      </c>
    </row>
    <row r="938" spans="1:11" x14ac:dyDescent="0.2">
      <c r="A938" s="4" t="s">
        <v>2010</v>
      </c>
      <c r="B938" s="4" t="s">
        <v>2011</v>
      </c>
      <c r="C938" s="4" t="s">
        <v>13</v>
      </c>
      <c r="D938" s="4" t="s">
        <v>1965</v>
      </c>
      <c r="E938" s="4" t="s">
        <v>1966</v>
      </c>
      <c r="F938" s="4" t="s">
        <v>111</v>
      </c>
      <c r="G938" s="1">
        <v>3.3000000000000002E-2</v>
      </c>
      <c r="H938" s="4" t="s">
        <v>225</v>
      </c>
      <c r="I938" s="4" t="s">
        <v>1580</v>
      </c>
      <c r="J938" s="4" t="s">
        <v>19</v>
      </c>
      <c r="K938" s="4" t="s">
        <v>24</v>
      </c>
    </row>
    <row r="939" spans="1:11" x14ac:dyDescent="0.2">
      <c r="A939" s="4" t="s">
        <v>2012</v>
      </c>
      <c r="B939" s="4" t="s">
        <v>2013</v>
      </c>
      <c r="C939" s="4" t="s">
        <v>13</v>
      </c>
      <c r="D939" s="4" t="s">
        <v>1965</v>
      </c>
      <c r="E939" s="4" t="s">
        <v>1966</v>
      </c>
      <c r="F939" s="4" t="s">
        <v>111</v>
      </c>
      <c r="G939" s="1">
        <v>3.3000000000000002E-2</v>
      </c>
      <c r="H939" s="4" t="s">
        <v>225</v>
      </c>
      <c r="I939" s="4" t="s">
        <v>1580</v>
      </c>
      <c r="J939" s="4" t="s">
        <v>19</v>
      </c>
      <c r="K939" s="4" t="s">
        <v>24</v>
      </c>
    </row>
    <row r="940" spans="1:11" x14ac:dyDescent="0.2">
      <c r="A940" s="4" t="s">
        <v>2014</v>
      </c>
      <c r="B940" s="4" t="s">
        <v>2015</v>
      </c>
      <c r="C940" s="4" t="s">
        <v>13</v>
      </c>
      <c r="D940" s="4" t="s">
        <v>1965</v>
      </c>
      <c r="E940" s="4" t="s">
        <v>1966</v>
      </c>
      <c r="F940" s="4" t="s">
        <v>111</v>
      </c>
      <c r="G940" s="1">
        <v>0.13300000000000001</v>
      </c>
      <c r="H940" s="4" t="s">
        <v>112</v>
      </c>
      <c r="I940" s="4" t="s">
        <v>1580</v>
      </c>
      <c r="J940" s="4" t="s">
        <v>19</v>
      </c>
      <c r="K940" s="4" t="s">
        <v>24</v>
      </c>
    </row>
    <row r="941" spans="1:11" x14ac:dyDescent="0.2">
      <c r="A941" s="4" t="s">
        <v>2016</v>
      </c>
      <c r="B941" s="4" t="s">
        <v>2017</v>
      </c>
      <c r="C941" s="4" t="s">
        <v>13</v>
      </c>
      <c r="D941" s="4" t="s">
        <v>1965</v>
      </c>
      <c r="E941" s="4" t="s">
        <v>1966</v>
      </c>
      <c r="F941" s="4" t="s">
        <v>111</v>
      </c>
      <c r="G941" s="1">
        <v>3.3000000000000002E-2</v>
      </c>
      <c r="H941" s="4" t="s">
        <v>225</v>
      </c>
      <c r="I941" s="4" t="s">
        <v>1580</v>
      </c>
      <c r="J941" s="4" t="s">
        <v>19</v>
      </c>
      <c r="K941" s="4" t="s">
        <v>24</v>
      </c>
    </row>
    <row r="942" spans="1:11" x14ac:dyDescent="0.2">
      <c r="A942" s="4" t="s">
        <v>2018</v>
      </c>
      <c r="B942" s="4" t="s">
        <v>2019</v>
      </c>
      <c r="C942" s="4" t="s">
        <v>13</v>
      </c>
      <c r="D942" s="4" t="s">
        <v>1965</v>
      </c>
      <c r="E942" s="4" t="s">
        <v>1966</v>
      </c>
      <c r="F942" s="4" t="s">
        <v>111</v>
      </c>
      <c r="G942" s="1">
        <v>0.13300000000000001</v>
      </c>
      <c r="H942" s="4" t="s">
        <v>112</v>
      </c>
      <c r="I942" s="4" t="s">
        <v>1580</v>
      </c>
      <c r="J942" s="4" t="s">
        <v>19</v>
      </c>
      <c r="K942" s="4" t="s">
        <v>24</v>
      </c>
    </row>
    <row r="943" spans="1:11" x14ac:dyDescent="0.2">
      <c r="A943" s="4" t="s">
        <v>2020</v>
      </c>
      <c r="B943" s="4" t="s">
        <v>2021</v>
      </c>
      <c r="C943" s="4" t="s">
        <v>13</v>
      </c>
      <c r="D943" s="4" t="s">
        <v>1965</v>
      </c>
      <c r="E943" s="4" t="s">
        <v>1966</v>
      </c>
      <c r="F943" s="4" t="s">
        <v>111</v>
      </c>
      <c r="G943" s="1">
        <v>0.13300000000000001</v>
      </c>
      <c r="H943" s="4" t="s">
        <v>112</v>
      </c>
      <c r="I943" s="4" t="s">
        <v>1580</v>
      </c>
      <c r="J943" s="4" t="s">
        <v>19</v>
      </c>
      <c r="K943" s="4" t="s">
        <v>24</v>
      </c>
    </row>
    <row r="944" spans="1:11" x14ac:dyDescent="0.2">
      <c r="A944" s="4" t="s">
        <v>2022</v>
      </c>
      <c r="B944" s="4" t="s">
        <v>2023</v>
      </c>
      <c r="C944" s="4" t="s">
        <v>13</v>
      </c>
      <c r="D944" s="4" t="s">
        <v>1965</v>
      </c>
      <c r="E944" s="4" t="s">
        <v>1966</v>
      </c>
      <c r="F944" s="4" t="s">
        <v>111</v>
      </c>
      <c r="G944" s="1">
        <v>0.1</v>
      </c>
      <c r="H944" s="4" t="s">
        <v>117</v>
      </c>
      <c r="I944" s="4" t="s">
        <v>1580</v>
      </c>
      <c r="J944" s="4" t="s">
        <v>19</v>
      </c>
      <c r="K944" s="4" t="s">
        <v>24</v>
      </c>
    </row>
    <row r="945" spans="1:11" x14ac:dyDescent="0.2">
      <c r="A945" s="4" t="s">
        <v>2024</v>
      </c>
      <c r="B945" s="4" t="s">
        <v>2025</v>
      </c>
      <c r="C945" s="4" t="s">
        <v>13</v>
      </c>
      <c r="D945" s="4" t="s">
        <v>1965</v>
      </c>
      <c r="E945" s="4" t="s">
        <v>1966</v>
      </c>
      <c r="F945" s="4" t="s">
        <v>111</v>
      </c>
      <c r="G945" s="1">
        <v>0.13300000000000001</v>
      </c>
      <c r="H945" s="4" t="s">
        <v>112</v>
      </c>
      <c r="I945" s="4" t="s">
        <v>1580</v>
      </c>
      <c r="J945" s="4" t="s">
        <v>19</v>
      </c>
      <c r="K945" s="4" t="s">
        <v>24</v>
      </c>
    </row>
    <row r="946" spans="1:11" x14ac:dyDescent="0.2">
      <c r="A946" s="4" t="s">
        <v>2026</v>
      </c>
      <c r="B946" s="4" t="s">
        <v>2027</v>
      </c>
      <c r="C946" s="4" t="s">
        <v>13</v>
      </c>
      <c r="D946" s="4" t="s">
        <v>1965</v>
      </c>
      <c r="E946" s="4" t="s">
        <v>1966</v>
      </c>
      <c r="F946" s="4" t="s">
        <v>111</v>
      </c>
      <c r="G946" s="1">
        <v>0.1</v>
      </c>
      <c r="H946" s="4" t="s">
        <v>117</v>
      </c>
      <c r="I946" s="4" t="s">
        <v>1580</v>
      </c>
      <c r="J946" s="4" t="s">
        <v>19</v>
      </c>
      <c r="K946" s="4" t="s">
        <v>24</v>
      </c>
    </row>
    <row r="947" spans="1:11" x14ac:dyDescent="0.2">
      <c r="A947" s="4" t="s">
        <v>2028</v>
      </c>
      <c r="B947" s="4" t="s">
        <v>2029</v>
      </c>
      <c r="C947" s="4" t="s">
        <v>13</v>
      </c>
      <c r="D947" s="4" t="s">
        <v>1965</v>
      </c>
      <c r="E947" s="4" t="s">
        <v>1966</v>
      </c>
      <c r="F947" s="4" t="s">
        <v>111</v>
      </c>
      <c r="G947" s="1">
        <v>3.3000000000000002E-2</v>
      </c>
      <c r="H947" s="4" t="s">
        <v>225</v>
      </c>
      <c r="I947" s="4" t="s">
        <v>1580</v>
      </c>
      <c r="J947" s="4" t="s">
        <v>19</v>
      </c>
      <c r="K947" s="4" t="s">
        <v>24</v>
      </c>
    </row>
    <row r="948" spans="1:11" x14ac:dyDescent="0.2">
      <c r="A948" s="4" t="s">
        <v>2030</v>
      </c>
      <c r="B948" s="4" t="s">
        <v>2031</v>
      </c>
      <c r="C948" s="4" t="s">
        <v>13</v>
      </c>
      <c r="D948" s="4" t="s">
        <v>1965</v>
      </c>
      <c r="E948" s="4" t="s">
        <v>1966</v>
      </c>
      <c r="F948" s="4" t="s">
        <v>111</v>
      </c>
      <c r="G948" s="1">
        <v>3.3000000000000002E-2</v>
      </c>
      <c r="H948" s="4" t="s">
        <v>225</v>
      </c>
      <c r="I948" s="4" t="s">
        <v>1580</v>
      </c>
      <c r="J948" s="4" t="s">
        <v>19</v>
      </c>
      <c r="K948" s="4" t="s">
        <v>24</v>
      </c>
    </row>
    <row r="949" spans="1:11" x14ac:dyDescent="0.2">
      <c r="A949" s="4" t="s">
        <v>2032</v>
      </c>
      <c r="B949" s="4" t="s">
        <v>2033</v>
      </c>
      <c r="C949" s="4" t="s">
        <v>13</v>
      </c>
      <c r="D949" s="4" t="s">
        <v>1965</v>
      </c>
      <c r="E949" s="4" t="s">
        <v>1966</v>
      </c>
      <c r="F949" s="4" t="s">
        <v>111</v>
      </c>
      <c r="G949" s="1">
        <v>0.13300000000000001</v>
      </c>
      <c r="H949" s="4" t="s">
        <v>112</v>
      </c>
      <c r="I949" s="4" t="s">
        <v>1580</v>
      </c>
      <c r="J949" s="4" t="s">
        <v>19</v>
      </c>
      <c r="K949" s="4" t="s">
        <v>24</v>
      </c>
    </row>
    <row r="950" spans="1:11" x14ac:dyDescent="0.2">
      <c r="A950" s="4" t="s">
        <v>2034</v>
      </c>
      <c r="B950" s="4" t="s">
        <v>2035</v>
      </c>
      <c r="C950" s="4" t="s">
        <v>13</v>
      </c>
      <c r="D950" s="4" t="s">
        <v>1965</v>
      </c>
      <c r="E950" s="4" t="s">
        <v>1966</v>
      </c>
      <c r="F950" s="4" t="s">
        <v>111</v>
      </c>
      <c r="G950" s="1">
        <v>0.13300000000000001</v>
      </c>
      <c r="H950" s="4" t="s">
        <v>112</v>
      </c>
      <c r="I950" s="4" t="s">
        <v>1580</v>
      </c>
      <c r="J950" s="4" t="s">
        <v>19</v>
      </c>
      <c r="K950" s="4" t="s">
        <v>24</v>
      </c>
    </row>
    <row r="951" spans="1:11" x14ac:dyDescent="0.2">
      <c r="A951" s="4" t="s">
        <v>2036</v>
      </c>
      <c r="B951" s="4" t="s">
        <v>2037</v>
      </c>
      <c r="C951" s="4" t="s">
        <v>13</v>
      </c>
      <c r="D951" s="4" t="s">
        <v>1965</v>
      </c>
      <c r="E951" s="4" t="s">
        <v>1966</v>
      </c>
      <c r="F951" s="4" t="s">
        <v>111</v>
      </c>
      <c r="G951" s="1">
        <v>6.7000000000000004E-2</v>
      </c>
      <c r="H951" s="4" t="s">
        <v>166</v>
      </c>
      <c r="I951" s="4" t="s">
        <v>1580</v>
      </c>
      <c r="J951" s="4" t="s">
        <v>19</v>
      </c>
      <c r="K951" s="4" t="s">
        <v>24</v>
      </c>
    </row>
    <row r="952" spans="1:11" x14ac:dyDescent="0.2">
      <c r="A952" s="4" t="s">
        <v>2038</v>
      </c>
      <c r="B952" s="4" t="s">
        <v>2039</v>
      </c>
      <c r="C952" s="4" t="s">
        <v>13</v>
      </c>
      <c r="D952" s="4" t="s">
        <v>1965</v>
      </c>
      <c r="E952" s="4" t="s">
        <v>1966</v>
      </c>
      <c r="F952" s="4" t="s">
        <v>111</v>
      </c>
      <c r="G952" s="1">
        <v>0.13300000000000001</v>
      </c>
      <c r="H952" s="4" t="s">
        <v>112</v>
      </c>
      <c r="I952" s="4" t="s">
        <v>1580</v>
      </c>
      <c r="J952" s="4" t="s">
        <v>19</v>
      </c>
      <c r="K952" s="4" t="s">
        <v>24</v>
      </c>
    </row>
    <row r="953" spans="1:11" x14ac:dyDescent="0.2">
      <c r="A953" s="4" t="s">
        <v>2040</v>
      </c>
      <c r="B953" s="4" t="s">
        <v>2041</v>
      </c>
      <c r="C953" s="4" t="s">
        <v>13</v>
      </c>
      <c r="D953" s="4" t="s">
        <v>1965</v>
      </c>
      <c r="E953" s="4" t="s">
        <v>1966</v>
      </c>
      <c r="F953" s="4" t="s">
        <v>111</v>
      </c>
      <c r="G953" s="1">
        <v>0.1</v>
      </c>
      <c r="H953" s="4" t="s">
        <v>117</v>
      </c>
      <c r="I953" s="4" t="s">
        <v>1580</v>
      </c>
      <c r="J953" s="4" t="s">
        <v>19</v>
      </c>
      <c r="K953" s="4" t="s">
        <v>24</v>
      </c>
    </row>
    <row r="954" spans="1:11" x14ac:dyDescent="0.2">
      <c r="A954" s="4" t="s">
        <v>2042</v>
      </c>
      <c r="B954" s="4" t="s">
        <v>2043</v>
      </c>
      <c r="C954" s="4" t="s">
        <v>13</v>
      </c>
      <c r="D954" s="4" t="s">
        <v>1965</v>
      </c>
      <c r="E954" s="4" t="s">
        <v>1966</v>
      </c>
      <c r="F954" s="4" t="s">
        <v>111</v>
      </c>
      <c r="G954" s="1">
        <v>3.3000000000000002E-2</v>
      </c>
      <c r="H954" s="4" t="s">
        <v>225</v>
      </c>
      <c r="I954" s="4" t="s">
        <v>1580</v>
      </c>
      <c r="J954" s="4" t="s">
        <v>19</v>
      </c>
      <c r="K954" s="4" t="s">
        <v>24</v>
      </c>
    </row>
    <row r="955" spans="1:11" x14ac:dyDescent="0.2">
      <c r="A955" s="4" t="s">
        <v>2044</v>
      </c>
      <c r="B955" s="4" t="s">
        <v>2045</v>
      </c>
      <c r="C955" s="4" t="s">
        <v>13</v>
      </c>
      <c r="D955" s="4" t="s">
        <v>1965</v>
      </c>
      <c r="E955" s="4" t="s">
        <v>1966</v>
      </c>
      <c r="F955" s="4" t="s">
        <v>111</v>
      </c>
      <c r="G955" s="1">
        <v>0.13300000000000001</v>
      </c>
      <c r="H955" s="4" t="s">
        <v>112</v>
      </c>
      <c r="I955" s="4" t="s">
        <v>1580</v>
      </c>
      <c r="J955" s="4" t="s">
        <v>19</v>
      </c>
      <c r="K955" s="4" t="s">
        <v>24</v>
      </c>
    </row>
    <row r="956" spans="1:11" x14ac:dyDescent="0.2">
      <c r="A956" s="4" t="s">
        <v>2046</v>
      </c>
      <c r="B956" s="4" t="s">
        <v>2047</v>
      </c>
      <c r="C956" s="4" t="s">
        <v>13</v>
      </c>
      <c r="D956" s="4" t="s">
        <v>1965</v>
      </c>
      <c r="E956" s="4" t="s">
        <v>1966</v>
      </c>
      <c r="F956" s="4" t="s">
        <v>111</v>
      </c>
      <c r="G956" s="1">
        <v>0.13300000000000001</v>
      </c>
      <c r="H956" s="4" t="s">
        <v>112</v>
      </c>
      <c r="I956" s="4" t="s">
        <v>1580</v>
      </c>
      <c r="J956" s="4" t="s">
        <v>19</v>
      </c>
      <c r="K956" s="4" t="s">
        <v>24</v>
      </c>
    </row>
    <row r="957" spans="1:11" x14ac:dyDescent="0.2">
      <c r="A957" s="4" t="s">
        <v>2048</v>
      </c>
      <c r="B957" s="4" t="s">
        <v>2049</v>
      </c>
      <c r="C957" s="4" t="s">
        <v>13</v>
      </c>
      <c r="D957" s="4" t="s">
        <v>1965</v>
      </c>
      <c r="E957" s="4" t="s">
        <v>1966</v>
      </c>
      <c r="F957" s="4" t="s">
        <v>111</v>
      </c>
      <c r="G957" s="1">
        <v>0</v>
      </c>
      <c r="H957" s="4" t="s">
        <v>254</v>
      </c>
      <c r="I957" s="4" t="s">
        <v>1580</v>
      </c>
      <c r="J957" s="4" t="s">
        <v>19</v>
      </c>
      <c r="K957" s="4" t="s">
        <v>24</v>
      </c>
    </row>
    <row r="958" spans="1:11" x14ac:dyDescent="0.2">
      <c r="A958" s="4" t="s">
        <v>2050</v>
      </c>
      <c r="B958" s="4" t="s">
        <v>2051</v>
      </c>
      <c r="C958" s="4" t="s">
        <v>13</v>
      </c>
      <c r="D958" s="4" t="s">
        <v>1965</v>
      </c>
      <c r="E958" s="4" t="s">
        <v>1966</v>
      </c>
      <c r="F958" s="4" t="s">
        <v>111</v>
      </c>
      <c r="G958" s="1">
        <v>0.13300000000000001</v>
      </c>
      <c r="H958" s="4" t="s">
        <v>112</v>
      </c>
      <c r="I958" s="4" t="s">
        <v>1580</v>
      </c>
      <c r="J958" s="4" t="s">
        <v>19</v>
      </c>
      <c r="K958" s="4" t="s">
        <v>24</v>
      </c>
    </row>
    <row r="959" spans="1:11" x14ac:dyDescent="0.2">
      <c r="A959" s="4" t="s">
        <v>2052</v>
      </c>
      <c r="B959" s="4" t="s">
        <v>2053</v>
      </c>
      <c r="C959" s="4" t="s">
        <v>13</v>
      </c>
      <c r="D959" s="4" t="s">
        <v>1965</v>
      </c>
      <c r="E959" s="4" t="s">
        <v>1966</v>
      </c>
      <c r="F959" s="4" t="s">
        <v>111</v>
      </c>
      <c r="G959" s="1">
        <v>0.13300000000000001</v>
      </c>
      <c r="H959" s="4" t="s">
        <v>112</v>
      </c>
      <c r="I959" s="4" t="s">
        <v>1580</v>
      </c>
      <c r="J959" s="4" t="s">
        <v>19</v>
      </c>
      <c r="K959" s="4" t="s">
        <v>24</v>
      </c>
    </row>
    <row r="960" spans="1:11" x14ac:dyDescent="0.2">
      <c r="A960" s="4" t="s">
        <v>2054</v>
      </c>
      <c r="B960" s="4" t="s">
        <v>2055</v>
      </c>
      <c r="C960" s="4" t="s">
        <v>13</v>
      </c>
      <c r="D960" s="4" t="s">
        <v>1965</v>
      </c>
      <c r="E960" s="4" t="s">
        <v>1966</v>
      </c>
      <c r="F960" s="4" t="s">
        <v>111</v>
      </c>
      <c r="G960" s="1">
        <v>0.13300000000000001</v>
      </c>
      <c r="H960" s="4" t="s">
        <v>112</v>
      </c>
      <c r="I960" s="4" t="s">
        <v>1580</v>
      </c>
      <c r="J960" s="4" t="s">
        <v>19</v>
      </c>
      <c r="K960" s="4" t="s">
        <v>24</v>
      </c>
    </row>
    <row r="961" spans="1:11" x14ac:dyDescent="0.2">
      <c r="A961" s="4" t="s">
        <v>2056</v>
      </c>
      <c r="B961" s="4" t="s">
        <v>2057</v>
      </c>
      <c r="C961" s="4" t="s">
        <v>13</v>
      </c>
      <c r="D961" s="4" t="s">
        <v>1965</v>
      </c>
      <c r="E961" s="4" t="s">
        <v>1966</v>
      </c>
      <c r="F961" s="4" t="s">
        <v>111</v>
      </c>
      <c r="G961" s="1">
        <v>3.3000000000000002E-2</v>
      </c>
      <c r="H961" s="4" t="s">
        <v>225</v>
      </c>
      <c r="I961" s="4" t="s">
        <v>1580</v>
      </c>
      <c r="J961" s="4" t="s">
        <v>19</v>
      </c>
      <c r="K961" s="4" t="s">
        <v>24</v>
      </c>
    </row>
    <row r="962" spans="1:11" x14ac:dyDescent="0.2">
      <c r="A962" s="4" t="s">
        <v>2058</v>
      </c>
      <c r="B962" s="4" t="s">
        <v>2059</v>
      </c>
      <c r="C962" s="4" t="s">
        <v>13</v>
      </c>
      <c r="D962" s="4" t="s">
        <v>1965</v>
      </c>
      <c r="E962" s="4" t="s">
        <v>1966</v>
      </c>
      <c r="F962" s="4" t="s">
        <v>111</v>
      </c>
      <c r="G962" s="1">
        <v>0.13300000000000001</v>
      </c>
      <c r="H962" s="4" t="s">
        <v>112</v>
      </c>
      <c r="I962" s="4" t="s">
        <v>1580</v>
      </c>
      <c r="J962" s="4" t="s">
        <v>19</v>
      </c>
      <c r="K962" s="4" t="s">
        <v>24</v>
      </c>
    </row>
    <row r="963" spans="1:11" x14ac:dyDescent="0.2">
      <c r="A963" s="4" t="s">
        <v>2060</v>
      </c>
      <c r="B963" s="4" t="s">
        <v>2061</v>
      </c>
      <c r="C963" s="4" t="s">
        <v>13</v>
      </c>
      <c r="D963" s="4" t="s">
        <v>1965</v>
      </c>
      <c r="E963" s="4" t="s">
        <v>1966</v>
      </c>
      <c r="F963" s="4" t="s">
        <v>111</v>
      </c>
      <c r="G963" s="1">
        <v>0.1</v>
      </c>
      <c r="H963" s="4" t="s">
        <v>117</v>
      </c>
      <c r="I963" s="4" t="s">
        <v>1580</v>
      </c>
      <c r="J963" s="4" t="s">
        <v>19</v>
      </c>
      <c r="K963" s="4" t="s">
        <v>24</v>
      </c>
    </row>
    <row r="964" spans="1:11" x14ac:dyDescent="0.2">
      <c r="A964" s="4" t="s">
        <v>2062</v>
      </c>
      <c r="B964" s="4" t="s">
        <v>2063</v>
      </c>
      <c r="C964" s="4" t="s">
        <v>13</v>
      </c>
      <c r="D964" s="4" t="s">
        <v>1965</v>
      </c>
      <c r="E964" s="4" t="s">
        <v>1966</v>
      </c>
      <c r="F964" s="4" t="s">
        <v>111</v>
      </c>
      <c r="G964" s="1">
        <v>0.13300000000000001</v>
      </c>
      <c r="H964" s="4" t="s">
        <v>112</v>
      </c>
      <c r="I964" s="4" t="s">
        <v>1580</v>
      </c>
      <c r="J964" s="4" t="s">
        <v>19</v>
      </c>
      <c r="K964" s="4" t="s">
        <v>24</v>
      </c>
    </row>
    <row r="965" spans="1:11" x14ac:dyDescent="0.2">
      <c r="A965" s="4" t="s">
        <v>2064</v>
      </c>
      <c r="B965" s="4" t="s">
        <v>2065</v>
      </c>
      <c r="C965" s="4" t="s">
        <v>13</v>
      </c>
      <c r="D965" s="4" t="s">
        <v>1965</v>
      </c>
      <c r="E965" s="4" t="s">
        <v>1966</v>
      </c>
      <c r="F965" s="4" t="s">
        <v>111</v>
      </c>
      <c r="G965" s="1">
        <v>3.3000000000000002E-2</v>
      </c>
      <c r="H965" s="4" t="s">
        <v>225</v>
      </c>
      <c r="I965" s="4" t="s">
        <v>1580</v>
      </c>
      <c r="J965" s="4" t="s">
        <v>19</v>
      </c>
      <c r="K965" s="4" t="s">
        <v>24</v>
      </c>
    </row>
    <row r="966" spans="1:11" x14ac:dyDescent="0.2">
      <c r="A966" s="4" t="s">
        <v>329</v>
      </c>
      <c r="B966" s="4" t="s">
        <v>330</v>
      </c>
      <c r="C966" s="4" t="s">
        <v>49</v>
      </c>
      <c r="D966" s="4" t="s">
        <v>1965</v>
      </c>
      <c r="E966" s="4" t="s">
        <v>1966</v>
      </c>
      <c r="F966" s="4" t="s">
        <v>111</v>
      </c>
      <c r="G966" s="1">
        <v>0.13300000000000001</v>
      </c>
      <c r="H966" s="4" t="s">
        <v>112</v>
      </c>
      <c r="I966" s="4" t="s">
        <v>1580</v>
      </c>
      <c r="J966" s="4" t="s">
        <v>19</v>
      </c>
      <c r="K966" s="4" t="s">
        <v>1989</v>
      </c>
    </row>
    <row r="967" spans="1:11" x14ac:dyDescent="0.2">
      <c r="A967" s="4" t="s">
        <v>2066</v>
      </c>
      <c r="B967" s="4" t="s">
        <v>2067</v>
      </c>
      <c r="C967" s="4" t="s">
        <v>13</v>
      </c>
      <c r="D967" s="4" t="s">
        <v>1965</v>
      </c>
      <c r="E967" s="4" t="s">
        <v>1966</v>
      </c>
      <c r="F967" s="4" t="s">
        <v>111</v>
      </c>
      <c r="G967" s="1">
        <v>0.1</v>
      </c>
      <c r="H967" s="4" t="s">
        <v>117</v>
      </c>
      <c r="I967" s="4" t="s">
        <v>1580</v>
      </c>
      <c r="J967" s="4" t="s">
        <v>19</v>
      </c>
      <c r="K967" s="4" t="s">
        <v>1585</v>
      </c>
    </row>
    <row r="968" spans="1:11" x14ac:dyDescent="0.2">
      <c r="A968" s="4" t="s">
        <v>2068</v>
      </c>
      <c r="B968" s="4" t="s">
        <v>2069</v>
      </c>
      <c r="C968" s="4" t="s">
        <v>13</v>
      </c>
      <c r="D968" s="4" t="s">
        <v>1965</v>
      </c>
      <c r="E968" s="4" t="s">
        <v>1966</v>
      </c>
      <c r="F968" s="4" t="s">
        <v>111</v>
      </c>
      <c r="G968" s="1">
        <v>8.3000000000000004E-2</v>
      </c>
      <c r="H968" s="4" t="s">
        <v>1867</v>
      </c>
      <c r="I968" s="4" t="s">
        <v>1580</v>
      </c>
      <c r="J968" s="4" t="s">
        <v>19</v>
      </c>
      <c r="K968" s="4" t="s">
        <v>24</v>
      </c>
    </row>
    <row r="969" spans="1:11" x14ac:dyDescent="0.2">
      <c r="A969" s="4" t="s">
        <v>1786</v>
      </c>
      <c r="B969" s="4" t="s">
        <v>1787</v>
      </c>
      <c r="C969" s="4" t="s">
        <v>13</v>
      </c>
      <c r="D969" s="4" t="s">
        <v>1965</v>
      </c>
      <c r="E969" s="4" t="s">
        <v>1966</v>
      </c>
      <c r="F969" s="4" t="s">
        <v>111</v>
      </c>
      <c r="G969" s="1">
        <v>0.05</v>
      </c>
      <c r="H969" s="4" t="s">
        <v>336</v>
      </c>
      <c r="I969" s="4" t="s">
        <v>1580</v>
      </c>
      <c r="J969" s="4" t="s">
        <v>19</v>
      </c>
      <c r="K969" s="4" t="s">
        <v>24</v>
      </c>
    </row>
    <row r="970" spans="1:11" x14ac:dyDescent="0.2">
      <c r="A970" s="4" t="s">
        <v>2070</v>
      </c>
      <c r="B970" s="4" t="s">
        <v>2071</v>
      </c>
      <c r="C970" s="4" t="s">
        <v>13</v>
      </c>
      <c r="D970" s="4" t="s">
        <v>1965</v>
      </c>
      <c r="E970" s="4" t="s">
        <v>1966</v>
      </c>
      <c r="F970" s="4" t="s">
        <v>111</v>
      </c>
      <c r="G970" s="1">
        <v>6.7000000000000004E-2</v>
      </c>
      <c r="H970" s="4" t="s">
        <v>2072</v>
      </c>
      <c r="I970" s="4" t="s">
        <v>1580</v>
      </c>
      <c r="J970" s="4" t="s">
        <v>19</v>
      </c>
      <c r="K970" s="4" t="s">
        <v>24</v>
      </c>
    </row>
    <row r="971" spans="1:11" x14ac:dyDescent="0.2">
      <c r="A971" s="4" t="s">
        <v>2073</v>
      </c>
      <c r="B971" s="4" t="s">
        <v>2074</v>
      </c>
      <c r="C971" s="4" t="s">
        <v>13</v>
      </c>
      <c r="D971" s="4" t="s">
        <v>2075</v>
      </c>
      <c r="E971" s="4" t="s">
        <v>2076</v>
      </c>
      <c r="F971" s="4" t="s">
        <v>111</v>
      </c>
      <c r="G971" s="1">
        <v>0.16700000000000001</v>
      </c>
      <c r="H971" s="4" t="s">
        <v>229</v>
      </c>
      <c r="I971" s="4" t="s">
        <v>1580</v>
      </c>
      <c r="J971" s="4" t="s">
        <v>2077</v>
      </c>
      <c r="K971" s="4" t="s">
        <v>2078</v>
      </c>
    </row>
    <row r="972" spans="1:11" x14ac:dyDescent="0.2">
      <c r="A972" s="4" t="s">
        <v>2079</v>
      </c>
      <c r="B972" s="4" t="s">
        <v>2080</v>
      </c>
      <c r="C972" s="4" t="s">
        <v>13</v>
      </c>
      <c r="D972" s="4" t="s">
        <v>2075</v>
      </c>
      <c r="E972" s="4" t="s">
        <v>2076</v>
      </c>
      <c r="F972" s="4" t="s">
        <v>111</v>
      </c>
      <c r="G972" s="1">
        <v>0.2</v>
      </c>
      <c r="H972" s="4" t="s">
        <v>232</v>
      </c>
      <c r="I972" s="4" t="s">
        <v>1580</v>
      </c>
      <c r="J972" s="4" t="s">
        <v>2077</v>
      </c>
      <c r="K972" s="4" t="s">
        <v>1864</v>
      </c>
    </row>
    <row r="973" spans="1:11" x14ac:dyDescent="0.2">
      <c r="A973" s="4" t="s">
        <v>2081</v>
      </c>
      <c r="B973" s="4" t="s">
        <v>2082</v>
      </c>
      <c r="C973" s="4" t="s">
        <v>13</v>
      </c>
      <c r="D973" s="4" t="s">
        <v>2075</v>
      </c>
      <c r="E973" s="4" t="s">
        <v>2076</v>
      </c>
      <c r="F973" s="4" t="s">
        <v>111</v>
      </c>
      <c r="G973" s="1">
        <v>0.13300000000000001</v>
      </c>
      <c r="H973" s="4" t="s">
        <v>112</v>
      </c>
      <c r="I973" s="4" t="s">
        <v>1580</v>
      </c>
      <c r="J973" s="4" t="s">
        <v>2077</v>
      </c>
      <c r="K973" s="4" t="s">
        <v>1864</v>
      </c>
    </row>
    <row r="974" spans="1:11" x14ac:dyDescent="0.2">
      <c r="A974" s="4" t="s">
        <v>2083</v>
      </c>
      <c r="B974" s="4" t="s">
        <v>2084</v>
      </c>
      <c r="C974" s="4" t="s">
        <v>13</v>
      </c>
      <c r="D974" s="4" t="s">
        <v>2075</v>
      </c>
      <c r="E974" s="4" t="s">
        <v>2076</v>
      </c>
      <c r="F974" s="4" t="s">
        <v>111</v>
      </c>
      <c r="G974" s="1">
        <v>0.16700000000000001</v>
      </c>
      <c r="H974" s="4" t="s">
        <v>229</v>
      </c>
      <c r="I974" s="4" t="s">
        <v>1580</v>
      </c>
      <c r="J974" s="4" t="s">
        <v>2077</v>
      </c>
      <c r="K974" s="4" t="s">
        <v>1864</v>
      </c>
    </row>
    <row r="975" spans="1:11" x14ac:dyDescent="0.2">
      <c r="A975" s="4" t="s">
        <v>2085</v>
      </c>
      <c r="B975" s="4" t="s">
        <v>2086</v>
      </c>
      <c r="C975" s="4" t="s">
        <v>13</v>
      </c>
      <c r="D975" s="4" t="s">
        <v>2075</v>
      </c>
      <c r="E975" s="4" t="s">
        <v>2076</v>
      </c>
      <c r="F975" s="4" t="s">
        <v>111</v>
      </c>
      <c r="G975" s="1">
        <v>0.2</v>
      </c>
      <c r="H975" s="4" t="s">
        <v>232</v>
      </c>
      <c r="I975" s="4" t="s">
        <v>1580</v>
      </c>
      <c r="J975" s="4" t="s">
        <v>2077</v>
      </c>
      <c r="K975" s="4" t="s">
        <v>1864</v>
      </c>
    </row>
    <row r="976" spans="1:11" x14ac:dyDescent="0.2">
      <c r="A976" s="4" t="s">
        <v>2087</v>
      </c>
      <c r="B976" s="4" t="s">
        <v>2088</v>
      </c>
      <c r="C976" s="4" t="s">
        <v>13</v>
      </c>
      <c r="D976" s="4" t="s">
        <v>2075</v>
      </c>
      <c r="E976" s="4" t="s">
        <v>2076</v>
      </c>
      <c r="F976" s="4" t="s">
        <v>111</v>
      </c>
      <c r="G976" s="1">
        <v>0.13300000000000001</v>
      </c>
      <c r="H976" s="4" t="s">
        <v>112</v>
      </c>
      <c r="I976" s="4" t="s">
        <v>1580</v>
      </c>
      <c r="J976" s="4" t="s">
        <v>2077</v>
      </c>
      <c r="K976" s="4" t="s">
        <v>1715</v>
      </c>
    </row>
    <row r="977" spans="1:11" x14ac:dyDescent="0.2">
      <c r="A977" s="4" t="s">
        <v>2089</v>
      </c>
      <c r="B977" s="4" t="s">
        <v>2090</v>
      </c>
      <c r="C977" s="4" t="s">
        <v>13</v>
      </c>
      <c r="D977" s="4" t="s">
        <v>2075</v>
      </c>
      <c r="E977" s="4" t="s">
        <v>2076</v>
      </c>
      <c r="F977" s="4" t="s">
        <v>111</v>
      </c>
      <c r="G977" s="1">
        <v>0.16700000000000001</v>
      </c>
      <c r="H977" s="4" t="s">
        <v>229</v>
      </c>
      <c r="I977" s="4" t="s">
        <v>1580</v>
      </c>
      <c r="J977" s="4" t="s">
        <v>2077</v>
      </c>
      <c r="K977" s="4" t="s">
        <v>1715</v>
      </c>
    </row>
    <row r="978" spans="1:11" x14ac:dyDescent="0.2">
      <c r="A978" s="4" t="s">
        <v>2091</v>
      </c>
      <c r="B978" s="4" t="s">
        <v>2092</v>
      </c>
      <c r="C978" s="4" t="s">
        <v>13</v>
      </c>
      <c r="D978" s="4" t="s">
        <v>2075</v>
      </c>
      <c r="E978" s="4" t="s">
        <v>2076</v>
      </c>
      <c r="F978" s="4" t="s">
        <v>111</v>
      </c>
      <c r="G978" s="1">
        <v>3.3000000000000002E-2</v>
      </c>
      <c r="H978" s="4" t="s">
        <v>225</v>
      </c>
      <c r="I978" s="4" t="s">
        <v>1580</v>
      </c>
      <c r="J978" s="4" t="s">
        <v>2077</v>
      </c>
      <c r="K978" s="4" t="s">
        <v>1992</v>
      </c>
    </row>
    <row r="979" spans="1:11" x14ac:dyDescent="0.2">
      <c r="A979" s="4" t="s">
        <v>2093</v>
      </c>
      <c r="B979" s="4" t="s">
        <v>2094</v>
      </c>
      <c r="C979" s="4" t="s">
        <v>13</v>
      </c>
      <c r="D979" s="4" t="s">
        <v>2075</v>
      </c>
      <c r="E979" s="4" t="s">
        <v>2076</v>
      </c>
      <c r="F979" s="4" t="s">
        <v>111</v>
      </c>
      <c r="G979" s="1">
        <v>0.2</v>
      </c>
      <c r="H979" s="4" t="s">
        <v>232</v>
      </c>
      <c r="I979" s="4" t="s">
        <v>1580</v>
      </c>
      <c r="J979" s="4" t="s">
        <v>2077</v>
      </c>
      <c r="K979" s="4" t="s">
        <v>1992</v>
      </c>
    </row>
    <row r="980" spans="1:11" x14ac:dyDescent="0.2">
      <c r="A980" s="4" t="s">
        <v>2095</v>
      </c>
      <c r="B980" s="4" t="s">
        <v>2096</v>
      </c>
      <c r="C980" s="4" t="s">
        <v>13</v>
      </c>
      <c r="D980" s="4" t="s">
        <v>2075</v>
      </c>
      <c r="E980" s="4" t="s">
        <v>2076</v>
      </c>
      <c r="F980" s="4" t="s">
        <v>111</v>
      </c>
      <c r="G980" s="1">
        <v>0.2</v>
      </c>
      <c r="H980" s="4" t="s">
        <v>232</v>
      </c>
      <c r="I980" s="4" t="s">
        <v>1580</v>
      </c>
      <c r="J980" s="4" t="s">
        <v>2077</v>
      </c>
      <c r="K980" s="4" t="s">
        <v>24</v>
      </c>
    </row>
    <row r="981" spans="1:11" x14ac:dyDescent="0.2">
      <c r="A981" s="4" t="s">
        <v>2097</v>
      </c>
      <c r="B981" s="4" t="s">
        <v>2098</v>
      </c>
      <c r="C981" s="4" t="s">
        <v>13</v>
      </c>
      <c r="D981" s="4" t="s">
        <v>2075</v>
      </c>
      <c r="E981" s="4" t="s">
        <v>2076</v>
      </c>
      <c r="F981" s="4" t="s">
        <v>111</v>
      </c>
      <c r="G981" s="1">
        <v>0.2</v>
      </c>
      <c r="H981" s="4" t="s">
        <v>232</v>
      </c>
      <c r="I981" s="4" t="s">
        <v>1580</v>
      </c>
      <c r="J981" s="4" t="s">
        <v>2077</v>
      </c>
      <c r="K981" s="4" t="s">
        <v>24</v>
      </c>
    </row>
    <row r="982" spans="1:11" x14ac:dyDescent="0.2">
      <c r="A982" s="4" t="s">
        <v>2099</v>
      </c>
      <c r="B982" s="4" t="s">
        <v>2100</v>
      </c>
      <c r="C982" s="4" t="s">
        <v>13</v>
      </c>
      <c r="D982" s="4" t="s">
        <v>2075</v>
      </c>
      <c r="E982" s="4" t="s">
        <v>2076</v>
      </c>
      <c r="F982" s="4" t="s">
        <v>111</v>
      </c>
      <c r="G982" s="1">
        <v>0.2</v>
      </c>
      <c r="H982" s="4" t="s">
        <v>232</v>
      </c>
      <c r="I982" s="4" t="s">
        <v>1580</v>
      </c>
      <c r="J982" s="4" t="s">
        <v>2077</v>
      </c>
      <c r="K982" s="4" t="s">
        <v>24</v>
      </c>
    </row>
    <row r="983" spans="1:11" x14ac:dyDescent="0.2">
      <c r="A983" s="4" t="s">
        <v>2101</v>
      </c>
      <c r="B983" s="4" t="s">
        <v>2102</v>
      </c>
      <c r="C983" s="4" t="s">
        <v>13</v>
      </c>
      <c r="D983" s="4" t="s">
        <v>2075</v>
      </c>
      <c r="E983" s="4" t="s">
        <v>2076</v>
      </c>
      <c r="F983" s="4" t="s">
        <v>111</v>
      </c>
      <c r="G983" s="1">
        <v>0.2</v>
      </c>
      <c r="H983" s="4" t="s">
        <v>232</v>
      </c>
      <c r="I983" s="4" t="s">
        <v>1580</v>
      </c>
      <c r="J983" s="4" t="s">
        <v>2077</v>
      </c>
      <c r="K983" s="4" t="s">
        <v>24</v>
      </c>
    </row>
    <row r="984" spans="1:11" x14ac:dyDescent="0.2">
      <c r="A984" s="4" t="s">
        <v>2103</v>
      </c>
      <c r="B984" s="4" t="s">
        <v>2104</v>
      </c>
      <c r="C984" s="4" t="s">
        <v>13</v>
      </c>
      <c r="D984" s="4" t="s">
        <v>2075</v>
      </c>
      <c r="E984" s="4" t="s">
        <v>2076</v>
      </c>
      <c r="F984" s="4" t="s">
        <v>111</v>
      </c>
      <c r="G984" s="1">
        <v>0.1</v>
      </c>
      <c r="H984" s="4" t="s">
        <v>117</v>
      </c>
      <c r="I984" s="4" t="s">
        <v>1580</v>
      </c>
      <c r="J984" s="4" t="s">
        <v>2077</v>
      </c>
      <c r="K984" s="4" t="s">
        <v>24</v>
      </c>
    </row>
    <row r="985" spans="1:11" x14ac:dyDescent="0.2">
      <c r="A985" s="4" t="s">
        <v>2105</v>
      </c>
      <c r="B985" s="4" t="s">
        <v>2106</v>
      </c>
      <c r="C985" s="4" t="s">
        <v>13</v>
      </c>
      <c r="D985" s="4" t="s">
        <v>2075</v>
      </c>
      <c r="E985" s="4" t="s">
        <v>2076</v>
      </c>
      <c r="F985" s="4" t="s">
        <v>111</v>
      </c>
      <c r="G985" s="1">
        <v>0.16700000000000001</v>
      </c>
      <c r="H985" s="4" t="s">
        <v>229</v>
      </c>
      <c r="I985" s="4" t="s">
        <v>1580</v>
      </c>
      <c r="J985" s="4" t="s">
        <v>2077</v>
      </c>
      <c r="K985" s="4" t="s">
        <v>24</v>
      </c>
    </row>
    <row r="986" spans="1:11" x14ac:dyDescent="0.2">
      <c r="A986" s="4" t="s">
        <v>2107</v>
      </c>
      <c r="B986" s="4" t="s">
        <v>2108</v>
      </c>
      <c r="C986" s="4" t="s">
        <v>13</v>
      </c>
      <c r="D986" s="4" t="s">
        <v>2075</v>
      </c>
      <c r="E986" s="4" t="s">
        <v>2076</v>
      </c>
      <c r="F986" s="4" t="s">
        <v>111</v>
      </c>
      <c r="G986" s="1">
        <v>0.2</v>
      </c>
      <c r="H986" s="4" t="s">
        <v>232</v>
      </c>
      <c r="I986" s="4" t="s">
        <v>1580</v>
      </c>
      <c r="J986" s="4" t="s">
        <v>2077</v>
      </c>
      <c r="K986" s="4" t="s">
        <v>24</v>
      </c>
    </row>
    <row r="987" spans="1:11" x14ac:dyDescent="0.2">
      <c r="A987" s="4" t="s">
        <v>2109</v>
      </c>
      <c r="B987" s="4" t="s">
        <v>2110</v>
      </c>
      <c r="C987" s="4" t="s">
        <v>13</v>
      </c>
      <c r="D987" s="4" t="s">
        <v>2075</v>
      </c>
      <c r="E987" s="4" t="s">
        <v>2076</v>
      </c>
      <c r="F987" s="4" t="s">
        <v>111</v>
      </c>
      <c r="G987" s="1">
        <v>0.2</v>
      </c>
      <c r="H987" s="4" t="s">
        <v>232</v>
      </c>
      <c r="I987" s="4" t="s">
        <v>1580</v>
      </c>
      <c r="J987" s="4" t="s">
        <v>2077</v>
      </c>
      <c r="K987" s="4" t="s">
        <v>24</v>
      </c>
    </row>
    <row r="988" spans="1:11" x14ac:dyDescent="0.2">
      <c r="A988" s="4" t="s">
        <v>2111</v>
      </c>
      <c r="B988" s="4" t="s">
        <v>2112</v>
      </c>
      <c r="C988" s="4" t="s">
        <v>13</v>
      </c>
      <c r="D988" s="4" t="s">
        <v>2075</v>
      </c>
      <c r="E988" s="4" t="s">
        <v>2076</v>
      </c>
      <c r="F988" s="4" t="s">
        <v>111</v>
      </c>
      <c r="G988" s="1">
        <v>0.16700000000000001</v>
      </c>
      <c r="H988" s="4" t="s">
        <v>229</v>
      </c>
      <c r="I988" s="4" t="s">
        <v>1580</v>
      </c>
      <c r="J988" s="4" t="s">
        <v>2077</v>
      </c>
      <c r="K988" s="4" t="s">
        <v>24</v>
      </c>
    </row>
    <row r="989" spans="1:11" x14ac:dyDescent="0.2">
      <c r="A989" s="4" t="s">
        <v>2113</v>
      </c>
      <c r="B989" s="4" t="s">
        <v>2114</v>
      </c>
      <c r="C989" s="4" t="s">
        <v>13</v>
      </c>
      <c r="D989" s="4" t="s">
        <v>2075</v>
      </c>
      <c r="E989" s="4" t="s">
        <v>2076</v>
      </c>
      <c r="F989" s="4" t="s">
        <v>111</v>
      </c>
      <c r="G989" s="1">
        <v>6.7000000000000004E-2</v>
      </c>
      <c r="H989" s="4" t="s">
        <v>166</v>
      </c>
      <c r="I989" s="4" t="s">
        <v>1580</v>
      </c>
      <c r="J989" s="4" t="s">
        <v>2077</v>
      </c>
      <c r="K989" s="4" t="s">
        <v>24</v>
      </c>
    </row>
    <row r="990" spans="1:11" x14ac:dyDescent="0.2">
      <c r="A990" s="4" t="s">
        <v>2115</v>
      </c>
      <c r="B990" s="4" t="s">
        <v>2116</v>
      </c>
      <c r="C990" s="4" t="s">
        <v>13</v>
      </c>
      <c r="D990" s="4" t="s">
        <v>2075</v>
      </c>
      <c r="E990" s="4" t="s">
        <v>2076</v>
      </c>
      <c r="F990" s="4" t="s">
        <v>111</v>
      </c>
      <c r="G990" s="1">
        <v>3.3000000000000002E-2</v>
      </c>
      <c r="H990" s="4" t="s">
        <v>225</v>
      </c>
      <c r="I990" s="4" t="s">
        <v>1580</v>
      </c>
      <c r="J990" s="4" t="s">
        <v>2077</v>
      </c>
      <c r="K990" s="4" t="s">
        <v>24</v>
      </c>
    </row>
    <row r="991" spans="1:11" x14ac:dyDescent="0.2">
      <c r="A991" s="4" t="s">
        <v>2117</v>
      </c>
      <c r="B991" s="4" t="s">
        <v>2118</v>
      </c>
      <c r="C991" s="4" t="s">
        <v>13</v>
      </c>
      <c r="D991" s="4" t="s">
        <v>2075</v>
      </c>
      <c r="E991" s="4" t="s">
        <v>2076</v>
      </c>
      <c r="F991" s="4" t="s">
        <v>111</v>
      </c>
      <c r="G991" s="1">
        <v>0.1</v>
      </c>
      <c r="H991" s="4" t="s">
        <v>117</v>
      </c>
      <c r="I991" s="4" t="s">
        <v>1580</v>
      </c>
      <c r="J991" s="4" t="s">
        <v>2077</v>
      </c>
      <c r="K991" s="4" t="s">
        <v>24</v>
      </c>
    </row>
    <row r="992" spans="1:11" x14ac:dyDescent="0.2">
      <c r="A992" s="4" t="s">
        <v>2119</v>
      </c>
      <c r="B992" s="4" t="s">
        <v>2120</v>
      </c>
      <c r="C992" s="4" t="s">
        <v>13</v>
      </c>
      <c r="D992" s="4" t="s">
        <v>2075</v>
      </c>
      <c r="E992" s="4" t="s">
        <v>2076</v>
      </c>
      <c r="F992" s="4" t="s">
        <v>111</v>
      </c>
      <c r="G992" s="1">
        <v>0.2</v>
      </c>
      <c r="H992" s="4" t="s">
        <v>232</v>
      </c>
      <c r="I992" s="4" t="s">
        <v>1580</v>
      </c>
      <c r="J992" s="4" t="s">
        <v>2077</v>
      </c>
      <c r="K992" s="4" t="s">
        <v>24</v>
      </c>
    </row>
    <row r="993" spans="1:11" x14ac:dyDescent="0.2">
      <c r="A993" s="4" t="s">
        <v>2121</v>
      </c>
      <c r="B993" s="4" t="s">
        <v>2122</v>
      </c>
      <c r="C993" s="4" t="s">
        <v>13</v>
      </c>
      <c r="D993" s="4" t="s">
        <v>2075</v>
      </c>
      <c r="E993" s="4" t="s">
        <v>2076</v>
      </c>
      <c r="F993" s="4" t="s">
        <v>111</v>
      </c>
      <c r="G993" s="1">
        <v>0.2</v>
      </c>
      <c r="H993" s="4" t="s">
        <v>232</v>
      </c>
      <c r="I993" s="4" t="s">
        <v>1580</v>
      </c>
      <c r="J993" s="4" t="s">
        <v>2077</v>
      </c>
      <c r="K993" s="4" t="s">
        <v>24</v>
      </c>
    </row>
    <row r="994" spans="1:11" x14ac:dyDescent="0.2">
      <c r="A994" s="4" t="s">
        <v>2123</v>
      </c>
      <c r="B994" s="4" t="s">
        <v>2124</v>
      </c>
      <c r="C994" s="4" t="s">
        <v>13</v>
      </c>
      <c r="D994" s="4" t="s">
        <v>2075</v>
      </c>
      <c r="E994" s="4" t="s">
        <v>2076</v>
      </c>
      <c r="F994" s="4" t="s">
        <v>111</v>
      </c>
      <c r="G994" s="1">
        <v>0.2</v>
      </c>
      <c r="H994" s="4" t="s">
        <v>232</v>
      </c>
      <c r="I994" s="4" t="s">
        <v>1580</v>
      </c>
      <c r="J994" s="4" t="s">
        <v>2077</v>
      </c>
      <c r="K994" s="4" t="s">
        <v>24</v>
      </c>
    </row>
    <row r="995" spans="1:11" x14ac:dyDescent="0.2">
      <c r="A995" s="4" t="s">
        <v>2125</v>
      </c>
      <c r="B995" s="4" t="s">
        <v>2126</v>
      </c>
      <c r="C995" s="4" t="s">
        <v>13</v>
      </c>
      <c r="D995" s="4" t="s">
        <v>2075</v>
      </c>
      <c r="E995" s="4" t="s">
        <v>2076</v>
      </c>
      <c r="F995" s="4" t="s">
        <v>111</v>
      </c>
      <c r="G995" s="1">
        <v>0.1</v>
      </c>
      <c r="H995" s="4" t="s">
        <v>117</v>
      </c>
      <c r="I995" s="4" t="s">
        <v>1580</v>
      </c>
      <c r="J995" s="4" t="s">
        <v>2077</v>
      </c>
      <c r="K995" s="4" t="s">
        <v>24</v>
      </c>
    </row>
    <row r="996" spans="1:11" x14ac:dyDescent="0.2">
      <c r="A996" s="4" t="s">
        <v>2127</v>
      </c>
      <c r="B996" s="4" t="s">
        <v>2128</v>
      </c>
      <c r="C996" s="4" t="s">
        <v>13</v>
      </c>
      <c r="D996" s="4" t="s">
        <v>2075</v>
      </c>
      <c r="E996" s="4" t="s">
        <v>2076</v>
      </c>
      <c r="F996" s="4" t="s">
        <v>111</v>
      </c>
      <c r="G996" s="1">
        <v>6.7000000000000004E-2</v>
      </c>
      <c r="H996" s="4" t="s">
        <v>166</v>
      </c>
      <c r="I996" s="4" t="s">
        <v>1580</v>
      </c>
      <c r="J996" s="4" t="s">
        <v>2077</v>
      </c>
      <c r="K996" s="4" t="s">
        <v>24</v>
      </c>
    </row>
    <row r="997" spans="1:11" x14ac:dyDescent="0.2">
      <c r="A997" s="4" t="s">
        <v>2129</v>
      </c>
      <c r="B997" s="4" t="s">
        <v>2130</v>
      </c>
      <c r="C997" s="4" t="s">
        <v>13</v>
      </c>
      <c r="D997" s="4" t="s">
        <v>2075</v>
      </c>
      <c r="E997" s="4" t="s">
        <v>2076</v>
      </c>
      <c r="F997" s="4" t="s">
        <v>111</v>
      </c>
      <c r="G997" s="1">
        <v>0.2</v>
      </c>
      <c r="H997" s="4" t="s">
        <v>232</v>
      </c>
      <c r="I997" s="4" t="s">
        <v>1580</v>
      </c>
      <c r="J997" s="4" t="s">
        <v>2077</v>
      </c>
      <c r="K997" s="4" t="s">
        <v>24</v>
      </c>
    </row>
    <row r="998" spans="1:11" x14ac:dyDescent="0.2">
      <c r="A998" s="4" t="s">
        <v>2131</v>
      </c>
      <c r="B998" s="4" t="s">
        <v>2132</v>
      </c>
      <c r="C998" s="4" t="s">
        <v>13</v>
      </c>
      <c r="D998" s="4" t="s">
        <v>2075</v>
      </c>
      <c r="E998" s="4" t="s">
        <v>2076</v>
      </c>
      <c r="F998" s="4" t="s">
        <v>111</v>
      </c>
      <c r="G998" s="1">
        <v>0.2</v>
      </c>
      <c r="H998" s="4" t="s">
        <v>232</v>
      </c>
      <c r="I998" s="4" t="s">
        <v>1580</v>
      </c>
      <c r="J998" s="4" t="s">
        <v>2077</v>
      </c>
      <c r="K998" s="4" t="s">
        <v>24</v>
      </c>
    </row>
    <row r="999" spans="1:11" x14ac:dyDescent="0.2">
      <c r="A999" s="4" t="s">
        <v>2133</v>
      </c>
      <c r="B999" s="4" t="s">
        <v>2134</v>
      </c>
      <c r="C999" s="4" t="s">
        <v>13</v>
      </c>
      <c r="D999" s="4" t="s">
        <v>2075</v>
      </c>
      <c r="E999" s="4" t="s">
        <v>2076</v>
      </c>
      <c r="F999" s="4" t="s">
        <v>111</v>
      </c>
      <c r="G999" s="1">
        <v>0.2</v>
      </c>
      <c r="H999" s="4" t="s">
        <v>232</v>
      </c>
      <c r="I999" s="4" t="s">
        <v>1580</v>
      </c>
      <c r="J999" s="4" t="s">
        <v>2077</v>
      </c>
      <c r="K999" s="4" t="s">
        <v>24</v>
      </c>
    </row>
    <row r="1000" spans="1:11" x14ac:dyDescent="0.2">
      <c r="A1000" s="4" t="s">
        <v>2135</v>
      </c>
      <c r="B1000" s="4" t="s">
        <v>2136</v>
      </c>
      <c r="C1000" s="4" t="s">
        <v>13</v>
      </c>
      <c r="D1000" s="4" t="s">
        <v>2075</v>
      </c>
      <c r="E1000" s="4" t="s">
        <v>2076</v>
      </c>
      <c r="F1000" s="4" t="s">
        <v>111</v>
      </c>
      <c r="G1000" s="1">
        <v>0.2</v>
      </c>
      <c r="H1000" s="4" t="s">
        <v>232</v>
      </c>
      <c r="I1000" s="4" t="s">
        <v>1580</v>
      </c>
      <c r="J1000" s="4" t="s">
        <v>2077</v>
      </c>
      <c r="K1000" s="4" t="s">
        <v>24</v>
      </c>
    </row>
    <row r="1001" spans="1:11" x14ac:dyDescent="0.2">
      <c r="A1001" s="4" t="s">
        <v>2137</v>
      </c>
      <c r="B1001" s="4" t="s">
        <v>2138</v>
      </c>
      <c r="C1001" s="4" t="s">
        <v>13</v>
      </c>
      <c r="D1001" s="4" t="s">
        <v>2075</v>
      </c>
      <c r="E1001" s="4" t="s">
        <v>2076</v>
      </c>
      <c r="F1001" s="4" t="s">
        <v>111</v>
      </c>
      <c r="G1001" s="1">
        <v>0.16700000000000001</v>
      </c>
      <c r="H1001" s="4" t="s">
        <v>229</v>
      </c>
      <c r="I1001" s="4" t="s">
        <v>1580</v>
      </c>
      <c r="J1001" s="4" t="s">
        <v>2077</v>
      </c>
      <c r="K1001" s="4" t="s">
        <v>24</v>
      </c>
    </row>
    <row r="1002" spans="1:11" x14ac:dyDescent="0.2">
      <c r="A1002" s="4" t="s">
        <v>2139</v>
      </c>
      <c r="B1002" s="4" t="s">
        <v>2140</v>
      </c>
      <c r="C1002" s="4" t="s">
        <v>13</v>
      </c>
      <c r="D1002" s="4" t="s">
        <v>2075</v>
      </c>
      <c r="E1002" s="4" t="s">
        <v>2076</v>
      </c>
      <c r="F1002" s="4" t="s">
        <v>111</v>
      </c>
      <c r="G1002" s="1">
        <v>0.2</v>
      </c>
      <c r="H1002" s="4" t="s">
        <v>232</v>
      </c>
      <c r="I1002" s="4" t="s">
        <v>1580</v>
      </c>
      <c r="J1002" s="4" t="s">
        <v>2077</v>
      </c>
      <c r="K1002" s="4" t="s">
        <v>24</v>
      </c>
    </row>
    <row r="1003" spans="1:11" x14ac:dyDescent="0.2">
      <c r="A1003" s="4" t="s">
        <v>2141</v>
      </c>
      <c r="B1003" s="4" t="s">
        <v>2142</v>
      </c>
      <c r="C1003" s="4" t="s">
        <v>13</v>
      </c>
      <c r="D1003" s="4" t="s">
        <v>2075</v>
      </c>
      <c r="E1003" s="4" t="s">
        <v>2076</v>
      </c>
      <c r="F1003" s="4" t="s">
        <v>111</v>
      </c>
      <c r="G1003" s="1">
        <v>0.2</v>
      </c>
      <c r="H1003" s="4" t="s">
        <v>232</v>
      </c>
      <c r="I1003" s="4" t="s">
        <v>1580</v>
      </c>
      <c r="J1003" s="4" t="s">
        <v>2077</v>
      </c>
      <c r="K1003" s="4" t="s">
        <v>24</v>
      </c>
    </row>
    <row r="1004" spans="1:11" x14ac:dyDescent="0.2">
      <c r="A1004" s="4" t="s">
        <v>2143</v>
      </c>
      <c r="B1004" s="4" t="s">
        <v>2144</v>
      </c>
      <c r="C1004" s="4" t="s">
        <v>13</v>
      </c>
      <c r="D1004" s="4" t="s">
        <v>2075</v>
      </c>
      <c r="E1004" s="4" t="s">
        <v>2076</v>
      </c>
      <c r="F1004" s="4" t="s">
        <v>111</v>
      </c>
      <c r="G1004" s="1">
        <v>3.3000000000000002E-2</v>
      </c>
      <c r="H1004" s="4" t="s">
        <v>225</v>
      </c>
      <c r="I1004" s="4" t="s">
        <v>1580</v>
      </c>
      <c r="J1004" s="4" t="s">
        <v>2077</v>
      </c>
      <c r="K1004" s="4" t="s">
        <v>24</v>
      </c>
    </row>
    <row r="1005" spans="1:11" x14ac:dyDescent="0.2">
      <c r="A1005" s="4" t="s">
        <v>2145</v>
      </c>
      <c r="B1005" s="4" t="s">
        <v>2146</v>
      </c>
      <c r="C1005" s="4" t="s">
        <v>13</v>
      </c>
      <c r="D1005" s="4" t="s">
        <v>2075</v>
      </c>
      <c r="E1005" s="4" t="s">
        <v>2076</v>
      </c>
      <c r="F1005" s="4" t="s">
        <v>111</v>
      </c>
      <c r="G1005" s="1">
        <v>0.2</v>
      </c>
      <c r="H1005" s="4" t="s">
        <v>232</v>
      </c>
      <c r="I1005" s="4" t="s">
        <v>1580</v>
      </c>
      <c r="J1005" s="4" t="s">
        <v>2077</v>
      </c>
      <c r="K1005" s="4" t="s">
        <v>24</v>
      </c>
    </row>
    <row r="1006" spans="1:11" x14ac:dyDescent="0.2">
      <c r="A1006" s="4" t="s">
        <v>2147</v>
      </c>
      <c r="B1006" s="4" t="s">
        <v>2148</v>
      </c>
      <c r="C1006" s="4" t="s">
        <v>13</v>
      </c>
      <c r="D1006" s="4" t="s">
        <v>2075</v>
      </c>
      <c r="E1006" s="4" t="s">
        <v>2076</v>
      </c>
      <c r="F1006" s="4" t="s">
        <v>111</v>
      </c>
      <c r="G1006" s="1">
        <v>0.2</v>
      </c>
      <c r="H1006" s="4" t="s">
        <v>232</v>
      </c>
      <c r="I1006" s="4" t="s">
        <v>1580</v>
      </c>
      <c r="J1006" s="4" t="s">
        <v>2077</v>
      </c>
      <c r="K1006" s="4" t="s">
        <v>24</v>
      </c>
    </row>
    <row r="1007" spans="1:11" x14ac:dyDescent="0.2">
      <c r="A1007" s="4" t="s">
        <v>2149</v>
      </c>
      <c r="B1007" s="4" t="s">
        <v>2150</v>
      </c>
      <c r="C1007" s="4" t="s">
        <v>13</v>
      </c>
      <c r="D1007" s="4" t="s">
        <v>2075</v>
      </c>
      <c r="E1007" s="4" t="s">
        <v>2076</v>
      </c>
      <c r="F1007" s="4" t="s">
        <v>111</v>
      </c>
      <c r="G1007" s="1">
        <v>0.2</v>
      </c>
      <c r="H1007" s="4" t="s">
        <v>232</v>
      </c>
      <c r="I1007" s="4" t="s">
        <v>1580</v>
      </c>
      <c r="J1007" s="4" t="s">
        <v>2077</v>
      </c>
      <c r="K1007" s="4" t="s">
        <v>24</v>
      </c>
    </row>
    <row r="1008" spans="1:11" x14ac:dyDescent="0.2">
      <c r="A1008" s="4" t="s">
        <v>2151</v>
      </c>
      <c r="B1008" s="4" t="s">
        <v>2152</v>
      </c>
      <c r="C1008" s="4" t="s">
        <v>13</v>
      </c>
      <c r="D1008" s="4" t="s">
        <v>2075</v>
      </c>
      <c r="E1008" s="4" t="s">
        <v>2076</v>
      </c>
      <c r="F1008" s="4" t="s">
        <v>111</v>
      </c>
      <c r="G1008" s="1">
        <v>0.16700000000000001</v>
      </c>
      <c r="H1008" s="4" t="s">
        <v>229</v>
      </c>
      <c r="I1008" s="4" t="s">
        <v>1580</v>
      </c>
      <c r="J1008" s="4" t="s">
        <v>2077</v>
      </c>
      <c r="K1008" s="4" t="s">
        <v>24</v>
      </c>
    </row>
    <row r="1009" spans="1:11" x14ac:dyDescent="0.2">
      <c r="A1009" s="4" t="s">
        <v>2153</v>
      </c>
      <c r="B1009" s="4" t="s">
        <v>2154</v>
      </c>
      <c r="C1009" s="4" t="s">
        <v>13</v>
      </c>
      <c r="D1009" s="4" t="s">
        <v>2075</v>
      </c>
      <c r="E1009" s="4" t="s">
        <v>2076</v>
      </c>
      <c r="F1009" s="4" t="s">
        <v>111</v>
      </c>
      <c r="G1009" s="1">
        <v>0.2</v>
      </c>
      <c r="H1009" s="4" t="s">
        <v>232</v>
      </c>
      <c r="I1009" s="4" t="s">
        <v>1580</v>
      </c>
      <c r="J1009" s="4" t="s">
        <v>2077</v>
      </c>
      <c r="K1009" s="4" t="s">
        <v>24</v>
      </c>
    </row>
    <row r="1010" spans="1:11" x14ac:dyDescent="0.2">
      <c r="A1010" s="4" t="s">
        <v>2155</v>
      </c>
      <c r="B1010" s="4" t="s">
        <v>2156</v>
      </c>
      <c r="C1010" s="4" t="s">
        <v>13</v>
      </c>
      <c r="D1010" s="4" t="s">
        <v>2075</v>
      </c>
      <c r="E1010" s="4" t="s">
        <v>2076</v>
      </c>
      <c r="F1010" s="4" t="s">
        <v>111</v>
      </c>
      <c r="G1010" s="1">
        <v>0</v>
      </c>
      <c r="H1010" s="4" t="s">
        <v>254</v>
      </c>
      <c r="I1010" s="4" t="s">
        <v>1580</v>
      </c>
      <c r="J1010" s="4" t="s">
        <v>2077</v>
      </c>
      <c r="K1010" s="4" t="s">
        <v>24</v>
      </c>
    </row>
    <row r="1011" spans="1:11" x14ac:dyDescent="0.2">
      <c r="A1011" s="4" t="s">
        <v>2157</v>
      </c>
      <c r="B1011" s="4" t="s">
        <v>2158</v>
      </c>
      <c r="C1011" s="4" t="s">
        <v>13</v>
      </c>
      <c r="D1011" s="4" t="s">
        <v>2075</v>
      </c>
      <c r="E1011" s="4" t="s">
        <v>2076</v>
      </c>
      <c r="F1011" s="4" t="s">
        <v>111</v>
      </c>
      <c r="G1011" s="1">
        <v>0.2</v>
      </c>
      <c r="H1011" s="4" t="s">
        <v>232</v>
      </c>
      <c r="I1011" s="4" t="s">
        <v>1580</v>
      </c>
      <c r="J1011" s="4" t="s">
        <v>2077</v>
      </c>
      <c r="K1011" s="4" t="s">
        <v>1788</v>
      </c>
    </row>
    <row r="1012" spans="1:11" x14ac:dyDescent="0.2">
      <c r="A1012" s="4" t="s">
        <v>2159</v>
      </c>
      <c r="B1012" s="4" t="s">
        <v>2160</v>
      </c>
      <c r="C1012" s="4" t="s">
        <v>13</v>
      </c>
      <c r="D1012" s="4" t="s">
        <v>2075</v>
      </c>
      <c r="E1012" s="4" t="s">
        <v>2076</v>
      </c>
      <c r="F1012" s="4" t="s">
        <v>111</v>
      </c>
      <c r="G1012" s="1">
        <v>3.3000000000000002E-2</v>
      </c>
      <c r="H1012" s="4" t="s">
        <v>225</v>
      </c>
      <c r="I1012" s="4" t="s">
        <v>1580</v>
      </c>
      <c r="J1012" s="4" t="s">
        <v>2077</v>
      </c>
      <c r="K1012" s="4" t="s">
        <v>1710</v>
      </c>
    </row>
    <row r="1013" spans="1:11" x14ac:dyDescent="0.2">
      <c r="A1013" s="4" t="s">
        <v>2161</v>
      </c>
      <c r="B1013" s="4" t="s">
        <v>2162</v>
      </c>
      <c r="C1013" s="4" t="s">
        <v>13</v>
      </c>
      <c r="D1013" s="4" t="s">
        <v>2075</v>
      </c>
      <c r="E1013" s="4" t="s">
        <v>2076</v>
      </c>
      <c r="F1013" s="4" t="s">
        <v>111</v>
      </c>
      <c r="G1013" s="1">
        <v>0.1</v>
      </c>
      <c r="H1013" s="4" t="s">
        <v>117</v>
      </c>
      <c r="I1013" s="4" t="s">
        <v>1580</v>
      </c>
      <c r="J1013" s="4" t="s">
        <v>2077</v>
      </c>
      <c r="K1013" s="4" t="s">
        <v>24</v>
      </c>
    </row>
    <row r="1014" spans="1:11" x14ac:dyDescent="0.2">
      <c r="A1014" s="4" t="s">
        <v>2163</v>
      </c>
      <c r="B1014" s="4" t="s">
        <v>2164</v>
      </c>
      <c r="C1014" s="4" t="s">
        <v>13</v>
      </c>
      <c r="D1014" s="4" t="s">
        <v>2075</v>
      </c>
      <c r="E1014" s="4" t="s">
        <v>2076</v>
      </c>
      <c r="F1014" s="4" t="s">
        <v>111</v>
      </c>
      <c r="G1014" s="1">
        <v>0.2</v>
      </c>
      <c r="H1014" s="4" t="s">
        <v>232</v>
      </c>
      <c r="I1014" s="4" t="s">
        <v>1580</v>
      </c>
      <c r="J1014" s="4" t="s">
        <v>2077</v>
      </c>
      <c r="K1014" s="4" t="s">
        <v>24</v>
      </c>
    </row>
    <row r="1015" spans="1:11" x14ac:dyDescent="0.2">
      <c r="A1015" s="4" t="s">
        <v>144</v>
      </c>
      <c r="B1015" s="4" t="s">
        <v>145</v>
      </c>
      <c r="C1015" s="4" t="s">
        <v>13</v>
      </c>
      <c r="D1015" s="4" t="s">
        <v>2075</v>
      </c>
      <c r="E1015" s="4" t="s">
        <v>2076</v>
      </c>
      <c r="F1015" s="4" t="s">
        <v>111</v>
      </c>
      <c r="G1015" s="1">
        <v>0.13300000000000001</v>
      </c>
      <c r="H1015" s="4" t="s">
        <v>112</v>
      </c>
      <c r="I1015" s="4" t="s">
        <v>1580</v>
      </c>
      <c r="J1015" s="4" t="s">
        <v>2077</v>
      </c>
      <c r="K1015" s="4" t="s">
        <v>24</v>
      </c>
    </row>
    <row r="1016" spans="1:11" x14ac:dyDescent="0.2">
      <c r="A1016" s="4" t="s">
        <v>305</v>
      </c>
      <c r="B1016" s="4" t="s">
        <v>306</v>
      </c>
      <c r="C1016" s="4" t="s">
        <v>13</v>
      </c>
      <c r="D1016" s="4" t="s">
        <v>2075</v>
      </c>
      <c r="E1016" s="4" t="s">
        <v>2076</v>
      </c>
      <c r="F1016" s="4" t="s">
        <v>111</v>
      </c>
      <c r="G1016" s="1">
        <v>0.16700000000000001</v>
      </c>
      <c r="H1016" s="4" t="s">
        <v>229</v>
      </c>
      <c r="I1016" s="4" t="s">
        <v>1580</v>
      </c>
      <c r="J1016" s="4" t="s">
        <v>2077</v>
      </c>
      <c r="K1016" s="4" t="s">
        <v>24</v>
      </c>
    </row>
    <row r="1017" spans="1:11" x14ac:dyDescent="0.2">
      <c r="A1017" s="4" t="s">
        <v>2165</v>
      </c>
      <c r="B1017" s="4" t="s">
        <v>2166</v>
      </c>
      <c r="C1017" s="4" t="s">
        <v>49</v>
      </c>
      <c r="D1017" s="4" t="s">
        <v>2075</v>
      </c>
      <c r="E1017" s="4" t="s">
        <v>2076</v>
      </c>
      <c r="F1017" s="4" t="s">
        <v>111</v>
      </c>
      <c r="G1017" s="1">
        <v>3.3000000000000002E-2</v>
      </c>
      <c r="H1017" s="4" t="s">
        <v>225</v>
      </c>
      <c r="I1017" s="4" t="s">
        <v>1580</v>
      </c>
      <c r="J1017" s="4" t="s">
        <v>2077</v>
      </c>
      <c r="K1017" s="4" t="s">
        <v>24</v>
      </c>
    </row>
    <row r="1018" spans="1:11" x14ac:dyDescent="0.2">
      <c r="A1018" s="4" t="s">
        <v>936</v>
      </c>
      <c r="B1018" s="4" t="s">
        <v>937</v>
      </c>
      <c r="C1018" s="4" t="s">
        <v>13</v>
      </c>
      <c r="D1018" s="4" t="s">
        <v>2075</v>
      </c>
      <c r="E1018" s="4" t="s">
        <v>2076</v>
      </c>
      <c r="F1018" s="4" t="s">
        <v>111</v>
      </c>
      <c r="G1018" s="1">
        <v>0.13300000000000001</v>
      </c>
      <c r="H1018" s="4" t="s">
        <v>112</v>
      </c>
      <c r="I1018" s="4" t="s">
        <v>1580</v>
      </c>
      <c r="J1018" s="4" t="s">
        <v>2077</v>
      </c>
      <c r="K1018" s="4" t="s">
        <v>24</v>
      </c>
    </row>
    <row r="1019" spans="1:11" x14ac:dyDescent="0.2">
      <c r="A1019" s="4" t="s">
        <v>2167</v>
      </c>
      <c r="B1019" s="4" t="s">
        <v>2168</v>
      </c>
      <c r="C1019" s="4" t="s">
        <v>13</v>
      </c>
      <c r="D1019" s="4" t="s">
        <v>2169</v>
      </c>
      <c r="E1019" s="4" t="s">
        <v>2170</v>
      </c>
      <c r="F1019" s="4" t="s">
        <v>111</v>
      </c>
      <c r="G1019" s="1">
        <v>0.2</v>
      </c>
      <c r="H1019" s="4" t="s">
        <v>232</v>
      </c>
      <c r="I1019" s="4" t="s">
        <v>1580</v>
      </c>
      <c r="J1019" s="4" t="s">
        <v>1077</v>
      </c>
      <c r="K1019" s="4" t="s">
        <v>1582</v>
      </c>
    </row>
    <row r="1020" spans="1:11" x14ac:dyDescent="0.2">
      <c r="A1020" s="4" t="s">
        <v>2171</v>
      </c>
      <c r="B1020" s="4" t="s">
        <v>2172</v>
      </c>
      <c r="C1020" s="4" t="s">
        <v>13</v>
      </c>
      <c r="D1020" s="4" t="s">
        <v>2169</v>
      </c>
      <c r="E1020" s="4" t="s">
        <v>2170</v>
      </c>
      <c r="F1020" s="4" t="s">
        <v>111</v>
      </c>
      <c r="G1020" s="1">
        <v>0.13300000000000001</v>
      </c>
      <c r="H1020" s="4" t="s">
        <v>2173</v>
      </c>
      <c r="I1020" s="4" t="s">
        <v>1580</v>
      </c>
      <c r="J1020" s="4" t="s">
        <v>1077</v>
      </c>
      <c r="K1020" s="4" t="s">
        <v>1778</v>
      </c>
    </row>
    <row r="1021" spans="1:11" x14ac:dyDescent="0.2">
      <c r="A1021" s="4" t="s">
        <v>2174</v>
      </c>
      <c r="B1021" s="4" t="s">
        <v>2175</v>
      </c>
      <c r="C1021" s="4" t="s">
        <v>13</v>
      </c>
      <c r="D1021" s="4" t="s">
        <v>2169</v>
      </c>
      <c r="E1021" s="4" t="s">
        <v>2170</v>
      </c>
      <c r="F1021" s="4" t="s">
        <v>111</v>
      </c>
      <c r="G1021" s="1">
        <v>0.2</v>
      </c>
      <c r="H1021" s="4" t="s">
        <v>232</v>
      </c>
      <c r="I1021" s="4" t="s">
        <v>1580</v>
      </c>
      <c r="J1021" s="4" t="s">
        <v>1077</v>
      </c>
      <c r="K1021" s="4" t="s">
        <v>1864</v>
      </c>
    </row>
    <row r="1022" spans="1:11" x14ac:dyDescent="0.2">
      <c r="A1022" s="4" t="s">
        <v>2176</v>
      </c>
      <c r="B1022" s="4" t="s">
        <v>2177</v>
      </c>
      <c r="C1022" s="4" t="s">
        <v>13</v>
      </c>
      <c r="D1022" s="4" t="s">
        <v>2169</v>
      </c>
      <c r="E1022" s="4" t="s">
        <v>2170</v>
      </c>
      <c r="F1022" s="4" t="s">
        <v>111</v>
      </c>
      <c r="G1022" s="1">
        <v>0.2</v>
      </c>
      <c r="H1022" s="4" t="s">
        <v>232</v>
      </c>
      <c r="I1022" s="4" t="s">
        <v>1580</v>
      </c>
      <c r="J1022" s="4" t="s">
        <v>1077</v>
      </c>
      <c r="K1022" s="4" t="s">
        <v>1864</v>
      </c>
    </row>
    <row r="1023" spans="1:11" x14ac:dyDescent="0.2">
      <c r="A1023" s="4" t="s">
        <v>2178</v>
      </c>
      <c r="B1023" s="4" t="s">
        <v>2179</v>
      </c>
      <c r="C1023" s="4" t="s">
        <v>13</v>
      </c>
      <c r="D1023" s="4" t="s">
        <v>2169</v>
      </c>
      <c r="E1023" s="4" t="s">
        <v>2170</v>
      </c>
      <c r="F1023" s="4" t="s">
        <v>111</v>
      </c>
      <c r="G1023" s="1">
        <v>0.13300000000000001</v>
      </c>
      <c r="H1023" s="4" t="s">
        <v>112</v>
      </c>
      <c r="I1023" s="4" t="s">
        <v>1580</v>
      </c>
      <c r="J1023" s="4" t="s">
        <v>1077</v>
      </c>
      <c r="K1023" s="4" t="s">
        <v>1715</v>
      </c>
    </row>
    <row r="1024" spans="1:11" x14ac:dyDescent="0.2">
      <c r="A1024" s="4" t="s">
        <v>2180</v>
      </c>
      <c r="B1024" s="4" t="s">
        <v>2181</v>
      </c>
      <c r="C1024" s="4" t="s">
        <v>13</v>
      </c>
      <c r="D1024" s="4" t="s">
        <v>2169</v>
      </c>
      <c r="E1024" s="4" t="s">
        <v>2170</v>
      </c>
      <c r="F1024" s="4" t="s">
        <v>111</v>
      </c>
      <c r="G1024" s="1">
        <v>0.2</v>
      </c>
      <c r="H1024" s="4" t="s">
        <v>232</v>
      </c>
      <c r="I1024" s="4" t="s">
        <v>1580</v>
      </c>
      <c r="J1024" s="4" t="s">
        <v>1077</v>
      </c>
      <c r="K1024" s="4" t="s">
        <v>1715</v>
      </c>
    </row>
    <row r="1025" spans="1:11" x14ac:dyDescent="0.2">
      <c r="A1025" s="4" t="s">
        <v>2182</v>
      </c>
      <c r="B1025" s="4" t="s">
        <v>2183</v>
      </c>
      <c r="C1025" s="4" t="s">
        <v>13</v>
      </c>
      <c r="D1025" s="4" t="s">
        <v>2169</v>
      </c>
      <c r="E1025" s="4" t="s">
        <v>2170</v>
      </c>
      <c r="F1025" s="4" t="s">
        <v>111</v>
      </c>
      <c r="G1025" s="1">
        <v>0.2</v>
      </c>
      <c r="H1025" s="4" t="s">
        <v>232</v>
      </c>
      <c r="I1025" s="4" t="s">
        <v>1580</v>
      </c>
      <c r="J1025" s="4" t="s">
        <v>1077</v>
      </c>
      <c r="K1025" s="4" t="s">
        <v>1992</v>
      </c>
    </row>
    <row r="1026" spans="1:11" x14ac:dyDescent="0.2">
      <c r="A1026" s="4" t="s">
        <v>2184</v>
      </c>
      <c r="B1026" s="4" t="s">
        <v>2185</v>
      </c>
      <c r="C1026" s="4" t="s">
        <v>13</v>
      </c>
      <c r="D1026" s="4" t="s">
        <v>2169</v>
      </c>
      <c r="E1026" s="4" t="s">
        <v>2170</v>
      </c>
      <c r="F1026" s="4" t="s">
        <v>111</v>
      </c>
      <c r="G1026" s="1">
        <v>0.1</v>
      </c>
      <c r="H1026" s="4" t="s">
        <v>380</v>
      </c>
      <c r="I1026" s="4" t="s">
        <v>1580</v>
      </c>
      <c r="J1026" s="4" t="s">
        <v>1077</v>
      </c>
      <c r="K1026" s="4" t="s">
        <v>1992</v>
      </c>
    </row>
    <row r="1027" spans="1:11" x14ac:dyDescent="0.2">
      <c r="A1027" s="4" t="s">
        <v>2186</v>
      </c>
      <c r="B1027" s="4" t="s">
        <v>2187</v>
      </c>
      <c r="C1027" s="4" t="s">
        <v>13</v>
      </c>
      <c r="D1027" s="4" t="s">
        <v>2169</v>
      </c>
      <c r="E1027" s="4" t="s">
        <v>2170</v>
      </c>
      <c r="F1027" s="4" t="s">
        <v>111</v>
      </c>
      <c r="G1027" s="1">
        <v>0.2</v>
      </c>
      <c r="H1027" s="4" t="s">
        <v>232</v>
      </c>
      <c r="I1027" s="4" t="s">
        <v>1580</v>
      </c>
      <c r="J1027" s="4" t="s">
        <v>1077</v>
      </c>
      <c r="K1027" s="4" t="s">
        <v>2188</v>
      </c>
    </row>
    <row r="1028" spans="1:11" x14ac:dyDescent="0.2">
      <c r="A1028" s="4" t="s">
        <v>2189</v>
      </c>
      <c r="B1028" s="4" t="s">
        <v>2190</v>
      </c>
      <c r="C1028" s="4" t="s">
        <v>13</v>
      </c>
      <c r="D1028" s="4" t="s">
        <v>2169</v>
      </c>
      <c r="E1028" s="4" t="s">
        <v>2170</v>
      </c>
      <c r="F1028" s="4" t="s">
        <v>111</v>
      </c>
      <c r="G1028" s="1">
        <v>0.2</v>
      </c>
      <c r="H1028" s="4" t="s">
        <v>232</v>
      </c>
      <c r="I1028" s="4" t="s">
        <v>1580</v>
      </c>
      <c r="J1028" s="4" t="s">
        <v>1077</v>
      </c>
      <c r="K1028" s="4" t="s">
        <v>24</v>
      </c>
    </row>
    <row r="1029" spans="1:11" x14ac:dyDescent="0.2">
      <c r="A1029" s="4" t="s">
        <v>1291</v>
      </c>
      <c r="B1029" s="4" t="s">
        <v>1292</v>
      </c>
      <c r="C1029" s="4" t="s">
        <v>49</v>
      </c>
      <c r="D1029" s="4" t="s">
        <v>2169</v>
      </c>
      <c r="E1029" s="4" t="s">
        <v>2170</v>
      </c>
      <c r="F1029" s="4" t="s">
        <v>111</v>
      </c>
      <c r="G1029" s="1">
        <v>0.11700000000000001</v>
      </c>
      <c r="H1029" s="4" t="s">
        <v>2191</v>
      </c>
      <c r="I1029" s="4" t="s">
        <v>1580</v>
      </c>
      <c r="J1029" s="4" t="s">
        <v>1077</v>
      </c>
      <c r="K1029" s="4" t="s">
        <v>24</v>
      </c>
    </row>
    <row r="1030" spans="1:11" x14ac:dyDescent="0.2">
      <c r="A1030" s="4" t="s">
        <v>2192</v>
      </c>
      <c r="B1030" s="4" t="s">
        <v>2193</v>
      </c>
      <c r="C1030" s="4" t="s">
        <v>13</v>
      </c>
      <c r="D1030" s="4" t="s">
        <v>2169</v>
      </c>
      <c r="E1030" s="4" t="s">
        <v>2170</v>
      </c>
      <c r="F1030" s="4" t="s">
        <v>111</v>
      </c>
      <c r="G1030" s="1">
        <v>0.2</v>
      </c>
      <c r="H1030" s="4" t="s">
        <v>232</v>
      </c>
      <c r="I1030" s="4" t="s">
        <v>1580</v>
      </c>
      <c r="J1030" s="4" t="s">
        <v>1077</v>
      </c>
      <c r="K1030" s="4" t="s">
        <v>24</v>
      </c>
    </row>
    <row r="1031" spans="1:11" x14ac:dyDescent="0.2">
      <c r="A1031" s="4" t="s">
        <v>2194</v>
      </c>
      <c r="B1031" s="4" t="s">
        <v>2195</v>
      </c>
      <c r="C1031" s="4" t="s">
        <v>13</v>
      </c>
      <c r="D1031" s="4" t="s">
        <v>2169</v>
      </c>
      <c r="E1031" s="4" t="s">
        <v>2170</v>
      </c>
      <c r="F1031" s="4" t="s">
        <v>111</v>
      </c>
      <c r="G1031" s="1">
        <v>0.16700000000000001</v>
      </c>
      <c r="H1031" s="4" t="s">
        <v>229</v>
      </c>
      <c r="I1031" s="4" t="s">
        <v>1580</v>
      </c>
      <c r="J1031" s="4" t="s">
        <v>1077</v>
      </c>
      <c r="K1031" s="4" t="s">
        <v>24</v>
      </c>
    </row>
    <row r="1032" spans="1:11" x14ac:dyDescent="0.2">
      <c r="A1032" s="4" t="s">
        <v>2196</v>
      </c>
      <c r="B1032" s="4" t="s">
        <v>2197</v>
      </c>
      <c r="C1032" s="4" t="s">
        <v>13</v>
      </c>
      <c r="D1032" s="4" t="s">
        <v>2169</v>
      </c>
      <c r="E1032" s="4" t="s">
        <v>2170</v>
      </c>
      <c r="F1032" s="4" t="s">
        <v>111</v>
      </c>
      <c r="G1032" s="1">
        <v>0.16700000000000001</v>
      </c>
      <c r="H1032" s="4" t="s">
        <v>229</v>
      </c>
      <c r="I1032" s="4" t="s">
        <v>1580</v>
      </c>
      <c r="J1032" s="4" t="s">
        <v>1077</v>
      </c>
      <c r="K1032" s="4" t="s">
        <v>24</v>
      </c>
    </row>
    <row r="1033" spans="1:11" x14ac:dyDescent="0.2">
      <c r="A1033" s="4" t="s">
        <v>2198</v>
      </c>
      <c r="B1033" s="4" t="s">
        <v>2199</v>
      </c>
      <c r="C1033" s="4" t="s">
        <v>13</v>
      </c>
      <c r="D1033" s="4" t="s">
        <v>2169</v>
      </c>
      <c r="E1033" s="4" t="s">
        <v>2170</v>
      </c>
      <c r="F1033" s="4" t="s">
        <v>111</v>
      </c>
      <c r="G1033" s="1">
        <v>0.16700000000000001</v>
      </c>
      <c r="H1033" s="4" t="s">
        <v>229</v>
      </c>
      <c r="I1033" s="4" t="s">
        <v>1580</v>
      </c>
      <c r="J1033" s="4" t="s">
        <v>1077</v>
      </c>
      <c r="K1033" s="4" t="s">
        <v>24</v>
      </c>
    </row>
    <row r="1034" spans="1:11" x14ac:dyDescent="0.2">
      <c r="A1034" s="4" t="s">
        <v>2200</v>
      </c>
      <c r="B1034" s="4" t="s">
        <v>2201</v>
      </c>
      <c r="C1034" s="4" t="s">
        <v>13</v>
      </c>
      <c r="D1034" s="4" t="s">
        <v>2169</v>
      </c>
      <c r="E1034" s="4" t="s">
        <v>2170</v>
      </c>
      <c r="F1034" s="4" t="s">
        <v>111</v>
      </c>
      <c r="G1034" s="1">
        <v>6.7000000000000004E-2</v>
      </c>
      <c r="H1034" s="4" t="s">
        <v>166</v>
      </c>
      <c r="I1034" s="4" t="s">
        <v>1580</v>
      </c>
      <c r="J1034" s="4" t="s">
        <v>1077</v>
      </c>
      <c r="K1034" s="4" t="s">
        <v>24</v>
      </c>
    </row>
    <row r="1035" spans="1:11" x14ac:dyDescent="0.2">
      <c r="A1035" s="4" t="s">
        <v>2202</v>
      </c>
      <c r="B1035" s="4" t="s">
        <v>2203</v>
      </c>
      <c r="C1035" s="4" t="s">
        <v>13</v>
      </c>
      <c r="D1035" s="4" t="s">
        <v>2169</v>
      </c>
      <c r="E1035" s="4" t="s">
        <v>2170</v>
      </c>
      <c r="F1035" s="4" t="s">
        <v>111</v>
      </c>
      <c r="G1035" s="1">
        <v>0.2</v>
      </c>
      <c r="H1035" s="4" t="s">
        <v>232</v>
      </c>
      <c r="I1035" s="4" t="s">
        <v>1580</v>
      </c>
      <c r="J1035" s="4" t="s">
        <v>1077</v>
      </c>
      <c r="K1035" s="4" t="s">
        <v>24</v>
      </c>
    </row>
    <row r="1036" spans="1:11" x14ac:dyDescent="0.2">
      <c r="A1036" s="4" t="s">
        <v>2204</v>
      </c>
      <c r="B1036" s="4" t="s">
        <v>2205</v>
      </c>
      <c r="C1036" s="4" t="s">
        <v>13</v>
      </c>
      <c r="D1036" s="4" t="s">
        <v>2169</v>
      </c>
      <c r="E1036" s="4" t="s">
        <v>2170</v>
      </c>
      <c r="F1036" s="4" t="s">
        <v>111</v>
      </c>
      <c r="G1036" s="1">
        <v>0</v>
      </c>
      <c r="H1036" s="4" t="s">
        <v>254</v>
      </c>
      <c r="I1036" s="4" t="s">
        <v>1580</v>
      </c>
      <c r="J1036" s="4" t="s">
        <v>1077</v>
      </c>
      <c r="K1036" s="4" t="s">
        <v>24</v>
      </c>
    </row>
    <row r="1037" spans="1:11" x14ac:dyDescent="0.2">
      <c r="A1037" s="4" t="s">
        <v>2206</v>
      </c>
      <c r="B1037" s="4" t="s">
        <v>2207</v>
      </c>
      <c r="C1037" s="4" t="s">
        <v>13</v>
      </c>
      <c r="D1037" s="4" t="s">
        <v>2169</v>
      </c>
      <c r="E1037" s="4" t="s">
        <v>2170</v>
      </c>
      <c r="F1037" s="4" t="s">
        <v>111</v>
      </c>
      <c r="G1037" s="1">
        <v>0.2</v>
      </c>
      <c r="H1037" s="4" t="s">
        <v>232</v>
      </c>
      <c r="I1037" s="4" t="s">
        <v>1580</v>
      </c>
      <c r="J1037" s="4" t="s">
        <v>1077</v>
      </c>
      <c r="K1037" s="4" t="s">
        <v>24</v>
      </c>
    </row>
    <row r="1038" spans="1:11" x14ac:dyDescent="0.2">
      <c r="A1038" s="4" t="s">
        <v>2208</v>
      </c>
      <c r="B1038" s="4" t="s">
        <v>2209</v>
      </c>
      <c r="C1038" s="4" t="s">
        <v>13</v>
      </c>
      <c r="D1038" s="4" t="s">
        <v>2169</v>
      </c>
      <c r="E1038" s="4" t="s">
        <v>2170</v>
      </c>
      <c r="F1038" s="4" t="s">
        <v>111</v>
      </c>
      <c r="G1038" s="1">
        <v>0.2</v>
      </c>
      <c r="H1038" s="4" t="s">
        <v>232</v>
      </c>
      <c r="I1038" s="4" t="s">
        <v>1580</v>
      </c>
      <c r="J1038" s="4" t="s">
        <v>1077</v>
      </c>
      <c r="K1038" s="4" t="s">
        <v>24</v>
      </c>
    </row>
    <row r="1039" spans="1:11" x14ac:dyDescent="0.2">
      <c r="A1039" s="4" t="s">
        <v>2210</v>
      </c>
      <c r="B1039" s="4" t="s">
        <v>2211</v>
      </c>
      <c r="C1039" s="4" t="s">
        <v>13</v>
      </c>
      <c r="D1039" s="4" t="s">
        <v>2169</v>
      </c>
      <c r="E1039" s="4" t="s">
        <v>2170</v>
      </c>
      <c r="F1039" s="4" t="s">
        <v>111</v>
      </c>
      <c r="G1039" s="1">
        <v>0.2</v>
      </c>
      <c r="H1039" s="4" t="s">
        <v>232</v>
      </c>
      <c r="I1039" s="4" t="s">
        <v>1580</v>
      </c>
      <c r="J1039" s="4" t="s">
        <v>1077</v>
      </c>
      <c r="K1039" s="4" t="s">
        <v>24</v>
      </c>
    </row>
    <row r="1040" spans="1:11" x14ac:dyDescent="0.2">
      <c r="A1040" s="4" t="s">
        <v>2212</v>
      </c>
      <c r="B1040" s="4" t="s">
        <v>2213</v>
      </c>
      <c r="C1040" s="4" t="s">
        <v>13</v>
      </c>
      <c r="D1040" s="4" t="s">
        <v>2169</v>
      </c>
      <c r="E1040" s="4" t="s">
        <v>2170</v>
      </c>
      <c r="F1040" s="4" t="s">
        <v>111</v>
      </c>
      <c r="G1040" s="1">
        <v>0.2</v>
      </c>
      <c r="H1040" s="4" t="s">
        <v>232</v>
      </c>
      <c r="I1040" s="4" t="s">
        <v>1580</v>
      </c>
      <c r="J1040" s="4" t="s">
        <v>1077</v>
      </c>
      <c r="K1040" s="4" t="s">
        <v>24</v>
      </c>
    </row>
    <row r="1041" spans="1:11" x14ac:dyDescent="0.2">
      <c r="A1041" s="4" t="s">
        <v>2070</v>
      </c>
      <c r="B1041" s="4" t="s">
        <v>2071</v>
      </c>
      <c r="C1041" s="4" t="s">
        <v>49</v>
      </c>
      <c r="D1041" s="4" t="s">
        <v>2169</v>
      </c>
      <c r="E1041" s="4" t="s">
        <v>2170</v>
      </c>
      <c r="F1041" s="4" t="s">
        <v>111</v>
      </c>
      <c r="G1041" s="1">
        <v>6.7000000000000004E-2</v>
      </c>
      <c r="H1041" s="4" t="s">
        <v>2072</v>
      </c>
      <c r="I1041" s="4" t="s">
        <v>1580</v>
      </c>
      <c r="J1041" s="4" t="s">
        <v>1077</v>
      </c>
      <c r="K1041" s="4" t="s">
        <v>24</v>
      </c>
    </row>
    <row r="1042" spans="1:11" x14ac:dyDescent="0.2">
      <c r="A1042" s="4" t="s">
        <v>2214</v>
      </c>
      <c r="B1042" s="4" t="s">
        <v>2215</v>
      </c>
      <c r="C1042" s="4" t="s">
        <v>13</v>
      </c>
      <c r="D1042" s="4" t="s">
        <v>2169</v>
      </c>
      <c r="E1042" s="4" t="s">
        <v>2170</v>
      </c>
      <c r="F1042" s="4" t="s">
        <v>111</v>
      </c>
      <c r="G1042" s="1">
        <v>0.2</v>
      </c>
      <c r="H1042" s="4" t="s">
        <v>232</v>
      </c>
      <c r="I1042" s="4" t="s">
        <v>1580</v>
      </c>
      <c r="J1042" s="4" t="s">
        <v>1077</v>
      </c>
      <c r="K1042" s="4" t="s">
        <v>24</v>
      </c>
    </row>
    <row r="1043" spans="1:11" x14ac:dyDescent="0.2">
      <c r="A1043" s="4" t="s">
        <v>2216</v>
      </c>
      <c r="B1043" s="4" t="s">
        <v>2217</v>
      </c>
      <c r="C1043" s="4" t="s">
        <v>13</v>
      </c>
      <c r="D1043" s="4" t="s">
        <v>2169</v>
      </c>
      <c r="E1043" s="4" t="s">
        <v>2170</v>
      </c>
      <c r="F1043" s="4" t="s">
        <v>111</v>
      </c>
      <c r="G1043" s="1">
        <v>0.2</v>
      </c>
      <c r="H1043" s="4" t="s">
        <v>232</v>
      </c>
      <c r="I1043" s="4" t="s">
        <v>1580</v>
      </c>
      <c r="J1043" s="4" t="s">
        <v>1077</v>
      </c>
      <c r="K1043" s="4" t="s">
        <v>24</v>
      </c>
    </row>
    <row r="1044" spans="1:11" x14ac:dyDescent="0.2">
      <c r="A1044" s="4" t="s">
        <v>2218</v>
      </c>
      <c r="B1044" s="4" t="s">
        <v>2219</v>
      </c>
      <c r="C1044" s="4" t="s">
        <v>13</v>
      </c>
      <c r="D1044" s="4" t="s">
        <v>2169</v>
      </c>
      <c r="E1044" s="4" t="s">
        <v>2170</v>
      </c>
      <c r="F1044" s="4" t="s">
        <v>111</v>
      </c>
      <c r="G1044" s="1">
        <v>0.2</v>
      </c>
      <c r="H1044" s="4" t="s">
        <v>232</v>
      </c>
      <c r="I1044" s="4" t="s">
        <v>1580</v>
      </c>
      <c r="J1044" s="4" t="s">
        <v>1077</v>
      </c>
      <c r="K1044" s="4" t="s">
        <v>24</v>
      </c>
    </row>
    <row r="1045" spans="1:11" x14ac:dyDescent="0.2">
      <c r="A1045" s="4" t="s">
        <v>2220</v>
      </c>
      <c r="B1045" s="4" t="s">
        <v>2221</v>
      </c>
      <c r="C1045" s="4" t="s">
        <v>13</v>
      </c>
      <c r="D1045" s="4" t="s">
        <v>2169</v>
      </c>
      <c r="E1045" s="4" t="s">
        <v>2170</v>
      </c>
      <c r="F1045" s="4" t="s">
        <v>111</v>
      </c>
      <c r="G1045" s="1">
        <v>0.16700000000000001</v>
      </c>
      <c r="H1045" s="4" t="s">
        <v>229</v>
      </c>
      <c r="I1045" s="4" t="s">
        <v>1580</v>
      </c>
      <c r="J1045" s="4" t="s">
        <v>1077</v>
      </c>
      <c r="K1045" s="4" t="s">
        <v>24</v>
      </c>
    </row>
    <row r="1046" spans="1:11" x14ac:dyDescent="0.2">
      <c r="A1046" s="4" t="s">
        <v>2222</v>
      </c>
      <c r="B1046" s="4" t="s">
        <v>2223</v>
      </c>
      <c r="C1046" s="4" t="s">
        <v>13</v>
      </c>
      <c r="D1046" s="4" t="s">
        <v>2169</v>
      </c>
      <c r="E1046" s="4" t="s">
        <v>2170</v>
      </c>
      <c r="F1046" s="4" t="s">
        <v>111</v>
      </c>
      <c r="G1046" s="1">
        <v>0.2</v>
      </c>
      <c r="H1046" s="4" t="s">
        <v>232</v>
      </c>
      <c r="I1046" s="4" t="s">
        <v>1580</v>
      </c>
      <c r="J1046" s="4" t="s">
        <v>1077</v>
      </c>
      <c r="K1046" s="4" t="s">
        <v>24</v>
      </c>
    </row>
    <row r="1047" spans="1:11" x14ac:dyDescent="0.2">
      <c r="A1047" s="4" t="s">
        <v>2224</v>
      </c>
      <c r="B1047" s="4" t="s">
        <v>2225</v>
      </c>
      <c r="C1047" s="4" t="s">
        <v>13</v>
      </c>
      <c r="D1047" s="4" t="s">
        <v>2169</v>
      </c>
      <c r="E1047" s="4" t="s">
        <v>2170</v>
      </c>
      <c r="F1047" s="4" t="s">
        <v>111</v>
      </c>
      <c r="G1047" s="1">
        <v>0.2</v>
      </c>
      <c r="H1047" s="4" t="s">
        <v>232</v>
      </c>
      <c r="I1047" s="4" t="s">
        <v>1580</v>
      </c>
      <c r="J1047" s="4" t="s">
        <v>1077</v>
      </c>
      <c r="K1047" s="4" t="s">
        <v>24</v>
      </c>
    </row>
    <row r="1048" spans="1:11" x14ac:dyDescent="0.2">
      <c r="A1048" s="4" t="s">
        <v>2226</v>
      </c>
      <c r="B1048" s="4" t="s">
        <v>2227</v>
      </c>
      <c r="C1048" s="4" t="s">
        <v>13</v>
      </c>
      <c r="D1048" s="4" t="s">
        <v>2169</v>
      </c>
      <c r="E1048" s="4" t="s">
        <v>2170</v>
      </c>
      <c r="F1048" s="4" t="s">
        <v>111</v>
      </c>
      <c r="G1048" s="1">
        <v>8.3000000000000004E-2</v>
      </c>
      <c r="H1048" s="4" t="s">
        <v>1867</v>
      </c>
      <c r="I1048" s="4" t="s">
        <v>1580</v>
      </c>
      <c r="J1048" s="4" t="s">
        <v>1077</v>
      </c>
      <c r="K1048" s="4" t="s">
        <v>1992</v>
      </c>
    </row>
    <row r="1049" spans="1:11" x14ac:dyDescent="0.2">
      <c r="A1049" s="4" t="s">
        <v>2228</v>
      </c>
      <c r="B1049" s="4" t="s">
        <v>2229</v>
      </c>
      <c r="C1049" s="4" t="s">
        <v>13</v>
      </c>
      <c r="D1049" s="4" t="s">
        <v>2169</v>
      </c>
      <c r="E1049" s="4" t="s">
        <v>2170</v>
      </c>
      <c r="F1049" s="4" t="s">
        <v>111</v>
      </c>
      <c r="G1049" s="1">
        <v>0.2</v>
      </c>
      <c r="H1049" s="4" t="s">
        <v>232</v>
      </c>
      <c r="I1049" s="4" t="s">
        <v>1580</v>
      </c>
      <c r="J1049" s="4" t="s">
        <v>1077</v>
      </c>
      <c r="K1049" s="4" t="s">
        <v>24</v>
      </c>
    </row>
    <row r="1050" spans="1:11" x14ac:dyDescent="0.2">
      <c r="A1050" s="4" t="s">
        <v>2230</v>
      </c>
      <c r="B1050" s="4" t="s">
        <v>2231</v>
      </c>
      <c r="C1050" s="4" t="s">
        <v>13</v>
      </c>
      <c r="D1050" s="4" t="s">
        <v>2169</v>
      </c>
      <c r="E1050" s="4" t="s">
        <v>2170</v>
      </c>
      <c r="F1050" s="4" t="s">
        <v>111</v>
      </c>
      <c r="G1050" s="1">
        <v>0.2</v>
      </c>
      <c r="H1050" s="4" t="s">
        <v>232</v>
      </c>
      <c r="I1050" s="4" t="s">
        <v>1580</v>
      </c>
      <c r="J1050" s="4" t="s">
        <v>1077</v>
      </c>
      <c r="K1050" s="4" t="s">
        <v>24</v>
      </c>
    </row>
    <row r="1051" spans="1:11" x14ac:dyDescent="0.2">
      <c r="A1051" s="4" t="s">
        <v>2232</v>
      </c>
      <c r="B1051" s="4" t="s">
        <v>2233</v>
      </c>
      <c r="C1051" s="4" t="s">
        <v>13</v>
      </c>
      <c r="D1051" s="4" t="s">
        <v>2169</v>
      </c>
      <c r="E1051" s="4" t="s">
        <v>2170</v>
      </c>
      <c r="F1051" s="4" t="s">
        <v>111</v>
      </c>
      <c r="G1051" s="1">
        <v>0.2</v>
      </c>
      <c r="H1051" s="4" t="s">
        <v>232</v>
      </c>
      <c r="I1051" s="4" t="s">
        <v>1580</v>
      </c>
      <c r="J1051" s="4" t="s">
        <v>1077</v>
      </c>
      <c r="K1051" s="4" t="s">
        <v>24</v>
      </c>
    </row>
    <row r="1052" spans="1:11" x14ac:dyDescent="0.2">
      <c r="A1052" s="4" t="s">
        <v>2234</v>
      </c>
      <c r="B1052" s="4" t="s">
        <v>2235</v>
      </c>
      <c r="C1052" s="4" t="s">
        <v>13</v>
      </c>
      <c r="D1052" s="4" t="s">
        <v>2169</v>
      </c>
      <c r="E1052" s="4" t="s">
        <v>2170</v>
      </c>
      <c r="F1052" s="4" t="s">
        <v>111</v>
      </c>
      <c r="G1052" s="1">
        <v>6.7000000000000004E-2</v>
      </c>
      <c r="H1052" s="4" t="s">
        <v>166</v>
      </c>
      <c r="I1052" s="4" t="s">
        <v>1580</v>
      </c>
      <c r="J1052" s="4" t="s">
        <v>1077</v>
      </c>
      <c r="K1052" s="4" t="s">
        <v>24</v>
      </c>
    </row>
    <row r="1053" spans="1:11" x14ac:dyDescent="0.2">
      <c r="A1053" s="4" t="s">
        <v>2236</v>
      </c>
      <c r="B1053" s="4" t="s">
        <v>2237</v>
      </c>
      <c r="C1053" s="4" t="s">
        <v>13</v>
      </c>
      <c r="D1053" s="4" t="s">
        <v>2169</v>
      </c>
      <c r="E1053" s="4" t="s">
        <v>2170</v>
      </c>
      <c r="F1053" s="4" t="s">
        <v>111</v>
      </c>
      <c r="G1053" s="1">
        <v>0.2</v>
      </c>
      <c r="H1053" s="4" t="s">
        <v>232</v>
      </c>
      <c r="I1053" s="4" t="s">
        <v>1580</v>
      </c>
      <c r="J1053" s="4" t="s">
        <v>1077</v>
      </c>
      <c r="K1053" s="4" t="s">
        <v>24</v>
      </c>
    </row>
    <row r="1054" spans="1:11" x14ac:dyDescent="0.2">
      <c r="A1054" s="4" t="s">
        <v>2238</v>
      </c>
      <c r="B1054" s="4" t="s">
        <v>2239</v>
      </c>
      <c r="C1054" s="4" t="s">
        <v>13</v>
      </c>
      <c r="D1054" s="4" t="s">
        <v>2169</v>
      </c>
      <c r="E1054" s="4" t="s">
        <v>2170</v>
      </c>
      <c r="F1054" s="4" t="s">
        <v>111</v>
      </c>
      <c r="G1054" s="1">
        <v>0.2</v>
      </c>
      <c r="H1054" s="4" t="s">
        <v>232</v>
      </c>
      <c r="I1054" s="4" t="s">
        <v>1580</v>
      </c>
      <c r="J1054" s="4" t="s">
        <v>1077</v>
      </c>
      <c r="K1054" s="4" t="s">
        <v>24</v>
      </c>
    </row>
    <row r="1055" spans="1:11" x14ac:dyDescent="0.2">
      <c r="A1055" s="4" t="s">
        <v>2240</v>
      </c>
      <c r="B1055" s="4" t="s">
        <v>2241</v>
      </c>
      <c r="C1055" s="4" t="s">
        <v>13</v>
      </c>
      <c r="D1055" s="4" t="s">
        <v>2169</v>
      </c>
      <c r="E1055" s="4" t="s">
        <v>2170</v>
      </c>
      <c r="F1055" s="4" t="s">
        <v>111</v>
      </c>
      <c r="G1055" s="1">
        <v>0.2</v>
      </c>
      <c r="H1055" s="4" t="s">
        <v>232</v>
      </c>
      <c r="I1055" s="4" t="s">
        <v>1580</v>
      </c>
      <c r="J1055" s="4" t="s">
        <v>1077</v>
      </c>
      <c r="K1055" s="4" t="s">
        <v>24</v>
      </c>
    </row>
    <row r="1056" spans="1:11" x14ac:dyDescent="0.2">
      <c r="A1056" s="4" t="s">
        <v>2242</v>
      </c>
      <c r="B1056" s="4" t="s">
        <v>2243</v>
      </c>
      <c r="C1056" s="4" t="s">
        <v>13</v>
      </c>
      <c r="D1056" s="4" t="s">
        <v>2169</v>
      </c>
      <c r="E1056" s="4" t="s">
        <v>2170</v>
      </c>
      <c r="F1056" s="4" t="s">
        <v>111</v>
      </c>
      <c r="G1056" s="1">
        <v>0.13300000000000001</v>
      </c>
      <c r="H1056" s="4" t="s">
        <v>112</v>
      </c>
      <c r="I1056" s="4" t="s">
        <v>1580</v>
      </c>
      <c r="J1056" s="4" t="s">
        <v>1077</v>
      </c>
      <c r="K1056" s="4" t="s">
        <v>24</v>
      </c>
    </row>
    <row r="1057" spans="1:11" x14ac:dyDescent="0.2">
      <c r="A1057" s="4" t="s">
        <v>2244</v>
      </c>
      <c r="B1057" s="4" t="s">
        <v>2245</v>
      </c>
      <c r="C1057" s="4" t="s">
        <v>13</v>
      </c>
      <c r="D1057" s="4" t="s">
        <v>2169</v>
      </c>
      <c r="E1057" s="4" t="s">
        <v>2170</v>
      </c>
      <c r="F1057" s="4" t="s">
        <v>111</v>
      </c>
      <c r="G1057" s="1">
        <v>0.2</v>
      </c>
      <c r="H1057" s="4" t="s">
        <v>232</v>
      </c>
      <c r="I1057" s="4" t="s">
        <v>1580</v>
      </c>
      <c r="J1057" s="4" t="s">
        <v>1077</v>
      </c>
      <c r="K1057" s="4" t="s">
        <v>1999</v>
      </c>
    </row>
    <row r="1058" spans="1:11" x14ac:dyDescent="0.2">
      <c r="A1058" s="4" t="s">
        <v>2246</v>
      </c>
      <c r="B1058" s="4" t="s">
        <v>2247</v>
      </c>
      <c r="C1058" s="4" t="s">
        <v>13</v>
      </c>
      <c r="D1058" s="4" t="s">
        <v>2169</v>
      </c>
      <c r="E1058" s="4" t="s">
        <v>2170</v>
      </c>
      <c r="F1058" s="4" t="s">
        <v>111</v>
      </c>
      <c r="G1058" s="1">
        <v>3.3000000000000002E-2</v>
      </c>
      <c r="H1058" s="4" t="s">
        <v>225</v>
      </c>
      <c r="I1058" s="4" t="s">
        <v>1580</v>
      </c>
      <c r="J1058" s="4" t="s">
        <v>1077</v>
      </c>
      <c r="K1058" s="4" t="s">
        <v>1999</v>
      </c>
    </row>
    <row r="1059" spans="1:11" x14ac:dyDescent="0.2">
      <c r="A1059" s="4" t="s">
        <v>2248</v>
      </c>
      <c r="B1059" s="4" t="s">
        <v>2249</v>
      </c>
      <c r="C1059" s="4" t="s">
        <v>13</v>
      </c>
      <c r="D1059" s="4" t="s">
        <v>2169</v>
      </c>
      <c r="E1059" s="4" t="s">
        <v>2170</v>
      </c>
      <c r="F1059" s="4" t="s">
        <v>111</v>
      </c>
      <c r="G1059" s="1">
        <v>0.2</v>
      </c>
      <c r="H1059" s="4" t="s">
        <v>232</v>
      </c>
      <c r="I1059" s="4" t="s">
        <v>1580</v>
      </c>
      <c r="J1059" s="4" t="s">
        <v>1077</v>
      </c>
      <c r="K1059" s="4" t="s">
        <v>1989</v>
      </c>
    </row>
    <row r="1060" spans="1:11" x14ac:dyDescent="0.2">
      <c r="A1060" s="4" t="s">
        <v>2250</v>
      </c>
      <c r="B1060" s="4" t="s">
        <v>2251</v>
      </c>
      <c r="C1060" s="4" t="s">
        <v>13</v>
      </c>
      <c r="D1060" s="4" t="s">
        <v>2169</v>
      </c>
      <c r="E1060" s="4" t="s">
        <v>2170</v>
      </c>
      <c r="F1060" s="4" t="s">
        <v>111</v>
      </c>
      <c r="G1060" s="1">
        <v>0.2</v>
      </c>
      <c r="H1060" s="4" t="s">
        <v>232</v>
      </c>
      <c r="I1060" s="4" t="s">
        <v>1580</v>
      </c>
      <c r="J1060" s="4" t="s">
        <v>1077</v>
      </c>
      <c r="K1060" s="4" t="s">
        <v>1788</v>
      </c>
    </row>
    <row r="1061" spans="1:11" x14ac:dyDescent="0.2">
      <c r="A1061" s="4" t="s">
        <v>2252</v>
      </c>
      <c r="B1061" s="4" t="s">
        <v>2253</v>
      </c>
      <c r="C1061" s="4" t="s">
        <v>13</v>
      </c>
      <c r="D1061" s="4" t="s">
        <v>2169</v>
      </c>
      <c r="E1061" s="4" t="s">
        <v>2170</v>
      </c>
      <c r="F1061" s="4" t="s">
        <v>111</v>
      </c>
      <c r="G1061" s="1">
        <v>0.2</v>
      </c>
      <c r="H1061" s="4" t="s">
        <v>232</v>
      </c>
      <c r="I1061" s="4" t="s">
        <v>1580</v>
      </c>
      <c r="J1061" s="4" t="s">
        <v>1077</v>
      </c>
      <c r="K1061" s="4" t="s">
        <v>1590</v>
      </c>
    </row>
    <row r="1062" spans="1:11" x14ac:dyDescent="0.2">
      <c r="A1062" s="4" t="s">
        <v>2254</v>
      </c>
      <c r="B1062" s="4" t="s">
        <v>2255</v>
      </c>
      <c r="C1062" s="4" t="s">
        <v>13</v>
      </c>
      <c r="D1062" s="4" t="s">
        <v>2169</v>
      </c>
      <c r="E1062" s="4" t="s">
        <v>2170</v>
      </c>
      <c r="F1062" s="4" t="s">
        <v>111</v>
      </c>
      <c r="G1062" s="1">
        <v>0.11700000000000001</v>
      </c>
      <c r="H1062" s="4" t="s">
        <v>2191</v>
      </c>
      <c r="I1062" s="4" t="s">
        <v>1580</v>
      </c>
      <c r="J1062" s="4" t="s">
        <v>1077</v>
      </c>
      <c r="K1062" s="4" t="s">
        <v>24</v>
      </c>
    </row>
    <row r="1063" spans="1:11" x14ac:dyDescent="0.2">
      <c r="A1063" s="4" t="s">
        <v>2256</v>
      </c>
      <c r="B1063" s="4" t="s">
        <v>2257</v>
      </c>
      <c r="C1063" s="4" t="s">
        <v>13</v>
      </c>
      <c r="D1063" s="4" t="s">
        <v>2258</v>
      </c>
      <c r="E1063" s="4" t="s">
        <v>2259</v>
      </c>
      <c r="F1063" s="4" t="s">
        <v>111</v>
      </c>
      <c r="G1063" s="1">
        <v>6.7000000000000004E-2</v>
      </c>
      <c r="H1063" s="4" t="s">
        <v>166</v>
      </c>
      <c r="I1063" s="4" t="s">
        <v>1580</v>
      </c>
      <c r="J1063" s="4" t="s">
        <v>2260</v>
      </c>
      <c r="K1063" s="4" t="s">
        <v>1864</v>
      </c>
    </row>
    <row r="1064" spans="1:11" x14ac:dyDescent="0.2">
      <c r="A1064" s="4" t="s">
        <v>2261</v>
      </c>
      <c r="B1064" s="4" t="s">
        <v>2262</v>
      </c>
      <c r="C1064" s="4" t="s">
        <v>13</v>
      </c>
      <c r="D1064" s="4" t="s">
        <v>2258</v>
      </c>
      <c r="E1064" s="4" t="s">
        <v>2259</v>
      </c>
      <c r="F1064" s="4" t="s">
        <v>111</v>
      </c>
      <c r="G1064" s="1">
        <v>0.1</v>
      </c>
      <c r="H1064" s="4" t="s">
        <v>117</v>
      </c>
      <c r="I1064" s="4" t="s">
        <v>1580</v>
      </c>
      <c r="J1064" s="4" t="s">
        <v>2260</v>
      </c>
      <c r="K1064" s="4" t="s">
        <v>1992</v>
      </c>
    </row>
    <row r="1065" spans="1:11" x14ac:dyDescent="0.2">
      <c r="A1065" s="4" t="s">
        <v>2263</v>
      </c>
      <c r="B1065" s="4" t="s">
        <v>2264</v>
      </c>
      <c r="C1065" s="4" t="s">
        <v>13</v>
      </c>
      <c r="D1065" s="4" t="s">
        <v>2258</v>
      </c>
      <c r="E1065" s="4" t="s">
        <v>2259</v>
      </c>
      <c r="F1065" s="4" t="s">
        <v>111</v>
      </c>
      <c r="G1065" s="1">
        <v>0.1</v>
      </c>
      <c r="H1065" s="4" t="s">
        <v>117</v>
      </c>
      <c r="I1065" s="4" t="s">
        <v>1580</v>
      </c>
      <c r="J1065" s="4" t="s">
        <v>2260</v>
      </c>
      <c r="K1065" s="4" t="s">
        <v>1992</v>
      </c>
    </row>
    <row r="1066" spans="1:11" x14ac:dyDescent="0.2">
      <c r="A1066" s="4" t="s">
        <v>2265</v>
      </c>
      <c r="B1066" s="4" t="s">
        <v>2266</v>
      </c>
      <c r="C1066" s="4" t="s">
        <v>13</v>
      </c>
      <c r="D1066" s="4" t="s">
        <v>2258</v>
      </c>
      <c r="E1066" s="4" t="s">
        <v>2259</v>
      </c>
      <c r="F1066" s="4" t="s">
        <v>111</v>
      </c>
      <c r="G1066" s="1">
        <v>0.1</v>
      </c>
      <c r="H1066" s="4" t="s">
        <v>117</v>
      </c>
      <c r="I1066" s="4" t="s">
        <v>1580</v>
      </c>
      <c r="J1066" s="4" t="s">
        <v>2260</v>
      </c>
      <c r="K1066" s="4" t="s">
        <v>1992</v>
      </c>
    </row>
    <row r="1067" spans="1:11" x14ac:dyDescent="0.2">
      <c r="A1067" s="4" t="s">
        <v>2267</v>
      </c>
      <c r="B1067" s="4" t="s">
        <v>2268</v>
      </c>
      <c r="C1067" s="4" t="s">
        <v>13</v>
      </c>
      <c r="D1067" s="4" t="s">
        <v>2258</v>
      </c>
      <c r="E1067" s="4" t="s">
        <v>2259</v>
      </c>
      <c r="F1067" s="4" t="s">
        <v>111</v>
      </c>
      <c r="G1067" s="1">
        <v>0</v>
      </c>
      <c r="H1067" s="4" t="s">
        <v>254</v>
      </c>
      <c r="I1067" s="4" t="s">
        <v>1580</v>
      </c>
      <c r="J1067" s="4" t="s">
        <v>2260</v>
      </c>
      <c r="K1067" s="4" t="s">
        <v>1992</v>
      </c>
    </row>
    <row r="1068" spans="1:11" x14ac:dyDescent="0.2">
      <c r="A1068" s="4" t="s">
        <v>2269</v>
      </c>
      <c r="B1068" s="4" t="s">
        <v>2270</v>
      </c>
      <c r="C1068" s="4" t="s">
        <v>13</v>
      </c>
      <c r="D1068" s="4" t="s">
        <v>2258</v>
      </c>
      <c r="E1068" s="4" t="s">
        <v>2259</v>
      </c>
      <c r="F1068" s="4" t="s">
        <v>111</v>
      </c>
      <c r="G1068" s="1">
        <v>3.3000000000000002E-2</v>
      </c>
      <c r="H1068" s="4" t="s">
        <v>225</v>
      </c>
      <c r="I1068" s="4" t="s">
        <v>1580</v>
      </c>
      <c r="J1068" s="4" t="s">
        <v>2260</v>
      </c>
      <c r="K1068" s="4" t="s">
        <v>24</v>
      </c>
    </row>
    <row r="1069" spans="1:11" x14ac:dyDescent="0.2">
      <c r="A1069" s="4" t="s">
        <v>2271</v>
      </c>
      <c r="B1069" s="4" t="s">
        <v>2272</v>
      </c>
      <c r="C1069" s="4" t="s">
        <v>49</v>
      </c>
      <c r="D1069" s="4" t="s">
        <v>2258</v>
      </c>
      <c r="E1069" s="4" t="s">
        <v>2259</v>
      </c>
      <c r="F1069" s="4" t="s">
        <v>111</v>
      </c>
      <c r="G1069" s="1">
        <v>0</v>
      </c>
      <c r="H1069" s="4" t="s">
        <v>254</v>
      </c>
      <c r="I1069" s="4" t="s">
        <v>1580</v>
      </c>
      <c r="J1069" s="4" t="s">
        <v>2260</v>
      </c>
      <c r="K1069" s="4" t="s">
        <v>24</v>
      </c>
    </row>
    <row r="1070" spans="1:11" x14ac:dyDescent="0.2">
      <c r="A1070" s="4" t="s">
        <v>2273</v>
      </c>
      <c r="B1070" s="4" t="s">
        <v>2274</v>
      </c>
      <c r="C1070" s="4" t="s">
        <v>13</v>
      </c>
      <c r="D1070" s="4" t="s">
        <v>2258</v>
      </c>
      <c r="E1070" s="4" t="s">
        <v>2259</v>
      </c>
      <c r="F1070" s="4" t="s">
        <v>111</v>
      </c>
      <c r="G1070" s="1">
        <v>0.1</v>
      </c>
      <c r="H1070" s="4" t="s">
        <v>117</v>
      </c>
      <c r="I1070" s="4" t="s">
        <v>1580</v>
      </c>
      <c r="J1070" s="4" t="s">
        <v>2260</v>
      </c>
      <c r="K1070" s="4" t="s">
        <v>24</v>
      </c>
    </row>
    <row r="1071" spans="1:11" x14ac:dyDescent="0.2">
      <c r="A1071" s="4" t="s">
        <v>2275</v>
      </c>
      <c r="B1071" s="4" t="s">
        <v>2276</v>
      </c>
      <c r="C1071" s="4" t="s">
        <v>13</v>
      </c>
      <c r="D1071" s="4" t="s">
        <v>2258</v>
      </c>
      <c r="E1071" s="4" t="s">
        <v>2259</v>
      </c>
      <c r="F1071" s="4" t="s">
        <v>111</v>
      </c>
      <c r="G1071" s="1">
        <v>0.1</v>
      </c>
      <c r="H1071" s="4" t="s">
        <v>117</v>
      </c>
      <c r="I1071" s="4" t="s">
        <v>1580</v>
      </c>
      <c r="J1071" s="4" t="s">
        <v>2260</v>
      </c>
      <c r="K1071" s="4" t="s">
        <v>24</v>
      </c>
    </row>
    <row r="1072" spans="1:11" x14ac:dyDescent="0.2">
      <c r="A1072" s="4" t="s">
        <v>2277</v>
      </c>
      <c r="B1072" s="4" t="s">
        <v>2278</v>
      </c>
      <c r="C1072" s="4" t="s">
        <v>13</v>
      </c>
      <c r="D1072" s="4" t="s">
        <v>2258</v>
      </c>
      <c r="E1072" s="4" t="s">
        <v>2259</v>
      </c>
      <c r="F1072" s="4" t="s">
        <v>111</v>
      </c>
      <c r="G1072" s="1">
        <v>0.1</v>
      </c>
      <c r="H1072" s="4" t="s">
        <v>117</v>
      </c>
      <c r="I1072" s="4" t="s">
        <v>1580</v>
      </c>
      <c r="J1072" s="4" t="s">
        <v>2260</v>
      </c>
      <c r="K1072" s="4" t="s">
        <v>24</v>
      </c>
    </row>
    <row r="1073" spans="1:11" x14ac:dyDescent="0.2">
      <c r="A1073" s="4" t="s">
        <v>2279</v>
      </c>
      <c r="B1073" s="4" t="s">
        <v>2280</v>
      </c>
      <c r="C1073" s="4" t="s">
        <v>13</v>
      </c>
      <c r="D1073" s="4" t="s">
        <v>2258</v>
      </c>
      <c r="E1073" s="4" t="s">
        <v>2259</v>
      </c>
      <c r="F1073" s="4" t="s">
        <v>111</v>
      </c>
      <c r="G1073" s="1">
        <v>3.3000000000000002E-2</v>
      </c>
      <c r="H1073" s="4" t="s">
        <v>225</v>
      </c>
      <c r="I1073" s="4" t="s">
        <v>1580</v>
      </c>
      <c r="J1073" s="4" t="s">
        <v>2260</v>
      </c>
      <c r="K1073" s="4" t="s">
        <v>24</v>
      </c>
    </row>
    <row r="1074" spans="1:11" x14ac:dyDescent="0.2">
      <c r="A1074" s="4" t="s">
        <v>2281</v>
      </c>
      <c r="B1074" s="4" t="s">
        <v>2282</v>
      </c>
      <c r="C1074" s="4" t="s">
        <v>13</v>
      </c>
      <c r="D1074" s="4" t="s">
        <v>2258</v>
      </c>
      <c r="E1074" s="4" t="s">
        <v>2259</v>
      </c>
      <c r="F1074" s="4" t="s">
        <v>111</v>
      </c>
      <c r="G1074" s="1">
        <v>0.1</v>
      </c>
      <c r="H1074" s="4" t="s">
        <v>117</v>
      </c>
      <c r="I1074" s="4" t="s">
        <v>1580</v>
      </c>
      <c r="J1074" s="4" t="s">
        <v>2260</v>
      </c>
      <c r="K1074" s="4" t="s">
        <v>24</v>
      </c>
    </row>
    <row r="1075" spans="1:11" x14ac:dyDescent="0.2">
      <c r="A1075" s="4" t="s">
        <v>2283</v>
      </c>
      <c r="B1075" s="4" t="s">
        <v>2284</v>
      </c>
      <c r="C1075" s="4" t="s">
        <v>13</v>
      </c>
      <c r="D1075" s="4" t="s">
        <v>2258</v>
      </c>
      <c r="E1075" s="4" t="s">
        <v>2259</v>
      </c>
      <c r="F1075" s="4" t="s">
        <v>111</v>
      </c>
      <c r="G1075" s="1">
        <v>0</v>
      </c>
      <c r="H1075" s="4" t="s">
        <v>254</v>
      </c>
      <c r="I1075" s="4" t="s">
        <v>1580</v>
      </c>
      <c r="J1075" s="4" t="s">
        <v>2260</v>
      </c>
      <c r="K1075" s="4" t="s">
        <v>24</v>
      </c>
    </row>
    <row r="1076" spans="1:11" x14ac:dyDescent="0.2">
      <c r="A1076" s="4" t="s">
        <v>2285</v>
      </c>
      <c r="B1076" s="4" t="s">
        <v>2286</v>
      </c>
      <c r="C1076" s="4" t="s">
        <v>13</v>
      </c>
      <c r="D1076" s="4" t="s">
        <v>2258</v>
      </c>
      <c r="E1076" s="4" t="s">
        <v>2259</v>
      </c>
      <c r="F1076" s="4" t="s">
        <v>111</v>
      </c>
      <c r="G1076" s="1">
        <v>6.7000000000000004E-2</v>
      </c>
      <c r="H1076" s="4" t="s">
        <v>166</v>
      </c>
      <c r="I1076" s="4" t="s">
        <v>1580</v>
      </c>
      <c r="J1076" s="4" t="s">
        <v>2260</v>
      </c>
      <c r="K1076" s="4" t="s">
        <v>24</v>
      </c>
    </row>
    <row r="1077" spans="1:11" x14ac:dyDescent="0.2">
      <c r="A1077" s="4" t="s">
        <v>2287</v>
      </c>
      <c r="B1077" s="4" t="s">
        <v>2288</v>
      </c>
      <c r="C1077" s="4" t="s">
        <v>13</v>
      </c>
      <c r="D1077" s="4" t="s">
        <v>2258</v>
      </c>
      <c r="E1077" s="4" t="s">
        <v>2259</v>
      </c>
      <c r="F1077" s="4" t="s">
        <v>111</v>
      </c>
      <c r="G1077" s="1">
        <v>0</v>
      </c>
      <c r="H1077" s="4" t="s">
        <v>254</v>
      </c>
      <c r="I1077" s="4" t="s">
        <v>1580</v>
      </c>
      <c r="J1077" s="4" t="s">
        <v>2260</v>
      </c>
      <c r="K1077" s="4" t="s">
        <v>24</v>
      </c>
    </row>
    <row r="1078" spans="1:11" x14ac:dyDescent="0.2">
      <c r="A1078" s="4" t="s">
        <v>2289</v>
      </c>
      <c r="B1078" s="4" t="s">
        <v>2290</v>
      </c>
      <c r="C1078" s="4" t="s">
        <v>13</v>
      </c>
      <c r="D1078" s="4" t="s">
        <v>2258</v>
      </c>
      <c r="E1078" s="4" t="s">
        <v>2259</v>
      </c>
      <c r="F1078" s="4" t="s">
        <v>111</v>
      </c>
      <c r="G1078" s="1">
        <v>0.1</v>
      </c>
      <c r="H1078" s="4" t="s">
        <v>117</v>
      </c>
      <c r="I1078" s="4" t="s">
        <v>1580</v>
      </c>
      <c r="J1078" s="4" t="s">
        <v>2260</v>
      </c>
      <c r="K1078" s="4" t="s">
        <v>24</v>
      </c>
    </row>
    <row r="1079" spans="1:11" x14ac:dyDescent="0.2">
      <c r="A1079" s="4" t="s">
        <v>2291</v>
      </c>
      <c r="B1079" s="4" t="s">
        <v>2292</v>
      </c>
      <c r="C1079" s="4" t="s">
        <v>13</v>
      </c>
      <c r="D1079" s="4" t="s">
        <v>2258</v>
      </c>
      <c r="E1079" s="4" t="s">
        <v>2259</v>
      </c>
      <c r="F1079" s="4" t="s">
        <v>111</v>
      </c>
      <c r="G1079" s="1">
        <v>0.1</v>
      </c>
      <c r="H1079" s="4" t="s">
        <v>117</v>
      </c>
      <c r="I1079" s="4" t="s">
        <v>1580</v>
      </c>
      <c r="J1079" s="4" t="s">
        <v>2260</v>
      </c>
      <c r="K1079" s="4" t="s">
        <v>24</v>
      </c>
    </row>
    <row r="1080" spans="1:11" x14ac:dyDescent="0.2">
      <c r="A1080" s="4" t="s">
        <v>2293</v>
      </c>
      <c r="B1080" s="4" t="s">
        <v>2294</v>
      </c>
      <c r="C1080" s="4" t="s">
        <v>13</v>
      </c>
      <c r="D1080" s="4" t="s">
        <v>2258</v>
      </c>
      <c r="E1080" s="4" t="s">
        <v>2259</v>
      </c>
      <c r="F1080" s="4" t="s">
        <v>111</v>
      </c>
      <c r="G1080" s="1">
        <v>6.7000000000000004E-2</v>
      </c>
      <c r="H1080" s="4" t="s">
        <v>166</v>
      </c>
      <c r="I1080" s="4" t="s">
        <v>1580</v>
      </c>
      <c r="J1080" s="4" t="s">
        <v>2260</v>
      </c>
      <c r="K1080" s="4" t="s">
        <v>24</v>
      </c>
    </row>
    <row r="1081" spans="1:11" x14ac:dyDescent="0.2">
      <c r="A1081" s="4" t="s">
        <v>2295</v>
      </c>
      <c r="B1081" s="4" t="s">
        <v>2296</v>
      </c>
      <c r="C1081" s="4" t="s">
        <v>13</v>
      </c>
      <c r="D1081" s="4" t="s">
        <v>2258</v>
      </c>
      <c r="E1081" s="4" t="s">
        <v>2259</v>
      </c>
      <c r="F1081" s="4" t="s">
        <v>111</v>
      </c>
      <c r="G1081" s="1">
        <v>3.3000000000000002E-2</v>
      </c>
      <c r="H1081" s="4" t="s">
        <v>225</v>
      </c>
      <c r="I1081" s="4" t="s">
        <v>1580</v>
      </c>
      <c r="J1081" s="4" t="s">
        <v>2260</v>
      </c>
      <c r="K1081" s="4" t="s">
        <v>24</v>
      </c>
    </row>
    <row r="1082" spans="1:11" x14ac:dyDescent="0.2">
      <c r="A1082" s="4" t="s">
        <v>2297</v>
      </c>
      <c r="B1082" s="4" t="s">
        <v>2298</v>
      </c>
      <c r="C1082" s="4" t="s">
        <v>13</v>
      </c>
      <c r="D1082" s="4" t="s">
        <v>2258</v>
      </c>
      <c r="E1082" s="4" t="s">
        <v>2259</v>
      </c>
      <c r="F1082" s="4" t="s">
        <v>111</v>
      </c>
      <c r="G1082" s="1">
        <v>6.7000000000000004E-2</v>
      </c>
      <c r="H1082" s="4" t="s">
        <v>166</v>
      </c>
      <c r="I1082" s="4" t="s">
        <v>1580</v>
      </c>
      <c r="J1082" s="4" t="s">
        <v>2260</v>
      </c>
      <c r="K1082" s="4" t="s">
        <v>24</v>
      </c>
    </row>
    <row r="1083" spans="1:11" x14ac:dyDescent="0.2">
      <c r="A1083" s="4" t="s">
        <v>2299</v>
      </c>
      <c r="B1083" s="4" t="s">
        <v>2300</v>
      </c>
      <c r="C1083" s="4" t="s">
        <v>13</v>
      </c>
      <c r="D1083" s="4" t="s">
        <v>2258</v>
      </c>
      <c r="E1083" s="4" t="s">
        <v>2259</v>
      </c>
      <c r="F1083" s="4" t="s">
        <v>111</v>
      </c>
      <c r="G1083" s="1">
        <v>6.7000000000000004E-2</v>
      </c>
      <c r="H1083" s="4" t="s">
        <v>166</v>
      </c>
      <c r="I1083" s="4" t="s">
        <v>1580</v>
      </c>
      <c r="J1083" s="4" t="s">
        <v>2260</v>
      </c>
      <c r="K1083" s="4" t="s">
        <v>24</v>
      </c>
    </row>
    <row r="1084" spans="1:11" x14ac:dyDescent="0.2">
      <c r="A1084" s="4" t="s">
        <v>2301</v>
      </c>
      <c r="B1084" s="4" t="s">
        <v>2302</v>
      </c>
      <c r="C1084" s="4" t="s">
        <v>13</v>
      </c>
      <c r="D1084" s="4" t="s">
        <v>2258</v>
      </c>
      <c r="E1084" s="4" t="s">
        <v>2259</v>
      </c>
      <c r="F1084" s="4" t="s">
        <v>111</v>
      </c>
      <c r="G1084" s="1">
        <v>6.7000000000000004E-2</v>
      </c>
      <c r="H1084" s="4" t="s">
        <v>166</v>
      </c>
      <c r="I1084" s="4" t="s">
        <v>1580</v>
      </c>
      <c r="J1084" s="4" t="s">
        <v>2260</v>
      </c>
      <c r="K1084" s="4" t="s">
        <v>24</v>
      </c>
    </row>
    <row r="1085" spans="1:11" x14ac:dyDescent="0.2">
      <c r="A1085" s="4" t="s">
        <v>2303</v>
      </c>
      <c r="B1085" s="4" t="s">
        <v>2304</v>
      </c>
      <c r="C1085" s="4" t="s">
        <v>13</v>
      </c>
      <c r="D1085" s="4" t="s">
        <v>2258</v>
      </c>
      <c r="E1085" s="4" t="s">
        <v>2259</v>
      </c>
      <c r="F1085" s="4" t="s">
        <v>111</v>
      </c>
      <c r="G1085" s="1">
        <v>3.3000000000000002E-2</v>
      </c>
      <c r="H1085" s="4" t="s">
        <v>225</v>
      </c>
      <c r="I1085" s="4" t="s">
        <v>1580</v>
      </c>
      <c r="J1085" s="4" t="s">
        <v>2260</v>
      </c>
      <c r="K1085" s="4" t="s">
        <v>24</v>
      </c>
    </row>
    <row r="1086" spans="1:11" x14ac:dyDescent="0.2">
      <c r="A1086" s="4" t="s">
        <v>2254</v>
      </c>
      <c r="B1086" s="4" t="s">
        <v>2255</v>
      </c>
      <c r="C1086" s="4" t="s">
        <v>49</v>
      </c>
      <c r="D1086" s="4" t="s">
        <v>2258</v>
      </c>
      <c r="E1086" s="4" t="s">
        <v>2259</v>
      </c>
      <c r="F1086" s="4" t="s">
        <v>111</v>
      </c>
      <c r="G1086" s="1">
        <v>0.11700000000000001</v>
      </c>
      <c r="H1086" s="4" t="s">
        <v>2191</v>
      </c>
      <c r="I1086" s="4" t="s">
        <v>1580</v>
      </c>
      <c r="J1086" s="4" t="s">
        <v>2260</v>
      </c>
      <c r="K1086" s="4" t="s">
        <v>24</v>
      </c>
    </row>
    <row r="1087" spans="1:11" x14ac:dyDescent="0.2">
      <c r="A1087" s="4" t="s">
        <v>2305</v>
      </c>
      <c r="B1087" s="4" t="s">
        <v>2306</v>
      </c>
      <c r="C1087" s="4" t="s">
        <v>13</v>
      </c>
      <c r="D1087" s="4" t="s">
        <v>2258</v>
      </c>
      <c r="E1087" s="4" t="s">
        <v>2259</v>
      </c>
      <c r="F1087" s="4" t="s">
        <v>111</v>
      </c>
      <c r="G1087" s="1">
        <v>6.7000000000000004E-2</v>
      </c>
      <c r="H1087" s="4" t="s">
        <v>166</v>
      </c>
      <c r="I1087" s="4" t="s">
        <v>1580</v>
      </c>
      <c r="J1087" s="4" t="s">
        <v>2260</v>
      </c>
      <c r="K1087" s="4" t="s">
        <v>24</v>
      </c>
    </row>
    <row r="1088" spans="1:11" x14ac:dyDescent="0.2">
      <c r="A1088" s="4" t="s">
        <v>2307</v>
      </c>
      <c r="B1088" s="4" t="s">
        <v>2308</v>
      </c>
      <c r="C1088" s="4" t="s">
        <v>13</v>
      </c>
      <c r="D1088" s="4" t="s">
        <v>2258</v>
      </c>
      <c r="E1088" s="4" t="s">
        <v>2259</v>
      </c>
      <c r="F1088" s="4" t="s">
        <v>111</v>
      </c>
      <c r="G1088" s="1">
        <v>0</v>
      </c>
      <c r="H1088" s="4" t="s">
        <v>254</v>
      </c>
      <c r="I1088" s="4" t="s">
        <v>1580</v>
      </c>
      <c r="J1088" s="4" t="s">
        <v>2260</v>
      </c>
      <c r="K1088" s="4" t="s">
        <v>24</v>
      </c>
    </row>
    <row r="1089" spans="1:11" x14ac:dyDescent="0.2">
      <c r="A1089" s="4" t="s">
        <v>2309</v>
      </c>
      <c r="B1089" s="4" t="s">
        <v>2310</v>
      </c>
      <c r="C1089" s="4" t="s">
        <v>13</v>
      </c>
      <c r="D1089" s="4" t="s">
        <v>2258</v>
      </c>
      <c r="E1089" s="4" t="s">
        <v>2259</v>
      </c>
      <c r="F1089" s="4" t="s">
        <v>111</v>
      </c>
      <c r="G1089" s="1">
        <v>6.7000000000000004E-2</v>
      </c>
      <c r="H1089" s="4" t="s">
        <v>166</v>
      </c>
      <c r="I1089" s="4" t="s">
        <v>1580</v>
      </c>
      <c r="J1089" s="4" t="s">
        <v>2260</v>
      </c>
      <c r="K1089" s="4" t="s">
        <v>24</v>
      </c>
    </row>
    <row r="1090" spans="1:11" x14ac:dyDescent="0.2">
      <c r="A1090" s="4" t="s">
        <v>2311</v>
      </c>
      <c r="B1090" s="4" t="s">
        <v>2312</v>
      </c>
      <c r="C1090" s="4" t="s">
        <v>13</v>
      </c>
      <c r="D1090" s="4" t="s">
        <v>2258</v>
      </c>
      <c r="E1090" s="4" t="s">
        <v>2259</v>
      </c>
      <c r="F1090" s="4" t="s">
        <v>111</v>
      </c>
      <c r="G1090" s="1">
        <v>0.1</v>
      </c>
      <c r="H1090" s="4" t="s">
        <v>117</v>
      </c>
      <c r="I1090" s="4" t="s">
        <v>1580</v>
      </c>
      <c r="J1090" s="4" t="s">
        <v>2260</v>
      </c>
      <c r="K1090" s="4" t="s">
        <v>24</v>
      </c>
    </row>
    <row r="1091" spans="1:11" x14ac:dyDescent="0.2">
      <c r="A1091" s="4" t="s">
        <v>2313</v>
      </c>
      <c r="B1091" s="4" t="s">
        <v>2314</v>
      </c>
      <c r="C1091" s="4" t="s">
        <v>13</v>
      </c>
      <c r="D1091" s="4" t="s">
        <v>2258</v>
      </c>
      <c r="E1091" s="4" t="s">
        <v>2259</v>
      </c>
      <c r="F1091" s="4" t="s">
        <v>111</v>
      </c>
      <c r="G1091" s="1">
        <v>0.1</v>
      </c>
      <c r="H1091" s="4" t="s">
        <v>117</v>
      </c>
      <c r="I1091" s="4" t="s">
        <v>1580</v>
      </c>
      <c r="J1091" s="4" t="s">
        <v>2260</v>
      </c>
      <c r="K1091" s="4" t="s">
        <v>24</v>
      </c>
    </row>
    <row r="1092" spans="1:11" x14ac:dyDescent="0.2">
      <c r="A1092" s="4" t="s">
        <v>2315</v>
      </c>
      <c r="B1092" s="4" t="s">
        <v>2316</v>
      </c>
      <c r="C1092" s="4" t="s">
        <v>13</v>
      </c>
      <c r="D1092" s="4" t="s">
        <v>2258</v>
      </c>
      <c r="E1092" s="4" t="s">
        <v>2259</v>
      </c>
      <c r="F1092" s="4" t="s">
        <v>111</v>
      </c>
      <c r="G1092" s="1">
        <v>0</v>
      </c>
      <c r="H1092" s="4" t="s">
        <v>254</v>
      </c>
      <c r="I1092" s="4" t="s">
        <v>1580</v>
      </c>
      <c r="J1092" s="4" t="s">
        <v>2260</v>
      </c>
      <c r="K1092" s="4" t="s">
        <v>24</v>
      </c>
    </row>
    <row r="1093" spans="1:11" x14ac:dyDescent="0.2">
      <c r="A1093" s="4" t="s">
        <v>2317</v>
      </c>
      <c r="B1093" s="4" t="s">
        <v>2318</v>
      </c>
      <c r="C1093" s="4" t="s">
        <v>13</v>
      </c>
      <c r="D1093" s="4" t="s">
        <v>2258</v>
      </c>
      <c r="E1093" s="4" t="s">
        <v>2259</v>
      </c>
      <c r="F1093" s="4" t="s">
        <v>111</v>
      </c>
      <c r="G1093" s="1">
        <v>0.1</v>
      </c>
      <c r="H1093" s="4" t="s">
        <v>117</v>
      </c>
      <c r="I1093" s="4" t="s">
        <v>1580</v>
      </c>
      <c r="J1093" s="4" t="s">
        <v>2260</v>
      </c>
      <c r="K1093" s="4" t="s">
        <v>24</v>
      </c>
    </row>
    <row r="1094" spans="1:11" x14ac:dyDescent="0.2">
      <c r="A1094" s="4" t="s">
        <v>2319</v>
      </c>
      <c r="B1094" s="4" t="s">
        <v>2320</v>
      </c>
      <c r="C1094" s="4" t="s">
        <v>13</v>
      </c>
      <c r="D1094" s="4" t="s">
        <v>2258</v>
      </c>
      <c r="E1094" s="4" t="s">
        <v>2259</v>
      </c>
      <c r="F1094" s="4" t="s">
        <v>111</v>
      </c>
      <c r="G1094" s="1">
        <v>0</v>
      </c>
      <c r="H1094" s="4" t="s">
        <v>254</v>
      </c>
      <c r="I1094" s="4" t="s">
        <v>1580</v>
      </c>
      <c r="J1094" s="4" t="s">
        <v>2260</v>
      </c>
      <c r="K1094" s="4" t="s">
        <v>24</v>
      </c>
    </row>
    <row r="1095" spans="1:11" x14ac:dyDescent="0.2">
      <c r="A1095" s="4" t="s">
        <v>2321</v>
      </c>
      <c r="B1095" s="4" t="s">
        <v>2322</v>
      </c>
      <c r="C1095" s="4" t="s">
        <v>13</v>
      </c>
      <c r="D1095" s="4" t="s">
        <v>2258</v>
      </c>
      <c r="E1095" s="4" t="s">
        <v>2259</v>
      </c>
      <c r="F1095" s="4" t="s">
        <v>111</v>
      </c>
      <c r="G1095" s="1">
        <v>0.1</v>
      </c>
      <c r="H1095" s="4" t="s">
        <v>117</v>
      </c>
      <c r="I1095" s="4" t="s">
        <v>1580</v>
      </c>
      <c r="J1095" s="4" t="s">
        <v>2260</v>
      </c>
      <c r="K1095" s="4" t="s">
        <v>24</v>
      </c>
    </row>
    <row r="1096" spans="1:11" x14ac:dyDescent="0.2">
      <c r="A1096" s="4" t="s">
        <v>2323</v>
      </c>
      <c r="B1096" s="4" t="s">
        <v>2324</v>
      </c>
      <c r="C1096" s="4" t="s">
        <v>13</v>
      </c>
      <c r="D1096" s="4" t="s">
        <v>2258</v>
      </c>
      <c r="E1096" s="4" t="s">
        <v>2259</v>
      </c>
      <c r="F1096" s="4" t="s">
        <v>111</v>
      </c>
      <c r="G1096" s="1">
        <v>6.7000000000000004E-2</v>
      </c>
      <c r="H1096" s="4" t="s">
        <v>166</v>
      </c>
      <c r="I1096" s="4" t="s">
        <v>1580</v>
      </c>
      <c r="J1096" s="4" t="s">
        <v>2260</v>
      </c>
      <c r="K1096" s="4" t="s">
        <v>24</v>
      </c>
    </row>
    <row r="1097" spans="1:11" x14ac:dyDescent="0.2">
      <c r="A1097" s="4" t="s">
        <v>2325</v>
      </c>
      <c r="B1097" s="4" t="s">
        <v>2326</v>
      </c>
      <c r="C1097" s="4" t="s">
        <v>13</v>
      </c>
      <c r="D1097" s="4" t="s">
        <v>2258</v>
      </c>
      <c r="E1097" s="4" t="s">
        <v>2259</v>
      </c>
      <c r="F1097" s="4" t="s">
        <v>111</v>
      </c>
      <c r="G1097" s="1">
        <v>0.1</v>
      </c>
      <c r="H1097" s="4" t="s">
        <v>117</v>
      </c>
      <c r="I1097" s="4" t="s">
        <v>1580</v>
      </c>
      <c r="J1097" s="4" t="s">
        <v>2260</v>
      </c>
      <c r="K1097" s="4" t="s">
        <v>24</v>
      </c>
    </row>
    <row r="1098" spans="1:11" x14ac:dyDescent="0.2">
      <c r="A1098" s="4" t="s">
        <v>2327</v>
      </c>
      <c r="B1098" s="4" t="s">
        <v>2328</v>
      </c>
      <c r="C1098" s="4" t="s">
        <v>13</v>
      </c>
      <c r="D1098" s="4" t="s">
        <v>2258</v>
      </c>
      <c r="E1098" s="4" t="s">
        <v>2259</v>
      </c>
      <c r="F1098" s="4" t="s">
        <v>111</v>
      </c>
      <c r="G1098" s="1">
        <v>6.7000000000000004E-2</v>
      </c>
      <c r="H1098" s="4" t="s">
        <v>166</v>
      </c>
      <c r="I1098" s="4" t="s">
        <v>1580</v>
      </c>
      <c r="J1098" s="4" t="s">
        <v>2260</v>
      </c>
      <c r="K1098" s="4" t="s">
        <v>24</v>
      </c>
    </row>
    <row r="1099" spans="1:11" x14ac:dyDescent="0.2">
      <c r="A1099" s="4" t="s">
        <v>2329</v>
      </c>
      <c r="B1099" s="4" t="s">
        <v>2330</v>
      </c>
      <c r="C1099" s="4" t="s">
        <v>13</v>
      </c>
      <c r="D1099" s="4" t="s">
        <v>2258</v>
      </c>
      <c r="E1099" s="4" t="s">
        <v>2259</v>
      </c>
      <c r="F1099" s="4" t="s">
        <v>111</v>
      </c>
      <c r="G1099" s="1">
        <v>3.3000000000000002E-2</v>
      </c>
      <c r="H1099" s="4" t="s">
        <v>225</v>
      </c>
      <c r="I1099" s="4" t="s">
        <v>1580</v>
      </c>
      <c r="J1099" s="4" t="s">
        <v>2260</v>
      </c>
      <c r="K1099" s="4" t="s">
        <v>24</v>
      </c>
    </row>
    <row r="1100" spans="1:11" x14ac:dyDescent="0.2">
      <c r="A1100" s="4" t="s">
        <v>2331</v>
      </c>
      <c r="B1100" s="4" t="s">
        <v>2332</v>
      </c>
      <c r="C1100" s="4" t="s">
        <v>13</v>
      </c>
      <c r="D1100" s="4" t="s">
        <v>2258</v>
      </c>
      <c r="E1100" s="4" t="s">
        <v>2259</v>
      </c>
      <c r="F1100" s="4" t="s">
        <v>111</v>
      </c>
      <c r="G1100" s="1">
        <v>0.1</v>
      </c>
      <c r="H1100" s="4" t="s">
        <v>117</v>
      </c>
      <c r="I1100" s="4" t="s">
        <v>1580</v>
      </c>
      <c r="J1100" s="4" t="s">
        <v>2260</v>
      </c>
      <c r="K1100" s="4" t="s">
        <v>24</v>
      </c>
    </row>
    <row r="1101" spans="1:11" x14ac:dyDescent="0.2">
      <c r="A1101" s="4" t="s">
        <v>2333</v>
      </c>
      <c r="B1101" s="4" t="s">
        <v>2334</v>
      </c>
      <c r="C1101" s="4" t="s">
        <v>13</v>
      </c>
      <c r="D1101" s="4" t="s">
        <v>2258</v>
      </c>
      <c r="E1101" s="4" t="s">
        <v>2259</v>
      </c>
      <c r="F1101" s="4" t="s">
        <v>111</v>
      </c>
      <c r="G1101" s="1">
        <v>6.7000000000000004E-2</v>
      </c>
      <c r="H1101" s="4" t="s">
        <v>166</v>
      </c>
      <c r="I1101" s="4" t="s">
        <v>1580</v>
      </c>
      <c r="J1101" s="4" t="s">
        <v>2260</v>
      </c>
      <c r="K1101" s="4" t="s">
        <v>24</v>
      </c>
    </row>
    <row r="1102" spans="1:11" x14ac:dyDescent="0.2">
      <c r="A1102" s="4" t="s">
        <v>2335</v>
      </c>
      <c r="B1102" s="4" t="s">
        <v>2336</v>
      </c>
      <c r="C1102" s="4" t="s">
        <v>13</v>
      </c>
      <c r="D1102" s="4" t="s">
        <v>2258</v>
      </c>
      <c r="E1102" s="4" t="s">
        <v>2259</v>
      </c>
      <c r="F1102" s="4" t="s">
        <v>111</v>
      </c>
      <c r="G1102" s="1">
        <v>6.7000000000000004E-2</v>
      </c>
      <c r="H1102" s="4" t="s">
        <v>166</v>
      </c>
      <c r="I1102" s="4" t="s">
        <v>1580</v>
      </c>
      <c r="J1102" s="4" t="s">
        <v>2260</v>
      </c>
      <c r="K1102" s="4" t="s">
        <v>24</v>
      </c>
    </row>
    <row r="1103" spans="1:11" x14ac:dyDescent="0.2">
      <c r="A1103" s="4" t="s">
        <v>2337</v>
      </c>
      <c r="B1103" s="4" t="s">
        <v>2338</v>
      </c>
      <c r="C1103" s="4" t="s">
        <v>13</v>
      </c>
      <c r="D1103" s="4" t="s">
        <v>2258</v>
      </c>
      <c r="E1103" s="4" t="s">
        <v>2259</v>
      </c>
      <c r="F1103" s="4" t="s">
        <v>111</v>
      </c>
      <c r="G1103" s="1">
        <v>0</v>
      </c>
      <c r="H1103" s="4" t="s">
        <v>254</v>
      </c>
      <c r="I1103" s="4" t="s">
        <v>1580</v>
      </c>
      <c r="J1103" s="4" t="s">
        <v>2260</v>
      </c>
      <c r="K1103" s="4" t="s">
        <v>24</v>
      </c>
    </row>
    <row r="1104" spans="1:11" x14ac:dyDescent="0.2">
      <c r="A1104" s="4" t="s">
        <v>2339</v>
      </c>
      <c r="B1104" s="4" t="s">
        <v>2340</v>
      </c>
      <c r="C1104" s="4" t="s">
        <v>13</v>
      </c>
      <c r="D1104" s="4" t="s">
        <v>2258</v>
      </c>
      <c r="E1104" s="4" t="s">
        <v>2259</v>
      </c>
      <c r="F1104" s="4" t="s">
        <v>111</v>
      </c>
      <c r="G1104" s="1">
        <v>6.7000000000000004E-2</v>
      </c>
      <c r="H1104" s="4" t="s">
        <v>166</v>
      </c>
      <c r="I1104" s="4" t="s">
        <v>1580</v>
      </c>
      <c r="J1104" s="4" t="s">
        <v>2260</v>
      </c>
      <c r="K1104" s="4" t="s">
        <v>24</v>
      </c>
    </row>
    <row r="1105" spans="1:11" x14ac:dyDescent="0.2">
      <c r="A1105" s="4" t="s">
        <v>2341</v>
      </c>
      <c r="B1105" s="4" t="s">
        <v>2342</v>
      </c>
      <c r="C1105" s="4" t="s">
        <v>13</v>
      </c>
      <c r="D1105" s="4" t="s">
        <v>2258</v>
      </c>
      <c r="E1105" s="4" t="s">
        <v>2259</v>
      </c>
      <c r="F1105" s="4" t="s">
        <v>111</v>
      </c>
      <c r="G1105" s="1">
        <v>0.1</v>
      </c>
      <c r="H1105" s="4" t="s">
        <v>117</v>
      </c>
      <c r="I1105" s="4" t="s">
        <v>1580</v>
      </c>
      <c r="J1105" s="4" t="s">
        <v>2260</v>
      </c>
      <c r="K1105" s="4" t="s">
        <v>1999</v>
      </c>
    </row>
    <row r="1106" spans="1:11" x14ac:dyDescent="0.2">
      <c r="A1106" s="4" t="s">
        <v>2343</v>
      </c>
      <c r="B1106" s="4" t="s">
        <v>2344</v>
      </c>
      <c r="C1106" s="4" t="s">
        <v>13</v>
      </c>
      <c r="D1106" s="4" t="s">
        <v>2258</v>
      </c>
      <c r="E1106" s="4" t="s">
        <v>2259</v>
      </c>
      <c r="F1106" s="4" t="s">
        <v>111</v>
      </c>
      <c r="G1106" s="1">
        <v>0.1</v>
      </c>
      <c r="H1106" s="4" t="s">
        <v>117</v>
      </c>
      <c r="I1106" s="4" t="s">
        <v>1580</v>
      </c>
      <c r="J1106" s="4" t="s">
        <v>2260</v>
      </c>
      <c r="K1106" s="4" t="s">
        <v>1986</v>
      </c>
    </row>
    <row r="1107" spans="1:11" x14ac:dyDescent="0.2">
      <c r="A1107" s="4" t="s">
        <v>2345</v>
      </c>
      <c r="B1107" s="4" t="s">
        <v>2346</v>
      </c>
      <c r="C1107" s="4" t="s">
        <v>13</v>
      </c>
      <c r="D1107" s="4" t="s">
        <v>2258</v>
      </c>
      <c r="E1107" s="4" t="s">
        <v>2259</v>
      </c>
      <c r="F1107" s="4" t="s">
        <v>111</v>
      </c>
      <c r="G1107" s="1">
        <v>0.1</v>
      </c>
      <c r="H1107" s="4" t="s">
        <v>117</v>
      </c>
      <c r="I1107" s="4" t="s">
        <v>1580</v>
      </c>
      <c r="J1107" s="4" t="s">
        <v>2260</v>
      </c>
      <c r="K1107" s="4" t="s">
        <v>1585</v>
      </c>
    </row>
    <row r="1108" spans="1:11" x14ac:dyDescent="0.2">
      <c r="A1108" s="4" t="s">
        <v>2347</v>
      </c>
      <c r="B1108" s="4" t="s">
        <v>2348</v>
      </c>
      <c r="C1108" s="4" t="s">
        <v>13</v>
      </c>
      <c r="D1108" s="4" t="s">
        <v>2349</v>
      </c>
      <c r="E1108" s="4" t="s">
        <v>2350</v>
      </c>
      <c r="F1108" s="4" t="s">
        <v>335</v>
      </c>
      <c r="G1108" s="1">
        <v>0.16700000000000001</v>
      </c>
      <c r="H1108" s="4" t="s">
        <v>229</v>
      </c>
      <c r="I1108" s="4" t="s">
        <v>1580</v>
      </c>
      <c r="J1108" s="4" t="s">
        <v>2351</v>
      </c>
      <c r="K1108" s="4" t="s">
        <v>1582</v>
      </c>
    </row>
    <row r="1109" spans="1:11" x14ac:dyDescent="0.2">
      <c r="A1109" s="4" t="s">
        <v>2352</v>
      </c>
      <c r="B1109" s="4" t="s">
        <v>2353</v>
      </c>
      <c r="C1109" s="4" t="s">
        <v>13</v>
      </c>
      <c r="D1109" s="4" t="s">
        <v>2349</v>
      </c>
      <c r="E1109" s="4" t="s">
        <v>2350</v>
      </c>
      <c r="F1109" s="4" t="s">
        <v>335</v>
      </c>
      <c r="G1109" s="1">
        <v>0.1</v>
      </c>
      <c r="H1109" s="4" t="s">
        <v>380</v>
      </c>
      <c r="I1109" s="4" t="s">
        <v>1580</v>
      </c>
      <c r="J1109" s="4" t="s">
        <v>2351</v>
      </c>
      <c r="K1109" s="4" t="s">
        <v>1864</v>
      </c>
    </row>
    <row r="1110" spans="1:11" x14ac:dyDescent="0.2">
      <c r="A1110" s="4" t="s">
        <v>2354</v>
      </c>
      <c r="B1110" s="4" t="s">
        <v>2355</v>
      </c>
      <c r="C1110" s="4" t="s">
        <v>13</v>
      </c>
      <c r="D1110" s="4" t="s">
        <v>2349</v>
      </c>
      <c r="E1110" s="4" t="s">
        <v>2350</v>
      </c>
      <c r="F1110" s="4" t="s">
        <v>335</v>
      </c>
      <c r="G1110" s="1">
        <v>7.0999999999999994E-2</v>
      </c>
      <c r="H1110" s="4" t="s">
        <v>2356</v>
      </c>
      <c r="I1110" s="4" t="s">
        <v>1580</v>
      </c>
      <c r="J1110" s="4" t="s">
        <v>2351</v>
      </c>
      <c r="K1110" s="4" t="s">
        <v>1715</v>
      </c>
    </row>
    <row r="1111" spans="1:11" x14ac:dyDescent="0.2">
      <c r="A1111" s="4" t="s">
        <v>2357</v>
      </c>
      <c r="B1111" s="4" t="s">
        <v>2358</v>
      </c>
      <c r="C1111" s="4" t="s">
        <v>13</v>
      </c>
      <c r="D1111" s="4" t="s">
        <v>2349</v>
      </c>
      <c r="E1111" s="4" t="s">
        <v>2350</v>
      </c>
      <c r="F1111" s="4" t="s">
        <v>335</v>
      </c>
      <c r="G1111" s="1">
        <v>0.16700000000000001</v>
      </c>
      <c r="H1111" s="4" t="s">
        <v>229</v>
      </c>
      <c r="I1111" s="4" t="s">
        <v>1580</v>
      </c>
      <c r="J1111" s="4" t="s">
        <v>2351</v>
      </c>
      <c r="K1111" s="4" t="s">
        <v>1989</v>
      </c>
    </row>
    <row r="1112" spans="1:11" x14ac:dyDescent="0.2">
      <c r="A1112" s="4" t="s">
        <v>2359</v>
      </c>
      <c r="B1112" s="4" t="s">
        <v>2360</v>
      </c>
      <c r="C1112" s="4" t="s">
        <v>13</v>
      </c>
      <c r="D1112" s="4" t="s">
        <v>2349</v>
      </c>
      <c r="E1112" s="4" t="s">
        <v>2350</v>
      </c>
      <c r="F1112" s="4" t="s">
        <v>335</v>
      </c>
      <c r="G1112" s="1">
        <v>6.7000000000000004E-2</v>
      </c>
      <c r="H1112" s="4" t="s">
        <v>166</v>
      </c>
      <c r="I1112" s="4" t="s">
        <v>1580</v>
      </c>
      <c r="J1112" s="4" t="s">
        <v>2351</v>
      </c>
      <c r="K1112" s="4" t="s">
        <v>24</v>
      </c>
    </row>
    <row r="1113" spans="1:11" x14ac:dyDescent="0.2">
      <c r="A1113" s="4" t="s">
        <v>2361</v>
      </c>
      <c r="B1113" s="4" t="s">
        <v>2362</v>
      </c>
      <c r="C1113" s="4" t="s">
        <v>13</v>
      </c>
      <c r="D1113" s="4" t="s">
        <v>2349</v>
      </c>
      <c r="E1113" s="4" t="s">
        <v>2350</v>
      </c>
      <c r="F1113" s="4" t="s">
        <v>335</v>
      </c>
      <c r="G1113" s="1">
        <v>0.1</v>
      </c>
      <c r="H1113" s="4" t="s">
        <v>117</v>
      </c>
      <c r="I1113" s="4" t="s">
        <v>1580</v>
      </c>
      <c r="J1113" s="4" t="s">
        <v>2351</v>
      </c>
      <c r="K1113" s="4" t="s">
        <v>24</v>
      </c>
    </row>
    <row r="1114" spans="1:11" x14ac:dyDescent="0.2">
      <c r="A1114" s="4" t="s">
        <v>2363</v>
      </c>
      <c r="B1114" s="4" t="s">
        <v>2364</v>
      </c>
      <c r="C1114" s="4" t="s">
        <v>13</v>
      </c>
      <c r="D1114" s="4" t="s">
        <v>2349</v>
      </c>
      <c r="E1114" s="4" t="s">
        <v>2350</v>
      </c>
      <c r="F1114" s="4" t="s">
        <v>335</v>
      </c>
      <c r="G1114" s="1">
        <v>0.1</v>
      </c>
      <c r="H1114" s="4" t="s">
        <v>117</v>
      </c>
      <c r="I1114" s="4" t="s">
        <v>1580</v>
      </c>
      <c r="J1114" s="4" t="s">
        <v>2351</v>
      </c>
      <c r="K1114" s="4" t="s">
        <v>24</v>
      </c>
    </row>
    <row r="1115" spans="1:11" x14ac:dyDescent="0.2">
      <c r="A1115" s="4" t="s">
        <v>2365</v>
      </c>
      <c r="B1115" s="4" t="s">
        <v>2366</v>
      </c>
      <c r="C1115" s="4" t="s">
        <v>13</v>
      </c>
      <c r="D1115" s="4" t="s">
        <v>2349</v>
      </c>
      <c r="E1115" s="4" t="s">
        <v>2350</v>
      </c>
      <c r="F1115" s="4" t="s">
        <v>335</v>
      </c>
      <c r="G1115" s="1">
        <v>0</v>
      </c>
      <c r="H1115" s="4" t="s">
        <v>254</v>
      </c>
      <c r="I1115" s="4" t="s">
        <v>1580</v>
      </c>
      <c r="J1115" s="4" t="s">
        <v>2351</v>
      </c>
      <c r="K1115" s="4" t="s">
        <v>24</v>
      </c>
    </row>
    <row r="1116" spans="1:11" x14ac:dyDescent="0.2">
      <c r="A1116" s="4" t="s">
        <v>2367</v>
      </c>
      <c r="B1116" s="4" t="s">
        <v>2368</v>
      </c>
      <c r="C1116" s="4" t="s">
        <v>13</v>
      </c>
      <c r="D1116" s="4" t="s">
        <v>2349</v>
      </c>
      <c r="E1116" s="4" t="s">
        <v>2350</v>
      </c>
      <c r="F1116" s="4" t="s">
        <v>335</v>
      </c>
      <c r="G1116" s="1">
        <v>0</v>
      </c>
      <c r="H1116" s="4" t="s">
        <v>254</v>
      </c>
      <c r="I1116" s="4" t="s">
        <v>1580</v>
      </c>
      <c r="J1116" s="4" t="s">
        <v>2351</v>
      </c>
      <c r="K1116" s="4" t="s">
        <v>24</v>
      </c>
    </row>
    <row r="1117" spans="1:11" x14ac:dyDescent="0.2">
      <c r="A1117" s="4" t="s">
        <v>2369</v>
      </c>
      <c r="B1117" s="4" t="s">
        <v>2370</v>
      </c>
      <c r="C1117" s="4" t="s">
        <v>13</v>
      </c>
      <c r="D1117" s="4" t="s">
        <v>2349</v>
      </c>
      <c r="E1117" s="4" t="s">
        <v>2350</v>
      </c>
      <c r="F1117" s="4" t="s">
        <v>335</v>
      </c>
      <c r="G1117" s="1">
        <v>0.1</v>
      </c>
      <c r="H1117" s="4" t="s">
        <v>117</v>
      </c>
      <c r="I1117" s="4" t="s">
        <v>1580</v>
      </c>
      <c r="J1117" s="4" t="s">
        <v>2351</v>
      </c>
      <c r="K1117" s="4" t="s">
        <v>24</v>
      </c>
    </row>
    <row r="1118" spans="1:11" x14ac:dyDescent="0.2">
      <c r="A1118" s="4" t="s">
        <v>2371</v>
      </c>
      <c r="B1118" s="4" t="s">
        <v>2372</v>
      </c>
      <c r="C1118" s="4" t="s">
        <v>13</v>
      </c>
      <c r="D1118" s="4" t="s">
        <v>2349</v>
      </c>
      <c r="E1118" s="4" t="s">
        <v>2350</v>
      </c>
      <c r="F1118" s="4" t="s">
        <v>335</v>
      </c>
      <c r="G1118" s="1">
        <v>0.13300000000000001</v>
      </c>
      <c r="H1118" s="4" t="s">
        <v>112</v>
      </c>
      <c r="I1118" s="4" t="s">
        <v>1580</v>
      </c>
      <c r="J1118" s="4" t="s">
        <v>2351</v>
      </c>
      <c r="K1118" s="4" t="s">
        <v>24</v>
      </c>
    </row>
    <row r="1119" spans="1:11" x14ac:dyDescent="0.2">
      <c r="A1119" s="4" t="s">
        <v>2373</v>
      </c>
      <c r="B1119" s="4" t="s">
        <v>2374</v>
      </c>
      <c r="C1119" s="4" t="s">
        <v>13</v>
      </c>
      <c r="D1119" s="4" t="s">
        <v>2349</v>
      </c>
      <c r="E1119" s="4" t="s">
        <v>2350</v>
      </c>
      <c r="F1119" s="4" t="s">
        <v>335</v>
      </c>
      <c r="G1119" s="1">
        <v>3.3000000000000002E-2</v>
      </c>
      <c r="H1119" s="4" t="s">
        <v>225</v>
      </c>
      <c r="I1119" s="4" t="s">
        <v>1580</v>
      </c>
      <c r="J1119" s="4" t="s">
        <v>2351</v>
      </c>
      <c r="K1119" s="4" t="s">
        <v>24</v>
      </c>
    </row>
    <row r="1120" spans="1:11" x14ac:dyDescent="0.2">
      <c r="A1120" s="4" t="s">
        <v>2375</v>
      </c>
      <c r="B1120" s="4" t="s">
        <v>2376</v>
      </c>
      <c r="C1120" s="4" t="s">
        <v>13</v>
      </c>
      <c r="D1120" s="4" t="s">
        <v>2349</v>
      </c>
      <c r="E1120" s="4" t="s">
        <v>2350</v>
      </c>
      <c r="F1120" s="4" t="s">
        <v>335</v>
      </c>
      <c r="G1120" s="1">
        <v>0.16700000000000001</v>
      </c>
      <c r="H1120" s="4" t="s">
        <v>229</v>
      </c>
      <c r="I1120" s="4" t="s">
        <v>1580</v>
      </c>
      <c r="J1120" s="4" t="s">
        <v>2351</v>
      </c>
      <c r="K1120" s="4" t="s">
        <v>24</v>
      </c>
    </row>
    <row r="1121" spans="1:11" x14ac:dyDescent="0.2">
      <c r="A1121" s="4" t="s">
        <v>2377</v>
      </c>
      <c r="B1121" s="4" t="s">
        <v>2378</v>
      </c>
      <c r="C1121" s="4" t="s">
        <v>13</v>
      </c>
      <c r="D1121" s="4" t="s">
        <v>2349</v>
      </c>
      <c r="E1121" s="4" t="s">
        <v>2350</v>
      </c>
      <c r="F1121" s="4" t="s">
        <v>335</v>
      </c>
      <c r="G1121" s="1">
        <v>0</v>
      </c>
      <c r="H1121" s="4" t="s">
        <v>254</v>
      </c>
      <c r="I1121" s="4" t="s">
        <v>1580</v>
      </c>
      <c r="J1121" s="4" t="s">
        <v>2351</v>
      </c>
      <c r="K1121" s="4" t="s">
        <v>24</v>
      </c>
    </row>
    <row r="1122" spans="1:11" x14ac:dyDescent="0.2">
      <c r="A1122" s="4" t="s">
        <v>2379</v>
      </c>
      <c r="B1122" s="4" t="s">
        <v>2380</v>
      </c>
      <c r="C1122" s="4" t="s">
        <v>13</v>
      </c>
      <c r="D1122" s="4" t="s">
        <v>2349</v>
      </c>
      <c r="E1122" s="4" t="s">
        <v>2350</v>
      </c>
      <c r="F1122" s="4" t="s">
        <v>335</v>
      </c>
      <c r="G1122" s="1">
        <v>0.16700000000000001</v>
      </c>
      <c r="H1122" s="4" t="s">
        <v>229</v>
      </c>
      <c r="I1122" s="4" t="s">
        <v>1580</v>
      </c>
      <c r="J1122" s="4" t="s">
        <v>2351</v>
      </c>
      <c r="K1122" s="4" t="s">
        <v>24</v>
      </c>
    </row>
    <row r="1123" spans="1:11" x14ac:dyDescent="0.2">
      <c r="A1123" s="4" t="s">
        <v>2381</v>
      </c>
      <c r="B1123" s="4" t="s">
        <v>2382</v>
      </c>
      <c r="C1123" s="4" t="s">
        <v>13</v>
      </c>
      <c r="D1123" s="4" t="s">
        <v>2349</v>
      </c>
      <c r="E1123" s="4" t="s">
        <v>2350</v>
      </c>
      <c r="F1123" s="4" t="s">
        <v>335</v>
      </c>
      <c r="G1123" s="1">
        <v>0.13300000000000001</v>
      </c>
      <c r="H1123" s="4" t="s">
        <v>112</v>
      </c>
      <c r="I1123" s="4" t="s">
        <v>1580</v>
      </c>
      <c r="J1123" s="4" t="s">
        <v>2351</v>
      </c>
      <c r="K1123" s="4" t="s">
        <v>24</v>
      </c>
    </row>
    <row r="1124" spans="1:11" x14ac:dyDescent="0.2">
      <c r="A1124" s="4" t="s">
        <v>2383</v>
      </c>
      <c r="B1124" s="4" t="s">
        <v>2384</v>
      </c>
      <c r="C1124" s="4" t="s">
        <v>13</v>
      </c>
      <c r="D1124" s="4" t="s">
        <v>2349</v>
      </c>
      <c r="E1124" s="4" t="s">
        <v>2350</v>
      </c>
      <c r="F1124" s="4" t="s">
        <v>335</v>
      </c>
      <c r="G1124" s="1">
        <v>0</v>
      </c>
      <c r="H1124" s="4" t="s">
        <v>254</v>
      </c>
      <c r="I1124" s="4" t="s">
        <v>1580</v>
      </c>
      <c r="J1124" s="4" t="s">
        <v>2351</v>
      </c>
      <c r="K1124" s="4" t="s">
        <v>24</v>
      </c>
    </row>
    <row r="1125" spans="1:11" x14ac:dyDescent="0.2">
      <c r="A1125" s="4" t="s">
        <v>2385</v>
      </c>
      <c r="B1125" s="4" t="s">
        <v>2386</v>
      </c>
      <c r="C1125" s="4" t="s">
        <v>13</v>
      </c>
      <c r="D1125" s="4" t="s">
        <v>2349</v>
      </c>
      <c r="E1125" s="4" t="s">
        <v>2350</v>
      </c>
      <c r="F1125" s="4" t="s">
        <v>335</v>
      </c>
      <c r="G1125" s="1">
        <v>0</v>
      </c>
      <c r="H1125" s="4" t="s">
        <v>254</v>
      </c>
      <c r="I1125" s="4" t="s">
        <v>1580</v>
      </c>
      <c r="J1125" s="4" t="s">
        <v>2351</v>
      </c>
      <c r="K1125" s="4" t="s">
        <v>24</v>
      </c>
    </row>
    <row r="1126" spans="1:11" x14ac:dyDescent="0.2">
      <c r="A1126" s="4" t="s">
        <v>2387</v>
      </c>
      <c r="B1126" s="4" t="s">
        <v>2388</v>
      </c>
      <c r="C1126" s="4" t="s">
        <v>13</v>
      </c>
      <c r="D1126" s="4" t="s">
        <v>2349</v>
      </c>
      <c r="E1126" s="4" t="s">
        <v>2350</v>
      </c>
      <c r="F1126" s="4" t="s">
        <v>335</v>
      </c>
      <c r="G1126" s="1">
        <v>0.13300000000000001</v>
      </c>
      <c r="H1126" s="4" t="s">
        <v>112</v>
      </c>
      <c r="I1126" s="4" t="s">
        <v>1580</v>
      </c>
      <c r="J1126" s="4" t="s">
        <v>2351</v>
      </c>
      <c r="K1126" s="4" t="s">
        <v>24</v>
      </c>
    </row>
    <row r="1127" spans="1:11" x14ac:dyDescent="0.2">
      <c r="A1127" s="4" t="s">
        <v>2389</v>
      </c>
      <c r="B1127" s="4" t="s">
        <v>2390</v>
      </c>
      <c r="C1127" s="4" t="s">
        <v>13</v>
      </c>
      <c r="D1127" s="4" t="s">
        <v>2349</v>
      </c>
      <c r="E1127" s="4" t="s">
        <v>2350</v>
      </c>
      <c r="F1127" s="4" t="s">
        <v>335</v>
      </c>
      <c r="G1127" s="1">
        <v>0.16700000000000001</v>
      </c>
      <c r="H1127" s="4" t="s">
        <v>229</v>
      </c>
      <c r="I1127" s="4" t="s">
        <v>1580</v>
      </c>
      <c r="J1127" s="4" t="s">
        <v>2351</v>
      </c>
      <c r="K1127" s="4" t="s">
        <v>24</v>
      </c>
    </row>
    <row r="1128" spans="1:11" x14ac:dyDescent="0.2">
      <c r="A1128" s="4" t="s">
        <v>2391</v>
      </c>
      <c r="B1128" s="4" t="s">
        <v>2392</v>
      </c>
      <c r="C1128" s="4" t="s">
        <v>13</v>
      </c>
      <c r="D1128" s="4" t="s">
        <v>2349</v>
      </c>
      <c r="E1128" s="4" t="s">
        <v>2350</v>
      </c>
      <c r="F1128" s="4" t="s">
        <v>335</v>
      </c>
      <c r="G1128" s="1">
        <v>0.16700000000000001</v>
      </c>
      <c r="H1128" s="4" t="s">
        <v>229</v>
      </c>
      <c r="I1128" s="4" t="s">
        <v>1580</v>
      </c>
      <c r="J1128" s="4" t="s">
        <v>2351</v>
      </c>
      <c r="K1128" s="4" t="s">
        <v>24</v>
      </c>
    </row>
    <row r="1129" spans="1:11" x14ac:dyDescent="0.2">
      <c r="A1129" s="4" t="s">
        <v>2393</v>
      </c>
      <c r="B1129" s="4" t="s">
        <v>2394</v>
      </c>
      <c r="C1129" s="4" t="s">
        <v>13</v>
      </c>
      <c r="D1129" s="4" t="s">
        <v>2349</v>
      </c>
      <c r="E1129" s="4" t="s">
        <v>2350</v>
      </c>
      <c r="F1129" s="4" t="s">
        <v>335</v>
      </c>
      <c r="G1129" s="1">
        <v>3.3000000000000002E-2</v>
      </c>
      <c r="H1129" s="4" t="s">
        <v>225</v>
      </c>
      <c r="I1129" s="4" t="s">
        <v>1580</v>
      </c>
      <c r="J1129" s="4" t="s">
        <v>2351</v>
      </c>
      <c r="K1129" s="4" t="s">
        <v>24</v>
      </c>
    </row>
    <row r="1130" spans="1:11" x14ac:dyDescent="0.2">
      <c r="A1130" s="4" t="s">
        <v>2395</v>
      </c>
      <c r="B1130" s="4" t="s">
        <v>2396</v>
      </c>
      <c r="C1130" s="4" t="s">
        <v>13</v>
      </c>
      <c r="D1130" s="4" t="s">
        <v>2349</v>
      </c>
      <c r="E1130" s="4" t="s">
        <v>2350</v>
      </c>
      <c r="F1130" s="4" t="s">
        <v>335</v>
      </c>
      <c r="G1130" s="1">
        <v>0.13300000000000001</v>
      </c>
      <c r="H1130" s="4" t="s">
        <v>112</v>
      </c>
      <c r="I1130" s="4" t="s">
        <v>1580</v>
      </c>
      <c r="J1130" s="4" t="s">
        <v>2351</v>
      </c>
      <c r="K1130" s="4" t="s">
        <v>24</v>
      </c>
    </row>
    <row r="1131" spans="1:11" x14ac:dyDescent="0.2">
      <c r="A1131" s="4" t="s">
        <v>2397</v>
      </c>
      <c r="B1131" s="4" t="s">
        <v>2398</v>
      </c>
      <c r="C1131" s="4" t="s">
        <v>13</v>
      </c>
      <c r="D1131" s="4" t="s">
        <v>2349</v>
      </c>
      <c r="E1131" s="4" t="s">
        <v>2350</v>
      </c>
      <c r="F1131" s="4" t="s">
        <v>335</v>
      </c>
      <c r="G1131" s="1">
        <v>0.16700000000000001</v>
      </c>
      <c r="H1131" s="4" t="s">
        <v>229</v>
      </c>
      <c r="I1131" s="4" t="s">
        <v>1580</v>
      </c>
      <c r="J1131" s="4" t="s">
        <v>2351</v>
      </c>
      <c r="K1131" s="4" t="s">
        <v>24</v>
      </c>
    </row>
    <row r="1132" spans="1:11" x14ac:dyDescent="0.2">
      <c r="A1132" s="4" t="s">
        <v>2399</v>
      </c>
      <c r="B1132" s="4" t="s">
        <v>2400</v>
      </c>
      <c r="C1132" s="4" t="s">
        <v>13</v>
      </c>
      <c r="D1132" s="4" t="s">
        <v>2349</v>
      </c>
      <c r="E1132" s="4" t="s">
        <v>2350</v>
      </c>
      <c r="F1132" s="4" t="s">
        <v>335</v>
      </c>
      <c r="G1132" s="1">
        <v>0.16700000000000001</v>
      </c>
      <c r="H1132" s="4" t="s">
        <v>229</v>
      </c>
      <c r="I1132" s="4" t="s">
        <v>1580</v>
      </c>
      <c r="J1132" s="4" t="s">
        <v>2351</v>
      </c>
      <c r="K1132" s="4" t="s">
        <v>24</v>
      </c>
    </row>
    <row r="1133" spans="1:11" x14ac:dyDescent="0.2">
      <c r="A1133" s="4" t="s">
        <v>2401</v>
      </c>
      <c r="B1133" s="4" t="s">
        <v>2402</v>
      </c>
      <c r="C1133" s="4" t="s">
        <v>13</v>
      </c>
      <c r="D1133" s="4" t="s">
        <v>2349</v>
      </c>
      <c r="E1133" s="4" t="s">
        <v>2350</v>
      </c>
      <c r="F1133" s="4" t="s">
        <v>335</v>
      </c>
      <c r="G1133" s="1">
        <v>0.13300000000000001</v>
      </c>
      <c r="H1133" s="4" t="s">
        <v>112</v>
      </c>
      <c r="I1133" s="4" t="s">
        <v>1580</v>
      </c>
      <c r="J1133" s="4" t="s">
        <v>2351</v>
      </c>
      <c r="K1133" s="4" t="s">
        <v>24</v>
      </c>
    </row>
    <row r="1134" spans="1:11" x14ac:dyDescent="0.2">
      <c r="A1134" s="4" t="s">
        <v>2403</v>
      </c>
      <c r="B1134" s="4" t="s">
        <v>2404</v>
      </c>
      <c r="C1134" s="4" t="s">
        <v>13</v>
      </c>
      <c r="D1134" s="4" t="s">
        <v>2349</v>
      </c>
      <c r="E1134" s="4" t="s">
        <v>2350</v>
      </c>
      <c r="F1134" s="4" t="s">
        <v>335</v>
      </c>
      <c r="G1134" s="1">
        <v>6.7000000000000004E-2</v>
      </c>
      <c r="H1134" s="4" t="s">
        <v>166</v>
      </c>
      <c r="I1134" s="4" t="s">
        <v>1580</v>
      </c>
      <c r="J1134" s="4" t="s">
        <v>2351</v>
      </c>
      <c r="K1134" s="4" t="s">
        <v>1868</v>
      </c>
    </row>
    <row r="1135" spans="1:11" x14ac:dyDescent="0.2">
      <c r="A1135" s="4" t="s">
        <v>2405</v>
      </c>
      <c r="B1135" s="4" t="s">
        <v>2406</v>
      </c>
      <c r="C1135" s="4" t="s">
        <v>13</v>
      </c>
      <c r="D1135" s="4" t="s">
        <v>2349</v>
      </c>
      <c r="E1135" s="4" t="s">
        <v>2350</v>
      </c>
      <c r="F1135" s="4" t="s">
        <v>335</v>
      </c>
      <c r="G1135" s="1">
        <v>0.13300000000000001</v>
      </c>
      <c r="H1135" s="4" t="s">
        <v>112</v>
      </c>
      <c r="I1135" s="4" t="s">
        <v>1580</v>
      </c>
      <c r="J1135" s="4" t="s">
        <v>2351</v>
      </c>
      <c r="K1135" s="4" t="s">
        <v>24</v>
      </c>
    </row>
    <row r="1136" spans="1:11" x14ac:dyDescent="0.2">
      <c r="A1136" s="4" t="s">
        <v>2407</v>
      </c>
      <c r="B1136" s="4" t="s">
        <v>2408</v>
      </c>
      <c r="C1136" s="4" t="s">
        <v>13</v>
      </c>
      <c r="D1136" s="4" t="s">
        <v>2349</v>
      </c>
      <c r="E1136" s="4" t="s">
        <v>2350</v>
      </c>
      <c r="F1136" s="4" t="s">
        <v>335</v>
      </c>
      <c r="G1136" s="1">
        <v>0.16700000000000001</v>
      </c>
      <c r="H1136" s="4" t="s">
        <v>229</v>
      </c>
      <c r="I1136" s="4" t="s">
        <v>1580</v>
      </c>
      <c r="J1136" s="4" t="s">
        <v>2351</v>
      </c>
      <c r="K1136" s="4" t="s">
        <v>24</v>
      </c>
    </row>
    <row r="1137" spans="1:11" x14ac:dyDescent="0.2">
      <c r="A1137" s="4" t="s">
        <v>2409</v>
      </c>
      <c r="B1137" s="4" t="s">
        <v>2410</v>
      </c>
      <c r="C1137" s="4" t="s">
        <v>13</v>
      </c>
      <c r="D1137" s="4" t="s">
        <v>2349</v>
      </c>
      <c r="E1137" s="4" t="s">
        <v>2350</v>
      </c>
      <c r="F1137" s="4" t="s">
        <v>335</v>
      </c>
      <c r="G1137" s="1">
        <v>6.7000000000000004E-2</v>
      </c>
      <c r="H1137" s="4" t="s">
        <v>166</v>
      </c>
      <c r="I1137" s="4" t="s">
        <v>1580</v>
      </c>
      <c r="J1137" s="4" t="s">
        <v>2351</v>
      </c>
      <c r="K1137" s="4" t="s">
        <v>24</v>
      </c>
    </row>
    <row r="1138" spans="1:11" x14ac:dyDescent="0.2">
      <c r="A1138" s="4" t="s">
        <v>2411</v>
      </c>
      <c r="B1138" s="4" t="s">
        <v>2412</v>
      </c>
      <c r="C1138" s="4" t="s">
        <v>13</v>
      </c>
      <c r="D1138" s="4" t="s">
        <v>2349</v>
      </c>
      <c r="E1138" s="4" t="s">
        <v>2350</v>
      </c>
      <c r="F1138" s="4" t="s">
        <v>335</v>
      </c>
      <c r="G1138" s="1">
        <v>0</v>
      </c>
      <c r="H1138" s="4" t="s">
        <v>254</v>
      </c>
      <c r="I1138" s="4" t="s">
        <v>1580</v>
      </c>
      <c r="J1138" s="4" t="s">
        <v>2351</v>
      </c>
      <c r="K1138" s="4" t="s">
        <v>24</v>
      </c>
    </row>
    <row r="1139" spans="1:11" x14ac:dyDescent="0.2">
      <c r="A1139" s="4" t="s">
        <v>2413</v>
      </c>
      <c r="B1139" s="4" t="s">
        <v>2414</v>
      </c>
      <c r="C1139" s="4" t="s">
        <v>13</v>
      </c>
      <c r="D1139" s="4" t="s">
        <v>2349</v>
      </c>
      <c r="E1139" s="4" t="s">
        <v>2350</v>
      </c>
      <c r="F1139" s="4" t="s">
        <v>335</v>
      </c>
      <c r="G1139" s="1">
        <v>0.16700000000000001</v>
      </c>
      <c r="H1139" s="4" t="s">
        <v>229</v>
      </c>
      <c r="I1139" s="4" t="s">
        <v>1580</v>
      </c>
      <c r="J1139" s="4" t="s">
        <v>2351</v>
      </c>
      <c r="K1139" s="4" t="s">
        <v>1868</v>
      </c>
    </row>
    <row r="1140" spans="1:11" x14ac:dyDescent="0.2">
      <c r="A1140" s="4" t="s">
        <v>2415</v>
      </c>
      <c r="B1140" s="4" t="s">
        <v>2416</v>
      </c>
      <c r="C1140" s="4" t="s">
        <v>13</v>
      </c>
      <c r="D1140" s="4" t="s">
        <v>2349</v>
      </c>
      <c r="E1140" s="4" t="s">
        <v>2350</v>
      </c>
      <c r="F1140" s="4" t="s">
        <v>335</v>
      </c>
      <c r="G1140" s="1">
        <v>0.13300000000000001</v>
      </c>
      <c r="H1140" s="4" t="s">
        <v>112</v>
      </c>
      <c r="I1140" s="4" t="s">
        <v>1580</v>
      </c>
      <c r="J1140" s="4" t="s">
        <v>2351</v>
      </c>
      <c r="K1140" s="4" t="s">
        <v>1868</v>
      </c>
    </row>
    <row r="1141" spans="1:11" x14ac:dyDescent="0.2">
      <c r="A1141" s="4" t="s">
        <v>2417</v>
      </c>
      <c r="B1141" s="4" t="s">
        <v>2418</v>
      </c>
      <c r="C1141" s="4" t="s">
        <v>13</v>
      </c>
      <c r="D1141" s="4" t="s">
        <v>2349</v>
      </c>
      <c r="E1141" s="4" t="s">
        <v>2350</v>
      </c>
      <c r="F1141" s="4" t="s">
        <v>335</v>
      </c>
      <c r="G1141" s="1">
        <v>0.13300000000000001</v>
      </c>
      <c r="H1141" s="4" t="s">
        <v>112</v>
      </c>
      <c r="I1141" s="4" t="s">
        <v>1580</v>
      </c>
      <c r="J1141" s="4" t="s">
        <v>2351</v>
      </c>
      <c r="K1141" s="4" t="s">
        <v>1868</v>
      </c>
    </row>
    <row r="1142" spans="1:11" x14ac:dyDescent="0.2">
      <c r="A1142" s="4" t="s">
        <v>2419</v>
      </c>
      <c r="B1142" s="4" t="s">
        <v>2420</v>
      </c>
      <c r="C1142" s="4" t="s">
        <v>13</v>
      </c>
      <c r="D1142" s="4" t="s">
        <v>2349</v>
      </c>
      <c r="E1142" s="4" t="s">
        <v>2350</v>
      </c>
      <c r="F1142" s="4" t="s">
        <v>335</v>
      </c>
      <c r="G1142" s="1">
        <v>0.16700000000000001</v>
      </c>
      <c r="H1142" s="4" t="s">
        <v>229</v>
      </c>
      <c r="I1142" s="4" t="s">
        <v>1580</v>
      </c>
      <c r="J1142" s="4" t="s">
        <v>2351</v>
      </c>
      <c r="K1142" s="4" t="s">
        <v>1868</v>
      </c>
    </row>
    <row r="1143" spans="1:11" x14ac:dyDescent="0.2">
      <c r="A1143" s="4" t="s">
        <v>2421</v>
      </c>
      <c r="B1143" s="4" t="s">
        <v>2422</v>
      </c>
      <c r="C1143" s="4" t="s">
        <v>13</v>
      </c>
      <c r="D1143" s="4" t="s">
        <v>2349</v>
      </c>
      <c r="E1143" s="4" t="s">
        <v>2350</v>
      </c>
      <c r="F1143" s="4" t="s">
        <v>335</v>
      </c>
      <c r="G1143" s="1">
        <v>6.7000000000000004E-2</v>
      </c>
      <c r="H1143" s="4" t="s">
        <v>166</v>
      </c>
      <c r="I1143" s="4" t="s">
        <v>1580</v>
      </c>
      <c r="J1143" s="4" t="s">
        <v>2351</v>
      </c>
      <c r="K1143" s="4" t="s">
        <v>1868</v>
      </c>
    </row>
    <row r="1144" spans="1:11" x14ac:dyDescent="0.2">
      <c r="A1144" s="4" t="s">
        <v>2423</v>
      </c>
      <c r="B1144" s="4" t="s">
        <v>2424</v>
      </c>
      <c r="C1144" s="4" t="s">
        <v>13</v>
      </c>
      <c r="D1144" s="4" t="s">
        <v>2349</v>
      </c>
      <c r="E1144" s="4" t="s">
        <v>2350</v>
      </c>
      <c r="F1144" s="4" t="s">
        <v>335</v>
      </c>
      <c r="G1144" s="1">
        <v>0.13300000000000001</v>
      </c>
      <c r="H1144" s="4" t="s">
        <v>112</v>
      </c>
      <c r="I1144" s="4" t="s">
        <v>1580</v>
      </c>
      <c r="J1144" s="4" t="s">
        <v>2351</v>
      </c>
      <c r="K1144" s="4" t="s">
        <v>1868</v>
      </c>
    </row>
    <row r="1145" spans="1:11" x14ac:dyDescent="0.2">
      <c r="A1145" s="4" t="s">
        <v>2425</v>
      </c>
      <c r="B1145" s="4" t="s">
        <v>2426</v>
      </c>
      <c r="C1145" s="4" t="s">
        <v>13</v>
      </c>
      <c r="D1145" s="4" t="s">
        <v>2349</v>
      </c>
      <c r="E1145" s="4" t="s">
        <v>2350</v>
      </c>
      <c r="F1145" s="4" t="s">
        <v>335</v>
      </c>
      <c r="G1145" s="1">
        <v>0.16700000000000001</v>
      </c>
      <c r="H1145" s="4" t="s">
        <v>229</v>
      </c>
      <c r="I1145" s="4" t="s">
        <v>1580</v>
      </c>
      <c r="J1145" s="4" t="s">
        <v>2351</v>
      </c>
      <c r="K1145" s="4" t="s">
        <v>1999</v>
      </c>
    </row>
    <row r="1146" spans="1:11" x14ac:dyDescent="0.2">
      <c r="A1146" s="4" t="s">
        <v>2427</v>
      </c>
      <c r="B1146" s="4" t="s">
        <v>2428</v>
      </c>
      <c r="C1146" s="4" t="s">
        <v>13</v>
      </c>
      <c r="D1146" s="4" t="s">
        <v>2349</v>
      </c>
      <c r="E1146" s="4" t="s">
        <v>2350</v>
      </c>
      <c r="F1146" s="4" t="s">
        <v>335</v>
      </c>
      <c r="G1146" s="1">
        <v>0.16700000000000001</v>
      </c>
      <c r="H1146" s="4" t="s">
        <v>229</v>
      </c>
      <c r="I1146" s="4" t="s">
        <v>1580</v>
      </c>
      <c r="J1146" s="4" t="s">
        <v>2351</v>
      </c>
      <c r="K1146" s="4" t="s">
        <v>1999</v>
      </c>
    </row>
    <row r="1147" spans="1:11" x14ac:dyDescent="0.2">
      <c r="A1147" s="4" t="s">
        <v>2429</v>
      </c>
      <c r="B1147" s="4" t="s">
        <v>2430</v>
      </c>
      <c r="C1147" s="4" t="s">
        <v>13</v>
      </c>
      <c r="D1147" s="4" t="s">
        <v>2349</v>
      </c>
      <c r="E1147" s="4" t="s">
        <v>2350</v>
      </c>
      <c r="F1147" s="4" t="s">
        <v>335</v>
      </c>
      <c r="G1147" s="1">
        <v>0.1</v>
      </c>
      <c r="H1147" s="4" t="s">
        <v>380</v>
      </c>
      <c r="I1147" s="4" t="s">
        <v>1580</v>
      </c>
      <c r="J1147" s="4" t="s">
        <v>2351</v>
      </c>
      <c r="K1147" s="4" t="s">
        <v>1788</v>
      </c>
    </row>
    <row r="1148" spans="1:11" x14ac:dyDescent="0.2">
      <c r="A1148" s="4" t="s">
        <v>2431</v>
      </c>
      <c r="B1148" s="4" t="s">
        <v>2432</v>
      </c>
      <c r="C1148" s="4" t="s">
        <v>13</v>
      </c>
      <c r="D1148" s="4" t="s">
        <v>2349</v>
      </c>
      <c r="E1148" s="4" t="s">
        <v>2350</v>
      </c>
      <c r="F1148" s="4" t="s">
        <v>335</v>
      </c>
      <c r="G1148" s="1">
        <v>0.16700000000000001</v>
      </c>
      <c r="H1148" s="4" t="s">
        <v>229</v>
      </c>
      <c r="I1148" s="4" t="s">
        <v>1580</v>
      </c>
      <c r="J1148" s="4" t="s">
        <v>2351</v>
      </c>
      <c r="K1148" s="4" t="s">
        <v>1788</v>
      </c>
    </row>
    <row r="1149" spans="1:11" x14ac:dyDescent="0.2">
      <c r="A1149" s="4" t="s">
        <v>2433</v>
      </c>
      <c r="B1149" s="4" t="s">
        <v>2434</v>
      </c>
      <c r="C1149" s="4" t="s">
        <v>13</v>
      </c>
      <c r="D1149" s="4" t="s">
        <v>2349</v>
      </c>
      <c r="E1149" s="4" t="s">
        <v>2350</v>
      </c>
      <c r="F1149" s="4" t="s">
        <v>335</v>
      </c>
      <c r="G1149" s="1">
        <v>0.1</v>
      </c>
      <c r="H1149" s="4" t="s">
        <v>117</v>
      </c>
      <c r="I1149" s="4" t="s">
        <v>1580</v>
      </c>
      <c r="J1149" s="4" t="s">
        <v>2351</v>
      </c>
      <c r="K1149" s="4" t="s">
        <v>1788</v>
      </c>
    </row>
    <row r="1150" spans="1:11" x14ac:dyDescent="0.2">
      <c r="A1150" s="4" t="s">
        <v>2435</v>
      </c>
      <c r="B1150" s="4" t="s">
        <v>2436</v>
      </c>
      <c r="C1150" s="4" t="s">
        <v>13</v>
      </c>
      <c r="D1150" s="4" t="s">
        <v>2349</v>
      </c>
      <c r="E1150" s="4" t="s">
        <v>2350</v>
      </c>
      <c r="F1150" s="4" t="s">
        <v>335</v>
      </c>
      <c r="G1150" s="1">
        <v>0.13300000000000001</v>
      </c>
      <c r="H1150" s="4" t="s">
        <v>112</v>
      </c>
      <c r="I1150" s="4" t="s">
        <v>1580</v>
      </c>
      <c r="J1150" s="4" t="s">
        <v>2351</v>
      </c>
      <c r="K1150" s="4" t="s">
        <v>1989</v>
      </c>
    </row>
    <row r="1151" spans="1:11" x14ac:dyDescent="0.2">
      <c r="A1151" s="4" t="s">
        <v>2437</v>
      </c>
      <c r="B1151" s="4" t="s">
        <v>2438</v>
      </c>
      <c r="C1151" s="4" t="s">
        <v>13</v>
      </c>
      <c r="D1151" s="4" t="s">
        <v>2349</v>
      </c>
      <c r="E1151" s="4" t="s">
        <v>2350</v>
      </c>
      <c r="F1151" s="4" t="s">
        <v>335</v>
      </c>
      <c r="G1151" s="1">
        <v>0.13300000000000001</v>
      </c>
      <c r="H1151" s="4" t="s">
        <v>112</v>
      </c>
      <c r="I1151" s="4" t="s">
        <v>1580</v>
      </c>
      <c r="J1151" s="4" t="s">
        <v>2351</v>
      </c>
      <c r="K1151" s="4" t="s">
        <v>1585</v>
      </c>
    </row>
    <row r="1152" spans="1:11" x14ac:dyDescent="0.2">
      <c r="A1152" s="4" t="s">
        <v>2439</v>
      </c>
      <c r="B1152" s="4" t="s">
        <v>2440</v>
      </c>
      <c r="C1152" s="4" t="s">
        <v>13</v>
      </c>
      <c r="D1152" s="4" t="s">
        <v>2349</v>
      </c>
      <c r="E1152" s="4" t="s">
        <v>2350</v>
      </c>
      <c r="F1152" s="4" t="s">
        <v>335</v>
      </c>
      <c r="G1152" s="1">
        <v>0.1</v>
      </c>
      <c r="H1152" s="4" t="s">
        <v>117</v>
      </c>
      <c r="I1152" s="4" t="s">
        <v>1580</v>
      </c>
      <c r="J1152" s="4" t="s">
        <v>2351</v>
      </c>
      <c r="K1152" s="4" t="s">
        <v>1999</v>
      </c>
    </row>
    <row r="1153" spans="1:11" x14ac:dyDescent="0.2">
      <c r="A1153" s="4" t="s">
        <v>2441</v>
      </c>
      <c r="B1153" s="4" t="s">
        <v>2442</v>
      </c>
      <c r="C1153" s="4" t="s">
        <v>13</v>
      </c>
      <c r="D1153" s="4" t="s">
        <v>2349</v>
      </c>
      <c r="E1153" s="4" t="s">
        <v>2350</v>
      </c>
      <c r="F1153" s="4" t="s">
        <v>335</v>
      </c>
      <c r="G1153" s="1">
        <v>0.13300000000000001</v>
      </c>
      <c r="H1153" s="4" t="s">
        <v>112</v>
      </c>
      <c r="I1153" s="4" t="s">
        <v>1580</v>
      </c>
      <c r="J1153" s="4" t="s">
        <v>2351</v>
      </c>
      <c r="K1153" s="4" t="s">
        <v>1590</v>
      </c>
    </row>
    <row r="1154" spans="1:11" x14ac:dyDescent="0.2">
      <c r="A1154" s="4" t="s">
        <v>2443</v>
      </c>
      <c r="B1154" s="4" t="s">
        <v>2444</v>
      </c>
      <c r="C1154" s="4" t="s">
        <v>13</v>
      </c>
      <c r="D1154" s="4" t="s">
        <v>2349</v>
      </c>
      <c r="E1154" s="4" t="s">
        <v>2350</v>
      </c>
      <c r="F1154" s="4" t="s">
        <v>335</v>
      </c>
      <c r="G1154" s="1">
        <v>0.16700000000000001</v>
      </c>
      <c r="H1154" s="4" t="s">
        <v>229</v>
      </c>
      <c r="I1154" s="4" t="s">
        <v>1580</v>
      </c>
      <c r="J1154" s="4" t="s">
        <v>2351</v>
      </c>
      <c r="K1154" s="4" t="s">
        <v>1590</v>
      </c>
    </row>
    <row r="1155" spans="1:11" x14ac:dyDescent="0.2">
      <c r="A1155" s="4" t="s">
        <v>2445</v>
      </c>
      <c r="B1155" s="4" t="s">
        <v>2446</v>
      </c>
      <c r="C1155" s="4" t="s">
        <v>13</v>
      </c>
      <c r="D1155" s="4" t="s">
        <v>2349</v>
      </c>
      <c r="E1155" s="4" t="s">
        <v>2350</v>
      </c>
      <c r="F1155" s="4" t="s">
        <v>335</v>
      </c>
      <c r="G1155" s="1">
        <v>0.16700000000000001</v>
      </c>
      <c r="H1155" s="4" t="s">
        <v>229</v>
      </c>
      <c r="I1155" s="4" t="s">
        <v>1580</v>
      </c>
      <c r="J1155" s="4" t="s">
        <v>2351</v>
      </c>
      <c r="K1155" s="4" t="s">
        <v>1710</v>
      </c>
    </row>
    <row r="1156" spans="1:11" x14ac:dyDescent="0.2">
      <c r="A1156" s="4" t="s">
        <v>346</v>
      </c>
      <c r="B1156" s="4" t="s">
        <v>347</v>
      </c>
      <c r="C1156" s="4" t="s">
        <v>13</v>
      </c>
      <c r="D1156" s="4" t="s">
        <v>2349</v>
      </c>
      <c r="E1156" s="4" t="s">
        <v>2350</v>
      </c>
      <c r="F1156" s="4" t="s">
        <v>335</v>
      </c>
      <c r="G1156" s="1">
        <v>0.1</v>
      </c>
      <c r="H1156" s="4" t="s">
        <v>117</v>
      </c>
      <c r="I1156" s="4" t="s">
        <v>1580</v>
      </c>
      <c r="J1156" s="4" t="s">
        <v>2351</v>
      </c>
      <c r="K1156" s="4" t="s">
        <v>24</v>
      </c>
    </row>
    <row r="1157" spans="1:11" x14ac:dyDescent="0.2">
      <c r="A1157" s="4" t="s">
        <v>443</v>
      </c>
      <c r="B1157" s="4" t="s">
        <v>444</v>
      </c>
      <c r="C1157" s="4" t="s">
        <v>13</v>
      </c>
      <c r="D1157" s="4" t="s">
        <v>2349</v>
      </c>
      <c r="E1157" s="4" t="s">
        <v>2350</v>
      </c>
      <c r="F1157" s="4" t="s">
        <v>335</v>
      </c>
      <c r="G1157" s="1">
        <v>0</v>
      </c>
      <c r="H1157" s="4" t="s">
        <v>254</v>
      </c>
      <c r="I1157" s="4" t="s">
        <v>1580</v>
      </c>
      <c r="J1157" s="4" t="s">
        <v>2351</v>
      </c>
      <c r="K1157" s="4" t="s">
        <v>24</v>
      </c>
    </row>
    <row r="1158" spans="1:11" x14ac:dyDescent="0.2">
      <c r="A1158" s="4" t="s">
        <v>2447</v>
      </c>
      <c r="B1158" s="4" t="s">
        <v>2448</v>
      </c>
      <c r="C1158" s="4" t="s">
        <v>13</v>
      </c>
      <c r="D1158" s="4" t="s">
        <v>2449</v>
      </c>
      <c r="E1158" s="4" t="s">
        <v>2450</v>
      </c>
      <c r="F1158" s="4" t="s">
        <v>335</v>
      </c>
      <c r="G1158" s="1">
        <v>0.1</v>
      </c>
      <c r="H1158" s="4" t="s">
        <v>867</v>
      </c>
      <c r="I1158" s="4" t="s">
        <v>1580</v>
      </c>
      <c r="J1158" s="4" t="s">
        <v>2451</v>
      </c>
      <c r="K1158" s="4" t="s">
        <v>2452</v>
      </c>
    </row>
    <row r="1159" spans="1:11" x14ac:dyDescent="0.2">
      <c r="A1159" s="4" t="s">
        <v>2453</v>
      </c>
      <c r="B1159" s="4" t="s">
        <v>2454</v>
      </c>
      <c r="C1159" s="4" t="s">
        <v>49</v>
      </c>
      <c r="D1159" s="4" t="s">
        <v>2449</v>
      </c>
      <c r="E1159" s="4" t="s">
        <v>2450</v>
      </c>
      <c r="F1159" s="4" t="s">
        <v>335</v>
      </c>
      <c r="G1159" s="1">
        <v>2.5000000000000001E-2</v>
      </c>
      <c r="H1159" s="4" t="s">
        <v>921</v>
      </c>
      <c r="I1159" s="4" t="s">
        <v>1580</v>
      </c>
      <c r="J1159" s="4" t="s">
        <v>2451</v>
      </c>
      <c r="K1159" s="4" t="s">
        <v>2455</v>
      </c>
    </row>
    <row r="1160" spans="1:11" x14ac:dyDescent="0.2">
      <c r="A1160" s="4" t="s">
        <v>2456</v>
      </c>
      <c r="B1160" s="4" t="s">
        <v>2457</v>
      </c>
      <c r="C1160" s="4" t="s">
        <v>13</v>
      </c>
      <c r="D1160" s="4" t="s">
        <v>2449</v>
      </c>
      <c r="E1160" s="4" t="s">
        <v>2450</v>
      </c>
      <c r="F1160" s="4" t="s">
        <v>335</v>
      </c>
      <c r="G1160" s="1">
        <v>0.1</v>
      </c>
      <c r="H1160" s="4" t="s">
        <v>867</v>
      </c>
      <c r="I1160" s="4" t="s">
        <v>1580</v>
      </c>
      <c r="J1160" s="4" t="s">
        <v>2451</v>
      </c>
      <c r="K1160" s="4" t="s">
        <v>1967</v>
      </c>
    </row>
    <row r="1161" spans="1:11" x14ac:dyDescent="0.2">
      <c r="A1161" s="4" t="s">
        <v>2458</v>
      </c>
      <c r="B1161" s="4" t="s">
        <v>2459</v>
      </c>
      <c r="C1161" s="4" t="s">
        <v>49</v>
      </c>
      <c r="D1161" s="4" t="s">
        <v>2449</v>
      </c>
      <c r="E1161" s="4" t="s">
        <v>2450</v>
      </c>
      <c r="F1161" s="4" t="s">
        <v>335</v>
      </c>
      <c r="G1161" s="1">
        <v>2.5000000000000001E-2</v>
      </c>
      <c r="H1161" s="4" t="s">
        <v>921</v>
      </c>
      <c r="I1161" s="4" t="s">
        <v>1580</v>
      </c>
      <c r="J1161" s="4" t="s">
        <v>2451</v>
      </c>
      <c r="K1161" s="4" t="s">
        <v>24</v>
      </c>
    </row>
    <row r="1162" spans="1:11" x14ac:dyDescent="0.2">
      <c r="A1162" s="4" t="s">
        <v>2460</v>
      </c>
      <c r="B1162" s="4" t="s">
        <v>2461</v>
      </c>
      <c r="C1162" s="4" t="s">
        <v>13</v>
      </c>
      <c r="D1162" s="4" t="s">
        <v>2449</v>
      </c>
      <c r="E1162" s="4" t="s">
        <v>2450</v>
      </c>
      <c r="F1162" s="4" t="s">
        <v>335</v>
      </c>
      <c r="G1162" s="1">
        <v>0.1</v>
      </c>
      <c r="H1162" s="4" t="s">
        <v>867</v>
      </c>
      <c r="I1162" s="4" t="s">
        <v>1580</v>
      </c>
      <c r="J1162" s="4" t="s">
        <v>2451</v>
      </c>
      <c r="K1162" s="4" t="s">
        <v>24</v>
      </c>
    </row>
    <row r="1163" spans="1:11" x14ac:dyDescent="0.2">
      <c r="A1163" s="4" t="s">
        <v>2462</v>
      </c>
      <c r="B1163" s="4" t="s">
        <v>2463</v>
      </c>
      <c r="C1163" s="4" t="s">
        <v>13</v>
      </c>
      <c r="D1163" s="4" t="s">
        <v>2449</v>
      </c>
      <c r="E1163" s="4" t="s">
        <v>2450</v>
      </c>
      <c r="F1163" s="4" t="s">
        <v>335</v>
      </c>
      <c r="G1163" s="1">
        <v>0.1</v>
      </c>
      <c r="H1163" s="4" t="s">
        <v>867</v>
      </c>
      <c r="I1163" s="4" t="s">
        <v>1580</v>
      </c>
      <c r="J1163" s="4" t="s">
        <v>2451</v>
      </c>
      <c r="K1163" s="4" t="s">
        <v>24</v>
      </c>
    </row>
    <row r="1164" spans="1:11" x14ac:dyDescent="0.2">
      <c r="A1164" s="4" t="s">
        <v>2464</v>
      </c>
      <c r="B1164" s="4" t="s">
        <v>2465</v>
      </c>
      <c r="C1164" s="4" t="s">
        <v>13</v>
      </c>
      <c r="D1164" s="4" t="s">
        <v>2449</v>
      </c>
      <c r="E1164" s="4" t="s">
        <v>2450</v>
      </c>
      <c r="F1164" s="4" t="s">
        <v>335</v>
      </c>
      <c r="G1164" s="1">
        <v>0.1</v>
      </c>
      <c r="H1164" s="4" t="s">
        <v>867</v>
      </c>
      <c r="I1164" s="4" t="s">
        <v>1580</v>
      </c>
      <c r="J1164" s="4" t="s">
        <v>2451</v>
      </c>
      <c r="K1164" s="4" t="s">
        <v>24</v>
      </c>
    </row>
    <row r="1165" spans="1:11" x14ac:dyDescent="0.2">
      <c r="A1165" s="4" t="s">
        <v>2466</v>
      </c>
      <c r="B1165" s="4" t="s">
        <v>2467</v>
      </c>
      <c r="C1165" s="4" t="s">
        <v>13</v>
      </c>
      <c r="D1165" s="4" t="s">
        <v>2449</v>
      </c>
      <c r="E1165" s="4" t="s">
        <v>2450</v>
      </c>
      <c r="F1165" s="4" t="s">
        <v>335</v>
      </c>
      <c r="G1165" s="1">
        <v>0.1</v>
      </c>
      <c r="H1165" s="4" t="s">
        <v>867</v>
      </c>
      <c r="I1165" s="4" t="s">
        <v>1580</v>
      </c>
      <c r="J1165" s="4" t="s">
        <v>2451</v>
      </c>
      <c r="K1165" s="4" t="s">
        <v>24</v>
      </c>
    </row>
    <row r="1166" spans="1:11" x14ac:dyDescent="0.2">
      <c r="A1166" s="4" t="s">
        <v>2468</v>
      </c>
      <c r="B1166" s="4" t="s">
        <v>2469</v>
      </c>
      <c r="C1166" s="4" t="s">
        <v>13</v>
      </c>
      <c r="D1166" s="4" t="s">
        <v>2449</v>
      </c>
      <c r="E1166" s="4" t="s">
        <v>2450</v>
      </c>
      <c r="F1166" s="4" t="s">
        <v>335</v>
      </c>
      <c r="G1166" s="1">
        <v>0.1</v>
      </c>
      <c r="H1166" s="4" t="s">
        <v>867</v>
      </c>
      <c r="I1166" s="4" t="s">
        <v>1580</v>
      </c>
      <c r="J1166" s="4" t="s">
        <v>2451</v>
      </c>
      <c r="K1166" s="4" t="s">
        <v>24</v>
      </c>
    </row>
    <row r="1167" spans="1:11" x14ac:dyDescent="0.2">
      <c r="A1167" s="4" t="s">
        <v>2470</v>
      </c>
      <c r="B1167" s="4" t="s">
        <v>2471</v>
      </c>
      <c r="C1167" s="4" t="s">
        <v>13</v>
      </c>
      <c r="D1167" s="4" t="s">
        <v>2449</v>
      </c>
      <c r="E1167" s="4" t="s">
        <v>2450</v>
      </c>
      <c r="F1167" s="4" t="s">
        <v>335</v>
      </c>
      <c r="G1167" s="1">
        <v>0.1</v>
      </c>
      <c r="H1167" s="4" t="s">
        <v>867</v>
      </c>
      <c r="I1167" s="4" t="s">
        <v>1580</v>
      </c>
      <c r="J1167" s="4" t="s">
        <v>2451</v>
      </c>
      <c r="K1167" s="4" t="s">
        <v>24</v>
      </c>
    </row>
    <row r="1168" spans="1:11" x14ac:dyDescent="0.2">
      <c r="A1168" s="4" t="s">
        <v>2472</v>
      </c>
      <c r="B1168" s="4" t="s">
        <v>2473</v>
      </c>
      <c r="C1168" s="4" t="s">
        <v>13</v>
      </c>
      <c r="D1168" s="4" t="s">
        <v>2449</v>
      </c>
      <c r="E1168" s="4" t="s">
        <v>2450</v>
      </c>
      <c r="F1168" s="4" t="s">
        <v>335</v>
      </c>
      <c r="G1168" s="1">
        <v>2.5000000000000001E-2</v>
      </c>
      <c r="H1168" s="4" t="s">
        <v>921</v>
      </c>
      <c r="I1168" s="4" t="s">
        <v>1580</v>
      </c>
      <c r="J1168" s="4" t="s">
        <v>2451</v>
      </c>
      <c r="K1168" s="4" t="s">
        <v>24</v>
      </c>
    </row>
    <row r="1169" spans="1:11" x14ac:dyDescent="0.2">
      <c r="A1169" s="4" t="s">
        <v>2474</v>
      </c>
      <c r="B1169" s="4" t="s">
        <v>2475</v>
      </c>
      <c r="C1169" s="4" t="s">
        <v>13</v>
      </c>
      <c r="D1169" s="4" t="s">
        <v>2449</v>
      </c>
      <c r="E1169" s="4" t="s">
        <v>2450</v>
      </c>
      <c r="F1169" s="4" t="s">
        <v>335</v>
      </c>
      <c r="G1169" s="1">
        <v>0.1</v>
      </c>
      <c r="H1169" s="4" t="s">
        <v>867</v>
      </c>
      <c r="I1169" s="4" t="s">
        <v>1580</v>
      </c>
      <c r="J1169" s="4" t="s">
        <v>2451</v>
      </c>
      <c r="K1169" s="4" t="s">
        <v>24</v>
      </c>
    </row>
    <row r="1170" spans="1:11" x14ac:dyDescent="0.2">
      <c r="A1170" s="4" t="s">
        <v>2476</v>
      </c>
      <c r="B1170" s="4" t="s">
        <v>2477</v>
      </c>
      <c r="C1170" s="4" t="s">
        <v>13</v>
      </c>
      <c r="D1170" s="4" t="s">
        <v>2449</v>
      </c>
      <c r="E1170" s="4" t="s">
        <v>2450</v>
      </c>
      <c r="F1170" s="4" t="s">
        <v>335</v>
      </c>
      <c r="G1170" s="1">
        <v>7.4999999999999997E-2</v>
      </c>
      <c r="H1170" s="4" t="s">
        <v>881</v>
      </c>
      <c r="I1170" s="4" t="s">
        <v>1580</v>
      </c>
      <c r="J1170" s="4" t="s">
        <v>2451</v>
      </c>
      <c r="K1170" s="4" t="s">
        <v>24</v>
      </c>
    </row>
    <row r="1171" spans="1:11" x14ac:dyDescent="0.2">
      <c r="A1171" s="4" t="s">
        <v>2478</v>
      </c>
      <c r="B1171" s="4" t="s">
        <v>2479</v>
      </c>
      <c r="C1171" s="4" t="s">
        <v>13</v>
      </c>
      <c r="D1171" s="4" t="s">
        <v>2449</v>
      </c>
      <c r="E1171" s="4" t="s">
        <v>2450</v>
      </c>
      <c r="F1171" s="4" t="s">
        <v>335</v>
      </c>
      <c r="G1171" s="1">
        <v>0.1</v>
      </c>
      <c r="H1171" s="4" t="s">
        <v>867</v>
      </c>
      <c r="I1171" s="4" t="s">
        <v>1580</v>
      </c>
      <c r="J1171" s="4" t="s">
        <v>2451</v>
      </c>
      <c r="K1171" s="4" t="s">
        <v>24</v>
      </c>
    </row>
    <row r="1172" spans="1:11" x14ac:dyDescent="0.2">
      <c r="A1172" s="4" t="s">
        <v>2480</v>
      </c>
      <c r="B1172" s="4" t="s">
        <v>2481</v>
      </c>
      <c r="C1172" s="4" t="s">
        <v>13</v>
      </c>
      <c r="D1172" s="4" t="s">
        <v>2449</v>
      </c>
      <c r="E1172" s="4" t="s">
        <v>2450</v>
      </c>
      <c r="F1172" s="4" t="s">
        <v>335</v>
      </c>
      <c r="G1172" s="1">
        <v>0.1</v>
      </c>
      <c r="H1172" s="4" t="s">
        <v>867</v>
      </c>
      <c r="I1172" s="4" t="s">
        <v>1580</v>
      </c>
      <c r="J1172" s="4" t="s">
        <v>2451</v>
      </c>
      <c r="K1172" s="4" t="s">
        <v>24</v>
      </c>
    </row>
    <row r="1173" spans="1:11" x14ac:dyDescent="0.2">
      <c r="A1173" s="4" t="s">
        <v>2482</v>
      </c>
      <c r="B1173" s="4" t="s">
        <v>2483</v>
      </c>
      <c r="C1173" s="4" t="s">
        <v>13</v>
      </c>
      <c r="D1173" s="4" t="s">
        <v>2449</v>
      </c>
      <c r="E1173" s="4" t="s">
        <v>2450</v>
      </c>
      <c r="F1173" s="4" t="s">
        <v>335</v>
      </c>
      <c r="G1173" s="1">
        <v>0.1</v>
      </c>
      <c r="H1173" s="4" t="s">
        <v>867</v>
      </c>
      <c r="I1173" s="4" t="s">
        <v>1580</v>
      </c>
      <c r="J1173" s="4" t="s">
        <v>2451</v>
      </c>
      <c r="K1173" s="4" t="s">
        <v>24</v>
      </c>
    </row>
    <row r="1174" spans="1:11" x14ac:dyDescent="0.2">
      <c r="A1174" s="4" t="s">
        <v>2484</v>
      </c>
      <c r="B1174" s="4" t="s">
        <v>2485</v>
      </c>
      <c r="C1174" s="4" t="s">
        <v>13</v>
      </c>
      <c r="D1174" s="4" t="s">
        <v>2449</v>
      </c>
      <c r="E1174" s="4" t="s">
        <v>2450</v>
      </c>
      <c r="F1174" s="4" t="s">
        <v>335</v>
      </c>
      <c r="G1174" s="1">
        <v>2.5000000000000001E-2</v>
      </c>
      <c r="H1174" s="4" t="s">
        <v>921</v>
      </c>
      <c r="I1174" s="4" t="s">
        <v>1580</v>
      </c>
      <c r="J1174" s="4" t="s">
        <v>2451</v>
      </c>
      <c r="K1174" s="4" t="s">
        <v>24</v>
      </c>
    </row>
    <row r="1175" spans="1:11" x14ac:dyDescent="0.2">
      <c r="A1175" s="4" t="s">
        <v>2486</v>
      </c>
      <c r="B1175" s="4" t="s">
        <v>2487</v>
      </c>
      <c r="C1175" s="4" t="s">
        <v>49</v>
      </c>
      <c r="D1175" s="4" t="s">
        <v>2449</v>
      </c>
      <c r="E1175" s="4" t="s">
        <v>2450</v>
      </c>
      <c r="F1175" s="4" t="s">
        <v>335</v>
      </c>
      <c r="G1175" s="1">
        <v>2.5000000000000001E-2</v>
      </c>
      <c r="H1175" s="4" t="s">
        <v>921</v>
      </c>
      <c r="I1175" s="4" t="s">
        <v>1580</v>
      </c>
      <c r="J1175" s="4" t="s">
        <v>2451</v>
      </c>
      <c r="K1175" s="4" t="s">
        <v>24</v>
      </c>
    </row>
    <row r="1176" spans="1:11" x14ac:dyDescent="0.2">
      <c r="A1176" s="4" t="s">
        <v>2488</v>
      </c>
      <c r="B1176" s="4" t="s">
        <v>2489</v>
      </c>
      <c r="C1176" s="4" t="s">
        <v>13</v>
      </c>
      <c r="D1176" s="4" t="s">
        <v>2449</v>
      </c>
      <c r="E1176" s="4" t="s">
        <v>2450</v>
      </c>
      <c r="F1176" s="4" t="s">
        <v>335</v>
      </c>
      <c r="G1176" s="1">
        <v>0.1</v>
      </c>
      <c r="H1176" s="4" t="s">
        <v>867</v>
      </c>
      <c r="I1176" s="4" t="s">
        <v>1580</v>
      </c>
      <c r="J1176" s="4" t="s">
        <v>2451</v>
      </c>
      <c r="K1176" s="4" t="s">
        <v>24</v>
      </c>
    </row>
    <row r="1177" spans="1:11" x14ac:dyDescent="0.2">
      <c r="A1177" s="4" t="s">
        <v>2490</v>
      </c>
      <c r="B1177" s="4" t="s">
        <v>2491</v>
      </c>
      <c r="C1177" s="4" t="s">
        <v>13</v>
      </c>
      <c r="D1177" s="4" t="s">
        <v>2449</v>
      </c>
      <c r="E1177" s="4" t="s">
        <v>2450</v>
      </c>
      <c r="F1177" s="4" t="s">
        <v>335</v>
      </c>
      <c r="G1177" s="1">
        <v>0.1</v>
      </c>
      <c r="H1177" s="4" t="s">
        <v>867</v>
      </c>
      <c r="I1177" s="4" t="s">
        <v>1580</v>
      </c>
      <c r="J1177" s="4" t="s">
        <v>2451</v>
      </c>
      <c r="K1177" s="4" t="s">
        <v>24</v>
      </c>
    </row>
    <row r="1178" spans="1:11" x14ac:dyDescent="0.2">
      <c r="A1178" s="4" t="s">
        <v>2492</v>
      </c>
      <c r="B1178" s="4" t="s">
        <v>2493</v>
      </c>
      <c r="C1178" s="4" t="s">
        <v>13</v>
      </c>
      <c r="D1178" s="4" t="s">
        <v>2449</v>
      </c>
      <c r="E1178" s="4" t="s">
        <v>2450</v>
      </c>
      <c r="F1178" s="4" t="s">
        <v>335</v>
      </c>
      <c r="G1178" s="1">
        <v>0.1</v>
      </c>
      <c r="H1178" s="4" t="s">
        <v>867</v>
      </c>
      <c r="I1178" s="4" t="s">
        <v>1580</v>
      </c>
      <c r="J1178" s="4" t="s">
        <v>2451</v>
      </c>
      <c r="K1178" s="4" t="s">
        <v>24</v>
      </c>
    </row>
    <row r="1179" spans="1:11" x14ac:dyDescent="0.2">
      <c r="A1179" s="4" t="s">
        <v>2494</v>
      </c>
      <c r="B1179" s="4" t="s">
        <v>2495</v>
      </c>
      <c r="C1179" s="4" t="s">
        <v>13</v>
      </c>
      <c r="D1179" s="4" t="s">
        <v>2449</v>
      </c>
      <c r="E1179" s="4" t="s">
        <v>2450</v>
      </c>
      <c r="F1179" s="4" t="s">
        <v>335</v>
      </c>
      <c r="G1179" s="1">
        <v>0.1</v>
      </c>
      <c r="H1179" s="4" t="s">
        <v>867</v>
      </c>
      <c r="I1179" s="4" t="s">
        <v>1580</v>
      </c>
      <c r="J1179" s="4" t="s">
        <v>2451</v>
      </c>
      <c r="K1179" s="4" t="s">
        <v>24</v>
      </c>
    </row>
    <row r="1180" spans="1:11" x14ac:dyDescent="0.2">
      <c r="A1180" s="4" t="s">
        <v>2496</v>
      </c>
      <c r="B1180" s="4" t="s">
        <v>2497</v>
      </c>
      <c r="C1180" s="4" t="s">
        <v>13</v>
      </c>
      <c r="D1180" s="4" t="s">
        <v>2449</v>
      </c>
      <c r="E1180" s="4" t="s">
        <v>2450</v>
      </c>
      <c r="F1180" s="4" t="s">
        <v>335</v>
      </c>
      <c r="G1180" s="1">
        <v>0.1</v>
      </c>
      <c r="H1180" s="4" t="s">
        <v>867</v>
      </c>
      <c r="I1180" s="4" t="s">
        <v>1580</v>
      </c>
      <c r="J1180" s="4" t="s">
        <v>2451</v>
      </c>
      <c r="K1180" s="4" t="s">
        <v>24</v>
      </c>
    </row>
    <row r="1181" spans="1:11" x14ac:dyDescent="0.2">
      <c r="A1181" s="4" t="s">
        <v>2498</v>
      </c>
      <c r="B1181" s="4" t="s">
        <v>2499</v>
      </c>
      <c r="C1181" s="4" t="s">
        <v>13</v>
      </c>
      <c r="D1181" s="4" t="s">
        <v>2449</v>
      </c>
      <c r="E1181" s="4" t="s">
        <v>2450</v>
      </c>
      <c r="F1181" s="4" t="s">
        <v>335</v>
      </c>
      <c r="G1181" s="1">
        <v>0.1</v>
      </c>
      <c r="H1181" s="4" t="s">
        <v>867</v>
      </c>
      <c r="I1181" s="4" t="s">
        <v>1580</v>
      </c>
      <c r="J1181" s="4" t="s">
        <v>2451</v>
      </c>
      <c r="K1181" s="4" t="s">
        <v>24</v>
      </c>
    </row>
    <row r="1182" spans="1:11" x14ac:dyDescent="0.2">
      <c r="A1182" s="4" t="s">
        <v>2500</v>
      </c>
      <c r="B1182" s="4" t="s">
        <v>2501</v>
      </c>
      <c r="C1182" s="4" t="s">
        <v>13</v>
      </c>
      <c r="D1182" s="4" t="s">
        <v>2449</v>
      </c>
      <c r="E1182" s="4" t="s">
        <v>2450</v>
      </c>
      <c r="F1182" s="4" t="s">
        <v>335</v>
      </c>
      <c r="G1182" s="1">
        <v>0.1</v>
      </c>
      <c r="H1182" s="4" t="s">
        <v>867</v>
      </c>
      <c r="I1182" s="4" t="s">
        <v>1580</v>
      </c>
      <c r="J1182" s="4" t="s">
        <v>2451</v>
      </c>
      <c r="K1182" s="4" t="s">
        <v>24</v>
      </c>
    </row>
    <row r="1183" spans="1:11" x14ac:dyDescent="0.2">
      <c r="A1183" s="4" t="s">
        <v>2502</v>
      </c>
      <c r="B1183" s="4" t="s">
        <v>2503</v>
      </c>
      <c r="C1183" s="4" t="s">
        <v>13</v>
      </c>
      <c r="D1183" s="4" t="s">
        <v>2449</v>
      </c>
      <c r="E1183" s="4" t="s">
        <v>2450</v>
      </c>
      <c r="F1183" s="4" t="s">
        <v>335</v>
      </c>
      <c r="G1183" s="1">
        <v>0.1</v>
      </c>
      <c r="H1183" s="4" t="s">
        <v>867</v>
      </c>
      <c r="I1183" s="4" t="s">
        <v>1580</v>
      </c>
      <c r="J1183" s="4" t="s">
        <v>2451</v>
      </c>
      <c r="K1183" s="4" t="s">
        <v>24</v>
      </c>
    </row>
    <row r="1184" spans="1:11" x14ac:dyDescent="0.2">
      <c r="A1184" s="4" t="s">
        <v>2504</v>
      </c>
      <c r="B1184" s="4" t="s">
        <v>2505</v>
      </c>
      <c r="C1184" s="4" t="s">
        <v>13</v>
      </c>
      <c r="D1184" s="4" t="s">
        <v>2449</v>
      </c>
      <c r="E1184" s="4" t="s">
        <v>2450</v>
      </c>
      <c r="F1184" s="4" t="s">
        <v>335</v>
      </c>
      <c r="G1184" s="1">
        <v>0.1</v>
      </c>
      <c r="H1184" s="4" t="s">
        <v>867</v>
      </c>
      <c r="I1184" s="4" t="s">
        <v>1580</v>
      </c>
      <c r="J1184" s="4" t="s">
        <v>2451</v>
      </c>
      <c r="K1184" s="4" t="s">
        <v>24</v>
      </c>
    </row>
    <row r="1185" spans="1:11" x14ac:dyDescent="0.2">
      <c r="A1185" s="4" t="s">
        <v>2506</v>
      </c>
      <c r="B1185" s="4" t="s">
        <v>2507</v>
      </c>
      <c r="C1185" s="4" t="s">
        <v>13</v>
      </c>
      <c r="D1185" s="4" t="s">
        <v>2449</v>
      </c>
      <c r="E1185" s="4" t="s">
        <v>2450</v>
      </c>
      <c r="F1185" s="4" t="s">
        <v>335</v>
      </c>
      <c r="G1185" s="1">
        <v>0.1</v>
      </c>
      <c r="H1185" s="4" t="s">
        <v>867</v>
      </c>
      <c r="I1185" s="4" t="s">
        <v>1580</v>
      </c>
      <c r="J1185" s="4" t="s">
        <v>2451</v>
      </c>
      <c r="K1185" s="4" t="s">
        <v>24</v>
      </c>
    </row>
    <row r="1186" spans="1:11" x14ac:dyDescent="0.2">
      <c r="A1186" s="4" t="s">
        <v>2508</v>
      </c>
      <c r="B1186" s="4" t="s">
        <v>2509</v>
      </c>
      <c r="C1186" s="4" t="s">
        <v>13</v>
      </c>
      <c r="D1186" s="4" t="s">
        <v>2449</v>
      </c>
      <c r="E1186" s="4" t="s">
        <v>2450</v>
      </c>
      <c r="F1186" s="4" t="s">
        <v>335</v>
      </c>
      <c r="G1186" s="1">
        <v>0.1</v>
      </c>
      <c r="H1186" s="4" t="s">
        <v>867</v>
      </c>
      <c r="I1186" s="4" t="s">
        <v>1580</v>
      </c>
      <c r="J1186" s="4" t="s">
        <v>2451</v>
      </c>
      <c r="K1186" s="4" t="s">
        <v>24</v>
      </c>
    </row>
    <row r="1187" spans="1:11" x14ac:dyDescent="0.2">
      <c r="A1187" s="4" t="s">
        <v>2510</v>
      </c>
      <c r="B1187" s="4" t="s">
        <v>2511</v>
      </c>
      <c r="C1187" s="4" t="s">
        <v>13</v>
      </c>
      <c r="D1187" s="4" t="s">
        <v>2449</v>
      </c>
      <c r="E1187" s="4" t="s">
        <v>2450</v>
      </c>
      <c r="F1187" s="4" t="s">
        <v>335</v>
      </c>
      <c r="G1187" s="1">
        <v>7.4999999999999997E-2</v>
      </c>
      <c r="H1187" s="4" t="s">
        <v>881</v>
      </c>
      <c r="I1187" s="4" t="s">
        <v>1580</v>
      </c>
      <c r="J1187" s="4" t="s">
        <v>2451</v>
      </c>
      <c r="K1187" s="4" t="s">
        <v>1992</v>
      </c>
    </row>
    <row r="1188" spans="1:11" x14ac:dyDescent="0.2">
      <c r="A1188" s="4" t="s">
        <v>2512</v>
      </c>
      <c r="B1188" s="4" t="s">
        <v>2513</v>
      </c>
      <c r="C1188" s="4" t="s">
        <v>13</v>
      </c>
      <c r="D1188" s="4" t="s">
        <v>2449</v>
      </c>
      <c r="E1188" s="4" t="s">
        <v>2450</v>
      </c>
      <c r="F1188" s="4" t="s">
        <v>335</v>
      </c>
      <c r="G1188" s="1">
        <v>0.1</v>
      </c>
      <c r="H1188" s="4" t="s">
        <v>867</v>
      </c>
      <c r="I1188" s="4" t="s">
        <v>1580</v>
      </c>
      <c r="J1188" s="4" t="s">
        <v>2451</v>
      </c>
      <c r="K1188" s="4" t="s">
        <v>1868</v>
      </c>
    </row>
    <row r="1189" spans="1:11" x14ac:dyDescent="0.2">
      <c r="A1189" s="4" t="s">
        <v>2514</v>
      </c>
      <c r="B1189" s="4" t="s">
        <v>2515</v>
      </c>
      <c r="C1189" s="4" t="s">
        <v>13</v>
      </c>
      <c r="D1189" s="4" t="s">
        <v>2449</v>
      </c>
      <c r="E1189" s="4" t="s">
        <v>2450</v>
      </c>
      <c r="F1189" s="4" t="s">
        <v>335</v>
      </c>
      <c r="G1189" s="1">
        <v>2.5000000000000001E-2</v>
      </c>
      <c r="H1189" s="4" t="s">
        <v>921</v>
      </c>
      <c r="I1189" s="4" t="s">
        <v>1580</v>
      </c>
      <c r="J1189" s="4" t="s">
        <v>2451</v>
      </c>
      <c r="K1189" s="4" t="s">
        <v>1999</v>
      </c>
    </row>
    <row r="1190" spans="1:11" x14ac:dyDescent="0.2">
      <c r="A1190" s="4" t="s">
        <v>2516</v>
      </c>
      <c r="B1190" s="4" t="s">
        <v>2517</v>
      </c>
      <c r="C1190" s="4" t="s">
        <v>13</v>
      </c>
      <c r="D1190" s="4" t="s">
        <v>2449</v>
      </c>
      <c r="E1190" s="4" t="s">
        <v>2450</v>
      </c>
      <c r="F1190" s="4" t="s">
        <v>335</v>
      </c>
      <c r="G1190" s="1">
        <v>0.1</v>
      </c>
      <c r="H1190" s="4" t="s">
        <v>867</v>
      </c>
      <c r="I1190" s="4" t="s">
        <v>1580</v>
      </c>
      <c r="J1190" s="4" t="s">
        <v>2451</v>
      </c>
      <c r="K1190" s="4" t="s">
        <v>1655</v>
      </c>
    </row>
    <row r="1191" spans="1:11" x14ac:dyDescent="0.2">
      <c r="A1191" s="4" t="s">
        <v>2518</v>
      </c>
      <c r="B1191" s="4" t="s">
        <v>2519</v>
      </c>
      <c r="C1191" s="4" t="s">
        <v>13</v>
      </c>
      <c r="D1191" s="4" t="s">
        <v>2449</v>
      </c>
      <c r="E1191" s="4" t="s">
        <v>2450</v>
      </c>
      <c r="F1191" s="4" t="s">
        <v>335</v>
      </c>
      <c r="G1191" s="1">
        <v>0.1</v>
      </c>
      <c r="H1191" s="4" t="s">
        <v>867</v>
      </c>
      <c r="I1191" s="4" t="s">
        <v>1580</v>
      </c>
      <c r="J1191" s="4" t="s">
        <v>2451</v>
      </c>
      <c r="K1191" s="4" t="s">
        <v>1590</v>
      </c>
    </row>
    <row r="1192" spans="1:11" x14ac:dyDescent="0.2">
      <c r="A1192" s="4" t="s">
        <v>2520</v>
      </c>
      <c r="B1192" s="4" t="s">
        <v>2521</v>
      </c>
      <c r="C1192" s="4" t="s">
        <v>13</v>
      </c>
      <c r="D1192" s="4" t="s">
        <v>2522</v>
      </c>
      <c r="E1192" s="4" t="s">
        <v>2523</v>
      </c>
      <c r="F1192" s="4" t="s">
        <v>335</v>
      </c>
      <c r="G1192" s="1">
        <v>0.16700000000000001</v>
      </c>
      <c r="H1192" s="4" t="s">
        <v>229</v>
      </c>
      <c r="I1192" s="4" t="s">
        <v>1580</v>
      </c>
      <c r="J1192" s="4" t="s">
        <v>2077</v>
      </c>
      <c r="K1192" s="4" t="s">
        <v>24</v>
      </c>
    </row>
    <row r="1193" spans="1:11" x14ac:dyDescent="0.2">
      <c r="A1193" s="4" t="s">
        <v>2524</v>
      </c>
      <c r="B1193" s="4" t="s">
        <v>2525</v>
      </c>
      <c r="C1193" s="4" t="s">
        <v>13</v>
      </c>
      <c r="D1193" s="4" t="s">
        <v>2522</v>
      </c>
      <c r="E1193" s="4" t="s">
        <v>2523</v>
      </c>
      <c r="F1193" s="4" t="s">
        <v>335</v>
      </c>
      <c r="G1193" s="1">
        <v>0.16700000000000001</v>
      </c>
      <c r="H1193" s="4" t="s">
        <v>229</v>
      </c>
      <c r="I1193" s="4" t="s">
        <v>1580</v>
      </c>
      <c r="J1193" s="4" t="s">
        <v>2077</v>
      </c>
      <c r="K1193" s="4" t="s">
        <v>24</v>
      </c>
    </row>
    <row r="1194" spans="1:11" x14ac:dyDescent="0.2">
      <c r="A1194" s="4" t="s">
        <v>2526</v>
      </c>
      <c r="B1194" s="4" t="s">
        <v>2527</v>
      </c>
      <c r="C1194" s="4" t="s">
        <v>13</v>
      </c>
      <c r="D1194" s="4" t="s">
        <v>2522</v>
      </c>
      <c r="E1194" s="4" t="s">
        <v>2523</v>
      </c>
      <c r="F1194" s="4" t="s">
        <v>335</v>
      </c>
      <c r="G1194" s="1">
        <v>6.7000000000000004E-2</v>
      </c>
      <c r="H1194" s="4" t="s">
        <v>166</v>
      </c>
      <c r="I1194" s="4" t="s">
        <v>1580</v>
      </c>
      <c r="J1194" s="4" t="s">
        <v>2077</v>
      </c>
      <c r="K1194" s="4" t="s">
        <v>24</v>
      </c>
    </row>
    <row r="1195" spans="1:11" x14ac:dyDescent="0.2">
      <c r="A1195" s="4" t="s">
        <v>2528</v>
      </c>
      <c r="B1195" s="4" t="s">
        <v>2529</v>
      </c>
      <c r="C1195" s="4" t="s">
        <v>13</v>
      </c>
      <c r="D1195" s="4" t="s">
        <v>2522</v>
      </c>
      <c r="E1195" s="4" t="s">
        <v>2523</v>
      </c>
      <c r="F1195" s="4" t="s">
        <v>335</v>
      </c>
      <c r="G1195" s="1">
        <v>3.3000000000000002E-2</v>
      </c>
      <c r="H1195" s="4" t="s">
        <v>225</v>
      </c>
      <c r="I1195" s="4" t="s">
        <v>1580</v>
      </c>
      <c r="J1195" s="4" t="s">
        <v>2077</v>
      </c>
      <c r="K1195" s="4" t="s">
        <v>24</v>
      </c>
    </row>
    <row r="1196" spans="1:11" x14ac:dyDescent="0.2">
      <c r="A1196" s="4" t="s">
        <v>2530</v>
      </c>
      <c r="B1196" s="4" t="s">
        <v>2531</v>
      </c>
      <c r="C1196" s="4" t="s">
        <v>13</v>
      </c>
      <c r="D1196" s="4" t="s">
        <v>2522</v>
      </c>
      <c r="E1196" s="4" t="s">
        <v>2523</v>
      </c>
      <c r="F1196" s="4" t="s">
        <v>335</v>
      </c>
      <c r="G1196" s="1">
        <v>6.7000000000000004E-2</v>
      </c>
      <c r="H1196" s="4" t="s">
        <v>166</v>
      </c>
      <c r="I1196" s="4" t="s">
        <v>1580</v>
      </c>
      <c r="J1196" s="4" t="s">
        <v>2077</v>
      </c>
      <c r="K1196" s="4" t="s">
        <v>24</v>
      </c>
    </row>
    <row r="1197" spans="1:11" x14ac:dyDescent="0.2">
      <c r="A1197" s="4" t="s">
        <v>2532</v>
      </c>
      <c r="B1197" s="4" t="s">
        <v>2533</v>
      </c>
      <c r="C1197" s="4" t="s">
        <v>13</v>
      </c>
      <c r="D1197" s="4" t="s">
        <v>2522</v>
      </c>
      <c r="E1197" s="4" t="s">
        <v>2523</v>
      </c>
      <c r="F1197" s="4" t="s">
        <v>335</v>
      </c>
      <c r="G1197" s="1">
        <v>6.7000000000000004E-2</v>
      </c>
      <c r="H1197" s="4" t="s">
        <v>166</v>
      </c>
      <c r="I1197" s="4" t="s">
        <v>1580</v>
      </c>
      <c r="J1197" s="4" t="s">
        <v>2077</v>
      </c>
      <c r="K1197" s="4" t="s">
        <v>24</v>
      </c>
    </row>
    <row r="1198" spans="1:11" x14ac:dyDescent="0.2">
      <c r="A1198" s="4" t="s">
        <v>2534</v>
      </c>
      <c r="B1198" s="4" t="s">
        <v>2535</v>
      </c>
      <c r="C1198" s="4" t="s">
        <v>13</v>
      </c>
      <c r="D1198" s="4" t="s">
        <v>2522</v>
      </c>
      <c r="E1198" s="4" t="s">
        <v>2523</v>
      </c>
      <c r="F1198" s="4" t="s">
        <v>335</v>
      </c>
      <c r="G1198" s="1">
        <v>0.16700000000000001</v>
      </c>
      <c r="H1198" s="4" t="s">
        <v>229</v>
      </c>
      <c r="I1198" s="4" t="s">
        <v>1580</v>
      </c>
      <c r="J1198" s="4" t="s">
        <v>2077</v>
      </c>
      <c r="K1198" s="4" t="s">
        <v>24</v>
      </c>
    </row>
    <row r="1199" spans="1:11" x14ac:dyDescent="0.2">
      <c r="A1199" s="4" t="s">
        <v>2536</v>
      </c>
      <c r="B1199" s="4" t="s">
        <v>2537</v>
      </c>
      <c r="C1199" s="4" t="s">
        <v>13</v>
      </c>
      <c r="D1199" s="4" t="s">
        <v>2522</v>
      </c>
      <c r="E1199" s="4" t="s">
        <v>2523</v>
      </c>
      <c r="F1199" s="4" t="s">
        <v>335</v>
      </c>
      <c r="G1199" s="1">
        <v>0.16700000000000001</v>
      </c>
      <c r="H1199" s="4" t="s">
        <v>229</v>
      </c>
      <c r="I1199" s="4" t="s">
        <v>1580</v>
      </c>
      <c r="J1199" s="4" t="s">
        <v>2077</v>
      </c>
      <c r="K1199" s="4" t="s">
        <v>24</v>
      </c>
    </row>
    <row r="1200" spans="1:11" x14ac:dyDescent="0.2">
      <c r="A1200" s="4" t="s">
        <v>2538</v>
      </c>
      <c r="B1200" s="4" t="s">
        <v>2539</v>
      </c>
      <c r="C1200" s="4" t="s">
        <v>13</v>
      </c>
      <c r="D1200" s="4" t="s">
        <v>2522</v>
      </c>
      <c r="E1200" s="4" t="s">
        <v>2523</v>
      </c>
      <c r="F1200" s="4" t="s">
        <v>335</v>
      </c>
      <c r="G1200" s="1">
        <v>0.16700000000000001</v>
      </c>
      <c r="H1200" s="4" t="s">
        <v>229</v>
      </c>
      <c r="I1200" s="4" t="s">
        <v>1580</v>
      </c>
      <c r="J1200" s="4" t="s">
        <v>2077</v>
      </c>
      <c r="K1200" s="4" t="s">
        <v>24</v>
      </c>
    </row>
    <row r="1201" spans="1:11" x14ac:dyDescent="0.2">
      <c r="A1201" s="4" t="s">
        <v>2540</v>
      </c>
      <c r="B1201" s="4" t="s">
        <v>2541</v>
      </c>
      <c r="C1201" s="4" t="s">
        <v>13</v>
      </c>
      <c r="D1201" s="4" t="s">
        <v>2522</v>
      </c>
      <c r="E1201" s="4" t="s">
        <v>2523</v>
      </c>
      <c r="F1201" s="4" t="s">
        <v>335</v>
      </c>
      <c r="G1201" s="1">
        <v>0.13300000000000001</v>
      </c>
      <c r="H1201" s="4" t="s">
        <v>112</v>
      </c>
      <c r="I1201" s="4" t="s">
        <v>1580</v>
      </c>
      <c r="J1201" s="4" t="s">
        <v>2077</v>
      </c>
      <c r="K1201" s="4" t="s">
        <v>24</v>
      </c>
    </row>
    <row r="1202" spans="1:11" x14ac:dyDescent="0.2">
      <c r="A1202" s="4" t="s">
        <v>2542</v>
      </c>
      <c r="B1202" s="4" t="s">
        <v>2543</v>
      </c>
      <c r="C1202" s="4" t="s">
        <v>13</v>
      </c>
      <c r="D1202" s="4" t="s">
        <v>2522</v>
      </c>
      <c r="E1202" s="4" t="s">
        <v>2523</v>
      </c>
      <c r="F1202" s="4" t="s">
        <v>335</v>
      </c>
      <c r="G1202" s="1">
        <v>6.7000000000000004E-2</v>
      </c>
      <c r="H1202" s="4" t="s">
        <v>166</v>
      </c>
      <c r="I1202" s="4" t="s">
        <v>1580</v>
      </c>
      <c r="J1202" s="4" t="s">
        <v>2077</v>
      </c>
      <c r="K1202" s="4" t="s">
        <v>24</v>
      </c>
    </row>
    <row r="1203" spans="1:11" x14ac:dyDescent="0.2">
      <c r="A1203" s="4" t="s">
        <v>2544</v>
      </c>
      <c r="B1203" s="4" t="s">
        <v>2545</v>
      </c>
      <c r="C1203" s="4" t="s">
        <v>13</v>
      </c>
      <c r="D1203" s="4" t="s">
        <v>2522</v>
      </c>
      <c r="E1203" s="4" t="s">
        <v>2523</v>
      </c>
      <c r="F1203" s="4" t="s">
        <v>335</v>
      </c>
      <c r="G1203" s="1">
        <v>0.16700000000000001</v>
      </c>
      <c r="H1203" s="4" t="s">
        <v>229</v>
      </c>
      <c r="I1203" s="4" t="s">
        <v>1580</v>
      </c>
      <c r="J1203" s="4" t="s">
        <v>2077</v>
      </c>
      <c r="K1203" s="4" t="s">
        <v>24</v>
      </c>
    </row>
    <row r="1204" spans="1:11" x14ac:dyDescent="0.2">
      <c r="A1204" s="4" t="s">
        <v>2546</v>
      </c>
      <c r="B1204" s="4" t="s">
        <v>2547</v>
      </c>
      <c r="C1204" s="4" t="s">
        <v>13</v>
      </c>
      <c r="D1204" s="4" t="s">
        <v>2522</v>
      </c>
      <c r="E1204" s="4" t="s">
        <v>2523</v>
      </c>
      <c r="F1204" s="4" t="s">
        <v>335</v>
      </c>
      <c r="G1204" s="1">
        <v>0.16700000000000001</v>
      </c>
      <c r="H1204" s="4" t="s">
        <v>229</v>
      </c>
      <c r="I1204" s="4" t="s">
        <v>1580</v>
      </c>
      <c r="J1204" s="4" t="s">
        <v>2077</v>
      </c>
      <c r="K1204" s="4" t="s">
        <v>24</v>
      </c>
    </row>
    <row r="1205" spans="1:11" x14ac:dyDescent="0.2">
      <c r="A1205" s="4" t="s">
        <v>2548</v>
      </c>
      <c r="B1205" s="4" t="s">
        <v>2549</v>
      </c>
      <c r="C1205" s="4" t="s">
        <v>13</v>
      </c>
      <c r="D1205" s="4" t="s">
        <v>2522</v>
      </c>
      <c r="E1205" s="4" t="s">
        <v>2523</v>
      </c>
      <c r="F1205" s="4" t="s">
        <v>335</v>
      </c>
      <c r="G1205" s="1">
        <v>0.1</v>
      </c>
      <c r="H1205" s="4" t="s">
        <v>117</v>
      </c>
      <c r="I1205" s="4" t="s">
        <v>1580</v>
      </c>
      <c r="J1205" s="4" t="s">
        <v>2077</v>
      </c>
      <c r="K1205" s="4" t="s">
        <v>24</v>
      </c>
    </row>
    <row r="1206" spans="1:11" x14ac:dyDescent="0.2">
      <c r="A1206" s="4" t="s">
        <v>2550</v>
      </c>
      <c r="B1206" s="4" t="s">
        <v>2551</v>
      </c>
      <c r="C1206" s="4" t="s">
        <v>13</v>
      </c>
      <c r="D1206" s="4" t="s">
        <v>2522</v>
      </c>
      <c r="E1206" s="4" t="s">
        <v>2523</v>
      </c>
      <c r="F1206" s="4" t="s">
        <v>335</v>
      </c>
      <c r="G1206" s="1">
        <v>0</v>
      </c>
      <c r="H1206" s="4" t="s">
        <v>254</v>
      </c>
      <c r="I1206" s="4" t="s">
        <v>1580</v>
      </c>
      <c r="J1206" s="4" t="s">
        <v>2077</v>
      </c>
      <c r="K1206" s="4" t="s">
        <v>24</v>
      </c>
    </row>
    <row r="1207" spans="1:11" x14ac:dyDescent="0.2">
      <c r="A1207" s="4" t="s">
        <v>2552</v>
      </c>
      <c r="B1207" s="4" t="s">
        <v>2553</v>
      </c>
      <c r="C1207" s="4" t="s">
        <v>13</v>
      </c>
      <c r="D1207" s="4" t="s">
        <v>2522</v>
      </c>
      <c r="E1207" s="4" t="s">
        <v>2523</v>
      </c>
      <c r="F1207" s="4" t="s">
        <v>335</v>
      </c>
      <c r="G1207" s="1">
        <v>0</v>
      </c>
      <c r="H1207" s="4" t="s">
        <v>254</v>
      </c>
      <c r="I1207" s="4" t="s">
        <v>1580</v>
      </c>
      <c r="J1207" s="4" t="s">
        <v>2077</v>
      </c>
      <c r="K1207" s="4" t="s">
        <v>24</v>
      </c>
    </row>
    <row r="1208" spans="1:11" x14ac:dyDescent="0.2">
      <c r="A1208" s="4" t="s">
        <v>2554</v>
      </c>
      <c r="B1208" s="4" t="s">
        <v>2555</v>
      </c>
      <c r="C1208" s="4" t="s">
        <v>13</v>
      </c>
      <c r="D1208" s="4" t="s">
        <v>2522</v>
      </c>
      <c r="E1208" s="4" t="s">
        <v>2523</v>
      </c>
      <c r="F1208" s="4" t="s">
        <v>335</v>
      </c>
      <c r="G1208" s="1">
        <v>0.16700000000000001</v>
      </c>
      <c r="H1208" s="4" t="s">
        <v>229</v>
      </c>
      <c r="I1208" s="4" t="s">
        <v>1580</v>
      </c>
      <c r="J1208" s="4" t="s">
        <v>2077</v>
      </c>
      <c r="K1208" s="4" t="s">
        <v>24</v>
      </c>
    </row>
    <row r="1209" spans="1:11" x14ac:dyDescent="0.2">
      <c r="A1209" s="4" t="s">
        <v>2556</v>
      </c>
      <c r="B1209" s="4" t="s">
        <v>2557</v>
      </c>
      <c r="C1209" s="4" t="s">
        <v>13</v>
      </c>
      <c r="D1209" s="4" t="s">
        <v>2522</v>
      </c>
      <c r="E1209" s="4" t="s">
        <v>2523</v>
      </c>
      <c r="F1209" s="4" t="s">
        <v>335</v>
      </c>
      <c r="G1209" s="1">
        <v>0.16700000000000001</v>
      </c>
      <c r="H1209" s="4" t="s">
        <v>229</v>
      </c>
      <c r="I1209" s="4" t="s">
        <v>1580</v>
      </c>
      <c r="J1209" s="4" t="s">
        <v>2077</v>
      </c>
      <c r="K1209" s="4" t="s">
        <v>24</v>
      </c>
    </row>
    <row r="1210" spans="1:11" x14ac:dyDescent="0.2">
      <c r="A1210" s="4" t="s">
        <v>2558</v>
      </c>
      <c r="B1210" s="4" t="s">
        <v>2559</v>
      </c>
      <c r="C1210" s="4" t="s">
        <v>13</v>
      </c>
      <c r="D1210" s="4" t="s">
        <v>2522</v>
      </c>
      <c r="E1210" s="4" t="s">
        <v>2523</v>
      </c>
      <c r="F1210" s="4" t="s">
        <v>335</v>
      </c>
      <c r="G1210" s="1">
        <v>0.13300000000000001</v>
      </c>
      <c r="H1210" s="4" t="s">
        <v>112</v>
      </c>
      <c r="I1210" s="4" t="s">
        <v>1580</v>
      </c>
      <c r="J1210" s="4" t="s">
        <v>2077</v>
      </c>
      <c r="K1210" s="4" t="s">
        <v>24</v>
      </c>
    </row>
    <row r="1211" spans="1:11" x14ac:dyDescent="0.2">
      <c r="A1211" s="4" t="s">
        <v>2560</v>
      </c>
      <c r="B1211" s="4" t="s">
        <v>2561</v>
      </c>
      <c r="C1211" s="4" t="s">
        <v>13</v>
      </c>
      <c r="D1211" s="4" t="s">
        <v>2522</v>
      </c>
      <c r="E1211" s="4" t="s">
        <v>2523</v>
      </c>
      <c r="F1211" s="4" t="s">
        <v>335</v>
      </c>
      <c r="G1211" s="1">
        <v>0.16700000000000001</v>
      </c>
      <c r="H1211" s="4" t="s">
        <v>229</v>
      </c>
      <c r="I1211" s="4" t="s">
        <v>1580</v>
      </c>
      <c r="J1211" s="4" t="s">
        <v>2077</v>
      </c>
      <c r="K1211" s="4" t="s">
        <v>24</v>
      </c>
    </row>
    <row r="1212" spans="1:11" x14ac:dyDescent="0.2">
      <c r="A1212" s="4" t="s">
        <v>2562</v>
      </c>
      <c r="B1212" s="4" t="s">
        <v>2563</v>
      </c>
      <c r="C1212" s="4" t="s">
        <v>13</v>
      </c>
      <c r="D1212" s="4" t="s">
        <v>2522</v>
      </c>
      <c r="E1212" s="4" t="s">
        <v>2523</v>
      </c>
      <c r="F1212" s="4" t="s">
        <v>335</v>
      </c>
      <c r="G1212" s="1">
        <v>0.16700000000000001</v>
      </c>
      <c r="H1212" s="4" t="s">
        <v>229</v>
      </c>
      <c r="I1212" s="4" t="s">
        <v>1580</v>
      </c>
      <c r="J1212" s="4" t="s">
        <v>2077</v>
      </c>
      <c r="K1212" s="4" t="s">
        <v>24</v>
      </c>
    </row>
    <row r="1213" spans="1:11" x14ac:dyDescent="0.2">
      <c r="A1213" s="4" t="s">
        <v>2068</v>
      </c>
      <c r="B1213" s="4" t="s">
        <v>2069</v>
      </c>
      <c r="C1213" s="4" t="s">
        <v>49</v>
      </c>
      <c r="D1213" s="4" t="s">
        <v>2522</v>
      </c>
      <c r="E1213" s="4" t="s">
        <v>2523</v>
      </c>
      <c r="F1213" s="4" t="s">
        <v>335</v>
      </c>
      <c r="G1213" s="1">
        <v>8.3000000000000004E-2</v>
      </c>
      <c r="H1213" s="4" t="s">
        <v>1867</v>
      </c>
      <c r="I1213" s="4" t="s">
        <v>1580</v>
      </c>
      <c r="J1213" s="4" t="s">
        <v>2077</v>
      </c>
      <c r="K1213" s="4" t="s">
        <v>24</v>
      </c>
    </row>
    <row r="1214" spans="1:11" x14ac:dyDescent="0.2">
      <c r="A1214" s="4" t="s">
        <v>2564</v>
      </c>
      <c r="B1214" s="4" t="s">
        <v>2565</v>
      </c>
      <c r="C1214" s="4" t="s">
        <v>13</v>
      </c>
      <c r="D1214" s="4" t="s">
        <v>2522</v>
      </c>
      <c r="E1214" s="4" t="s">
        <v>2523</v>
      </c>
      <c r="F1214" s="4" t="s">
        <v>335</v>
      </c>
      <c r="G1214" s="1">
        <v>0.1</v>
      </c>
      <c r="H1214" s="4" t="s">
        <v>117</v>
      </c>
      <c r="I1214" s="4" t="s">
        <v>1580</v>
      </c>
      <c r="J1214" s="4" t="s">
        <v>2077</v>
      </c>
      <c r="K1214" s="4" t="s">
        <v>24</v>
      </c>
    </row>
    <row r="1215" spans="1:11" x14ac:dyDescent="0.2">
      <c r="A1215" s="4" t="s">
        <v>2566</v>
      </c>
      <c r="B1215" s="4" t="s">
        <v>2567</v>
      </c>
      <c r="C1215" s="4" t="s">
        <v>13</v>
      </c>
      <c r="D1215" s="4" t="s">
        <v>2522</v>
      </c>
      <c r="E1215" s="4" t="s">
        <v>2523</v>
      </c>
      <c r="F1215" s="4" t="s">
        <v>335</v>
      </c>
      <c r="G1215" s="1">
        <v>3.3000000000000002E-2</v>
      </c>
      <c r="H1215" s="4" t="s">
        <v>225</v>
      </c>
      <c r="I1215" s="4" t="s">
        <v>1580</v>
      </c>
      <c r="J1215" s="4" t="s">
        <v>2077</v>
      </c>
      <c r="K1215" s="4" t="s">
        <v>24</v>
      </c>
    </row>
    <row r="1216" spans="1:11" x14ac:dyDescent="0.2">
      <c r="A1216" s="4" t="s">
        <v>2568</v>
      </c>
      <c r="B1216" s="4" t="s">
        <v>2569</v>
      </c>
      <c r="C1216" s="4" t="s">
        <v>13</v>
      </c>
      <c r="D1216" s="4" t="s">
        <v>2522</v>
      </c>
      <c r="E1216" s="4" t="s">
        <v>2523</v>
      </c>
      <c r="F1216" s="4" t="s">
        <v>335</v>
      </c>
      <c r="G1216" s="1">
        <v>0.1</v>
      </c>
      <c r="H1216" s="4" t="s">
        <v>117</v>
      </c>
      <c r="I1216" s="4" t="s">
        <v>1580</v>
      </c>
      <c r="J1216" s="4" t="s">
        <v>2077</v>
      </c>
      <c r="K1216" s="4" t="s">
        <v>24</v>
      </c>
    </row>
    <row r="1217" spans="1:11" x14ac:dyDescent="0.2">
      <c r="A1217" s="4" t="s">
        <v>2570</v>
      </c>
      <c r="B1217" s="4" t="s">
        <v>2571</v>
      </c>
      <c r="C1217" s="4" t="s">
        <v>13</v>
      </c>
      <c r="D1217" s="4" t="s">
        <v>2522</v>
      </c>
      <c r="E1217" s="4" t="s">
        <v>2523</v>
      </c>
      <c r="F1217" s="4" t="s">
        <v>335</v>
      </c>
      <c r="G1217" s="1">
        <v>0.13300000000000001</v>
      </c>
      <c r="H1217" s="4" t="s">
        <v>112</v>
      </c>
      <c r="I1217" s="4" t="s">
        <v>1580</v>
      </c>
      <c r="J1217" s="4" t="s">
        <v>2077</v>
      </c>
      <c r="K1217" s="4" t="s">
        <v>24</v>
      </c>
    </row>
    <row r="1218" spans="1:11" x14ac:dyDescent="0.2">
      <c r="A1218" s="4" t="s">
        <v>2572</v>
      </c>
      <c r="B1218" s="4" t="s">
        <v>2573</v>
      </c>
      <c r="C1218" s="4" t="s">
        <v>13</v>
      </c>
      <c r="D1218" s="4" t="s">
        <v>2522</v>
      </c>
      <c r="E1218" s="4" t="s">
        <v>2523</v>
      </c>
      <c r="F1218" s="4" t="s">
        <v>335</v>
      </c>
      <c r="G1218" s="1">
        <v>0.13300000000000001</v>
      </c>
      <c r="H1218" s="4" t="s">
        <v>112</v>
      </c>
      <c r="I1218" s="4" t="s">
        <v>1580</v>
      </c>
      <c r="J1218" s="4" t="s">
        <v>2077</v>
      </c>
      <c r="K1218" s="4" t="s">
        <v>24</v>
      </c>
    </row>
    <row r="1219" spans="1:11" x14ac:dyDescent="0.2">
      <c r="A1219" s="4" t="s">
        <v>2574</v>
      </c>
      <c r="B1219" s="4" t="s">
        <v>2575</v>
      </c>
      <c r="C1219" s="4" t="s">
        <v>13</v>
      </c>
      <c r="D1219" s="4" t="s">
        <v>2522</v>
      </c>
      <c r="E1219" s="4" t="s">
        <v>2523</v>
      </c>
      <c r="F1219" s="4" t="s">
        <v>335</v>
      </c>
      <c r="G1219" s="1">
        <v>3.3000000000000002E-2</v>
      </c>
      <c r="H1219" s="4" t="s">
        <v>225</v>
      </c>
      <c r="I1219" s="4" t="s">
        <v>1580</v>
      </c>
      <c r="J1219" s="4" t="s">
        <v>2077</v>
      </c>
      <c r="K1219" s="4" t="s">
        <v>24</v>
      </c>
    </row>
    <row r="1220" spans="1:11" x14ac:dyDescent="0.2">
      <c r="A1220" s="4" t="s">
        <v>2576</v>
      </c>
      <c r="B1220" s="4" t="s">
        <v>2577</v>
      </c>
      <c r="C1220" s="4" t="s">
        <v>13</v>
      </c>
      <c r="D1220" s="4" t="s">
        <v>2522</v>
      </c>
      <c r="E1220" s="4" t="s">
        <v>2523</v>
      </c>
      <c r="F1220" s="4" t="s">
        <v>335</v>
      </c>
      <c r="G1220" s="1">
        <v>1.7000000000000001E-2</v>
      </c>
      <c r="H1220" s="4" t="s">
        <v>578</v>
      </c>
      <c r="I1220" s="4" t="s">
        <v>1580</v>
      </c>
      <c r="J1220" s="4" t="s">
        <v>2077</v>
      </c>
      <c r="K1220" s="4" t="s">
        <v>2188</v>
      </c>
    </row>
    <row r="1221" spans="1:11" x14ac:dyDescent="0.2">
      <c r="A1221" s="4" t="s">
        <v>2578</v>
      </c>
      <c r="B1221" s="4" t="s">
        <v>2579</v>
      </c>
      <c r="C1221" s="4" t="s">
        <v>13</v>
      </c>
      <c r="D1221" s="4" t="s">
        <v>2522</v>
      </c>
      <c r="E1221" s="4" t="s">
        <v>2523</v>
      </c>
      <c r="F1221" s="4" t="s">
        <v>335</v>
      </c>
      <c r="G1221" s="1">
        <v>0.13300000000000001</v>
      </c>
      <c r="H1221" s="4" t="s">
        <v>112</v>
      </c>
      <c r="I1221" s="4" t="s">
        <v>1580</v>
      </c>
      <c r="J1221" s="4" t="s">
        <v>2077</v>
      </c>
      <c r="K1221" s="4" t="s">
        <v>1715</v>
      </c>
    </row>
    <row r="1222" spans="1:11" x14ac:dyDescent="0.2">
      <c r="A1222" s="4" t="s">
        <v>2580</v>
      </c>
      <c r="B1222" s="4" t="s">
        <v>2581</v>
      </c>
      <c r="C1222" s="4" t="s">
        <v>13</v>
      </c>
      <c r="D1222" s="4" t="s">
        <v>2522</v>
      </c>
      <c r="E1222" s="4" t="s">
        <v>2523</v>
      </c>
      <c r="F1222" s="4" t="s">
        <v>335</v>
      </c>
      <c r="G1222" s="1">
        <v>0.16700000000000001</v>
      </c>
      <c r="H1222" s="4" t="s">
        <v>229</v>
      </c>
      <c r="I1222" s="4" t="s">
        <v>1580</v>
      </c>
      <c r="J1222" s="4" t="s">
        <v>2077</v>
      </c>
      <c r="K1222" s="4" t="s">
        <v>1868</v>
      </c>
    </row>
    <row r="1223" spans="1:11" x14ac:dyDescent="0.2">
      <c r="A1223" s="4" t="s">
        <v>2582</v>
      </c>
      <c r="B1223" s="4" t="s">
        <v>2583</v>
      </c>
      <c r="C1223" s="4" t="s">
        <v>13</v>
      </c>
      <c r="D1223" s="4" t="s">
        <v>2522</v>
      </c>
      <c r="E1223" s="4" t="s">
        <v>2523</v>
      </c>
      <c r="F1223" s="4" t="s">
        <v>335</v>
      </c>
      <c r="G1223" s="1">
        <v>0.13300000000000001</v>
      </c>
      <c r="H1223" s="4" t="s">
        <v>112</v>
      </c>
      <c r="I1223" s="4" t="s">
        <v>1580</v>
      </c>
      <c r="J1223" s="4" t="s">
        <v>2077</v>
      </c>
      <c r="K1223" s="4" t="s">
        <v>1715</v>
      </c>
    </row>
    <row r="1224" spans="1:11" x14ac:dyDescent="0.2">
      <c r="A1224" s="4" t="s">
        <v>2584</v>
      </c>
      <c r="B1224" s="4" t="s">
        <v>2585</v>
      </c>
      <c r="C1224" s="4" t="s">
        <v>13</v>
      </c>
      <c r="D1224" s="4" t="s">
        <v>2522</v>
      </c>
      <c r="E1224" s="4" t="s">
        <v>2523</v>
      </c>
      <c r="F1224" s="4" t="s">
        <v>335</v>
      </c>
      <c r="G1224" s="1">
        <v>0.13300000000000001</v>
      </c>
      <c r="H1224" s="4" t="s">
        <v>112</v>
      </c>
      <c r="I1224" s="4" t="s">
        <v>1580</v>
      </c>
      <c r="J1224" s="4" t="s">
        <v>2077</v>
      </c>
      <c r="K1224" s="4" t="s">
        <v>1999</v>
      </c>
    </row>
    <row r="1225" spans="1:11" x14ac:dyDescent="0.2">
      <c r="A1225" s="4" t="s">
        <v>2586</v>
      </c>
      <c r="B1225" s="4" t="s">
        <v>2587</v>
      </c>
      <c r="C1225" s="4" t="s">
        <v>13</v>
      </c>
      <c r="D1225" s="4" t="s">
        <v>2522</v>
      </c>
      <c r="E1225" s="4" t="s">
        <v>2523</v>
      </c>
      <c r="F1225" s="4" t="s">
        <v>335</v>
      </c>
      <c r="G1225" s="1">
        <v>0.13300000000000001</v>
      </c>
      <c r="H1225" s="4" t="s">
        <v>112</v>
      </c>
      <c r="I1225" s="4" t="s">
        <v>1580</v>
      </c>
      <c r="J1225" s="4" t="s">
        <v>2077</v>
      </c>
      <c r="K1225" s="4" t="s">
        <v>1788</v>
      </c>
    </row>
    <row r="1226" spans="1:11" x14ac:dyDescent="0.2">
      <c r="A1226" s="4" t="s">
        <v>2588</v>
      </c>
      <c r="B1226" s="4" t="s">
        <v>2589</v>
      </c>
      <c r="C1226" s="4" t="s">
        <v>13</v>
      </c>
      <c r="D1226" s="4" t="s">
        <v>2522</v>
      </c>
      <c r="E1226" s="4" t="s">
        <v>2523</v>
      </c>
      <c r="F1226" s="4" t="s">
        <v>335</v>
      </c>
      <c r="G1226" s="1">
        <v>0.16700000000000001</v>
      </c>
      <c r="H1226" s="4" t="s">
        <v>229</v>
      </c>
      <c r="I1226" s="4" t="s">
        <v>1580</v>
      </c>
      <c r="J1226" s="4" t="s">
        <v>2077</v>
      </c>
      <c r="K1226" s="4" t="s">
        <v>1585</v>
      </c>
    </row>
    <row r="1227" spans="1:11" x14ac:dyDescent="0.2">
      <c r="A1227" s="4" t="s">
        <v>1291</v>
      </c>
      <c r="B1227" s="4" t="s">
        <v>1292</v>
      </c>
      <c r="C1227" s="4" t="s">
        <v>13</v>
      </c>
      <c r="D1227" s="4" t="s">
        <v>2522</v>
      </c>
      <c r="E1227" s="4" t="s">
        <v>2523</v>
      </c>
      <c r="F1227" s="4" t="s">
        <v>335</v>
      </c>
      <c r="G1227" s="1">
        <v>0.11700000000000001</v>
      </c>
      <c r="H1227" s="4" t="s">
        <v>2191</v>
      </c>
      <c r="I1227" s="4" t="s">
        <v>1580</v>
      </c>
      <c r="J1227" s="4" t="s">
        <v>2077</v>
      </c>
      <c r="K1227" s="4" t="s">
        <v>24</v>
      </c>
    </row>
    <row r="1228" spans="1:11" x14ac:dyDescent="0.2">
      <c r="A1228" s="4" t="s">
        <v>2590</v>
      </c>
      <c r="B1228" s="4" t="s">
        <v>2591</v>
      </c>
      <c r="C1228" s="4" t="s">
        <v>13</v>
      </c>
      <c r="D1228" s="4" t="s">
        <v>2592</v>
      </c>
      <c r="E1228" s="4" t="s">
        <v>2593</v>
      </c>
      <c r="F1228" s="4" t="s">
        <v>2594</v>
      </c>
      <c r="G1228" s="1">
        <v>1.7000000000000001E-2</v>
      </c>
      <c r="H1228" s="4" t="s">
        <v>578</v>
      </c>
      <c r="I1228" s="4" t="s">
        <v>1580</v>
      </c>
      <c r="J1228" s="4" t="s">
        <v>1777</v>
      </c>
      <c r="K1228" s="4" t="s">
        <v>1778</v>
      </c>
    </row>
    <row r="1229" spans="1:11" x14ac:dyDescent="0.2">
      <c r="A1229" s="4" t="s">
        <v>2595</v>
      </c>
      <c r="B1229" s="4" t="s">
        <v>2596</v>
      </c>
      <c r="C1229" s="4" t="s">
        <v>13</v>
      </c>
      <c r="D1229" s="4" t="s">
        <v>2592</v>
      </c>
      <c r="E1229" s="4" t="s">
        <v>2593</v>
      </c>
      <c r="F1229" s="4" t="s">
        <v>2594</v>
      </c>
      <c r="G1229" s="1">
        <v>0</v>
      </c>
      <c r="H1229" s="4" t="s">
        <v>254</v>
      </c>
      <c r="I1229" s="4" t="s">
        <v>1580</v>
      </c>
      <c r="J1229" s="4" t="s">
        <v>1777</v>
      </c>
      <c r="K1229" s="4" t="s">
        <v>24</v>
      </c>
    </row>
    <row r="1230" spans="1:11" x14ac:dyDescent="0.2">
      <c r="A1230" s="4" t="s">
        <v>2597</v>
      </c>
      <c r="B1230" s="4" t="s">
        <v>2598</v>
      </c>
      <c r="C1230" s="4" t="s">
        <v>13</v>
      </c>
      <c r="D1230" s="4" t="s">
        <v>2592</v>
      </c>
      <c r="E1230" s="4" t="s">
        <v>2593</v>
      </c>
      <c r="F1230" s="4" t="s">
        <v>2594</v>
      </c>
      <c r="G1230" s="1">
        <v>0.2</v>
      </c>
      <c r="H1230" s="4" t="s">
        <v>232</v>
      </c>
      <c r="I1230" s="4" t="s">
        <v>1580</v>
      </c>
      <c r="J1230" s="4" t="s">
        <v>1777</v>
      </c>
      <c r="K1230" s="4" t="s">
        <v>24</v>
      </c>
    </row>
    <row r="1231" spans="1:11" x14ac:dyDescent="0.2">
      <c r="A1231" s="4" t="s">
        <v>2599</v>
      </c>
      <c r="B1231" s="4" t="s">
        <v>2600</v>
      </c>
      <c r="C1231" s="4" t="s">
        <v>13</v>
      </c>
      <c r="D1231" s="4" t="s">
        <v>2592</v>
      </c>
      <c r="E1231" s="4" t="s">
        <v>2593</v>
      </c>
      <c r="F1231" s="4" t="s">
        <v>2594</v>
      </c>
      <c r="G1231" s="1">
        <v>0.2</v>
      </c>
      <c r="H1231" s="4" t="s">
        <v>232</v>
      </c>
      <c r="I1231" s="4" t="s">
        <v>1580</v>
      </c>
      <c r="J1231" s="4" t="s">
        <v>1777</v>
      </c>
      <c r="K1231" s="4" t="s">
        <v>24</v>
      </c>
    </row>
    <row r="1232" spans="1:11" x14ac:dyDescent="0.2">
      <c r="A1232" s="4" t="s">
        <v>2601</v>
      </c>
      <c r="B1232" s="4" t="s">
        <v>2602</v>
      </c>
      <c r="C1232" s="4" t="s">
        <v>13</v>
      </c>
      <c r="D1232" s="4" t="s">
        <v>2592</v>
      </c>
      <c r="E1232" s="4" t="s">
        <v>2593</v>
      </c>
      <c r="F1232" s="4" t="s">
        <v>2594</v>
      </c>
      <c r="G1232" s="1">
        <v>0.2</v>
      </c>
      <c r="H1232" s="4" t="s">
        <v>232</v>
      </c>
      <c r="I1232" s="4" t="s">
        <v>1580</v>
      </c>
      <c r="J1232" s="4" t="s">
        <v>1777</v>
      </c>
      <c r="K1232" s="4" t="s">
        <v>24</v>
      </c>
    </row>
    <row r="1233" spans="1:11" x14ac:dyDescent="0.2">
      <c r="A1233" s="4" t="s">
        <v>2603</v>
      </c>
      <c r="B1233" s="4" t="s">
        <v>2604</v>
      </c>
      <c r="C1233" s="4" t="s">
        <v>13</v>
      </c>
      <c r="D1233" s="4" t="s">
        <v>2592</v>
      </c>
      <c r="E1233" s="4" t="s">
        <v>2593</v>
      </c>
      <c r="F1233" s="4" t="s">
        <v>2594</v>
      </c>
      <c r="G1233" s="1">
        <v>0.2</v>
      </c>
      <c r="H1233" s="4" t="s">
        <v>232</v>
      </c>
      <c r="I1233" s="4" t="s">
        <v>1580</v>
      </c>
      <c r="J1233" s="4" t="s">
        <v>1777</v>
      </c>
      <c r="K1233" s="4" t="s">
        <v>24</v>
      </c>
    </row>
    <row r="1234" spans="1:11" x14ac:dyDescent="0.2">
      <c r="A1234" s="4" t="s">
        <v>2605</v>
      </c>
      <c r="B1234" s="4" t="s">
        <v>2606</v>
      </c>
      <c r="C1234" s="4" t="s">
        <v>13</v>
      </c>
      <c r="D1234" s="4" t="s">
        <v>2592</v>
      </c>
      <c r="E1234" s="4" t="s">
        <v>2593</v>
      </c>
      <c r="F1234" s="4" t="s">
        <v>2594</v>
      </c>
      <c r="G1234" s="1">
        <v>0.16700000000000001</v>
      </c>
      <c r="H1234" s="4" t="s">
        <v>229</v>
      </c>
      <c r="I1234" s="4" t="s">
        <v>1580</v>
      </c>
      <c r="J1234" s="4" t="s">
        <v>1777</v>
      </c>
      <c r="K1234" s="4" t="s">
        <v>24</v>
      </c>
    </row>
    <row r="1235" spans="1:11" x14ac:dyDescent="0.2">
      <c r="A1235" s="4" t="s">
        <v>2607</v>
      </c>
      <c r="B1235" s="4" t="s">
        <v>2608</v>
      </c>
      <c r="C1235" s="4" t="s">
        <v>13</v>
      </c>
      <c r="D1235" s="4" t="s">
        <v>2592</v>
      </c>
      <c r="E1235" s="4" t="s">
        <v>2593</v>
      </c>
      <c r="F1235" s="4" t="s">
        <v>2594</v>
      </c>
      <c r="G1235" s="1">
        <v>0</v>
      </c>
      <c r="H1235" s="4" t="s">
        <v>254</v>
      </c>
      <c r="I1235" s="4" t="s">
        <v>1580</v>
      </c>
      <c r="J1235" s="4" t="s">
        <v>1777</v>
      </c>
      <c r="K1235" s="4" t="s">
        <v>24</v>
      </c>
    </row>
    <row r="1236" spans="1:11" x14ac:dyDescent="0.2">
      <c r="A1236" s="4" t="s">
        <v>2609</v>
      </c>
      <c r="B1236" s="4" t="s">
        <v>2610</v>
      </c>
      <c r="C1236" s="4" t="s">
        <v>13</v>
      </c>
      <c r="D1236" s="4" t="s">
        <v>2592</v>
      </c>
      <c r="E1236" s="4" t="s">
        <v>2593</v>
      </c>
      <c r="F1236" s="4" t="s">
        <v>2594</v>
      </c>
      <c r="G1236" s="1">
        <v>0.1</v>
      </c>
      <c r="H1236" s="4" t="s">
        <v>117</v>
      </c>
      <c r="I1236" s="4" t="s">
        <v>1580</v>
      </c>
      <c r="J1236" s="4" t="s">
        <v>1777</v>
      </c>
      <c r="K1236" s="4" t="s">
        <v>24</v>
      </c>
    </row>
    <row r="1237" spans="1:11" x14ac:dyDescent="0.2">
      <c r="A1237" s="4" t="s">
        <v>2611</v>
      </c>
      <c r="B1237" s="4" t="s">
        <v>2612</v>
      </c>
      <c r="C1237" s="4" t="s">
        <v>13</v>
      </c>
      <c r="D1237" s="4" t="s">
        <v>2592</v>
      </c>
      <c r="E1237" s="4" t="s">
        <v>2593</v>
      </c>
      <c r="F1237" s="4" t="s">
        <v>2594</v>
      </c>
      <c r="G1237" s="1">
        <v>0.2</v>
      </c>
      <c r="H1237" s="4" t="s">
        <v>232</v>
      </c>
      <c r="I1237" s="4" t="s">
        <v>1580</v>
      </c>
      <c r="J1237" s="4" t="s">
        <v>1777</v>
      </c>
      <c r="K1237" s="4" t="s">
        <v>24</v>
      </c>
    </row>
    <row r="1238" spans="1:11" x14ac:dyDescent="0.2">
      <c r="A1238" s="4" t="s">
        <v>2613</v>
      </c>
      <c r="B1238" s="4" t="s">
        <v>2614</v>
      </c>
      <c r="C1238" s="4" t="s">
        <v>13</v>
      </c>
      <c r="D1238" s="4" t="s">
        <v>2592</v>
      </c>
      <c r="E1238" s="4" t="s">
        <v>2593</v>
      </c>
      <c r="F1238" s="4" t="s">
        <v>2594</v>
      </c>
      <c r="G1238" s="1">
        <v>0.2</v>
      </c>
      <c r="H1238" s="4" t="s">
        <v>232</v>
      </c>
      <c r="I1238" s="4" t="s">
        <v>1580</v>
      </c>
      <c r="J1238" s="4" t="s">
        <v>1777</v>
      </c>
      <c r="K1238" s="4" t="s">
        <v>24</v>
      </c>
    </row>
    <row r="1239" spans="1:11" x14ac:dyDescent="0.2">
      <c r="A1239" s="4" t="s">
        <v>2615</v>
      </c>
      <c r="B1239" s="4" t="s">
        <v>2616</v>
      </c>
      <c r="C1239" s="4" t="s">
        <v>13</v>
      </c>
      <c r="D1239" s="4" t="s">
        <v>2592</v>
      </c>
      <c r="E1239" s="4" t="s">
        <v>2593</v>
      </c>
      <c r="F1239" s="4" t="s">
        <v>2594</v>
      </c>
      <c r="G1239" s="1">
        <v>0.13300000000000001</v>
      </c>
      <c r="H1239" s="4" t="s">
        <v>112</v>
      </c>
      <c r="I1239" s="4" t="s">
        <v>1580</v>
      </c>
      <c r="J1239" s="4" t="s">
        <v>1777</v>
      </c>
      <c r="K1239" s="4" t="s">
        <v>24</v>
      </c>
    </row>
    <row r="1240" spans="1:11" x14ac:dyDescent="0.2">
      <c r="A1240" s="4" t="s">
        <v>2617</v>
      </c>
      <c r="B1240" s="4" t="s">
        <v>2618</v>
      </c>
      <c r="C1240" s="4" t="s">
        <v>13</v>
      </c>
      <c r="D1240" s="4" t="s">
        <v>2592</v>
      </c>
      <c r="E1240" s="4" t="s">
        <v>2593</v>
      </c>
      <c r="F1240" s="4" t="s">
        <v>2594</v>
      </c>
      <c r="G1240" s="1">
        <v>0.2</v>
      </c>
      <c r="H1240" s="4" t="s">
        <v>232</v>
      </c>
      <c r="I1240" s="4" t="s">
        <v>1580</v>
      </c>
      <c r="J1240" s="4" t="s">
        <v>1777</v>
      </c>
      <c r="K1240" s="4" t="s">
        <v>24</v>
      </c>
    </row>
    <row r="1241" spans="1:11" x14ac:dyDescent="0.2">
      <c r="A1241" s="4" t="s">
        <v>2619</v>
      </c>
      <c r="B1241" s="4" t="s">
        <v>2620</v>
      </c>
      <c r="C1241" s="4" t="s">
        <v>13</v>
      </c>
      <c r="D1241" s="4" t="s">
        <v>2592</v>
      </c>
      <c r="E1241" s="4" t="s">
        <v>2593</v>
      </c>
      <c r="F1241" s="4" t="s">
        <v>2594</v>
      </c>
      <c r="G1241" s="1">
        <v>0.2</v>
      </c>
      <c r="H1241" s="4" t="s">
        <v>232</v>
      </c>
      <c r="I1241" s="4" t="s">
        <v>1580</v>
      </c>
      <c r="J1241" s="4" t="s">
        <v>1777</v>
      </c>
      <c r="K1241" s="4" t="s">
        <v>24</v>
      </c>
    </row>
    <row r="1242" spans="1:11" x14ac:dyDescent="0.2">
      <c r="A1242" s="4" t="s">
        <v>2621</v>
      </c>
      <c r="B1242" s="4" t="s">
        <v>2622</v>
      </c>
      <c r="C1242" s="4" t="s">
        <v>13</v>
      </c>
      <c r="D1242" s="4" t="s">
        <v>2592</v>
      </c>
      <c r="E1242" s="4" t="s">
        <v>2593</v>
      </c>
      <c r="F1242" s="4" t="s">
        <v>2594</v>
      </c>
      <c r="G1242" s="1">
        <v>0.2</v>
      </c>
      <c r="H1242" s="4" t="s">
        <v>232</v>
      </c>
      <c r="I1242" s="4" t="s">
        <v>1580</v>
      </c>
      <c r="J1242" s="4" t="s">
        <v>1777</v>
      </c>
      <c r="K1242" s="4" t="s">
        <v>24</v>
      </c>
    </row>
    <row r="1243" spans="1:11" x14ac:dyDescent="0.2">
      <c r="A1243" s="4" t="s">
        <v>2623</v>
      </c>
      <c r="B1243" s="4" t="s">
        <v>2624</v>
      </c>
      <c r="C1243" s="4" t="s">
        <v>13</v>
      </c>
      <c r="D1243" s="4" t="s">
        <v>2592</v>
      </c>
      <c r="E1243" s="4" t="s">
        <v>2593</v>
      </c>
      <c r="F1243" s="4" t="s">
        <v>2594</v>
      </c>
      <c r="G1243" s="1">
        <v>6.7000000000000004E-2</v>
      </c>
      <c r="H1243" s="4" t="s">
        <v>166</v>
      </c>
      <c r="I1243" s="4" t="s">
        <v>1580</v>
      </c>
      <c r="J1243" s="4" t="s">
        <v>1777</v>
      </c>
      <c r="K1243" s="4" t="s">
        <v>24</v>
      </c>
    </row>
    <row r="1244" spans="1:11" x14ac:dyDescent="0.2">
      <c r="A1244" s="4" t="s">
        <v>2625</v>
      </c>
      <c r="B1244" s="4" t="s">
        <v>2626</v>
      </c>
      <c r="C1244" s="4" t="s">
        <v>13</v>
      </c>
      <c r="D1244" s="4" t="s">
        <v>2592</v>
      </c>
      <c r="E1244" s="4" t="s">
        <v>2593</v>
      </c>
      <c r="F1244" s="4" t="s">
        <v>2594</v>
      </c>
      <c r="G1244" s="1">
        <v>0.1</v>
      </c>
      <c r="H1244" s="4" t="s">
        <v>117</v>
      </c>
      <c r="I1244" s="4" t="s">
        <v>1580</v>
      </c>
      <c r="J1244" s="4" t="s">
        <v>1777</v>
      </c>
      <c r="K1244" s="4" t="s">
        <v>24</v>
      </c>
    </row>
    <row r="1245" spans="1:11" x14ac:dyDescent="0.2">
      <c r="A1245" s="4" t="s">
        <v>2627</v>
      </c>
      <c r="B1245" s="4" t="s">
        <v>2628</v>
      </c>
      <c r="C1245" s="4" t="s">
        <v>13</v>
      </c>
      <c r="D1245" s="4" t="s">
        <v>2592</v>
      </c>
      <c r="E1245" s="4" t="s">
        <v>2593</v>
      </c>
      <c r="F1245" s="4" t="s">
        <v>2594</v>
      </c>
      <c r="G1245" s="1">
        <v>0.2</v>
      </c>
      <c r="H1245" s="4" t="s">
        <v>232</v>
      </c>
      <c r="I1245" s="4" t="s">
        <v>1580</v>
      </c>
      <c r="J1245" s="4" t="s">
        <v>1777</v>
      </c>
      <c r="K1245" s="4" t="s">
        <v>24</v>
      </c>
    </row>
    <row r="1246" spans="1:11" x14ac:dyDescent="0.2">
      <c r="A1246" s="4" t="s">
        <v>2629</v>
      </c>
      <c r="B1246" s="4" t="s">
        <v>2630</v>
      </c>
      <c r="C1246" s="4" t="s">
        <v>13</v>
      </c>
      <c r="D1246" s="4" t="s">
        <v>2592</v>
      </c>
      <c r="E1246" s="4" t="s">
        <v>2593</v>
      </c>
      <c r="F1246" s="4" t="s">
        <v>2594</v>
      </c>
      <c r="G1246" s="1">
        <v>0.2</v>
      </c>
      <c r="H1246" s="4" t="s">
        <v>232</v>
      </c>
      <c r="I1246" s="4" t="s">
        <v>1580</v>
      </c>
      <c r="J1246" s="4" t="s">
        <v>1777</v>
      </c>
      <c r="K1246" s="4" t="s">
        <v>24</v>
      </c>
    </row>
    <row r="1247" spans="1:11" x14ac:dyDescent="0.2">
      <c r="A1247" s="4" t="s">
        <v>2631</v>
      </c>
      <c r="B1247" s="4" t="s">
        <v>2632</v>
      </c>
      <c r="C1247" s="4" t="s">
        <v>13</v>
      </c>
      <c r="D1247" s="4" t="s">
        <v>2592</v>
      </c>
      <c r="E1247" s="4" t="s">
        <v>2593</v>
      </c>
      <c r="F1247" s="4" t="s">
        <v>2594</v>
      </c>
      <c r="G1247" s="1">
        <v>0.2</v>
      </c>
      <c r="H1247" s="4" t="s">
        <v>232</v>
      </c>
      <c r="I1247" s="4" t="s">
        <v>1580</v>
      </c>
      <c r="J1247" s="4" t="s">
        <v>1777</v>
      </c>
      <c r="K1247" s="4" t="s">
        <v>24</v>
      </c>
    </row>
    <row r="1248" spans="1:11" x14ac:dyDescent="0.2">
      <c r="A1248" s="4" t="s">
        <v>2633</v>
      </c>
      <c r="B1248" s="4" t="s">
        <v>2634</v>
      </c>
      <c r="C1248" s="4" t="s">
        <v>13</v>
      </c>
      <c r="D1248" s="4" t="s">
        <v>2592</v>
      </c>
      <c r="E1248" s="4" t="s">
        <v>2593</v>
      </c>
      <c r="F1248" s="4" t="s">
        <v>2594</v>
      </c>
      <c r="G1248" s="1">
        <v>0</v>
      </c>
      <c r="H1248" s="4" t="s">
        <v>254</v>
      </c>
      <c r="I1248" s="4" t="s">
        <v>1580</v>
      </c>
      <c r="J1248" s="4" t="s">
        <v>1777</v>
      </c>
      <c r="K1248" s="4" t="s">
        <v>24</v>
      </c>
    </row>
    <row r="1249" spans="1:11" x14ac:dyDescent="0.2">
      <c r="A1249" s="4" t="s">
        <v>2635</v>
      </c>
      <c r="B1249" s="4" t="s">
        <v>2636</v>
      </c>
      <c r="C1249" s="4" t="s">
        <v>13</v>
      </c>
      <c r="D1249" s="4" t="s">
        <v>2592</v>
      </c>
      <c r="E1249" s="4" t="s">
        <v>2593</v>
      </c>
      <c r="F1249" s="4" t="s">
        <v>2594</v>
      </c>
      <c r="G1249" s="1">
        <v>0.16700000000000001</v>
      </c>
      <c r="H1249" s="4" t="s">
        <v>229</v>
      </c>
      <c r="I1249" s="4" t="s">
        <v>1580</v>
      </c>
      <c r="J1249" s="4" t="s">
        <v>1777</v>
      </c>
      <c r="K1249" s="4" t="s">
        <v>24</v>
      </c>
    </row>
    <row r="1250" spans="1:11" x14ac:dyDescent="0.2">
      <c r="A1250" s="4" t="s">
        <v>2637</v>
      </c>
      <c r="B1250" s="4" t="s">
        <v>2638</v>
      </c>
      <c r="C1250" s="4" t="s">
        <v>13</v>
      </c>
      <c r="D1250" s="4" t="s">
        <v>2592</v>
      </c>
      <c r="E1250" s="4" t="s">
        <v>2593</v>
      </c>
      <c r="F1250" s="4" t="s">
        <v>2594</v>
      </c>
      <c r="G1250" s="1">
        <v>0.13300000000000001</v>
      </c>
      <c r="H1250" s="4" t="s">
        <v>112</v>
      </c>
      <c r="I1250" s="4" t="s">
        <v>1580</v>
      </c>
      <c r="J1250" s="4" t="s">
        <v>1777</v>
      </c>
      <c r="K1250" s="4" t="s">
        <v>24</v>
      </c>
    </row>
    <row r="1251" spans="1:11" x14ac:dyDescent="0.2">
      <c r="A1251" s="4" t="s">
        <v>2639</v>
      </c>
      <c r="B1251" s="4" t="s">
        <v>2640</v>
      </c>
      <c r="C1251" s="4" t="s">
        <v>13</v>
      </c>
      <c r="D1251" s="4" t="s">
        <v>2592</v>
      </c>
      <c r="E1251" s="4" t="s">
        <v>2593</v>
      </c>
      <c r="F1251" s="4" t="s">
        <v>2594</v>
      </c>
      <c r="G1251" s="1">
        <v>0.2</v>
      </c>
      <c r="H1251" s="4" t="s">
        <v>232</v>
      </c>
      <c r="I1251" s="4" t="s">
        <v>1580</v>
      </c>
      <c r="J1251" s="4" t="s">
        <v>1777</v>
      </c>
      <c r="K1251" s="4" t="s">
        <v>1868</v>
      </c>
    </row>
    <row r="1252" spans="1:11" x14ac:dyDescent="0.2">
      <c r="A1252" s="4" t="s">
        <v>2641</v>
      </c>
      <c r="B1252" s="4" t="s">
        <v>2642</v>
      </c>
      <c r="C1252" s="4" t="s">
        <v>13</v>
      </c>
      <c r="D1252" s="4" t="s">
        <v>2592</v>
      </c>
      <c r="E1252" s="4" t="s">
        <v>2593</v>
      </c>
      <c r="F1252" s="4" t="s">
        <v>2594</v>
      </c>
      <c r="G1252" s="1">
        <v>0.13300000000000001</v>
      </c>
      <c r="H1252" s="4" t="s">
        <v>112</v>
      </c>
      <c r="I1252" s="4" t="s">
        <v>1580</v>
      </c>
      <c r="J1252" s="4" t="s">
        <v>1777</v>
      </c>
      <c r="K1252" s="4" t="s">
        <v>1788</v>
      </c>
    </row>
    <row r="1253" spans="1:11" x14ac:dyDescent="0.2">
      <c r="A1253" s="4" t="s">
        <v>2643</v>
      </c>
      <c r="B1253" s="4" t="s">
        <v>2644</v>
      </c>
      <c r="C1253" s="4" t="s">
        <v>13</v>
      </c>
      <c r="D1253" s="4" t="s">
        <v>2592</v>
      </c>
      <c r="E1253" s="4" t="s">
        <v>2593</v>
      </c>
      <c r="F1253" s="4" t="s">
        <v>2594</v>
      </c>
      <c r="G1253" s="1">
        <v>8.3000000000000004E-2</v>
      </c>
      <c r="H1253" s="4" t="s">
        <v>1867</v>
      </c>
      <c r="I1253" s="4" t="s">
        <v>1580</v>
      </c>
      <c r="J1253" s="4" t="s">
        <v>1777</v>
      </c>
      <c r="K1253" s="4" t="s">
        <v>24</v>
      </c>
    </row>
    <row r="1254" spans="1:11" x14ac:dyDescent="0.2">
      <c r="A1254" s="4" t="s">
        <v>2645</v>
      </c>
      <c r="B1254" s="4" t="s">
        <v>2646</v>
      </c>
      <c r="C1254" s="4" t="s">
        <v>13</v>
      </c>
      <c r="D1254" s="4" t="s">
        <v>2647</v>
      </c>
      <c r="E1254" s="4" t="s">
        <v>2648</v>
      </c>
      <c r="F1254" s="4" t="s">
        <v>2594</v>
      </c>
      <c r="G1254" s="1">
        <v>0.13300000000000001</v>
      </c>
      <c r="H1254" s="4" t="s">
        <v>112</v>
      </c>
      <c r="I1254" s="4" t="s">
        <v>1580</v>
      </c>
      <c r="J1254" s="4" t="s">
        <v>2649</v>
      </c>
      <c r="K1254" s="4" t="s">
        <v>24</v>
      </c>
    </row>
    <row r="1255" spans="1:11" x14ac:dyDescent="0.2">
      <c r="A1255" s="4" t="s">
        <v>2650</v>
      </c>
      <c r="B1255" s="4" t="s">
        <v>2651</v>
      </c>
      <c r="C1255" s="4" t="s">
        <v>13</v>
      </c>
      <c r="D1255" s="4" t="s">
        <v>2647</v>
      </c>
      <c r="E1255" s="4" t="s">
        <v>2648</v>
      </c>
      <c r="F1255" s="4" t="s">
        <v>2594</v>
      </c>
      <c r="G1255" s="1">
        <v>0.16700000000000001</v>
      </c>
      <c r="H1255" s="4" t="s">
        <v>229</v>
      </c>
      <c r="I1255" s="4" t="s">
        <v>1580</v>
      </c>
      <c r="J1255" s="4" t="s">
        <v>2649</v>
      </c>
      <c r="K1255" s="4" t="s">
        <v>24</v>
      </c>
    </row>
    <row r="1256" spans="1:11" x14ac:dyDescent="0.2">
      <c r="A1256" s="4" t="s">
        <v>2652</v>
      </c>
      <c r="B1256" s="4" t="s">
        <v>2653</v>
      </c>
      <c r="C1256" s="4" t="s">
        <v>13</v>
      </c>
      <c r="D1256" s="4" t="s">
        <v>2647</v>
      </c>
      <c r="E1256" s="4" t="s">
        <v>2648</v>
      </c>
      <c r="F1256" s="4" t="s">
        <v>2594</v>
      </c>
      <c r="G1256" s="1">
        <v>0.16700000000000001</v>
      </c>
      <c r="H1256" s="4" t="s">
        <v>229</v>
      </c>
      <c r="I1256" s="4" t="s">
        <v>1580</v>
      </c>
      <c r="J1256" s="4" t="s">
        <v>2649</v>
      </c>
      <c r="K1256" s="4" t="s">
        <v>24</v>
      </c>
    </row>
    <row r="1257" spans="1:11" x14ac:dyDescent="0.2">
      <c r="A1257" s="4" t="s">
        <v>2654</v>
      </c>
      <c r="B1257" s="4" t="s">
        <v>2655</v>
      </c>
      <c r="C1257" s="4" t="s">
        <v>13</v>
      </c>
      <c r="D1257" s="4" t="s">
        <v>2647</v>
      </c>
      <c r="E1257" s="4" t="s">
        <v>2648</v>
      </c>
      <c r="F1257" s="4" t="s">
        <v>2594</v>
      </c>
      <c r="G1257" s="1">
        <v>0.16700000000000001</v>
      </c>
      <c r="H1257" s="4" t="s">
        <v>229</v>
      </c>
      <c r="I1257" s="4" t="s">
        <v>1580</v>
      </c>
      <c r="J1257" s="4" t="s">
        <v>2649</v>
      </c>
      <c r="K1257" s="4" t="s">
        <v>24</v>
      </c>
    </row>
    <row r="1258" spans="1:11" x14ac:dyDescent="0.2">
      <c r="A1258" s="4" t="s">
        <v>2656</v>
      </c>
      <c r="B1258" s="4" t="s">
        <v>2657</v>
      </c>
      <c r="C1258" s="4" t="s">
        <v>49</v>
      </c>
      <c r="D1258" s="4" t="s">
        <v>2647</v>
      </c>
      <c r="E1258" s="4" t="s">
        <v>2648</v>
      </c>
      <c r="F1258" s="4" t="s">
        <v>2594</v>
      </c>
      <c r="G1258" s="1">
        <v>0</v>
      </c>
      <c r="H1258" s="4" t="s">
        <v>254</v>
      </c>
      <c r="I1258" s="4" t="s">
        <v>1580</v>
      </c>
      <c r="J1258" s="4" t="s">
        <v>2649</v>
      </c>
      <c r="K1258" s="4" t="s">
        <v>24</v>
      </c>
    </row>
    <row r="1259" spans="1:11" x14ac:dyDescent="0.2">
      <c r="A1259" s="4" t="s">
        <v>2658</v>
      </c>
      <c r="B1259" s="4" t="s">
        <v>2659</v>
      </c>
      <c r="C1259" s="4" t="s">
        <v>13</v>
      </c>
      <c r="D1259" s="4" t="s">
        <v>2647</v>
      </c>
      <c r="E1259" s="4" t="s">
        <v>2648</v>
      </c>
      <c r="F1259" s="4" t="s">
        <v>2594</v>
      </c>
      <c r="G1259" s="1">
        <v>6.7000000000000004E-2</v>
      </c>
      <c r="H1259" s="4" t="s">
        <v>166</v>
      </c>
      <c r="I1259" s="4" t="s">
        <v>1580</v>
      </c>
      <c r="J1259" s="4" t="s">
        <v>2649</v>
      </c>
      <c r="K1259" s="4" t="s">
        <v>24</v>
      </c>
    </row>
    <row r="1260" spans="1:11" x14ac:dyDescent="0.2">
      <c r="A1260" s="4" t="s">
        <v>2660</v>
      </c>
      <c r="B1260" s="4" t="s">
        <v>2661</v>
      </c>
      <c r="C1260" s="4" t="s">
        <v>13</v>
      </c>
      <c r="D1260" s="4" t="s">
        <v>2647</v>
      </c>
      <c r="E1260" s="4" t="s">
        <v>2648</v>
      </c>
      <c r="F1260" s="4" t="s">
        <v>2594</v>
      </c>
      <c r="G1260" s="1">
        <v>0.16700000000000001</v>
      </c>
      <c r="H1260" s="4" t="s">
        <v>229</v>
      </c>
      <c r="I1260" s="4" t="s">
        <v>1580</v>
      </c>
      <c r="J1260" s="4" t="s">
        <v>2649</v>
      </c>
      <c r="K1260" s="4" t="s">
        <v>24</v>
      </c>
    </row>
    <row r="1261" spans="1:11" x14ac:dyDescent="0.2">
      <c r="A1261" s="4" t="s">
        <v>2662</v>
      </c>
      <c r="B1261" s="4" t="s">
        <v>2663</v>
      </c>
      <c r="C1261" s="4" t="s">
        <v>13</v>
      </c>
      <c r="D1261" s="4" t="s">
        <v>2647</v>
      </c>
      <c r="E1261" s="4" t="s">
        <v>2648</v>
      </c>
      <c r="F1261" s="4" t="s">
        <v>2594</v>
      </c>
      <c r="G1261" s="1">
        <v>0</v>
      </c>
      <c r="H1261" s="4" t="s">
        <v>254</v>
      </c>
      <c r="I1261" s="4" t="s">
        <v>1580</v>
      </c>
      <c r="J1261" s="4" t="s">
        <v>2649</v>
      </c>
      <c r="K1261" s="4" t="s">
        <v>24</v>
      </c>
    </row>
    <row r="1262" spans="1:11" x14ac:dyDescent="0.2">
      <c r="A1262" s="4" t="s">
        <v>2664</v>
      </c>
      <c r="B1262" s="4" t="s">
        <v>2665</v>
      </c>
      <c r="C1262" s="4" t="s">
        <v>13</v>
      </c>
      <c r="D1262" s="4" t="s">
        <v>2647</v>
      </c>
      <c r="E1262" s="4" t="s">
        <v>2648</v>
      </c>
      <c r="F1262" s="4" t="s">
        <v>2594</v>
      </c>
      <c r="G1262" s="1">
        <v>6.7000000000000004E-2</v>
      </c>
      <c r="H1262" s="4" t="s">
        <v>166</v>
      </c>
      <c r="I1262" s="4" t="s">
        <v>1580</v>
      </c>
      <c r="J1262" s="4" t="s">
        <v>2649</v>
      </c>
      <c r="K1262" s="4" t="s">
        <v>24</v>
      </c>
    </row>
    <row r="1263" spans="1:11" x14ac:dyDescent="0.2">
      <c r="A1263" s="4" t="s">
        <v>2666</v>
      </c>
      <c r="B1263" s="4" t="s">
        <v>2667</v>
      </c>
      <c r="C1263" s="4" t="s">
        <v>13</v>
      </c>
      <c r="D1263" s="4" t="s">
        <v>2647</v>
      </c>
      <c r="E1263" s="4" t="s">
        <v>2648</v>
      </c>
      <c r="F1263" s="4" t="s">
        <v>2594</v>
      </c>
      <c r="G1263" s="1">
        <v>0.16700000000000001</v>
      </c>
      <c r="H1263" s="4" t="s">
        <v>229</v>
      </c>
      <c r="I1263" s="4" t="s">
        <v>1580</v>
      </c>
      <c r="J1263" s="4" t="s">
        <v>2649</v>
      </c>
      <c r="K1263" s="4" t="s">
        <v>24</v>
      </c>
    </row>
    <row r="1264" spans="1:11" x14ac:dyDescent="0.2">
      <c r="A1264" s="4" t="s">
        <v>2668</v>
      </c>
      <c r="B1264" s="4" t="s">
        <v>2669</v>
      </c>
      <c r="C1264" s="4" t="s">
        <v>13</v>
      </c>
      <c r="D1264" s="4" t="s">
        <v>2647</v>
      </c>
      <c r="E1264" s="4" t="s">
        <v>2648</v>
      </c>
      <c r="F1264" s="4" t="s">
        <v>2594</v>
      </c>
      <c r="G1264" s="1">
        <v>0.16700000000000001</v>
      </c>
      <c r="H1264" s="4" t="s">
        <v>229</v>
      </c>
      <c r="I1264" s="4" t="s">
        <v>1580</v>
      </c>
      <c r="J1264" s="4" t="s">
        <v>2649</v>
      </c>
      <c r="K1264" s="4" t="s">
        <v>24</v>
      </c>
    </row>
    <row r="1265" spans="1:11" x14ac:dyDescent="0.2">
      <c r="A1265" s="4" t="s">
        <v>2670</v>
      </c>
      <c r="B1265" s="4" t="s">
        <v>2671</v>
      </c>
      <c r="C1265" s="4" t="s">
        <v>13</v>
      </c>
      <c r="D1265" s="4" t="s">
        <v>2647</v>
      </c>
      <c r="E1265" s="4" t="s">
        <v>2648</v>
      </c>
      <c r="F1265" s="4" t="s">
        <v>2594</v>
      </c>
      <c r="G1265" s="1">
        <v>0.16700000000000001</v>
      </c>
      <c r="H1265" s="4" t="s">
        <v>229</v>
      </c>
      <c r="I1265" s="4" t="s">
        <v>1580</v>
      </c>
      <c r="J1265" s="4" t="s">
        <v>2649</v>
      </c>
      <c r="K1265" s="4" t="s">
        <v>24</v>
      </c>
    </row>
    <row r="1266" spans="1:11" x14ac:dyDescent="0.2">
      <c r="A1266" s="4" t="s">
        <v>2672</v>
      </c>
      <c r="B1266" s="4" t="s">
        <v>2673</v>
      </c>
      <c r="C1266" s="4" t="s">
        <v>13</v>
      </c>
      <c r="D1266" s="4" t="s">
        <v>2647</v>
      </c>
      <c r="E1266" s="4" t="s">
        <v>2648</v>
      </c>
      <c r="F1266" s="4" t="s">
        <v>2594</v>
      </c>
      <c r="G1266" s="1">
        <v>0.1</v>
      </c>
      <c r="H1266" s="4" t="s">
        <v>117</v>
      </c>
      <c r="I1266" s="4" t="s">
        <v>1580</v>
      </c>
      <c r="J1266" s="4" t="s">
        <v>2649</v>
      </c>
      <c r="K1266" s="4" t="s">
        <v>24</v>
      </c>
    </row>
    <row r="1267" spans="1:11" x14ac:dyDescent="0.2">
      <c r="A1267" s="4" t="s">
        <v>2674</v>
      </c>
      <c r="B1267" s="4" t="s">
        <v>2675</v>
      </c>
      <c r="C1267" s="4" t="s">
        <v>13</v>
      </c>
      <c r="D1267" s="4" t="s">
        <v>2647</v>
      </c>
      <c r="E1267" s="4" t="s">
        <v>2648</v>
      </c>
      <c r="F1267" s="4" t="s">
        <v>2594</v>
      </c>
      <c r="G1267" s="1">
        <v>0.16700000000000001</v>
      </c>
      <c r="H1267" s="4" t="s">
        <v>229</v>
      </c>
      <c r="I1267" s="4" t="s">
        <v>1580</v>
      </c>
      <c r="J1267" s="4" t="s">
        <v>2649</v>
      </c>
      <c r="K1267" s="4" t="s">
        <v>24</v>
      </c>
    </row>
    <row r="1268" spans="1:11" x14ac:dyDescent="0.2">
      <c r="A1268" s="4" t="s">
        <v>2676</v>
      </c>
      <c r="B1268" s="4" t="s">
        <v>2677</v>
      </c>
      <c r="C1268" s="4" t="s">
        <v>13</v>
      </c>
      <c r="D1268" s="4" t="s">
        <v>2647</v>
      </c>
      <c r="E1268" s="4" t="s">
        <v>2648</v>
      </c>
      <c r="F1268" s="4" t="s">
        <v>2594</v>
      </c>
      <c r="G1268" s="1">
        <v>0</v>
      </c>
      <c r="H1268" s="4" t="s">
        <v>254</v>
      </c>
      <c r="I1268" s="4" t="s">
        <v>1580</v>
      </c>
      <c r="J1268" s="4" t="s">
        <v>2649</v>
      </c>
      <c r="K1268" s="4" t="s">
        <v>24</v>
      </c>
    </row>
    <row r="1269" spans="1:11" x14ac:dyDescent="0.2">
      <c r="A1269" s="4" t="s">
        <v>2643</v>
      </c>
      <c r="B1269" s="4" t="s">
        <v>2644</v>
      </c>
      <c r="C1269" s="4" t="s">
        <v>49</v>
      </c>
      <c r="D1269" s="4" t="s">
        <v>2647</v>
      </c>
      <c r="E1269" s="4" t="s">
        <v>2648</v>
      </c>
      <c r="F1269" s="4" t="s">
        <v>2594</v>
      </c>
      <c r="G1269" s="1">
        <v>8.3000000000000004E-2</v>
      </c>
      <c r="H1269" s="4" t="s">
        <v>1867</v>
      </c>
      <c r="I1269" s="4" t="s">
        <v>1580</v>
      </c>
      <c r="J1269" s="4" t="s">
        <v>2649</v>
      </c>
      <c r="K1269" s="4" t="s">
        <v>24</v>
      </c>
    </row>
    <row r="1270" spans="1:11" x14ac:dyDescent="0.2">
      <c r="A1270" s="4" t="s">
        <v>2678</v>
      </c>
      <c r="B1270" s="4" t="s">
        <v>2679</v>
      </c>
      <c r="C1270" s="4" t="s">
        <v>13</v>
      </c>
      <c r="D1270" s="4" t="s">
        <v>2647</v>
      </c>
      <c r="E1270" s="4" t="s">
        <v>2648</v>
      </c>
      <c r="F1270" s="4" t="s">
        <v>2594</v>
      </c>
      <c r="G1270" s="1">
        <v>0.16700000000000001</v>
      </c>
      <c r="H1270" s="4" t="s">
        <v>229</v>
      </c>
      <c r="I1270" s="4" t="s">
        <v>1580</v>
      </c>
      <c r="J1270" s="4" t="s">
        <v>2649</v>
      </c>
      <c r="K1270" s="4" t="s">
        <v>24</v>
      </c>
    </row>
    <row r="1271" spans="1:11" x14ac:dyDescent="0.2">
      <c r="A1271" s="4" t="s">
        <v>2680</v>
      </c>
      <c r="B1271" s="4" t="s">
        <v>2681</v>
      </c>
      <c r="C1271" s="4" t="s">
        <v>13</v>
      </c>
      <c r="D1271" s="4" t="s">
        <v>2647</v>
      </c>
      <c r="E1271" s="4" t="s">
        <v>2648</v>
      </c>
      <c r="F1271" s="4" t="s">
        <v>2594</v>
      </c>
      <c r="G1271" s="1">
        <v>0.16700000000000001</v>
      </c>
      <c r="H1271" s="4" t="s">
        <v>229</v>
      </c>
      <c r="I1271" s="4" t="s">
        <v>1580</v>
      </c>
      <c r="J1271" s="4" t="s">
        <v>2649</v>
      </c>
      <c r="K1271" s="4" t="s">
        <v>24</v>
      </c>
    </row>
    <row r="1272" spans="1:11" x14ac:dyDescent="0.2">
      <c r="A1272" s="4" t="s">
        <v>2682</v>
      </c>
      <c r="B1272" s="4" t="s">
        <v>2683</v>
      </c>
      <c r="C1272" s="4" t="s">
        <v>13</v>
      </c>
      <c r="D1272" s="4" t="s">
        <v>2647</v>
      </c>
      <c r="E1272" s="4" t="s">
        <v>2648</v>
      </c>
      <c r="F1272" s="4" t="s">
        <v>2594</v>
      </c>
      <c r="G1272" s="1">
        <v>0.13300000000000001</v>
      </c>
      <c r="H1272" s="4" t="s">
        <v>112</v>
      </c>
      <c r="I1272" s="4" t="s">
        <v>1580</v>
      </c>
      <c r="J1272" s="4" t="s">
        <v>2649</v>
      </c>
      <c r="K1272" s="4" t="s">
        <v>24</v>
      </c>
    </row>
    <row r="1273" spans="1:11" x14ac:dyDescent="0.2">
      <c r="A1273" s="4" t="s">
        <v>2684</v>
      </c>
      <c r="B1273" s="4" t="s">
        <v>2685</v>
      </c>
      <c r="C1273" s="4" t="s">
        <v>13</v>
      </c>
      <c r="D1273" s="4" t="s">
        <v>2647</v>
      </c>
      <c r="E1273" s="4" t="s">
        <v>2648</v>
      </c>
      <c r="F1273" s="4" t="s">
        <v>2594</v>
      </c>
      <c r="G1273" s="1">
        <v>0.16700000000000001</v>
      </c>
      <c r="H1273" s="4" t="s">
        <v>229</v>
      </c>
      <c r="I1273" s="4" t="s">
        <v>1580</v>
      </c>
      <c r="J1273" s="4" t="s">
        <v>2649</v>
      </c>
      <c r="K1273" s="4" t="s">
        <v>24</v>
      </c>
    </row>
    <row r="1274" spans="1:11" x14ac:dyDescent="0.2">
      <c r="A1274" s="4" t="s">
        <v>2686</v>
      </c>
      <c r="B1274" s="4" t="s">
        <v>2687</v>
      </c>
      <c r="C1274" s="4" t="s">
        <v>13</v>
      </c>
      <c r="D1274" s="4" t="s">
        <v>2647</v>
      </c>
      <c r="E1274" s="4" t="s">
        <v>2648</v>
      </c>
      <c r="F1274" s="4" t="s">
        <v>2594</v>
      </c>
      <c r="G1274" s="1">
        <v>6.7000000000000004E-2</v>
      </c>
      <c r="H1274" s="4" t="s">
        <v>166</v>
      </c>
      <c r="I1274" s="4" t="s">
        <v>1580</v>
      </c>
      <c r="J1274" s="4" t="s">
        <v>2649</v>
      </c>
      <c r="K1274" s="4" t="s">
        <v>24</v>
      </c>
    </row>
    <row r="1275" spans="1:11" x14ac:dyDescent="0.2">
      <c r="A1275" s="4" t="s">
        <v>2688</v>
      </c>
      <c r="B1275" s="4" t="s">
        <v>2689</v>
      </c>
      <c r="C1275" s="4" t="s">
        <v>13</v>
      </c>
      <c r="D1275" s="4" t="s">
        <v>2647</v>
      </c>
      <c r="E1275" s="4" t="s">
        <v>2648</v>
      </c>
      <c r="F1275" s="4" t="s">
        <v>2594</v>
      </c>
      <c r="G1275" s="1">
        <v>3.3000000000000002E-2</v>
      </c>
      <c r="H1275" s="4" t="s">
        <v>225</v>
      </c>
      <c r="I1275" s="4" t="s">
        <v>1580</v>
      </c>
      <c r="J1275" s="4" t="s">
        <v>2649</v>
      </c>
      <c r="K1275" s="4" t="s">
        <v>24</v>
      </c>
    </row>
    <row r="1276" spans="1:11" x14ac:dyDescent="0.2">
      <c r="A1276" s="4" t="s">
        <v>2690</v>
      </c>
      <c r="B1276" s="4" t="s">
        <v>2691</v>
      </c>
      <c r="C1276" s="4" t="s">
        <v>13</v>
      </c>
      <c r="D1276" s="4" t="s">
        <v>2647</v>
      </c>
      <c r="E1276" s="4" t="s">
        <v>2648</v>
      </c>
      <c r="F1276" s="4" t="s">
        <v>2594</v>
      </c>
      <c r="G1276" s="1">
        <v>0.13300000000000001</v>
      </c>
      <c r="H1276" s="4" t="s">
        <v>112</v>
      </c>
      <c r="I1276" s="4" t="s">
        <v>1580</v>
      </c>
      <c r="J1276" s="4" t="s">
        <v>2649</v>
      </c>
      <c r="K1276" s="4" t="s">
        <v>24</v>
      </c>
    </row>
    <row r="1277" spans="1:11" x14ac:dyDescent="0.2">
      <c r="A1277" s="4" t="s">
        <v>2692</v>
      </c>
      <c r="B1277" s="4" t="s">
        <v>2693</v>
      </c>
      <c r="C1277" s="4" t="s">
        <v>13</v>
      </c>
      <c r="D1277" s="4" t="s">
        <v>2647</v>
      </c>
      <c r="E1277" s="4" t="s">
        <v>2648</v>
      </c>
      <c r="F1277" s="4" t="s">
        <v>2594</v>
      </c>
      <c r="G1277" s="1">
        <v>0.1</v>
      </c>
      <c r="H1277" s="4" t="s">
        <v>117</v>
      </c>
      <c r="I1277" s="4" t="s">
        <v>1580</v>
      </c>
      <c r="J1277" s="4" t="s">
        <v>2649</v>
      </c>
      <c r="K1277" s="4" t="s">
        <v>1989</v>
      </c>
    </row>
    <row r="1278" spans="1:11" x14ac:dyDescent="0.2">
      <c r="A1278" s="4" t="s">
        <v>2694</v>
      </c>
      <c r="B1278" s="4" t="s">
        <v>2695</v>
      </c>
      <c r="C1278" s="4" t="s">
        <v>13</v>
      </c>
      <c r="D1278" s="4" t="s">
        <v>2696</v>
      </c>
      <c r="E1278" s="4" t="s">
        <v>2697</v>
      </c>
      <c r="F1278" s="4" t="s">
        <v>750</v>
      </c>
      <c r="G1278" s="1">
        <v>6.7000000000000004E-2</v>
      </c>
      <c r="H1278" s="4" t="s">
        <v>166</v>
      </c>
      <c r="I1278" s="4" t="s">
        <v>1580</v>
      </c>
      <c r="J1278" s="4" t="s">
        <v>2451</v>
      </c>
      <c r="K1278" s="4" t="s">
        <v>2078</v>
      </c>
    </row>
    <row r="1279" spans="1:11" x14ac:dyDescent="0.2">
      <c r="A1279" s="4" t="s">
        <v>2698</v>
      </c>
      <c r="B1279" s="4" t="s">
        <v>2699</v>
      </c>
      <c r="C1279" s="4" t="s">
        <v>13</v>
      </c>
      <c r="D1279" s="4" t="s">
        <v>2696</v>
      </c>
      <c r="E1279" s="4" t="s">
        <v>2697</v>
      </c>
      <c r="F1279" s="4" t="s">
        <v>750</v>
      </c>
      <c r="G1279" s="1">
        <v>6.7000000000000004E-2</v>
      </c>
      <c r="H1279" s="4" t="s">
        <v>166</v>
      </c>
      <c r="I1279" s="4" t="s">
        <v>1580</v>
      </c>
      <c r="J1279" s="4" t="s">
        <v>2451</v>
      </c>
      <c r="K1279" s="4" t="s">
        <v>24</v>
      </c>
    </row>
    <row r="1280" spans="1:11" x14ac:dyDescent="0.2">
      <c r="A1280" s="4" t="s">
        <v>2700</v>
      </c>
      <c r="B1280" s="4" t="s">
        <v>2701</v>
      </c>
      <c r="C1280" s="4" t="s">
        <v>13</v>
      </c>
      <c r="D1280" s="4" t="s">
        <v>2696</v>
      </c>
      <c r="E1280" s="4" t="s">
        <v>2697</v>
      </c>
      <c r="F1280" s="4" t="s">
        <v>750</v>
      </c>
      <c r="G1280" s="1">
        <v>6.7000000000000004E-2</v>
      </c>
      <c r="H1280" s="4" t="s">
        <v>166</v>
      </c>
      <c r="I1280" s="4" t="s">
        <v>1580</v>
      </c>
      <c r="J1280" s="4" t="s">
        <v>2451</v>
      </c>
      <c r="K1280" s="4" t="s">
        <v>24</v>
      </c>
    </row>
    <row r="1281" spans="1:11" x14ac:dyDescent="0.2">
      <c r="A1281" s="4" t="s">
        <v>2702</v>
      </c>
      <c r="B1281" s="4" t="s">
        <v>2703</v>
      </c>
      <c r="C1281" s="4" t="s">
        <v>13</v>
      </c>
      <c r="D1281" s="4" t="s">
        <v>2696</v>
      </c>
      <c r="E1281" s="4" t="s">
        <v>2697</v>
      </c>
      <c r="F1281" s="4" t="s">
        <v>750</v>
      </c>
      <c r="G1281" s="1">
        <v>0</v>
      </c>
      <c r="H1281" s="4" t="s">
        <v>254</v>
      </c>
      <c r="I1281" s="4" t="s">
        <v>1580</v>
      </c>
      <c r="J1281" s="4" t="s">
        <v>2451</v>
      </c>
      <c r="K1281" s="4" t="s">
        <v>24</v>
      </c>
    </row>
    <row r="1282" spans="1:11" x14ac:dyDescent="0.2">
      <c r="A1282" s="4" t="s">
        <v>2704</v>
      </c>
      <c r="B1282" s="4" t="s">
        <v>2705</v>
      </c>
      <c r="C1282" s="4" t="s">
        <v>13</v>
      </c>
      <c r="D1282" s="4" t="s">
        <v>2696</v>
      </c>
      <c r="E1282" s="4" t="s">
        <v>2697</v>
      </c>
      <c r="F1282" s="4" t="s">
        <v>750</v>
      </c>
      <c r="G1282" s="1">
        <v>0</v>
      </c>
      <c r="H1282" s="4" t="s">
        <v>254</v>
      </c>
      <c r="I1282" s="4" t="s">
        <v>1580</v>
      </c>
      <c r="J1282" s="4" t="s">
        <v>2451</v>
      </c>
      <c r="K1282" s="4" t="s">
        <v>24</v>
      </c>
    </row>
    <row r="1283" spans="1:11" x14ac:dyDescent="0.2">
      <c r="A1283" s="4" t="s">
        <v>2706</v>
      </c>
      <c r="B1283" s="4" t="s">
        <v>2707</v>
      </c>
      <c r="C1283" s="4" t="s">
        <v>13</v>
      </c>
      <c r="D1283" s="4" t="s">
        <v>2696</v>
      </c>
      <c r="E1283" s="4" t="s">
        <v>2697</v>
      </c>
      <c r="F1283" s="4" t="s">
        <v>750</v>
      </c>
      <c r="G1283" s="1">
        <v>0</v>
      </c>
      <c r="H1283" s="4" t="s">
        <v>254</v>
      </c>
      <c r="I1283" s="4" t="s">
        <v>1580</v>
      </c>
      <c r="J1283" s="4" t="s">
        <v>2451</v>
      </c>
      <c r="K1283" s="4" t="s">
        <v>24</v>
      </c>
    </row>
    <row r="1284" spans="1:11" x14ac:dyDescent="0.2">
      <c r="A1284" s="4" t="s">
        <v>2708</v>
      </c>
      <c r="B1284" s="4" t="s">
        <v>2709</v>
      </c>
      <c r="C1284" s="4" t="s">
        <v>13</v>
      </c>
      <c r="D1284" s="4" t="s">
        <v>2696</v>
      </c>
      <c r="E1284" s="4" t="s">
        <v>2697</v>
      </c>
      <c r="F1284" s="4" t="s">
        <v>750</v>
      </c>
      <c r="G1284" s="1">
        <v>6.7000000000000004E-2</v>
      </c>
      <c r="H1284" s="4" t="s">
        <v>166</v>
      </c>
      <c r="I1284" s="4" t="s">
        <v>1580</v>
      </c>
      <c r="J1284" s="4" t="s">
        <v>2451</v>
      </c>
      <c r="K1284" s="4" t="s">
        <v>24</v>
      </c>
    </row>
    <row r="1285" spans="1:11" x14ac:dyDescent="0.2">
      <c r="A1285" s="4" t="s">
        <v>2710</v>
      </c>
      <c r="B1285" s="4" t="s">
        <v>2711</v>
      </c>
      <c r="C1285" s="4" t="s">
        <v>13</v>
      </c>
      <c r="D1285" s="4" t="s">
        <v>2696</v>
      </c>
      <c r="E1285" s="4" t="s">
        <v>2697</v>
      </c>
      <c r="F1285" s="4" t="s">
        <v>750</v>
      </c>
      <c r="G1285" s="1">
        <v>6.7000000000000004E-2</v>
      </c>
      <c r="H1285" s="4" t="s">
        <v>166</v>
      </c>
      <c r="I1285" s="4" t="s">
        <v>1580</v>
      </c>
      <c r="J1285" s="4" t="s">
        <v>2451</v>
      </c>
      <c r="K1285" s="4" t="s">
        <v>24</v>
      </c>
    </row>
    <row r="1286" spans="1:11" x14ac:dyDescent="0.2">
      <c r="A1286" s="4" t="s">
        <v>2712</v>
      </c>
      <c r="B1286" s="4" t="s">
        <v>2713</v>
      </c>
      <c r="C1286" s="4" t="s">
        <v>13</v>
      </c>
      <c r="D1286" s="4" t="s">
        <v>2696</v>
      </c>
      <c r="E1286" s="4" t="s">
        <v>2697</v>
      </c>
      <c r="F1286" s="4" t="s">
        <v>750</v>
      </c>
      <c r="G1286" s="1">
        <v>0</v>
      </c>
      <c r="H1286" s="4" t="s">
        <v>254</v>
      </c>
      <c r="I1286" s="4" t="s">
        <v>1580</v>
      </c>
      <c r="J1286" s="4" t="s">
        <v>2451</v>
      </c>
      <c r="K1286" s="4" t="s">
        <v>24</v>
      </c>
    </row>
    <row r="1287" spans="1:11" x14ac:dyDescent="0.2">
      <c r="A1287" s="4" t="s">
        <v>2714</v>
      </c>
      <c r="B1287" s="4" t="s">
        <v>2715</v>
      </c>
      <c r="C1287" s="4" t="s">
        <v>13</v>
      </c>
      <c r="D1287" s="4" t="s">
        <v>2696</v>
      </c>
      <c r="E1287" s="4" t="s">
        <v>2697</v>
      </c>
      <c r="F1287" s="4" t="s">
        <v>750</v>
      </c>
      <c r="G1287" s="1">
        <v>6.7000000000000004E-2</v>
      </c>
      <c r="H1287" s="4" t="s">
        <v>166</v>
      </c>
      <c r="I1287" s="4" t="s">
        <v>1580</v>
      </c>
      <c r="J1287" s="4" t="s">
        <v>2451</v>
      </c>
      <c r="K1287" s="4" t="s">
        <v>24</v>
      </c>
    </row>
    <row r="1288" spans="1:11" x14ac:dyDescent="0.2">
      <c r="A1288" s="4" t="s">
        <v>2716</v>
      </c>
      <c r="B1288" s="4" t="s">
        <v>2717</v>
      </c>
      <c r="C1288" s="4" t="s">
        <v>49</v>
      </c>
      <c r="D1288" s="4" t="s">
        <v>2696</v>
      </c>
      <c r="E1288" s="4" t="s">
        <v>2697</v>
      </c>
      <c r="F1288" s="4" t="s">
        <v>750</v>
      </c>
      <c r="G1288" s="1">
        <v>0</v>
      </c>
      <c r="H1288" s="4" t="s">
        <v>254</v>
      </c>
      <c r="I1288" s="4" t="s">
        <v>1580</v>
      </c>
      <c r="J1288" s="4" t="s">
        <v>2451</v>
      </c>
      <c r="K1288" s="4" t="s">
        <v>24</v>
      </c>
    </row>
    <row r="1289" spans="1:11" x14ac:dyDescent="0.2">
      <c r="A1289" s="4" t="s">
        <v>2718</v>
      </c>
      <c r="B1289" s="4" t="s">
        <v>2719</v>
      </c>
      <c r="C1289" s="4" t="s">
        <v>13</v>
      </c>
      <c r="D1289" s="4" t="s">
        <v>2696</v>
      </c>
      <c r="E1289" s="4" t="s">
        <v>2697</v>
      </c>
      <c r="F1289" s="4" t="s">
        <v>750</v>
      </c>
      <c r="G1289" s="1">
        <v>6.7000000000000004E-2</v>
      </c>
      <c r="H1289" s="4" t="s">
        <v>166</v>
      </c>
      <c r="I1289" s="4" t="s">
        <v>1580</v>
      </c>
      <c r="J1289" s="4" t="s">
        <v>2451</v>
      </c>
      <c r="K1289" s="4" t="s">
        <v>24</v>
      </c>
    </row>
    <row r="1290" spans="1:11" x14ac:dyDescent="0.2">
      <c r="A1290" s="4" t="s">
        <v>2720</v>
      </c>
      <c r="B1290" s="4" t="s">
        <v>2721</v>
      </c>
      <c r="C1290" s="4" t="s">
        <v>13</v>
      </c>
      <c r="D1290" s="4" t="s">
        <v>2696</v>
      </c>
      <c r="E1290" s="4" t="s">
        <v>2697</v>
      </c>
      <c r="F1290" s="4" t="s">
        <v>750</v>
      </c>
      <c r="G1290" s="1">
        <v>6.7000000000000004E-2</v>
      </c>
      <c r="H1290" s="4" t="s">
        <v>166</v>
      </c>
      <c r="I1290" s="4" t="s">
        <v>1580</v>
      </c>
      <c r="J1290" s="4" t="s">
        <v>2451</v>
      </c>
      <c r="K1290" s="4" t="s">
        <v>24</v>
      </c>
    </row>
    <row r="1291" spans="1:11" x14ac:dyDescent="0.2">
      <c r="A1291" s="4" t="s">
        <v>2722</v>
      </c>
      <c r="B1291" s="4" t="s">
        <v>2723</v>
      </c>
      <c r="C1291" s="4" t="s">
        <v>13</v>
      </c>
      <c r="D1291" s="4" t="s">
        <v>2696</v>
      </c>
      <c r="E1291" s="4" t="s">
        <v>2697</v>
      </c>
      <c r="F1291" s="4" t="s">
        <v>750</v>
      </c>
      <c r="G1291" s="1">
        <v>0</v>
      </c>
      <c r="H1291" s="4" t="s">
        <v>254</v>
      </c>
      <c r="I1291" s="4" t="s">
        <v>1580</v>
      </c>
      <c r="J1291" s="4" t="s">
        <v>2451</v>
      </c>
      <c r="K1291" s="4" t="s">
        <v>24</v>
      </c>
    </row>
    <row r="1292" spans="1:11" x14ac:dyDescent="0.2">
      <c r="A1292" s="4" t="s">
        <v>2724</v>
      </c>
      <c r="B1292" s="4" t="s">
        <v>2725</v>
      </c>
      <c r="C1292" s="4" t="s">
        <v>13</v>
      </c>
      <c r="D1292" s="4" t="s">
        <v>2696</v>
      </c>
      <c r="E1292" s="4" t="s">
        <v>2697</v>
      </c>
      <c r="F1292" s="4" t="s">
        <v>750</v>
      </c>
      <c r="G1292" s="1">
        <v>6.7000000000000004E-2</v>
      </c>
      <c r="H1292" s="4" t="s">
        <v>166</v>
      </c>
      <c r="I1292" s="4" t="s">
        <v>1580</v>
      </c>
      <c r="J1292" s="4" t="s">
        <v>2451</v>
      </c>
      <c r="K1292" s="4" t="s">
        <v>24</v>
      </c>
    </row>
    <row r="1293" spans="1:11" x14ac:dyDescent="0.2">
      <c r="A1293" s="4" t="s">
        <v>2726</v>
      </c>
      <c r="B1293" s="4" t="s">
        <v>2727</v>
      </c>
      <c r="C1293" s="4" t="s">
        <v>13</v>
      </c>
      <c r="D1293" s="4" t="s">
        <v>2696</v>
      </c>
      <c r="E1293" s="4" t="s">
        <v>2697</v>
      </c>
      <c r="F1293" s="4" t="s">
        <v>750</v>
      </c>
      <c r="G1293" s="1">
        <v>6.7000000000000004E-2</v>
      </c>
      <c r="H1293" s="4" t="s">
        <v>166</v>
      </c>
      <c r="I1293" s="4" t="s">
        <v>1580</v>
      </c>
      <c r="J1293" s="4" t="s">
        <v>2451</v>
      </c>
      <c r="K1293" s="4" t="s">
        <v>24</v>
      </c>
    </row>
    <row r="1294" spans="1:11" x14ac:dyDescent="0.2">
      <c r="A1294" s="4" t="s">
        <v>2728</v>
      </c>
      <c r="B1294" s="4" t="s">
        <v>2729</v>
      </c>
      <c r="C1294" s="4" t="s">
        <v>13</v>
      </c>
      <c r="D1294" s="4" t="s">
        <v>2696</v>
      </c>
      <c r="E1294" s="4" t="s">
        <v>2697</v>
      </c>
      <c r="F1294" s="4" t="s">
        <v>750</v>
      </c>
      <c r="G1294" s="1">
        <v>6.7000000000000004E-2</v>
      </c>
      <c r="H1294" s="4" t="s">
        <v>166</v>
      </c>
      <c r="I1294" s="4" t="s">
        <v>1580</v>
      </c>
      <c r="J1294" s="4" t="s">
        <v>2451</v>
      </c>
      <c r="K1294" s="4" t="s">
        <v>24</v>
      </c>
    </row>
    <row r="1295" spans="1:11" x14ac:dyDescent="0.2">
      <c r="A1295" s="4" t="s">
        <v>2730</v>
      </c>
      <c r="B1295" s="4" t="s">
        <v>2731</v>
      </c>
      <c r="C1295" s="4" t="s">
        <v>13</v>
      </c>
      <c r="D1295" s="4" t="s">
        <v>2696</v>
      </c>
      <c r="E1295" s="4" t="s">
        <v>2697</v>
      </c>
      <c r="F1295" s="4" t="s">
        <v>750</v>
      </c>
      <c r="G1295" s="1">
        <v>6.7000000000000004E-2</v>
      </c>
      <c r="H1295" s="4" t="s">
        <v>166</v>
      </c>
      <c r="I1295" s="4" t="s">
        <v>1580</v>
      </c>
      <c r="J1295" s="4" t="s">
        <v>2451</v>
      </c>
      <c r="K1295" s="4" t="s">
        <v>24</v>
      </c>
    </row>
    <row r="1296" spans="1:11" x14ac:dyDescent="0.2">
      <c r="A1296" s="4" t="s">
        <v>2732</v>
      </c>
      <c r="B1296" s="4" t="s">
        <v>2733</v>
      </c>
      <c r="C1296" s="4" t="s">
        <v>13</v>
      </c>
      <c r="D1296" s="4" t="s">
        <v>2696</v>
      </c>
      <c r="E1296" s="4" t="s">
        <v>2697</v>
      </c>
      <c r="F1296" s="4" t="s">
        <v>750</v>
      </c>
      <c r="G1296" s="1">
        <v>6.7000000000000004E-2</v>
      </c>
      <c r="H1296" s="4" t="s">
        <v>166</v>
      </c>
      <c r="I1296" s="4" t="s">
        <v>1580</v>
      </c>
      <c r="J1296" s="4" t="s">
        <v>2451</v>
      </c>
      <c r="K1296" s="4" t="s">
        <v>24</v>
      </c>
    </row>
    <row r="1297" spans="1:11" x14ac:dyDescent="0.2">
      <c r="A1297" s="4" t="s">
        <v>2734</v>
      </c>
      <c r="B1297" s="4" t="s">
        <v>2735</v>
      </c>
      <c r="C1297" s="4" t="s">
        <v>13</v>
      </c>
      <c r="D1297" s="4" t="s">
        <v>2696</v>
      </c>
      <c r="E1297" s="4" t="s">
        <v>2697</v>
      </c>
      <c r="F1297" s="4" t="s">
        <v>750</v>
      </c>
      <c r="G1297" s="1">
        <v>6.7000000000000004E-2</v>
      </c>
      <c r="H1297" s="4" t="s">
        <v>166</v>
      </c>
      <c r="I1297" s="4" t="s">
        <v>1580</v>
      </c>
      <c r="J1297" s="4" t="s">
        <v>2451</v>
      </c>
      <c r="K1297" s="4" t="s">
        <v>24</v>
      </c>
    </row>
    <row r="1298" spans="1:11" x14ac:dyDescent="0.2">
      <c r="A1298" s="4" t="s">
        <v>2736</v>
      </c>
      <c r="B1298" s="4" t="s">
        <v>2737</v>
      </c>
      <c r="C1298" s="4" t="s">
        <v>13</v>
      </c>
      <c r="D1298" s="4" t="s">
        <v>2696</v>
      </c>
      <c r="E1298" s="4" t="s">
        <v>2697</v>
      </c>
      <c r="F1298" s="4" t="s">
        <v>750</v>
      </c>
      <c r="G1298" s="1">
        <v>6.7000000000000004E-2</v>
      </c>
      <c r="H1298" s="4" t="s">
        <v>166</v>
      </c>
      <c r="I1298" s="4" t="s">
        <v>1580</v>
      </c>
      <c r="J1298" s="4" t="s">
        <v>2451</v>
      </c>
      <c r="K1298" s="4" t="s">
        <v>24</v>
      </c>
    </row>
    <row r="1299" spans="1:11" x14ac:dyDescent="0.2">
      <c r="A1299" s="4" t="s">
        <v>2738</v>
      </c>
      <c r="B1299" s="4" t="s">
        <v>2739</v>
      </c>
      <c r="C1299" s="4" t="s">
        <v>13</v>
      </c>
      <c r="D1299" s="4" t="s">
        <v>2696</v>
      </c>
      <c r="E1299" s="4" t="s">
        <v>2697</v>
      </c>
      <c r="F1299" s="4" t="s">
        <v>750</v>
      </c>
      <c r="G1299" s="1">
        <v>0</v>
      </c>
      <c r="H1299" s="4" t="s">
        <v>254</v>
      </c>
      <c r="I1299" s="4" t="s">
        <v>1580</v>
      </c>
      <c r="J1299" s="4" t="s">
        <v>2451</v>
      </c>
      <c r="K1299" s="4" t="s">
        <v>24</v>
      </c>
    </row>
    <row r="1300" spans="1:11" x14ac:dyDescent="0.2">
      <c r="A1300" s="4" t="s">
        <v>2740</v>
      </c>
      <c r="B1300" s="4" t="s">
        <v>2741</v>
      </c>
      <c r="C1300" s="4" t="s">
        <v>13</v>
      </c>
      <c r="D1300" s="4" t="s">
        <v>2696</v>
      </c>
      <c r="E1300" s="4" t="s">
        <v>2697</v>
      </c>
      <c r="F1300" s="4" t="s">
        <v>750</v>
      </c>
      <c r="G1300" s="1">
        <v>6.7000000000000004E-2</v>
      </c>
      <c r="H1300" s="4" t="s">
        <v>166</v>
      </c>
      <c r="I1300" s="4" t="s">
        <v>1580</v>
      </c>
      <c r="J1300" s="4" t="s">
        <v>2451</v>
      </c>
      <c r="K1300" s="4" t="s">
        <v>24</v>
      </c>
    </row>
    <row r="1301" spans="1:11" x14ac:dyDescent="0.2">
      <c r="A1301" s="4" t="s">
        <v>2742</v>
      </c>
      <c r="B1301" s="4" t="s">
        <v>2743</v>
      </c>
      <c r="C1301" s="4" t="s">
        <v>13</v>
      </c>
      <c r="D1301" s="4" t="s">
        <v>2696</v>
      </c>
      <c r="E1301" s="4" t="s">
        <v>2697</v>
      </c>
      <c r="F1301" s="4" t="s">
        <v>750</v>
      </c>
      <c r="G1301" s="1">
        <v>6.7000000000000004E-2</v>
      </c>
      <c r="H1301" s="4" t="s">
        <v>166</v>
      </c>
      <c r="I1301" s="4" t="s">
        <v>1580</v>
      </c>
      <c r="J1301" s="4" t="s">
        <v>2451</v>
      </c>
      <c r="K1301" s="4" t="s">
        <v>24</v>
      </c>
    </row>
    <row r="1302" spans="1:11" x14ac:dyDescent="0.2">
      <c r="A1302" s="4" t="s">
        <v>801</v>
      </c>
      <c r="B1302" s="4" t="s">
        <v>802</v>
      </c>
      <c r="C1302" s="4" t="s">
        <v>49</v>
      </c>
      <c r="D1302" s="4" t="s">
        <v>2696</v>
      </c>
      <c r="E1302" s="4" t="s">
        <v>2697</v>
      </c>
      <c r="F1302" s="4" t="s">
        <v>750</v>
      </c>
      <c r="G1302" s="1">
        <v>6.7000000000000004E-2</v>
      </c>
      <c r="H1302" s="4" t="s">
        <v>166</v>
      </c>
      <c r="I1302" s="4" t="s">
        <v>1580</v>
      </c>
      <c r="J1302" s="4" t="s">
        <v>2451</v>
      </c>
      <c r="K1302" s="4" t="s">
        <v>24</v>
      </c>
    </row>
    <row r="1303" spans="1:11" x14ac:dyDescent="0.2">
      <c r="A1303" s="4" t="s">
        <v>2744</v>
      </c>
      <c r="B1303" s="4" t="s">
        <v>2745</v>
      </c>
      <c r="C1303" s="4" t="s">
        <v>13</v>
      </c>
      <c r="D1303" s="4" t="s">
        <v>2696</v>
      </c>
      <c r="E1303" s="4" t="s">
        <v>2697</v>
      </c>
      <c r="F1303" s="4" t="s">
        <v>750</v>
      </c>
      <c r="G1303" s="1">
        <v>0</v>
      </c>
      <c r="H1303" s="4" t="s">
        <v>254</v>
      </c>
      <c r="I1303" s="4" t="s">
        <v>1580</v>
      </c>
      <c r="J1303" s="4" t="s">
        <v>2451</v>
      </c>
      <c r="K1303" s="4" t="s">
        <v>24</v>
      </c>
    </row>
    <row r="1304" spans="1:11" x14ac:dyDescent="0.2">
      <c r="A1304" s="4" t="s">
        <v>2746</v>
      </c>
      <c r="B1304" s="4" t="s">
        <v>2747</v>
      </c>
      <c r="C1304" s="4" t="s">
        <v>13</v>
      </c>
      <c r="D1304" s="4" t="s">
        <v>2696</v>
      </c>
      <c r="E1304" s="4" t="s">
        <v>2697</v>
      </c>
      <c r="F1304" s="4" t="s">
        <v>750</v>
      </c>
      <c r="G1304" s="1">
        <v>6.7000000000000004E-2</v>
      </c>
      <c r="H1304" s="4" t="s">
        <v>166</v>
      </c>
      <c r="I1304" s="4" t="s">
        <v>1580</v>
      </c>
      <c r="J1304" s="4" t="s">
        <v>2451</v>
      </c>
      <c r="K1304" s="4" t="s">
        <v>24</v>
      </c>
    </row>
    <row r="1305" spans="1:11" x14ac:dyDescent="0.2">
      <c r="A1305" s="4" t="s">
        <v>2748</v>
      </c>
      <c r="B1305" s="4" t="s">
        <v>2749</v>
      </c>
      <c r="C1305" s="4" t="s">
        <v>13</v>
      </c>
      <c r="D1305" s="4" t="s">
        <v>2696</v>
      </c>
      <c r="E1305" s="4" t="s">
        <v>2697</v>
      </c>
      <c r="F1305" s="4" t="s">
        <v>750</v>
      </c>
      <c r="G1305" s="1">
        <v>6.7000000000000004E-2</v>
      </c>
      <c r="H1305" s="4" t="s">
        <v>166</v>
      </c>
      <c r="I1305" s="4" t="s">
        <v>1580</v>
      </c>
      <c r="J1305" s="4" t="s">
        <v>2451</v>
      </c>
      <c r="K1305" s="4" t="s">
        <v>24</v>
      </c>
    </row>
    <row r="1306" spans="1:11" x14ac:dyDescent="0.2">
      <c r="A1306" s="4" t="s">
        <v>2750</v>
      </c>
      <c r="B1306" s="4" t="s">
        <v>2751</v>
      </c>
      <c r="C1306" s="4" t="s">
        <v>13</v>
      </c>
      <c r="D1306" s="4" t="s">
        <v>2696</v>
      </c>
      <c r="E1306" s="4" t="s">
        <v>2697</v>
      </c>
      <c r="F1306" s="4" t="s">
        <v>750</v>
      </c>
      <c r="G1306" s="1">
        <v>0</v>
      </c>
      <c r="H1306" s="4" t="s">
        <v>254</v>
      </c>
      <c r="I1306" s="4" t="s">
        <v>1580</v>
      </c>
      <c r="J1306" s="4" t="s">
        <v>2451</v>
      </c>
      <c r="K1306" s="4" t="s">
        <v>24</v>
      </c>
    </row>
    <row r="1307" spans="1:11" x14ac:dyDescent="0.2">
      <c r="A1307" s="4" t="s">
        <v>2752</v>
      </c>
      <c r="B1307" s="4" t="s">
        <v>2753</v>
      </c>
      <c r="C1307" s="4" t="s">
        <v>13</v>
      </c>
      <c r="D1307" s="4" t="s">
        <v>2696</v>
      </c>
      <c r="E1307" s="4" t="s">
        <v>2697</v>
      </c>
      <c r="F1307" s="4" t="s">
        <v>750</v>
      </c>
      <c r="G1307" s="1">
        <v>0</v>
      </c>
      <c r="H1307" s="4" t="s">
        <v>254</v>
      </c>
      <c r="I1307" s="4" t="s">
        <v>1580</v>
      </c>
      <c r="J1307" s="4" t="s">
        <v>2451</v>
      </c>
      <c r="K1307" s="4" t="s">
        <v>24</v>
      </c>
    </row>
    <row r="1308" spans="1:11" x14ac:dyDescent="0.2">
      <c r="A1308" s="4" t="s">
        <v>2754</v>
      </c>
      <c r="B1308" s="4" t="s">
        <v>2755</v>
      </c>
      <c r="C1308" s="4" t="s">
        <v>49</v>
      </c>
      <c r="D1308" s="4" t="s">
        <v>2696</v>
      </c>
      <c r="E1308" s="4" t="s">
        <v>2697</v>
      </c>
      <c r="F1308" s="4" t="s">
        <v>750</v>
      </c>
      <c r="G1308" s="1">
        <v>0</v>
      </c>
      <c r="H1308" s="4" t="s">
        <v>254</v>
      </c>
      <c r="I1308" s="4" t="s">
        <v>1580</v>
      </c>
      <c r="J1308" s="4" t="s">
        <v>2451</v>
      </c>
      <c r="K1308" s="4" t="s">
        <v>24</v>
      </c>
    </row>
    <row r="1309" spans="1:11" x14ac:dyDescent="0.2">
      <c r="A1309" s="4" t="s">
        <v>2756</v>
      </c>
      <c r="B1309" s="4" t="s">
        <v>2757</v>
      </c>
      <c r="C1309" s="4" t="s">
        <v>13</v>
      </c>
      <c r="D1309" s="4" t="s">
        <v>2696</v>
      </c>
      <c r="E1309" s="4" t="s">
        <v>2697</v>
      </c>
      <c r="F1309" s="4" t="s">
        <v>750</v>
      </c>
      <c r="G1309" s="1">
        <v>6.7000000000000004E-2</v>
      </c>
      <c r="H1309" s="4" t="s">
        <v>166</v>
      </c>
      <c r="I1309" s="4" t="s">
        <v>1580</v>
      </c>
      <c r="J1309" s="4" t="s">
        <v>2451</v>
      </c>
      <c r="K1309" s="4" t="s">
        <v>24</v>
      </c>
    </row>
    <row r="1310" spans="1:11" x14ac:dyDescent="0.2">
      <c r="A1310" s="4" t="s">
        <v>2758</v>
      </c>
      <c r="B1310" s="4" t="s">
        <v>2759</v>
      </c>
      <c r="C1310" s="4" t="s">
        <v>13</v>
      </c>
      <c r="D1310" s="4" t="s">
        <v>2696</v>
      </c>
      <c r="E1310" s="4" t="s">
        <v>2697</v>
      </c>
      <c r="F1310" s="4" t="s">
        <v>750</v>
      </c>
      <c r="G1310" s="1">
        <v>6.7000000000000004E-2</v>
      </c>
      <c r="H1310" s="4" t="s">
        <v>166</v>
      </c>
      <c r="I1310" s="4" t="s">
        <v>1580</v>
      </c>
      <c r="J1310" s="4" t="s">
        <v>2451</v>
      </c>
      <c r="K1310" s="4" t="s">
        <v>24</v>
      </c>
    </row>
    <row r="1311" spans="1:11" x14ac:dyDescent="0.2">
      <c r="A1311" s="4" t="s">
        <v>2760</v>
      </c>
      <c r="B1311" s="4" t="s">
        <v>2761</v>
      </c>
      <c r="C1311" s="4" t="s">
        <v>13</v>
      </c>
      <c r="D1311" s="4" t="s">
        <v>2696</v>
      </c>
      <c r="E1311" s="4" t="s">
        <v>2697</v>
      </c>
      <c r="F1311" s="4" t="s">
        <v>750</v>
      </c>
      <c r="G1311" s="1">
        <v>6.7000000000000004E-2</v>
      </c>
      <c r="H1311" s="4" t="s">
        <v>166</v>
      </c>
      <c r="I1311" s="4" t="s">
        <v>1580</v>
      </c>
      <c r="J1311" s="4" t="s">
        <v>2451</v>
      </c>
      <c r="K1311" s="4" t="s">
        <v>24</v>
      </c>
    </row>
    <row r="1312" spans="1:11" x14ac:dyDescent="0.2">
      <c r="A1312" s="4" t="s">
        <v>2762</v>
      </c>
      <c r="B1312" s="4" t="s">
        <v>2763</v>
      </c>
      <c r="C1312" s="4" t="s">
        <v>13</v>
      </c>
      <c r="D1312" s="4" t="s">
        <v>2696</v>
      </c>
      <c r="E1312" s="4" t="s">
        <v>2697</v>
      </c>
      <c r="F1312" s="4" t="s">
        <v>750</v>
      </c>
      <c r="G1312" s="1">
        <v>6.7000000000000004E-2</v>
      </c>
      <c r="H1312" s="4" t="s">
        <v>166</v>
      </c>
      <c r="I1312" s="4" t="s">
        <v>1580</v>
      </c>
      <c r="J1312" s="4" t="s">
        <v>2451</v>
      </c>
      <c r="K1312" s="4" t="s">
        <v>24</v>
      </c>
    </row>
    <row r="1313" spans="1:11" x14ac:dyDescent="0.2">
      <c r="A1313" s="4" t="s">
        <v>2764</v>
      </c>
      <c r="B1313" s="4" t="s">
        <v>2765</v>
      </c>
      <c r="C1313" s="4" t="s">
        <v>13</v>
      </c>
      <c r="D1313" s="4" t="s">
        <v>2696</v>
      </c>
      <c r="E1313" s="4" t="s">
        <v>2697</v>
      </c>
      <c r="F1313" s="4" t="s">
        <v>750</v>
      </c>
      <c r="G1313" s="1">
        <v>6.7000000000000004E-2</v>
      </c>
      <c r="H1313" s="4" t="s">
        <v>166</v>
      </c>
      <c r="I1313" s="4" t="s">
        <v>1580</v>
      </c>
      <c r="J1313" s="4" t="s">
        <v>2451</v>
      </c>
      <c r="K1313" s="4" t="s">
        <v>24</v>
      </c>
    </row>
    <row r="1314" spans="1:11" x14ac:dyDescent="0.2">
      <c r="A1314" s="4" t="s">
        <v>2766</v>
      </c>
      <c r="B1314" s="4" t="s">
        <v>2767</v>
      </c>
      <c r="C1314" s="4" t="s">
        <v>13</v>
      </c>
      <c r="D1314" s="4" t="s">
        <v>2696</v>
      </c>
      <c r="E1314" s="4" t="s">
        <v>2697</v>
      </c>
      <c r="F1314" s="4" t="s">
        <v>750</v>
      </c>
      <c r="G1314" s="1">
        <v>6.7000000000000004E-2</v>
      </c>
      <c r="H1314" s="4" t="s">
        <v>166</v>
      </c>
      <c r="I1314" s="4" t="s">
        <v>1580</v>
      </c>
      <c r="J1314" s="4" t="s">
        <v>2451</v>
      </c>
      <c r="K1314" s="4" t="s">
        <v>24</v>
      </c>
    </row>
    <row r="1315" spans="1:11" x14ac:dyDescent="0.2">
      <c r="A1315" s="4" t="s">
        <v>2768</v>
      </c>
      <c r="B1315" s="4" t="s">
        <v>2769</v>
      </c>
      <c r="C1315" s="4" t="s">
        <v>13</v>
      </c>
      <c r="D1315" s="4" t="s">
        <v>2696</v>
      </c>
      <c r="E1315" s="4" t="s">
        <v>2697</v>
      </c>
      <c r="F1315" s="4" t="s">
        <v>750</v>
      </c>
      <c r="G1315" s="1">
        <v>6.7000000000000004E-2</v>
      </c>
      <c r="H1315" s="4" t="s">
        <v>166</v>
      </c>
      <c r="I1315" s="4" t="s">
        <v>1580</v>
      </c>
      <c r="J1315" s="4" t="s">
        <v>2451</v>
      </c>
      <c r="K1315" s="4" t="s">
        <v>24</v>
      </c>
    </row>
    <row r="1316" spans="1:11" x14ac:dyDescent="0.2">
      <c r="A1316" s="4" t="s">
        <v>2770</v>
      </c>
      <c r="B1316" s="4" t="s">
        <v>2771</v>
      </c>
      <c r="C1316" s="4" t="s">
        <v>13</v>
      </c>
      <c r="D1316" s="4" t="s">
        <v>2696</v>
      </c>
      <c r="E1316" s="4" t="s">
        <v>2697</v>
      </c>
      <c r="F1316" s="4" t="s">
        <v>750</v>
      </c>
      <c r="G1316" s="1">
        <v>6.7000000000000004E-2</v>
      </c>
      <c r="H1316" s="4" t="s">
        <v>166</v>
      </c>
      <c r="I1316" s="4" t="s">
        <v>1580</v>
      </c>
      <c r="J1316" s="4" t="s">
        <v>2451</v>
      </c>
      <c r="K1316" s="4" t="s">
        <v>24</v>
      </c>
    </row>
    <row r="1317" spans="1:11" x14ac:dyDescent="0.2">
      <c r="A1317" s="4" t="s">
        <v>2772</v>
      </c>
      <c r="B1317" s="4" t="s">
        <v>2773</v>
      </c>
      <c r="C1317" s="4" t="s">
        <v>13</v>
      </c>
      <c r="D1317" s="4" t="s">
        <v>2696</v>
      </c>
      <c r="E1317" s="4" t="s">
        <v>2697</v>
      </c>
      <c r="F1317" s="4" t="s">
        <v>750</v>
      </c>
      <c r="G1317" s="1">
        <v>0</v>
      </c>
      <c r="H1317" s="4" t="s">
        <v>254</v>
      </c>
      <c r="I1317" s="4" t="s">
        <v>1580</v>
      </c>
      <c r="J1317" s="4" t="s">
        <v>2451</v>
      </c>
      <c r="K1317" s="4" t="s">
        <v>24</v>
      </c>
    </row>
    <row r="1318" spans="1:11" x14ac:dyDescent="0.2">
      <c r="A1318" s="4" t="s">
        <v>2774</v>
      </c>
      <c r="B1318" s="4" t="s">
        <v>2775</v>
      </c>
      <c r="C1318" s="4" t="s">
        <v>13</v>
      </c>
      <c r="D1318" s="4" t="s">
        <v>2696</v>
      </c>
      <c r="E1318" s="4" t="s">
        <v>2697</v>
      </c>
      <c r="F1318" s="4" t="s">
        <v>750</v>
      </c>
      <c r="G1318" s="1">
        <v>6.7000000000000004E-2</v>
      </c>
      <c r="H1318" s="4" t="s">
        <v>166</v>
      </c>
      <c r="I1318" s="4" t="s">
        <v>1580</v>
      </c>
      <c r="J1318" s="4" t="s">
        <v>2451</v>
      </c>
      <c r="K1318" s="4" t="s">
        <v>24</v>
      </c>
    </row>
    <row r="1319" spans="1:11" x14ac:dyDescent="0.2">
      <c r="A1319" s="4" t="s">
        <v>2776</v>
      </c>
      <c r="B1319" s="4" t="s">
        <v>2777</v>
      </c>
      <c r="C1319" s="4" t="s">
        <v>13</v>
      </c>
      <c r="D1319" s="4" t="s">
        <v>2696</v>
      </c>
      <c r="E1319" s="4" t="s">
        <v>2697</v>
      </c>
      <c r="F1319" s="4" t="s">
        <v>750</v>
      </c>
      <c r="G1319" s="1">
        <v>6.7000000000000004E-2</v>
      </c>
      <c r="H1319" s="4" t="s">
        <v>166</v>
      </c>
      <c r="I1319" s="4" t="s">
        <v>1580</v>
      </c>
      <c r="J1319" s="4" t="s">
        <v>2451</v>
      </c>
      <c r="K1319" s="4" t="s">
        <v>24</v>
      </c>
    </row>
    <row r="1320" spans="1:11" x14ac:dyDescent="0.2">
      <c r="A1320" s="4" t="s">
        <v>2778</v>
      </c>
      <c r="B1320" s="4" t="s">
        <v>2779</v>
      </c>
      <c r="C1320" s="4" t="s">
        <v>13</v>
      </c>
      <c r="D1320" s="4" t="s">
        <v>2696</v>
      </c>
      <c r="E1320" s="4" t="s">
        <v>2697</v>
      </c>
      <c r="F1320" s="4" t="s">
        <v>750</v>
      </c>
      <c r="G1320" s="1">
        <v>6.7000000000000004E-2</v>
      </c>
      <c r="H1320" s="4" t="s">
        <v>166</v>
      </c>
      <c r="I1320" s="4" t="s">
        <v>1580</v>
      </c>
      <c r="J1320" s="4" t="s">
        <v>2451</v>
      </c>
      <c r="K1320" s="4" t="s">
        <v>24</v>
      </c>
    </row>
    <row r="1321" spans="1:11" x14ac:dyDescent="0.2">
      <c r="A1321" s="4" t="s">
        <v>2780</v>
      </c>
      <c r="B1321" s="4" t="s">
        <v>2781</v>
      </c>
      <c r="C1321" s="4" t="s">
        <v>13</v>
      </c>
      <c r="D1321" s="4" t="s">
        <v>2696</v>
      </c>
      <c r="E1321" s="4" t="s">
        <v>2697</v>
      </c>
      <c r="F1321" s="4" t="s">
        <v>750</v>
      </c>
      <c r="G1321" s="1">
        <v>6.7000000000000004E-2</v>
      </c>
      <c r="H1321" s="4" t="s">
        <v>166</v>
      </c>
      <c r="I1321" s="4" t="s">
        <v>1580</v>
      </c>
      <c r="J1321" s="4" t="s">
        <v>2451</v>
      </c>
      <c r="K1321" s="4" t="s">
        <v>24</v>
      </c>
    </row>
    <row r="1322" spans="1:11" x14ac:dyDescent="0.2">
      <c r="A1322" s="4" t="s">
        <v>2782</v>
      </c>
      <c r="B1322" s="4" t="s">
        <v>2783</v>
      </c>
      <c r="C1322" s="4" t="s">
        <v>13</v>
      </c>
      <c r="D1322" s="4" t="s">
        <v>2696</v>
      </c>
      <c r="E1322" s="4" t="s">
        <v>2697</v>
      </c>
      <c r="F1322" s="4" t="s">
        <v>750</v>
      </c>
      <c r="G1322" s="1">
        <v>6.7000000000000004E-2</v>
      </c>
      <c r="H1322" s="4" t="s">
        <v>166</v>
      </c>
      <c r="I1322" s="4" t="s">
        <v>1580</v>
      </c>
      <c r="J1322" s="4" t="s">
        <v>2451</v>
      </c>
      <c r="K1322" s="4" t="s">
        <v>24</v>
      </c>
    </row>
    <row r="1323" spans="1:11" x14ac:dyDescent="0.2">
      <c r="A1323" s="4" t="s">
        <v>2784</v>
      </c>
      <c r="B1323" s="4" t="s">
        <v>2785</v>
      </c>
      <c r="C1323" s="4" t="s">
        <v>13</v>
      </c>
      <c r="D1323" s="4" t="s">
        <v>2696</v>
      </c>
      <c r="E1323" s="4" t="s">
        <v>2697</v>
      </c>
      <c r="F1323" s="4" t="s">
        <v>750</v>
      </c>
      <c r="G1323" s="1">
        <v>6.7000000000000004E-2</v>
      </c>
      <c r="H1323" s="4" t="s">
        <v>2072</v>
      </c>
      <c r="I1323" s="4" t="s">
        <v>1580</v>
      </c>
      <c r="J1323" s="4" t="s">
        <v>2451</v>
      </c>
      <c r="K1323" s="4" t="s">
        <v>1778</v>
      </c>
    </row>
    <row r="1324" spans="1:11" x14ac:dyDescent="0.2">
      <c r="A1324" s="4" t="s">
        <v>2786</v>
      </c>
      <c r="B1324" s="4" t="s">
        <v>2787</v>
      </c>
      <c r="C1324" s="4" t="s">
        <v>13</v>
      </c>
      <c r="D1324" s="4" t="s">
        <v>2696</v>
      </c>
      <c r="E1324" s="4" t="s">
        <v>2697</v>
      </c>
      <c r="F1324" s="4" t="s">
        <v>750</v>
      </c>
      <c r="G1324" s="1">
        <v>6.7000000000000004E-2</v>
      </c>
      <c r="H1324" s="4" t="s">
        <v>2072</v>
      </c>
      <c r="I1324" s="4" t="s">
        <v>1580</v>
      </c>
      <c r="J1324" s="4" t="s">
        <v>2451</v>
      </c>
      <c r="K1324" s="4" t="s">
        <v>1781</v>
      </c>
    </row>
    <row r="1325" spans="1:11" x14ac:dyDescent="0.2">
      <c r="A1325" s="4" t="s">
        <v>2788</v>
      </c>
      <c r="B1325" s="4" t="s">
        <v>2789</v>
      </c>
      <c r="C1325" s="4" t="s">
        <v>13</v>
      </c>
      <c r="D1325" s="4" t="s">
        <v>2696</v>
      </c>
      <c r="E1325" s="4" t="s">
        <v>2697</v>
      </c>
      <c r="F1325" s="4" t="s">
        <v>750</v>
      </c>
      <c r="G1325" s="1">
        <v>6.7000000000000004E-2</v>
      </c>
      <c r="H1325" s="4" t="s">
        <v>166</v>
      </c>
      <c r="I1325" s="4" t="s">
        <v>1580</v>
      </c>
      <c r="J1325" s="4" t="s">
        <v>2451</v>
      </c>
      <c r="K1325" s="4" t="s">
        <v>1999</v>
      </c>
    </row>
    <row r="1326" spans="1:11" x14ac:dyDescent="0.2">
      <c r="A1326" s="4" t="s">
        <v>2790</v>
      </c>
      <c r="B1326" s="4" t="s">
        <v>2791</v>
      </c>
      <c r="C1326" s="4" t="s">
        <v>13</v>
      </c>
      <c r="D1326" s="4" t="s">
        <v>2792</v>
      </c>
      <c r="E1326" s="4" t="s">
        <v>2793</v>
      </c>
      <c r="F1326" s="4" t="s">
        <v>516</v>
      </c>
      <c r="G1326" s="1">
        <v>0.13300000000000001</v>
      </c>
      <c r="H1326" s="4" t="s">
        <v>112</v>
      </c>
      <c r="I1326" s="4" t="s">
        <v>1580</v>
      </c>
      <c r="J1326" s="4" t="s">
        <v>2451</v>
      </c>
      <c r="K1326" s="4" t="s">
        <v>2455</v>
      </c>
    </row>
    <row r="1327" spans="1:11" x14ac:dyDescent="0.2">
      <c r="A1327" s="4" t="s">
        <v>2794</v>
      </c>
      <c r="B1327" s="4" t="s">
        <v>2795</v>
      </c>
      <c r="C1327" s="4" t="s">
        <v>13</v>
      </c>
      <c r="D1327" s="4" t="s">
        <v>2792</v>
      </c>
      <c r="E1327" s="4" t="s">
        <v>2793</v>
      </c>
      <c r="F1327" s="4" t="s">
        <v>516</v>
      </c>
      <c r="G1327" s="1">
        <v>0.13300000000000001</v>
      </c>
      <c r="H1327" s="4" t="s">
        <v>112</v>
      </c>
      <c r="I1327" s="4" t="s">
        <v>1580</v>
      </c>
      <c r="J1327" s="4" t="s">
        <v>2451</v>
      </c>
      <c r="K1327" s="4" t="s">
        <v>24</v>
      </c>
    </row>
    <row r="1328" spans="1:11" x14ac:dyDescent="0.2">
      <c r="A1328" s="4" t="s">
        <v>2796</v>
      </c>
      <c r="B1328" s="4" t="s">
        <v>2797</v>
      </c>
      <c r="C1328" s="4" t="s">
        <v>13</v>
      </c>
      <c r="D1328" s="4" t="s">
        <v>2792</v>
      </c>
      <c r="E1328" s="4" t="s">
        <v>2793</v>
      </c>
      <c r="F1328" s="4" t="s">
        <v>516</v>
      </c>
      <c r="G1328" s="1">
        <v>0.13300000000000001</v>
      </c>
      <c r="H1328" s="4" t="s">
        <v>112</v>
      </c>
      <c r="I1328" s="4" t="s">
        <v>1580</v>
      </c>
      <c r="J1328" s="4" t="s">
        <v>2451</v>
      </c>
      <c r="K1328" s="4" t="s">
        <v>24</v>
      </c>
    </row>
    <row r="1329" spans="1:11" x14ac:dyDescent="0.2">
      <c r="A1329" s="4" t="s">
        <v>2798</v>
      </c>
      <c r="B1329" s="4" t="s">
        <v>2799</v>
      </c>
      <c r="C1329" s="4" t="s">
        <v>13</v>
      </c>
      <c r="D1329" s="4" t="s">
        <v>2792</v>
      </c>
      <c r="E1329" s="4" t="s">
        <v>2793</v>
      </c>
      <c r="F1329" s="4" t="s">
        <v>516</v>
      </c>
      <c r="G1329" s="1">
        <v>0.13300000000000001</v>
      </c>
      <c r="H1329" s="4" t="s">
        <v>112</v>
      </c>
      <c r="I1329" s="4" t="s">
        <v>1580</v>
      </c>
      <c r="J1329" s="4" t="s">
        <v>2451</v>
      </c>
      <c r="K1329" s="4" t="s">
        <v>24</v>
      </c>
    </row>
    <row r="1330" spans="1:11" x14ac:dyDescent="0.2">
      <c r="A1330" s="4" t="s">
        <v>2800</v>
      </c>
      <c r="B1330" s="4" t="s">
        <v>2801</v>
      </c>
      <c r="C1330" s="4" t="s">
        <v>13</v>
      </c>
      <c r="D1330" s="4" t="s">
        <v>2792</v>
      </c>
      <c r="E1330" s="4" t="s">
        <v>2793</v>
      </c>
      <c r="F1330" s="4" t="s">
        <v>516</v>
      </c>
      <c r="G1330" s="1">
        <v>0.13300000000000001</v>
      </c>
      <c r="H1330" s="4" t="s">
        <v>112</v>
      </c>
      <c r="I1330" s="4" t="s">
        <v>1580</v>
      </c>
      <c r="J1330" s="4" t="s">
        <v>2451</v>
      </c>
      <c r="K1330" s="4" t="s">
        <v>24</v>
      </c>
    </row>
    <row r="1331" spans="1:11" x14ac:dyDescent="0.2">
      <c r="A1331" s="4" t="s">
        <v>2802</v>
      </c>
      <c r="B1331" s="4" t="s">
        <v>2803</v>
      </c>
      <c r="C1331" s="4" t="s">
        <v>13</v>
      </c>
      <c r="D1331" s="4" t="s">
        <v>2792</v>
      </c>
      <c r="E1331" s="4" t="s">
        <v>2793</v>
      </c>
      <c r="F1331" s="4" t="s">
        <v>516</v>
      </c>
      <c r="G1331" s="1">
        <v>0.13300000000000001</v>
      </c>
      <c r="H1331" s="4" t="s">
        <v>112</v>
      </c>
      <c r="I1331" s="4" t="s">
        <v>1580</v>
      </c>
      <c r="J1331" s="4" t="s">
        <v>2451</v>
      </c>
      <c r="K1331" s="4" t="s">
        <v>24</v>
      </c>
    </row>
    <row r="1332" spans="1:11" x14ac:dyDescent="0.2">
      <c r="A1332" s="4" t="s">
        <v>2804</v>
      </c>
      <c r="B1332" s="4" t="s">
        <v>2805</v>
      </c>
      <c r="C1332" s="4" t="s">
        <v>13</v>
      </c>
      <c r="D1332" s="4" t="s">
        <v>2792</v>
      </c>
      <c r="E1332" s="4" t="s">
        <v>2793</v>
      </c>
      <c r="F1332" s="4" t="s">
        <v>516</v>
      </c>
      <c r="G1332" s="1">
        <v>0.13300000000000001</v>
      </c>
      <c r="H1332" s="4" t="s">
        <v>112</v>
      </c>
      <c r="I1332" s="4" t="s">
        <v>1580</v>
      </c>
      <c r="J1332" s="4" t="s">
        <v>2451</v>
      </c>
      <c r="K1332" s="4" t="s">
        <v>24</v>
      </c>
    </row>
    <row r="1333" spans="1:11" x14ac:dyDescent="0.2">
      <c r="A1333" s="4" t="s">
        <v>2806</v>
      </c>
      <c r="B1333" s="4" t="s">
        <v>2807</v>
      </c>
      <c r="C1333" s="4" t="s">
        <v>13</v>
      </c>
      <c r="D1333" s="4" t="s">
        <v>2792</v>
      </c>
      <c r="E1333" s="4" t="s">
        <v>2793</v>
      </c>
      <c r="F1333" s="4" t="s">
        <v>516</v>
      </c>
      <c r="G1333" s="1">
        <v>0</v>
      </c>
      <c r="H1333" s="4" t="s">
        <v>254</v>
      </c>
      <c r="I1333" s="4" t="s">
        <v>1580</v>
      </c>
      <c r="J1333" s="4" t="s">
        <v>2451</v>
      </c>
      <c r="K1333" s="4" t="s">
        <v>24</v>
      </c>
    </row>
    <row r="1334" spans="1:11" x14ac:dyDescent="0.2">
      <c r="A1334" s="4" t="s">
        <v>2808</v>
      </c>
      <c r="B1334" s="4" t="s">
        <v>2809</v>
      </c>
      <c r="C1334" s="4" t="s">
        <v>13</v>
      </c>
      <c r="D1334" s="4" t="s">
        <v>2792</v>
      </c>
      <c r="E1334" s="4" t="s">
        <v>2793</v>
      </c>
      <c r="F1334" s="4" t="s">
        <v>516</v>
      </c>
      <c r="G1334" s="1">
        <v>0.13300000000000001</v>
      </c>
      <c r="H1334" s="4" t="s">
        <v>112</v>
      </c>
      <c r="I1334" s="4" t="s">
        <v>1580</v>
      </c>
      <c r="J1334" s="4" t="s">
        <v>2451</v>
      </c>
      <c r="K1334" s="4" t="s">
        <v>24</v>
      </c>
    </row>
    <row r="1335" spans="1:11" x14ac:dyDescent="0.2">
      <c r="A1335" s="4" t="s">
        <v>2810</v>
      </c>
      <c r="B1335" s="4" t="s">
        <v>2811</v>
      </c>
      <c r="C1335" s="4" t="s">
        <v>13</v>
      </c>
      <c r="D1335" s="4" t="s">
        <v>2792</v>
      </c>
      <c r="E1335" s="4" t="s">
        <v>2793</v>
      </c>
      <c r="F1335" s="4" t="s">
        <v>516</v>
      </c>
      <c r="G1335" s="1">
        <v>0.13300000000000001</v>
      </c>
      <c r="H1335" s="4" t="s">
        <v>112</v>
      </c>
      <c r="I1335" s="4" t="s">
        <v>1580</v>
      </c>
      <c r="J1335" s="4" t="s">
        <v>2451</v>
      </c>
      <c r="K1335" s="4" t="s">
        <v>24</v>
      </c>
    </row>
    <row r="1336" spans="1:11" x14ac:dyDescent="0.2">
      <c r="A1336" s="4" t="s">
        <v>2812</v>
      </c>
      <c r="B1336" s="4" t="s">
        <v>2813</v>
      </c>
      <c r="C1336" s="4" t="s">
        <v>13</v>
      </c>
      <c r="D1336" s="4" t="s">
        <v>2792</v>
      </c>
      <c r="E1336" s="4" t="s">
        <v>2793</v>
      </c>
      <c r="F1336" s="4" t="s">
        <v>516</v>
      </c>
      <c r="G1336" s="1">
        <v>0.13300000000000001</v>
      </c>
      <c r="H1336" s="4" t="s">
        <v>112</v>
      </c>
      <c r="I1336" s="4" t="s">
        <v>1580</v>
      </c>
      <c r="J1336" s="4" t="s">
        <v>2451</v>
      </c>
      <c r="K1336" s="4" t="s">
        <v>24</v>
      </c>
    </row>
    <row r="1337" spans="1:11" x14ac:dyDescent="0.2">
      <c r="A1337" s="4" t="s">
        <v>2814</v>
      </c>
      <c r="B1337" s="4" t="s">
        <v>2815</v>
      </c>
      <c r="C1337" s="4" t="s">
        <v>13</v>
      </c>
      <c r="D1337" s="4" t="s">
        <v>2792</v>
      </c>
      <c r="E1337" s="4" t="s">
        <v>2793</v>
      </c>
      <c r="F1337" s="4" t="s">
        <v>516</v>
      </c>
      <c r="G1337" s="1">
        <v>0.13300000000000001</v>
      </c>
      <c r="H1337" s="4" t="s">
        <v>112</v>
      </c>
      <c r="I1337" s="4" t="s">
        <v>1580</v>
      </c>
      <c r="J1337" s="4" t="s">
        <v>2451</v>
      </c>
      <c r="K1337" s="4" t="s">
        <v>24</v>
      </c>
    </row>
    <row r="1338" spans="1:11" x14ac:dyDescent="0.2">
      <c r="A1338" s="4" t="s">
        <v>2816</v>
      </c>
      <c r="B1338" s="4" t="s">
        <v>2817</v>
      </c>
      <c r="C1338" s="4" t="s">
        <v>13</v>
      </c>
      <c r="D1338" s="4" t="s">
        <v>2792</v>
      </c>
      <c r="E1338" s="4" t="s">
        <v>2793</v>
      </c>
      <c r="F1338" s="4" t="s">
        <v>516</v>
      </c>
      <c r="G1338" s="1">
        <v>0.13300000000000001</v>
      </c>
      <c r="H1338" s="4" t="s">
        <v>112</v>
      </c>
      <c r="I1338" s="4" t="s">
        <v>1580</v>
      </c>
      <c r="J1338" s="4" t="s">
        <v>2451</v>
      </c>
      <c r="K1338" s="4" t="s">
        <v>24</v>
      </c>
    </row>
    <row r="1339" spans="1:11" x14ac:dyDescent="0.2">
      <c r="A1339" s="4" t="s">
        <v>2818</v>
      </c>
      <c r="B1339" s="4" t="s">
        <v>2819</v>
      </c>
      <c r="C1339" s="4" t="s">
        <v>13</v>
      </c>
      <c r="D1339" s="4" t="s">
        <v>2792</v>
      </c>
      <c r="E1339" s="4" t="s">
        <v>2793</v>
      </c>
      <c r="F1339" s="4" t="s">
        <v>516</v>
      </c>
      <c r="G1339" s="1">
        <v>0.13300000000000001</v>
      </c>
      <c r="H1339" s="4" t="s">
        <v>112</v>
      </c>
      <c r="I1339" s="4" t="s">
        <v>1580</v>
      </c>
      <c r="J1339" s="4" t="s">
        <v>2451</v>
      </c>
      <c r="K1339" s="4" t="s">
        <v>24</v>
      </c>
    </row>
    <row r="1340" spans="1:11" x14ac:dyDescent="0.2">
      <c r="A1340" s="4" t="s">
        <v>2820</v>
      </c>
      <c r="B1340" s="4" t="s">
        <v>2821</v>
      </c>
      <c r="C1340" s="4" t="s">
        <v>13</v>
      </c>
      <c r="D1340" s="4" t="s">
        <v>2792</v>
      </c>
      <c r="E1340" s="4" t="s">
        <v>2793</v>
      </c>
      <c r="F1340" s="4" t="s">
        <v>516</v>
      </c>
      <c r="G1340" s="1">
        <v>0.13300000000000001</v>
      </c>
      <c r="H1340" s="4" t="s">
        <v>112</v>
      </c>
      <c r="I1340" s="4" t="s">
        <v>1580</v>
      </c>
      <c r="J1340" s="4" t="s">
        <v>2451</v>
      </c>
      <c r="K1340" s="4" t="s">
        <v>24</v>
      </c>
    </row>
    <row r="1341" spans="1:11" x14ac:dyDescent="0.2">
      <c r="A1341" s="4" t="s">
        <v>2822</v>
      </c>
      <c r="B1341" s="4" t="s">
        <v>2823</v>
      </c>
      <c r="C1341" s="4" t="s">
        <v>13</v>
      </c>
      <c r="D1341" s="4" t="s">
        <v>2792</v>
      </c>
      <c r="E1341" s="4" t="s">
        <v>2793</v>
      </c>
      <c r="F1341" s="4" t="s">
        <v>516</v>
      </c>
      <c r="G1341" s="1">
        <v>0.13300000000000001</v>
      </c>
      <c r="H1341" s="4" t="s">
        <v>112</v>
      </c>
      <c r="I1341" s="4" t="s">
        <v>1580</v>
      </c>
      <c r="J1341" s="4" t="s">
        <v>2451</v>
      </c>
      <c r="K1341" s="4" t="s">
        <v>24</v>
      </c>
    </row>
    <row r="1342" spans="1:11" x14ac:dyDescent="0.2">
      <c r="A1342" s="4" t="s">
        <v>2824</v>
      </c>
      <c r="B1342" s="4" t="s">
        <v>2825</v>
      </c>
      <c r="C1342" s="4" t="s">
        <v>49</v>
      </c>
      <c r="D1342" s="4" t="s">
        <v>2792</v>
      </c>
      <c r="E1342" s="4" t="s">
        <v>2793</v>
      </c>
      <c r="F1342" s="4" t="s">
        <v>516</v>
      </c>
      <c r="G1342" s="1">
        <v>3.3000000000000002E-2</v>
      </c>
      <c r="H1342" s="4" t="s">
        <v>2826</v>
      </c>
      <c r="I1342" s="4" t="s">
        <v>1580</v>
      </c>
      <c r="J1342" s="4" t="s">
        <v>2451</v>
      </c>
      <c r="K1342" s="4" t="s">
        <v>24</v>
      </c>
    </row>
    <row r="1343" spans="1:11" x14ac:dyDescent="0.2">
      <c r="A1343" s="4" t="s">
        <v>2827</v>
      </c>
      <c r="B1343" s="4" t="s">
        <v>2828</v>
      </c>
      <c r="C1343" s="4" t="s">
        <v>13</v>
      </c>
      <c r="D1343" s="4" t="s">
        <v>2792</v>
      </c>
      <c r="E1343" s="4" t="s">
        <v>2793</v>
      </c>
      <c r="F1343" s="4" t="s">
        <v>516</v>
      </c>
      <c r="G1343" s="1">
        <v>0.13300000000000001</v>
      </c>
      <c r="H1343" s="4" t="s">
        <v>112</v>
      </c>
      <c r="I1343" s="4" t="s">
        <v>1580</v>
      </c>
      <c r="J1343" s="4" t="s">
        <v>2451</v>
      </c>
      <c r="K1343" s="4" t="s">
        <v>24</v>
      </c>
    </row>
    <row r="1344" spans="1:11" x14ac:dyDescent="0.2">
      <c r="A1344" s="4" t="s">
        <v>2829</v>
      </c>
      <c r="B1344" s="4" t="s">
        <v>2830</v>
      </c>
      <c r="C1344" s="4" t="s">
        <v>13</v>
      </c>
      <c r="D1344" s="4" t="s">
        <v>2792</v>
      </c>
      <c r="E1344" s="4" t="s">
        <v>2793</v>
      </c>
      <c r="F1344" s="4" t="s">
        <v>516</v>
      </c>
      <c r="G1344" s="1">
        <v>0</v>
      </c>
      <c r="H1344" s="4" t="s">
        <v>254</v>
      </c>
      <c r="I1344" s="4" t="s">
        <v>1580</v>
      </c>
      <c r="J1344" s="4" t="s">
        <v>2451</v>
      </c>
      <c r="K1344" s="4" t="s">
        <v>24</v>
      </c>
    </row>
    <row r="1345" spans="1:11" x14ac:dyDescent="0.2">
      <c r="A1345" s="4" t="s">
        <v>2831</v>
      </c>
      <c r="B1345" s="4" t="s">
        <v>2832</v>
      </c>
      <c r="C1345" s="4" t="s">
        <v>13</v>
      </c>
      <c r="D1345" s="4" t="s">
        <v>2792</v>
      </c>
      <c r="E1345" s="4" t="s">
        <v>2793</v>
      </c>
      <c r="F1345" s="4" t="s">
        <v>516</v>
      </c>
      <c r="G1345" s="1">
        <v>0.13300000000000001</v>
      </c>
      <c r="H1345" s="4" t="s">
        <v>112</v>
      </c>
      <c r="I1345" s="4" t="s">
        <v>1580</v>
      </c>
      <c r="J1345" s="4" t="s">
        <v>2451</v>
      </c>
      <c r="K1345" s="4" t="s">
        <v>24</v>
      </c>
    </row>
    <row r="1346" spans="1:11" x14ac:dyDescent="0.2">
      <c r="A1346" s="4" t="s">
        <v>2833</v>
      </c>
      <c r="B1346" s="4" t="s">
        <v>2834</v>
      </c>
      <c r="C1346" s="4" t="s">
        <v>13</v>
      </c>
      <c r="D1346" s="4" t="s">
        <v>2792</v>
      </c>
      <c r="E1346" s="4" t="s">
        <v>2793</v>
      </c>
      <c r="F1346" s="4" t="s">
        <v>516</v>
      </c>
      <c r="G1346" s="1">
        <v>0</v>
      </c>
      <c r="H1346" s="4" t="s">
        <v>254</v>
      </c>
      <c r="I1346" s="4" t="s">
        <v>1580</v>
      </c>
      <c r="J1346" s="4" t="s">
        <v>2451</v>
      </c>
      <c r="K1346" s="4" t="s">
        <v>24</v>
      </c>
    </row>
    <row r="1347" spans="1:11" x14ac:dyDescent="0.2">
      <c r="A1347" s="4" t="s">
        <v>2835</v>
      </c>
      <c r="B1347" s="4" t="s">
        <v>2836</v>
      </c>
      <c r="C1347" s="4" t="s">
        <v>13</v>
      </c>
      <c r="D1347" s="4" t="s">
        <v>2792</v>
      </c>
      <c r="E1347" s="4" t="s">
        <v>2793</v>
      </c>
      <c r="F1347" s="4" t="s">
        <v>516</v>
      </c>
      <c r="G1347" s="1">
        <v>0.13300000000000001</v>
      </c>
      <c r="H1347" s="4" t="s">
        <v>112</v>
      </c>
      <c r="I1347" s="4" t="s">
        <v>1580</v>
      </c>
      <c r="J1347" s="4" t="s">
        <v>2451</v>
      </c>
      <c r="K1347" s="4" t="s">
        <v>24</v>
      </c>
    </row>
    <row r="1348" spans="1:11" x14ac:dyDescent="0.2">
      <c r="A1348" s="4" t="s">
        <v>2837</v>
      </c>
      <c r="B1348" s="4" t="s">
        <v>2838</v>
      </c>
      <c r="C1348" s="4" t="s">
        <v>13</v>
      </c>
      <c r="D1348" s="4" t="s">
        <v>2792</v>
      </c>
      <c r="E1348" s="4" t="s">
        <v>2793</v>
      </c>
      <c r="F1348" s="4" t="s">
        <v>516</v>
      </c>
      <c r="G1348" s="1">
        <v>0.13300000000000001</v>
      </c>
      <c r="H1348" s="4" t="s">
        <v>112</v>
      </c>
      <c r="I1348" s="4" t="s">
        <v>1580</v>
      </c>
      <c r="J1348" s="4" t="s">
        <v>2451</v>
      </c>
      <c r="K1348" s="4" t="s">
        <v>24</v>
      </c>
    </row>
    <row r="1349" spans="1:11" x14ac:dyDescent="0.2">
      <c r="A1349" s="4" t="s">
        <v>2839</v>
      </c>
      <c r="B1349" s="4" t="s">
        <v>2840</v>
      </c>
      <c r="C1349" s="4" t="s">
        <v>13</v>
      </c>
      <c r="D1349" s="4" t="s">
        <v>2792</v>
      </c>
      <c r="E1349" s="4" t="s">
        <v>2793</v>
      </c>
      <c r="F1349" s="4" t="s">
        <v>516</v>
      </c>
      <c r="G1349" s="1">
        <v>0.13300000000000001</v>
      </c>
      <c r="H1349" s="4" t="s">
        <v>112</v>
      </c>
      <c r="I1349" s="4" t="s">
        <v>1580</v>
      </c>
      <c r="J1349" s="4" t="s">
        <v>2451</v>
      </c>
      <c r="K1349" s="4" t="s">
        <v>24</v>
      </c>
    </row>
    <row r="1350" spans="1:11" x14ac:dyDescent="0.2">
      <c r="A1350" s="4" t="s">
        <v>2841</v>
      </c>
      <c r="B1350" s="4" t="s">
        <v>2842</v>
      </c>
      <c r="C1350" s="4" t="s">
        <v>13</v>
      </c>
      <c r="D1350" s="4" t="s">
        <v>2792</v>
      </c>
      <c r="E1350" s="4" t="s">
        <v>2793</v>
      </c>
      <c r="F1350" s="4" t="s">
        <v>516</v>
      </c>
      <c r="G1350" s="1">
        <v>0.13300000000000001</v>
      </c>
      <c r="H1350" s="4" t="s">
        <v>112</v>
      </c>
      <c r="I1350" s="4" t="s">
        <v>1580</v>
      </c>
      <c r="J1350" s="4" t="s">
        <v>2451</v>
      </c>
      <c r="K1350" s="4" t="s">
        <v>24</v>
      </c>
    </row>
    <row r="1351" spans="1:11" x14ac:dyDescent="0.2">
      <c r="A1351" s="4" t="s">
        <v>2843</v>
      </c>
      <c r="B1351" s="4" t="s">
        <v>2844</v>
      </c>
      <c r="C1351" s="4" t="s">
        <v>49</v>
      </c>
      <c r="D1351" s="4" t="s">
        <v>2792</v>
      </c>
      <c r="E1351" s="4" t="s">
        <v>2793</v>
      </c>
      <c r="F1351" s="4" t="s">
        <v>516</v>
      </c>
      <c r="G1351" s="1">
        <v>0</v>
      </c>
      <c r="H1351" s="4" t="s">
        <v>254</v>
      </c>
      <c r="I1351" s="4" t="s">
        <v>1580</v>
      </c>
      <c r="J1351" s="4" t="s">
        <v>2451</v>
      </c>
      <c r="K1351" s="4" t="s">
        <v>24</v>
      </c>
    </row>
    <row r="1352" spans="1:11" x14ac:dyDescent="0.2">
      <c r="A1352" s="4" t="s">
        <v>2845</v>
      </c>
      <c r="B1352" s="4" t="s">
        <v>2846</v>
      </c>
      <c r="C1352" s="4" t="s">
        <v>49</v>
      </c>
      <c r="D1352" s="4" t="s">
        <v>2792</v>
      </c>
      <c r="E1352" s="4" t="s">
        <v>2793</v>
      </c>
      <c r="F1352" s="4" t="s">
        <v>516</v>
      </c>
      <c r="G1352" s="1">
        <v>0</v>
      </c>
      <c r="H1352" s="4" t="s">
        <v>254</v>
      </c>
      <c r="I1352" s="4" t="s">
        <v>1580</v>
      </c>
      <c r="J1352" s="4" t="s">
        <v>2451</v>
      </c>
      <c r="K1352" s="4" t="s">
        <v>24</v>
      </c>
    </row>
    <row r="1353" spans="1:11" x14ac:dyDescent="0.2">
      <c r="A1353" s="4" t="s">
        <v>2847</v>
      </c>
      <c r="B1353" s="4" t="s">
        <v>2848</v>
      </c>
      <c r="C1353" s="4" t="s">
        <v>13</v>
      </c>
      <c r="D1353" s="4" t="s">
        <v>2792</v>
      </c>
      <c r="E1353" s="4" t="s">
        <v>2793</v>
      </c>
      <c r="F1353" s="4" t="s">
        <v>516</v>
      </c>
      <c r="G1353" s="1">
        <v>0.13300000000000001</v>
      </c>
      <c r="H1353" s="4" t="s">
        <v>112</v>
      </c>
      <c r="I1353" s="4" t="s">
        <v>1580</v>
      </c>
      <c r="J1353" s="4" t="s">
        <v>2451</v>
      </c>
      <c r="K1353" s="4" t="s">
        <v>1967</v>
      </c>
    </row>
    <row r="1354" spans="1:11" x14ac:dyDescent="0.2">
      <c r="A1354" s="4" t="s">
        <v>2849</v>
      </c>
      <c r="B1354" s="4" t="s">
        <v>2850</v>
      </c>
      <c r="C1354" s="4" t="s">
        <v>13</v>
      </c>
      <c r="D1354" s="4" t="s">
        <v>2792</v>
      </c>
      <c r="E1354" s="4" t="s">
        <v>2793</v>
      </c>
      <c r="F1354" s="4" t="s">
        <v>516</v>
      </c>
      <c r="G1354" s="1">
        <v>0.13300000000000001</v>
      </c>
      <c r="H1354" s="4" t="s">
        <v>112</v>
      </c>
      <c r="I1354" s="4" t="s">
        <v>1580</v>
      </c>
      <c r="J1354" s="4" t="s">
        <v>2451</v>
      </c>
      <c r="K1354" s="4" t="s">
        <v>1967</v>
      </c>
    </row>
    <row r="1355" spans="1:11" x14ac:dyDescent="0.2">
      <c r="A1355" s="4" t="s">
        <v>2851</v>
      </c>
      <c r="B1355" s="4" t="s">
        <v>2852</v>
      </c>
      <c r="C1355" s="4" t="s">
        <v>13</v>
      </c>
      <c r="D1355" s="4" t="s">
        <v>2792</v>
      </c>
      <c r="E1355" s="4" t="s">
        <v>2793</v>
      </c>
      <c r="F1355" s="4" t="s">
        <v>516</v>
      </c>
      <c r="G1355" s="1">
        <v>0</v>
      </c>
      <c r="H1355" s="4" t="s">
        <v>254</v>
      </c>
      <c r="I1355" s="4" t="s">
        <v>1580</v>
      </c>
      <c r="J1355" s="4" t="s">
        <v>2451</v>
      </c>
      <c r="K1355" s="4" t="s">
        <v>1781</v>
      </c>
    </row>
    <row r="1356" spans="1:11" x14ac:dyDescent="0.2">
      <c r="A1356" s="4" t="s">
        <v>2853</v>
      </c>
      <c r="B1356" s="4" t="s">
        <v>2854</v>
      </c>
      <c r="C1356" s="4" t="s">
        <v>13</v>
      </c>
      <c r="D1356" s="4" t="s">
        <v>2792</v>
      </c>
      <c r="E1356" s="4" t="s">
        <v>2793</v>
      </c>
      <c r="F1356" s="4" t="s">
        <v>516</v>
      </c>
      <c r="G1356" s="1">
        <v>0</v>
      </c>
      <c r="H1356" s="4" t="s">
        <v>254</v>
      </c>
      <c r="I1356" s="4" t="s">
        <v>1580</v>
      </c>
      <c r="J1356" s="4" t="s">
        <v>2451</v>
      </c>
      <c r="K1356" s="4" t="s">
        <v>2188</v>
      </c>
    </row>
    <row r="1357" spans="1:11" x14ac:dyDescent="0.2">
      <c r="A1357" s="4" t="s">
        <v>2855</v>
      </c>
      <c r="B1357" s="4" t="s">
        <v>2856</v>
      </c>
      <c r="C1357" s="4" t="s">
        <v>13</v>
      </c>
      <c r="D1357" s="4" t="s">
        <v>2792</v>
      </c>
      <c r="E1357" s="4" t="s">
        <v>2793</v>
      </c>
      <c r="F1357" s="4" t="s">
        <v>516</v>
      </c>
      <c r="G1357" s="1">
        <v>0.13300000000000001</v>
      </c>
      <c r="H1357" s="4" t="s">
        <v>112</v>
      </c>
      <c r="I1357" s="4" t="s">
        <v>1580</v>
      </c>
      <c r="J1357" s="4" t="s">
        <v>2451</v>
      </c>
      <c r="K1357" s="4" t="s">
        <v>1868</v>
      </c>
    </row>
    <row r="1358" spans="1:11" x14ac:dyDescent="0.2">
      <c r="A1358" s="4" t="s">
        <v>2857</v>
      </c>
      <c r="B1358" s="4" t="s">
        <v>2858</v>
      </c>
      <c r="C1358" s="4" t="s">
        <v>13</v>
      </c>
      <c r="D1358" s="4" t="s">
        <v>2792</v>
      </c>
      <c r="E1358" s="4" t="s">
        <v>2793</v>
      </c>
      <c r="F1358" s="4" t="s">
        <v>516</v>
      </c>
      <c r="G1358" s="1">
        <v>0.13300000000000001</v>
      </c>
      <c r="H1358" s="4" t="s">
        <v>112</v>
      </c>
      <c r="I1358" s="4" t="s">
        <v>1580</v>
      </c>
      <c r="J1358" s="4" t="s">
        <v>2451</v>
      </c>
      <c r="K1358" s="4" t="s">
        <v>1999</v>
      </c>
    </row>
    <row r="1359" spans="1:11" x14ac:dyDescent="0.2">
      <c r="A1359" s="4" t="s">
        <v>2859</v>
      </c>
      <c r="B1359" s="4" t="s">
        <v>2860</v>
      </c>
      <c r="C1359" s="4" t="s">
        <v>49</v>
      </c>
      <c r="D1359" s="4" t="s">
        <v>2792</v>
      </c>
      <c r="E1359" s="4" t="s">
        <v>2793</v>
      </c>
      <c r="F1359" s="4" t="s">
        <v>516</v>
      </c>
      <c r="G1359" s="1">
        <v>0</v>
      </c>
      <c r="H1359" s="4" t="s">
        <v>254</v>
      </c>
      <c r="I1359" s="4" t="s">
        <v>1580</v>
      </c>
      <c r="J1359" s="4" t="s">
        <v>2451</v>
      </c>
      <c r="K1359" s="4" t="s">
        <v>1788</v>
      </c>
    </row>
    <row r="1360" spans="1:11" x14ac:dyDescent="0.2">
      <c r="A1360" s="4" t="s">
        <v>2861</v>
      </c>
      <c r="B1360" s="4" t="s">
        <v>2862</v>
      </c>
      <c r="C1360" s="4" t="s">
        <v>13</v>
      </c>
      <c r="D1360" s="4" t="s">
        <v>2792</v>
      </c>
      <c r="E1360" s="4" t="s">
        <v>2793</v>
      </c>
      <c r="F1360" s="4" t="s">
        <v>516</v>
      </c>
      <c r="G1360" s="1">
        <v>0</v>
      </c>
      <c r="H1360" s="4" t="s">
        <v>1128</v>
      </c>
      <c r="I1360" s="4" t="s">
        <v>1580</v>
      </c>
      <c r="J1360" s="4" t="s">
        <v>2451</v>
      </c>
      <c r="K1360" s="4" t="s">
        <v>1585</v>
      </c>
    </row>
    <row r="1361" spans="1:11" x14ac:dyDescent="0.2">
      <c r="A1361" s="4" t="s">
        <v>2863</v>
      </c>
      <c r="B1361" s="4" t="s">
        <v>2864</v>
      </c>
      <c r="C1361" s="4" t="s">
        <v>13</v>
      </c>
      <c r="D1361" s="4" t="s">
        <v>2792</v>
      </c>
      <c r="E1361" s="4" t="s">
        <v>2793</v>
      </c>
      <c r="F1361" s="4" t="s">
        <v>516</v>
      </c>
      <c r="G1361" s="1">
        <v>0.13300000000000001</v>
      </c>
      <c r="H1361" s="4" t="s">
        <v>112</v>
      </c>
      <c r="I1361" s="4" t="s">
        <v>1580</v>
      </c>
      <c r="J1361" s="4" t="s">
        <v>2451</v>
      </c>
      <c r="K1361" s="4" t="s">
        <v>1590</v>
      </c>
    </row>
    <row r="1362" spans="1:11" x14ac:dyDescent="0.2">
      <c r="A1362" s="4" t="s">
        <v>2865</v>
      </c>
      <c r="B1362" s="4" t="s">
        <v>2866</v>
      </c>
      <c r="C1362" s="4" t="s">
        <v>13</v>
      </c>
      <c r="D1362" s="4" t="s">
        <v>2792</v>
      </c>
      <c r="E1362" s="4" t="s">
        <v>2793</v>
      </c>
      <c r="F1362" s="4" t="s">
        <v>516</v>
      </c>
      <c r="G1362" s="1">
        <v>0</v>
      </c>
      <c r="H1362" s="4" t="s">
        <v>1128</v>
      </c>
      <c r="I1362" s="4" t="s">
        <v>1580</v>
      </c>
      <c r="J1362" s="4" t="s">
        <v>2451</v>
      </c>
      <c r="K1362" s="4" t="s">
        <v>24</v>
      </c>
    </row>
    <row r="1363" spans="1:11" x14ac:dyDescent="0.2">
      <c r="A1363" s="4" t="s">
        <v>2867</v>
      </c>
      <c r="B1363" s="4" t="s">
        <v>2868</v>
      </c>
      <c r="C1363" s="4" t="s">
        <v>13</v>
      </c>
      <c r="D1363" s="4" t="s">
        <v>2869</v>
      </c>
      <c r="E1363" s="4" t="s">
        <v>2870</v>
      </c>
      <c r="F1363" s="4" t="s">
        <v>516</v>
      </c>
      <c r="G1363" s="1">
        <v>6.7000000000000004E-2</v>
      </c>
      <c r="H1363" s="4" t="s">
        <v>166</v>
      </c>
      <c r="I1363" s="4" t="s">
        <v>1580</v>
      </c>
      <c r="J1363" s="4" t="s">
        <v>2260</v>
      </c>
      <c r="K1363" s="4" t="s">
        <v>24</v>
      </c>
    </row>
    <row r="1364" spans="1:11" x14ac:dyDescent="0.2">
      <c r="A1364" s="4" t="s">
        <v>2871</v>
      </c>
      <c r="B1364" s="4" t="s">
        <v>2872</v>
      </c>
      <c r="C1364" s="4" t="s">
        <v>13</v>
      </c>
      <c r="D1364" s="4" t="s">
        <v>2869</v>
      </c>
      <c r="E1364" s="4" t="s">
        <v>2870</v>
      </c>
      <c r="F1364" s="4" t="s">
        <v>516</v>
      </c>
      <c r="G1364" s="1">
        <v>6.7000000000000004E-2</v>
      </c>
      <c r="H1364" s="4" t="s">
        <v>166</v>
      </c>
      <c r="I1364" s="4" t="s">
        <v>1580</v>
      </c>
      <c r="J1364" s="4" t="s">
        <v>2260</v>
      </c>
      <c r="K1364" s="4" t="s">
        <v>24</v>
      </c>
    </row>
    <row r="1365" spans="1:11" x14ac:dyDescent="0.2">
      <c r="A1365" s="4" t="s">
        <v>2873</v>
      </c>
      <c r="B1365" s="4" t="s">
        <v>2874</v>
      </c>
      <c r="C1365" s="4" t="s">
        <v>13</v>
      </c>
      <c r="D1365" s="4" t="s">
        <v>2869</v>
      </c>
      <c r="E1365" s="4" t="s">
        <v>2870</v>
      </c>
      <c r="F1365" s="4" t="s">
        <v>516</v>
      </c>
      <c r="G1365" s="1">
        <v>6.7000000000000004E-2</v>
      </c>
      <c r="H1365" s="4" t="s">
        <v>166</v>
      </c>
      <c r="I1365" s="4" t="s">
        <v>1580</v>
      </c>
      <c r="J1365" s="4" t="s">
        <v>2260</v>
      </c>
      <c r="K1365" s="4" t="s">
        <v>24</v>
      </c>
    </row>
    <row r="1366" spans="1:11" x14ac:dyDescent="0.2">
      <c r="A1366" s="4" t="s">
        <v>2875</v>
      </c>
      <c r="B1366" s="4" t="s">
        <v>2876</v>
      </c>
      <c r="C1366" s="4" t="s">
        <v>13</v>
      </c>
      <c r="D1366" s="4" t="s">
        <v>2869</v>
      </c>
      <c r="E1366" s="4" t="s">
        <v>2870</v>
      </c>
      <c r="F1366" s="4" t="s">
        <v>516</v>
      </c>
      <c r="G1366" s="1">
        <v>0</v>
      </c>
      <c r="H1366" s="4" t="s">
        <v>254</v>
      </c>
      <c r="I1366" s="4" t="s">
        <v>1580</v>
      </c>
      <c r="J1366" s="4" t="s">
        <v>2260</v>
      </c>
      <c r="K1366" s="4" t="s">
        <v>24</v>
      </c>
    </row>
    <row r="1367" spans="1:11" x14ac:dyDescent="0.2">
      <c r="A1367" s="4" t="s">
        <v>2877</v>
      </c>
      <c r="B1367" s="4" t="s">
        <v>2878</v>
      </c>
      <c r="C1367" s="4" t="s">
        <v>13</v>
      </c>
      <c r="D1367" s="4" t="s">
        <v>2869</v>
      </c>
      <c r="E1367" s="4" t="s">
        <v>2870</v>
      </c>
      <c r="F1367" s="4" t="s">
        <v>516</v>
      </c>
      <c r="G1367" s="1">
        <v>6.7000000000000004E-2</v>
      </c>
      <c r="H1367" s="4" t="s">
        <v>166</v>
      </c>
      <c r="I1367" s="4" t="s">
        <v>1580</v>
      </c>
      <c r="J1367" s="4" t="s">
        <v>2260</v>
      </c>
      <c r="K1367" s="4" t="s">
        <v>24</v>
      </c>
    </row>
    <row r="1368" spans="1:11" x14ac:dyDescent="0.2">
      <c r="A1368" s="4" t="s">
        <v>2879</v>
      </c>
      <c r="B1368" s="4" t="s">
        <v>2880</v>
      </c>
      <c r="C1368" s="4" t="s">
        <v>13</v>
      </c>
      <c r="D1368" s="4" t="s">
        <v>2869</v>
      </c>
      <c r="E1368" s="4" t="s">
        <v>2870</v>
      </c>
      <c r="F1368" s="4" t="s">
        <v>516</v>
      </c>
      <c r="G1368" s="1">
        <v>6.7000000000000004E-2</v>
      </c>
      <c r="H1368" s="4" t="s">
        <v>166</v>
      </c>
      <c r="I1368" s="4" t="s">
        <v>1580</v>
      </c>
      <c r="J1368" s="4" t="s">
        <v>2260</v>
      </c>
      <c r="K1368" s="4" t="s">
        <v>24</v>
      </c>
    </row>
    <row r="1369" spans="1:11" x14ac:dyDescent="0.2">
      <c r="A1369" s="4" t="s">
        <v>2881</v>
      </c>
      <c r="B1369" s="4" t="s">
        <v>2882</v>
      </c>
      <c r="C1369" s="4" t="s">
        <v>13</v>
      </c>
      <c r="D1369" s="4" t="s">
        <v>2869</v>
      </c>
      <c r="E1369" s="4" t="s">
        <v>2870</v>
      </c>
      <c r="F1369" s="4" t="s">
        <v>516</v>
      </c>
      <c r="G1369" s="1">
        <v>6.7000000000000004E-2</v>
      </c>
      <c r="H1369" s="4" t="s">
        <v>166</v>
      </c>
      <c r="I1369" s="4" t="s">
        <v>1580</v>
      </c>
      <c r="J1369" s="4" t="s">
        <v>2260</v>
      </c>
      <c r="K1369" s="4" t="s">
        <v>24</v>
      </c>
    </row>
    <row r="1370" spans="1:11" x14ac:dyDescent="0.2">
      <c r="A1370" s="4" t="s">
        <v>2883</v>
      </c>
      <c r="B1370" s="4" t="s">
        <v>2884</v>
      </c>
      <c r="C1370" s="4" t="s">
        <v>13</v>
      </c>
      <c r="D1370" s="4" t="s">
        <v>2869</v>
      </c>
      <c r="E1370" s="4" t="s">
        <v>2870</v>
      </c>
      <c r="F1370" s="4" t="s">
        <v>516</v>
      </c>
      <c r="G1370" s="1">
        <v>6.7000000000000004E-2</v>
      </c>
      <c r="H1370" s="4" t="s">
        <v>166</v>
      </c>
      <c r="I1370" s="4" t="s">
        <v>1580</v>
      </c>
      <c r="J1370" s="4" t="s">
        <v>2260</v>
      </c>
      <c r="K1370" s="4" t="s">
        <v>24</v>
      </c>
    </row>
    <row r="1371" spans="1:11" x14ac:dyDescent="0.2">
      <c r="A1371" s="4" t="s">
        <v>2885</v>
      </c>
      <c r="B1371" s="4" t="s">
        <v>2886</v>
      </c>
      <c r="C1371" s="4" t="s">
        <v>13</v>
      </c>
      <c r="D1371" s="4" t="s">
        <v>2869</v>
      </c>
      <c r="E1371" s="4" t="s">
        <v>2870</v>
      </c>
      <c r="F1371" s="4" t="s">
        <v>516</v>
      </c>
      <c r="G1371" s="1">
        <v>6.7000000000000004E-2</v>
      </c>
      <c r="H1371" s="4" t="s">
        <v>166</v>
      </c>
      <c r="I1371" s="4" t="s">
        <v>1580</v>
      </c>
      <c r="J1371" s="4" t="s">
        <v>2260</v>
      </c>
      <c r="K1371" s="4" t="s">
        <v>24</v>
      </c>
    </row>
    <row r="1372" spans="1:11" x14ac:dyDescent="0.2">
      <c r="A1372" s="4" t="s">
        <v>2887</v>
      </c>
      <c r="B1372" s="4" t="s">
        <v>2888</v>
      </c>
      <c r="C1372" s="4" t="s">
        <v>13</v>
      </c>
      <c r="D1372" s="4" t="s">
        <v>2869</v>
      </c>
      <c r="E1372" s="4" t="s">
        <v>2870</v>
      </c>
      <c r="F1372" s="4" t="s">
        <v>516</v>
      </c>
      <c r="G1372" s="1">
        <v>0</v>
      </c>
      <c r="H1372" s="4" t="s">
        <v>254</v>
      </c>
      <c r="I1372" s="4" t="s">
        <v>1580</v>
      </c>
      <c r="J1372" s="4" t="s">
        <v>2260</v>
      </c>
      <c r="K1372" s="4" t="s">
        <v>24</v>
      </c>
    </row>
    <row r="1373" spans="1:11" x14ac:dyDescent="0.2">
      <c r="A1373" s="4" t="s">
        <v>2889</v>
      </c>
      <c r="B1373" s="4" t="s">
        <v>2890</v>
      </c>
      <c r="C1373" s="4" t="s">
        <v>13</v>
      </c>
      <c r="D1373" s="4" t="s">
        <v>2869</v>
      </c>
      <c r="E1373" s="4" t="s">
        <v>2870</v>
      </c>
      <c r="F1373" s="4" t="s">
        <v>516</v>
      </c>
      <c r="G1373" s="1">
        <v>6.7000000000000004E-2</v>
      </c>
      <c r="H1373" s="4" t="s">
        <v>166</v>
      </c>
      <c r="I1373" s="4" t="s">
        <v>1580</v>
      </c>
      <c r="J1373" s="4" t="s">
        <v>2260</v>
      </c>
      <c r="K1373" s="4" t="s">
        <v>24</v>
      </c>
    </row>
    <row r="1374" spans="1:11" x14ac:dyDescent="0.2">
      <c r="A1374" s="4" t="s">
        <v>2891</v>
      </c>
      <c r="B1374" s="4" t="s">
        <v>2892</v>
      </c>
      <c r="C1374" s="4" t="s">
        <v>13</v>
      </c>
      <c r="D1374" s="4" t="s">
        <v>2869</v>
      </c>
      <c r="E1374" s="4" t="s">
        <v>2870</v>
      </c>
      <c r="F1374" s="4" t="s">
        <v>516</v>
      </c>
      <c r="G1374" s="1">
        <v>3.3000000000000002E-2</v>
      </c>
      <c r="H1374" s="4" t="s">
        <v>225</v>
      </c>
      <c r="I1374" s="4" t="s">
        <v>1580</v>
      </c>
      <c r="J1374" s="4" t="s">
        <v>2260</v>
      </c>
      <c r="K1374" s="4" t="s">
        <v>24</v>
      </c>
    </row>
    <row r="1375" spans="1:11" x14ac:dyDescent="0.2">
      <c r="A1375" s="4" t="s">
        <v>2893</v>
      </c>
      <c r="B1375" s="4" t="s">
        <v>2894</v>
      </c>
      <c r="C1375" s="4" t="s">
        <v>13</v>
      </c>
      <c r="D1375" s="4" t="s">
        <v>2869</v>
      </c>
      <c r="E1375" s="4" t="s">
        <v>2870</v>
      </c>
      <c r="F1375" s="4" t="s">
        <v>516</v>
      </c>
      <c r="G1375" s="1">
        <v>0</v>
      </c>
      <c r="H1375" s="4" t="s">
        <v>254</v>
      </c>
      <c r="I1375" s="4" t="s">
        <v>1580</v>
      </c>
      <c r="J1375" s="4" t="s">
        <v>2260</v>
      </c>
      <c r="K1375" s="4" t="s">
        <v>24</v>
      </c>
    </row>
    <row r="1376" spans="1:11" x14ac:dyDescent="0.2">
      <c r="A1376" s="4" t="s">
        <v>2895</v>
      </c>
      <c r="B1376" s="4" t="s">
        <v>2896</v>
      </c>
      <c r="C1376" s="4" t="s">
        <v>13</v>
      </c>
      <c r="D1376" s="4" t="s">
        <v>2869</v>
      </c>
      <c r="E1376" s="4" t="s">
        <v>2870</v>
      </c>
      <c r="F1376" s="4" t="s">
        <v>516</v>
      </c>
      <c r="G1376" s="1">
        <v>3.3000000000000002E-2</v>
      </c>
      <c r="H1376" s="4" t="s">
        <v>225</v>
      </c>
      <c r="I1376" s="4" t="s">
        <v>1580</v>
      </c>
      <c r="J1376" s="4" t="s">
        <v>2260</v>
      </c>
      <c r="K1376" s="4" t="s">
        <v>24</v>
      </c>
    </row>
    <row r="1377" spans="1:11" x14ac:dyDescent="0.2">
      <c r="A1377" s="4" t="s">
        <v>2897</v>
      </c>
      <c r="B1377" s="4" t="s">
        <v>2898</v>
      </c>
      <c r="C1377" s="4" t="s">
        <v>13</v>
      </c>
      <c r="D1377" s="4" t="s">
        <v>2869</v>
      </c>
      <c r="E1377" s="4" t="s">
        <v>2870</v>
      </c>
      <c r="F1377" s="4" t="s">
        <v>516</v>
      </c>
      <c r="G1377" s="1">
        <v>6.7000000000000004E-2</v>
      </c>
      <c r="H1377" s="4" t="s">
        <v>166</v>
      </c>
      <c r="I1377" s="4" t="s">
        <v>1580</v>
      </c>
      <c r="J1377" s="4" t="s">
        <v>2260</v>
      </c>
      <c r="K1377" s="4" t="s">
        <v>24</v>
      </c>
    </row>
    <row r="1378" spans="1:11" x14ac:dyDescent="0.2">
      <c r="A1378" s="4" t="s">
        <v>2899</v>
      </c>
      <c r="B1378" s="4" t="s">
        <v>2900</v>
      </c>
      <c r="C1378" s="4" t="s">
        <v>13</v>
      </c>
      <c r="D1378" s="4" t="s">
        <v>2869</v>
      </c>
      <c r="E1378" s="4" t="s">
        <v>2870</v>
      </c>
      <c r="F1378" s="4" t="s">
        <v>516</v>
      </c>
      <c r="G1378" s="1">
        <v>6.7000000000000004E-2</v>
      </c>
      <c r="H1378" s="4" t="s">
        <v>166</v>
      </c>
      <c r="I1378" s="4" t="s">
        <v>1580</v>
      </c>
      <c r="J1378" s="4" t="s">
        <v>2260</v>
      </c>
      <c r="K1378" s="4" t="s">
        <v>24</v>
      </c>
    </row>
    <row r="1379" spans="1:11" x14ac:dyDescent="0.2">
      <c r="A1379" s="4" t="s">
        <v>1574</v>
      </c>
      <c r="B1379" s="4" t="s">
        <v>1575</v>
      </c>
      <c r="C1379" s="4" t="s">
        <v>49</v>
      </c>
      <c r="D1379" s="4" t="s">
        <v>2869</v>
      </c>
      <c r="E1379" s="4" t="s">
        <v>2870</v>
      </c>
      <c r="F1379" s="4" t="s">
        <v>516</v>
      </c>
      <c r="G1379" s="1">
        <v>3.3000000000000002E-2</v>
      </c>
      <c r="H1379" s="4" t="s">
        <v>225</v>
      </c>
      <c r="I1379" s="4" t="s">
        <v>1580</v>
      </c>
      <c r="J1379" s="4" t="s">
        <v>2260</v>
      </c>
      <c r="K1379" s="4" t="s">
        <v>24</v>
      </c>
    </row>
    <row r="1380" spans="1:11" x14ac:dyDescent="0.2">
      <c r="A1380" s="4" t="s">
        <v>2901</v>
      </c>
      <c r="B1380" s="4" t="s">
        <v>2902</v>
      </c>
      <c r="C1380" s="4" t="s">
        <v>13</v>
      </c>
      <c r="D1380" s="4" t="s">
        <v>2869</v>
      </c>
      <c r="E1380" s="4" t="s">
        <v>2870</v>
      </c>
      <c r="F1380" s="4" t="s">
        <v>516</v>
      </c>
      <c r="G1380" s="1">
        <v>6.7000000000000004E-2</v>
      </c>
      <c r="H1380" s="4" t="s">
        <v>166</v>
      </c>
      <c r="I1380" s="4" t="s">
        <v>1580</v>
      </c>
      <c r="J1380" s="4" t="s">
        <v>2260</v>
      </c>
      <c r="K1380" s="4" t="s">
        <v>24</v>
      </c>
    </row>
    <row r="1381" spans="1:11" x14ac:dyDescent="0.2">
      <c r="A1381" s="4" t="s">
        <v>2903</v>
      </c>
      <c r="B1381" s="4" t="s">
        <v>2904</v>
      </c>
      <c r="C1381" s="4" t="s">
        <v>13</v>
      </c>
      <c r="D1381" s="4" t="s">
        <v>2869</v>
      </c>
      <c r="E1381" s="4" t="s">
        <v>2870</v>
      </c>
      <c r="F1381" s="4" t="s">
        <v>516</v>
      </c>
      <c r="G1381" s="1">
        <v>0</v>
      </c>
      <c r="H1381" s="4" t="s">
        <v>254</v>
      </c>
      <c r="I1381" s="4" t="s">
        <v>1580</v>
      </c>
      <c r="J1381" s="4" t="s">
        <v>2260</v>
      </c>
      <c r="K1381" s="4" t="s">
        <v>24</v>
      </c>
    </row>
    <row r="1382" spans="1:11" x14ac:dyDescent="0.2">
      <c r="A1382" s="4" t="s">
        <v>2905</v>
      </c>
      <c r="B1382" s="4" t="s">
        <v>2906</v>
      </c>
      <c r="C1382" s="4" t="s">
        <v>49</v>
      </c>
      <c r="D1382" s="4" t="s">
        <v>2869</v>
      </c>
      <c r="E1382" s="4" t="s">
        <v>2870</v>
      </c>
      <c r="F1382" s="4" t="s">
        <v>516</v>
      </c>
      <c r="G1382" s="1">
        <v>3.3000000000000002E-2</v>
      </c>
      <c r="H1382" s="4" t="s">
        <v>2826</v>
      </c>
      <c r="I1382" s="4" t="s">
        <v>1580</v>
      </c>
      <c r="J1382" s="4" t="s">
        <v>2260</v>
      </c>
      <c r="K1382" s="4" t="s">
        <v>24</v>
      </c>
    </row>
    <row r="1383" spans="1:11" x14ac:dyDescent="0.2">
      <c r="A1383" s="4" t="s">
        <v>2907</v>
      </c>
      <c r="B1383" s="4" t="s">
        <v>2908</v>
      </c>
      <c r="C1383" s="4" t="s">
        <v>13</v>
      </c>
      <c r="D1383" s="4" t="s">
        <v>2869</v>
      </c>
      <c r="E1383" s="4" t="s">
        <v>2870</v>
      </c>
      <c r="F1383" s="4" t="s">
        <v>516</v>
      </c>
      <c r="G1383" s="1">
        <v>6.7000000000000004E-2</v>
      </c>
      <c r="H1383" s="4" t="s">
        <v>166</v>
      </c>
      <c r="I1383" s="4" t="s">
        <v>1580</v>
      </c>
      <c r="J1383" s="4" t="s">
        <v>2260</v>
      </c>
      <c r="K1383" s="4" t="s">
        <v>24</v>
      </c>
    </row>
    <row r="1384" spans="1:11" x14ac:dyDescent="0.2">
      <c r="A1384" s="4" t="s">
        <v>2909</v>
      </c>
      <c r="B1384" s="4" t="s">
        <v>2910</v>
      </c>
      <c r="C1384" s="4" t="s">
        <v>13</v>
      </c>
      <c r="D1384" s="4" t="s">
        <v>2869</v>
      </c>
      <c r="E1384" s="4" t="s">
        <v>2870</v>
      </c>
      <c r="F1384" s="4" t="s">
        <v>516</v>
      </c>
      <c r="G1384" s="1">
        <v>3.3000000000000002E-2</v>
      </c>
      <c r="H1384" s="4" t="s">
        <v>225</v>
      </c>
      <c r="I1384" s="4" t="s">
        <v>1580</v>
      </c>
      <c r="J1384" s="4" t="s">
        <v>2260</v>
      </c>
      <c r="K1384" s="4" t="s">
        <v>24</v>
      </c>
    </row>
    <row r="1385" spans="1:11" x14ac:dyDescent="0.2">
      <c r="A1385" s="4" t="s">
        <v>2911</v>
      </c>
      <c r="B1385" s="4" t="s">
        <v>2912</v>
      </c>
      <c r="C1385" s="4" t="s">
        <v>13</v>
      </c>
      <c r="D1385" s="4" t="s">
        <v>2869</v>
      </c>
      <c r="E1385" s="4" t="s">
        <v>2870</v>
      </c>
      <c r="F1385" s="4" t="s">
        <v>516</v>
      </c>
      <c r="G1385" s="1">
        <v>6.7000000000000004E-2</v>
      </c>
      <c r="H1385" s="4" t="s">
        <v>166</v>
      </c>
      <c r="I1385" s="4" t="s">
        <v>1580</v>
      </c>
      <c r="J1385" s="4" t="s">
        <v>2260</v>
      </c>
      <c r="K1385" s="4" t="s">
        <v>24</v>
      </c>
    </row>
    <row r="1386" spans="1:11" x14ac:dyDescent="0.2">
      <c r="A1386" s="4" t="s">
        <v>2913</v>
      </c>
      <c r="B1386" s="4" t="s">
        <v>2914</v>
      </c>
      <c r="C1386" s="4" t="s">
        <v>13</v>
      </c>
      <c r="D1386" s="4" t="s">
        <v>2869</v>
      </c>
      <c r="E1386" s="4" t="s">
        <v>2870</v>
      </c>
      <c r="F1386" s="4" t="s">
        <v>516</v>
      </c>
      <c r="G1386" s="1">
        <v>0</v>
      </c>
      <c r="H1386" s="4" t="s">
        <v>254</v>
      </c>
      <c r="I1386" s="4" t="s">
        <v>1580</v>
      </c>
      <c r="J1386" s="4" t="s">
        <v>2260</v>
      </c>
      <c r="K1386" s="4" t="s">
        <v>24</v>
      </c>
    </row>
    <row r="1387" spans="1:11" x14ac:dyDescent="0.2">
      <c r="A1387" s="4" t="s">
        <v>2915</v>
      </c>
      <c r="B1387" s="4" t="s">
        <v>2916</v>
      </c>
      <c r="C1387" s="4" t="s">
        <v>13</v>
      </c>
      <c r="D1387" s="4" t="s">
        <v>2869</v>
      </c>
      <c r="E1387" s="4" t="s">
        <v>2870</v>
      </c>
      <c r="F1387" s="4" t="s">
        <v>516</v>
      </c>
      <c r="G1387" s="1">
        <v>0</v>
      </c>
      <c r="H1387" s="4" t="s">
        <v>254</v>
      </c>
      <c r="I1387" s="4" t="s">
        <v>1580</v>
      </c>
      <c r="J1387" s="4" t="s">
        <v>2260</v>
      </c>
      <c r="K1387" s="4" t="s">
        <v>24</v>
      </c>
    </row>
    <row r="1388" spans="1:11" x14ac:dyDescent="0.2">
      <c r="A1388" s="4" t="s">
        <v>2917</v>
      </c>
      <c r="B1388" s="4" t="s">
        <v>2918</v>
      </c>
      <c r="C1388" s="4" t="s">
        <v>13</v>
      </c>
      <c r="D1388" s="4" t="s">
        <v>2869</v>
      </c>
      <c r="E1388" s="4" t="s">
        <v>2870</v>
      </c>
      <c r="F1388" s="4" t="s">
        <v>516</v>
      </c>
      <c r="G1388" s="1">
        <v>6.7000000000000004E-2</v>
      </c>
      <c r="H1388" s="4" t="s">
        <v>166</v>
      </c>
      <c r="I1388" s="4" t="s">
        <v>1580</v>
      </c>
      <c r="J1388" s="4" t="s">
        <v>2260</v>
      </c>
      <c r="K1388" s="4" t="s">
        <v>24</v>
      </c>
    </row>
    <row r="1389" spans="1:11" x14ac:dyDescent="0.2">
      <c r="A1389" s="4" t="s">
        <v>2919</v>
      </c>
      <c r="B1389" s="4" t="s">
        <v>2920</v>
      </c>
      <c r="C1389" s="4" t="s">
        <v>13</v>
      </c>
      <c r="D1389" s="4" t="s">
        <v>2869</v>
      </c>
      <c r="E1389" s="4" t="s">
        <v>2870</v>
      </c>
      <c r="F1389" s="4" t="s">
        <v>516</v>
      </c>
      <c r="G1389" s="1">
        <v>0</v>
      </c>
      <c r="H1389" s="4" t="s">
        <v>254</v>
      </c>
      <c r="I1389" s="4" t="s">
        <v>1580</v>
      </c>
      <c r="J1389" s="4" t="s">
        <v>2260</v>
      </c>
      <c r="K1389" s="4" t="s">
        <v>24</v>
      </c>
    </row>
    <row r="1390" spans="1:11" x14ac:dyDescent="0.2">
      <c r="A1390" s="4" t="s">
        <v>2921</v>
      </c>
      <c r="B1390" s="4" t="s">
        <v>2922</v>
      </c>
      <c r="C1390" s="4" t="s">
        <v>13</v>
      </c>
      <c r="D1390" s="4" t="s">
        <v>2869</v>
      </c>
      <c r="E1390" s="4" t="s">
        <v>2870</v>
      </c>
      <c r="F1390" s="4" t="s">
        <v>516</v>
      </c>
      <c r="G1390" s="1">
        <v>0</v>
      </c>
      <c r="H1390" s="4" t="s">
        <v>254</v>
      </c>
      <c r="I1390" s="4" t="s">
        <v>1580</v>
      </c>
      <c r="J1390" s="4" t="s">
        <v>2260</v>
      </c>
      <c r="K1390" s="4" t="s">
        <v>24</v>
      </c>
    </row>
    <row r="1391" spans="1:11" x14ac:dyDescent="0.2">
      <c r="A1391" s="4" t="s">
        <v>2923</v>
      </c>
      <c r="B1391" s="4" t="s">
        <v>2924</v>
      </c>
      <c r="C1391" s="4" t="s">
        <v>13</v>
      </c>
      <c r="D1391" s="4" t="s">
        <v>2869</v>
      </c>
      <c r="E1391" s="4" t="s">
        <v>2870</v>
      </c>
      <c r="F1391" s="4" t="s">
        <v>516</v>
      </c>
      <c r="G1391" s="1">
        <v>3.3000000000000002E-2</v>
      </c>
      <c r="H1391" s="4" t="s">
        <v>225</v>
      </c>
      <c r="I1391" s="4" t="s">
        <v>1580</v>
      </c>
      <c r="J1391" s="4" t="s">
        <v>2260</v>
      </c>
      <c r="K1391" s="4" t="s">
        <v>24</v>
      </c>
    </row>
    <row r="1392" spans="1:11" x14ac:dyDescent="0.2">
      <c r="A1392" s="4" t="s">
        <v>2925</v>
      </c>
      <c r="B1392" s="4" t="s">
        <v>2926</v>
      </c>
      <c r="C1392" s="4" t="s">
        <v>13</v>
      </c>
      <c r="D1392" s="4" t="s">
        <v>2869</v>
      </c>
      <c r="E1392" s="4" t="s">
        <v>2870</v>
      </c>
      <c r="F1392" s="4" t="s">
        <v>516</v>
      </c>
      <c r="G1392" s="1">
        <v>6.7000000000000004E-2</v>
      </c>
      <c r="H1392" s="4" t="s">
        <v>166</v>
      </c>
      <c r="I1392" s="4" t="s">
        <v>1580</v>
      </c>
      <c r="J1392" s="4" t="s">
        <v>2260</v>
      </c>
      <c r="K1392" s="4" t="s">
        <v>24</v>
      </c>
    </row>
    <row r="1393" spans="1:11" x14ac:dyDescent="0.2">
      <c r="A1393" s="4" t="s">
        <v>2927</v>
      </c>
      <c r="B1393" s="4" t="s">
        <v>2928</v>
      </c>
      <c r="C1393" s="4" t="s">
        <v>13</v>
      </c>
      <c r="D1393" s="4" t="s">
        <v>2869</v>
      </c>
      <c r="E1393" s="4" t="s">
        <v>2870</v>
      </c>
      <c r="F1393" s="4" t="s">
        <v>516</v>
      </c>
      <c r="G1393" s="1">
        <v>6.7000000000000004E-2</v>
      </c>
      <c r="H1393" s="4" t="s">
        <v>166</v>
      </c>
      <c r="I1393" s="4" t="s">
        <v>1580</v>
      </c>
      <c r="J1393" s="4" t="s">
        <v>2260</v>
      </c>
      <c r="K1393" s="4" t="s">
        <v>24</v>
      </c>
    </row>
    <row r="1394" spans="1:11" x14ac:dyDescent="0.2">
      <c r="A1394" s="4" t="s">
        <v>2929</v>
      </c>
      <c r="B1394" s="4" t="s">
        <v>2930</v>
      </c>
      <c r="C1394" s="4" t="s">
        <v>13</v>
      </c>
      <c r="D1394" s="4" t="s">
        <v>2869</v>
      </c>
      <c r="E1394" s="4" t="s">
        <v>2870</v>
      </c>
      <c r="F1394" s="4" t="s">
        <v>516</v>
      </c>
      <c r="G1394" s="1">
        <v>6.7000000000000004E-2</v>
      </c>
      <c r="H1394" s="4" t="s">
        <v>166</v>
      </c>
      <c r="I1394" s="4" t="s">
        <v>1580</v>
      </c>
      <c r="J1394" s="4" t="s">
        <v>2260</v>
      </c>
      <c r="K1394" s="4" t="s">
        <v>24</v>
      </c>
    </row>
    <row r="1395" spans="1:11" x14ac:dyDescent="0.2">
      <c r="A1395" s="4" t="s">
        <v>2931</v>
      </c>
      <c r="B1395" s="4" t="s">
        <v>2932</v>
      </c>
      <c r="C1395" s="4" t="s">
        <v>13</v>
      </c>
      <c r="D1395" s="4" t="s">
        <v>2869</v>
      </c>
      <c r="E1395" s="4" t="s">
        <v>2870</v>
      </c>
      <c r="F1395" s="4" t="s">
        <v>516</v>
      </c>
      <c r="G1395" s="1">
        <v>3.3000000000000002E-2</v>
      </c>
      <c r="H1395" s="4" t="s">
        <v>225</v>
      </c>
      <c r="I1395" s="4" t="s">
        <v>1580</v>
      </c>
      <c r="J1395" s="4" t="s">
        <v>2260</v>
      </c>
      <c r="K1395" s="4" t="s">
        <v>2078</v>
      </c>
    </row>
    <row r="1396" spans="1:11" x14ac:dyDescent="0.2">
      <c r="A1396" s="4" t="s">
        <v>2933</v>
      </c>
      <c r="B1396" s="4" t="s">
        <v>2934</v>
      </c>
      <c r="C1396" s="4" t="s">
        <v>13</v>
      </c>
      <c r="D1396" s="4" t="s">
        <v>2869</v>
      </c>
      <c r="E1396" s="4" t="s">
        <v>2870</v>
      </c>
      <c r="F1396" s="4" t="s">
        <v>516</v>
      </c>
      <c r="G1396" s="1">
        <v>3.3000000000000002E-2</v>
      </c>
      <c r="H1396" s="4" t="s">
        <v>225</v>
      </c>
      <c r="I1396" s="4" t="s">
        <v>1580</v>
      </c>
      <c r="J1396" s="4" t="s">
        <v>2260</v>
      </c>
      <c r="K1396" s="4" t="s">
        <v>1992</v>
      </c>
    </row>
    <row r="1397" spans="1:11" x14ac:dyDescent="0.2">
      <c r="A1397" s="4" t="s">
        <v>2935</v>
      </c>
      <c r="B1397" s="4" t="s">
        <v>2936</v>
      </c>
      <c r="C1397" s="4" t="s">
        <v>13</v>
      </c>
      <c r="D1397" s="4" t="s">
        <v>2869</v>
      </c>
      <c r="E1397" s="4" t="s">
        <v>2870</v>
      </c>
      <c r="F1397" s="4" t="s">
        <v>516</v>
      </c>
      <c r="G1397" s="1">
        <v>6.7000000000000004E-2</v>
      </c>
      <c r="H1397" s="4" t="s">
        <v>166</v>
      </c>
      <c r="I1397" s="4" t="s">
        <v>1580</v>
      </c>
      <c r="J1397" s="4" t="s">
        <v>2260</v>
      </c>
      <c r="K1397" s="4" t="s">
        <v>1999</v>
      </c>
    </row>
    <row r="1398" spans="1:11" x14ac:dyDescent="0.2">
      <c r="A1398" s="4" t="s">
        <v>2937</v>
      </c>
      <c r="B1398" s="4" t="s">
        <v>2938</v>
      </c>
      <c r="C1398" s="4" t="s">
        <v>13</v>
      </c>
      <c r="D1398" s="4" t="s">
        <v>2869</v>
      </c>
      <c r="E1398" s="4" t="s">
        <v>2870</v>
      </c>
      <c r="F1398" s="4" t="s">
        <v>516</v>
      </c>
      <c r="G1398" s="1">
        <v>6.7000000000000004E-2</v>
      </c>
      <c r="H1398" s="4" t="s">
        <v>166</v>
      </c>
      <c r="I1398" s="4" t="s">
        <v>1580</v>
      </c>
      <c r="J1398" s="4" t="s">
        <v>2260</v>
      </c>
      <c r="K1398" s="4" t="s">
        <v>1585</v>
      </c>
    </row>
    <row r="1399" spans="1:11" x14ac:dyDescent="0.2">
      <c r="A1399" s="4" t="s">
        <v>2939</v>
      </c>
      <c r="B1399" s="4" t="s">
        <v>2940</v>
      </c>
      <c r="C1399" s="4" t="s">
        <v>13</v>
      </c>
      <c r="D1399" s="4" t="s">
        <v>2869</v>
      </c>
      <c r="E1399" s="4" t="s">
        <v>2870</v>
      </c>
      <c r="F1399" s="4" t="s">
        <v>516</v>
      </c>
      <c r="G1399" s="1">
        <v>3.3000000000000002E-2</v>
      </c>
      <c r="H1399" s="4" t="s">
        <v>225</v>
      </c>
      <c r="I1399" s="4" t="s">
        <v>1580</v>
      </c>
      <c r="J1399" s="4" t="s">
        <v>2260</v>
      </c>
      <c r="K1399" s="4" t="s">
        <v>1590</v>
      </c>
    </row>
    <row r="1400" spans="1:11" x14ac:dyDescent="0.2">
      <c r="A1400" s="4" t="s">
        <v>2941</v>
      </c>
      <c r="B1400" s="4" t="s">
        <v>2942</v>
      </c>
      <c r="C1400" s="4" t="s">
        <v>13</v>
      </c>
      <c r="D1400" s="4" t="s">
        <v>2869</v>
      </c>
      <c r="E1400" s="4" t="s">
        <v>2870</v>
      </c>
      <c r="F1400" s="4" t="s">
        <v>516</v>
      </c>
      <c r="G1400" s="1">
        <v>3.3000000000000002E-2</v>
      </c>
      <c r="H1400" s="4" t="s">
        <v>225</v>
      </c>
      <c r="I1400" s="4" t="s">
        <v>1580</v>
      </c>
      <c r="J1400" s="4" t="s">
        <v>2260</v>
      </c>
      <c r="K1400" s="4" t="s">
        <v>1710</v>
      </c>
    </row>
    <row r="1401" spans="1:11" x14ac:dyDescent="0.2">
      <c r="A1401" s="4" t="s">
        <v>613</v>
      </c>
      <c r="B1401" s="4" t="s">
        <v>614</v>
      </c>
      <c r="C1401" s="4" t="s">
        <v>13</v>
      </c>
      <c r="D1401" s="4" t="s">
        <v>2869</v>
      </c>
      <c r="E1401" s="4" t="s">
        <v>2870</v>
      </c>
      <c r="F1401" s="4" t="s">
        <v>516</v>
      </c>
      <c r="G1401" s="1">
        <v>6.7000000000000004E-2</v>
      </c>
      <c r="H1401" s="4" t="s">
        <v>166</v>
      </c>
      <c r="I1401" s="4" t="s">
        <v>1580</v>
      </c>
      <c r="J1401" s="4" t="s">
        <v>2260</v>
      </c>
      <c r="K1401" s="4" t="s">
        <v>24</v>
      </c>
    </row>
    <row r="1402" spans="1:11" x14ac:dyDescent="0.2">
      <c r="A1402" s="4" t="s">
        <v>2943</v>
      </c>
      <c r="B1402" s="4" t="s">
        <v>2944</v>
      </c>
      <c r="C1402" s="4" t="s">
        <v>13</v>
      </c>
      <c r="D1402" s="4" t="s">
        <v>2945</v>
      </c>
      <c r="E1402" s="4" t="s">
        <v>2946</v>
      </c>
      <c r="F1402" s="4" t="s">
        <v>649</v>
      </c>
      <c r="G1402" s="1">
        <v>0.1</v>
      </c>
      <c r="H1402" s="4" t="s">
        <v>117</v>
      </c>
      <c r="I1402" s="4" t="s">
        <v>1580</v>
      </c>
      <c r="J1402" s="4" t="s">
        <v>2077</v>
      </c>
      <c r="K1402" s="4" t="s">
        <v>1582</v>
      </c>
    </row>
    <row r="1403" spans="1:11" x14ac:dyDescent="0.2">
      <c r="A1403" s="4" t="s">
        <v>2947</v>
      </c>
      <c r="B1403" s="4" t="s">
        <v>2948</v>
      </c>
      <c r="C1403" s="4" t="s">
        <v>13</v>
      </c>
      <c r="D1403" s="4" t="s">
        <v>2945</v>
      </c>
      <c r="E1403" s="4" t="s">
        <v>2946</v>
      </c>
      <c r="F1403" s="4" t="s">
        <v>649</v>
      </c>
      <c r="G1403" s="1">
        <v>0.13300000000000001</v>
      </c>
      <c r="H1403" s="4" t="s">
        <v>112</v>
      </c>
      <c r="I1403" s="4" t="s">
        <v>1580</v>
      </c>
      <c r="J1403" s="4" t="s">
        <v>2077</v>
      </c>
      <c r="K1403" s="4" t="s">
        <v>24</v>
      </c>
    </row>
    <row r="1404" spans="1:11" x14ac:dyDescent="0.2">
      <c r="A1404" s="4" t="s">
        <v>2949</v>
      </c>
      <c r="B1404" s="4" t="s">
        <v>2950</v>
      </c>
      <c r="C1404" s="4" t="s">
        <v>13</v>
      </c>
      <c r="D1404" s="4" t="s">
        <v>2945</v>
      </c>
      <c r="E1404" s="4" t="s">
        <v>2946</v>
      </c>
      <c r="F1404" s="4" t="s">
        <v>649</v>
      </c>
      <c r="G1404" s="1">
        <v>0.13300000000000001</v>
      </c>
      <c r="H1404" s="4" t="s">
        <v>112</v>
      </c>
      <c r="I1404" s="4" t="s">
        <v>1580</v>
      </c>
      <c r="J1404" s="4" t="s">
        <v>2077</v>
      </c>
      <c r="K1404" s="4" t="s">
        <v>24</v>
      </c>
    </row>
    <row r="1405" spans="1:11" x14ac:dyDescent="0.2">
      <c r="A1405" s="4" t="s">
        <v>2951</v>
      </c>
      <c r="B1405" s="4" t="s">
        <v>2952</v>
      </c>
      <c r="C1405" s="4" t="s">
        <v>13</v>
      </c>
      <c r="D1405" s="4" t="s">
        <v>2945</v>
      </c>
      <c r="E1405" s="4" t="s">
        <v>2946</v>
      </c>
      <c r="F1405" s="4" t="s">
        <v>649</v>
      </c>
      <c r="G1405" s="1">
        <v>3.3000000000000002E-2</v>
      </c>
      <c r="H1405" s="4" t="s">
        <v>225</v>
      </c>
      <c r="I1405" s="4" t="s">
        <v>1580</v>
      </c>
      <c r="J1405" s="4" t="s">
        <v>2077</v>
      </c>
      <c r="K1405" s="4" t="s">
        <v>24</v>
      </c>
    </row>
    <row r="1406" spans="1:11" x14ac:dyDescent="0.2">
      <c r="A1406" s="4" t="s">
        <v>2953</v>
      </c>
      <c r="B1406" s="4" t="s">
        <v>2954</v>
      </c>
      <c r="C1406" s="4" t="s">
        <v>13</v>
      </c>
      <c r="D1406" s="4" t="s">
        <v>2945</v>
      </c>
      <c r="E1406" s="4" t="s">
        <v>2946</v>
      </c>
      <c r="F1406" s="4" t="s">
        <v>649</v>
      </c>
      <c r="G1406" s="1">
        <v>0.13300000000000001</v>
      </c>
      <c r="H1406" s="4" t="s">
        <v>112</v>
      </c>
      <c r="I1406" s="4" t="s">
        <v>1580</v>
      </c>
      <c r="J1406" s="4" t="s">
        <v>2077</v>
      </c>
      <c r="K1406" s="4" t="s">
        <v>24</v>
      </c>
    </row>
    <row r="1407" spans="1:11" x14ac:dyDescent="0.2">
      <c r="A1407" s="4" t="s">
        <v>2955</v>
      </c>
      <c r="B1407" s="4" t="s">
        <v>2956</v>
      </c>
      <c r="C1407" s="4" t="s">
        <v>13</v>
      </c>
      <c r="D1407" s="4" t="s">
        <v>2945</v>
      </c>
      <c r="E1407" s="4" t="s">
        <v>2946</v>
      </c>
      <c r="F1407" s="4" t="s">
        <v>649</v>
      </c>
      <c r="G1407" s="1">
        <v>0.13300000000000001</v>
      </c>
      <c r="H1407" s="4" t="s">
        <v>112</v>
      </c>
      <c r="I1407" s="4" t="s">
        <v>1580</v>
      </c>
      <c r="J1407" s="4" t="s">
        <v>2077</v>
      </c>
      <c r="K1407" s="4" t="s">
        <v>24</v>
      </c>
    </row>
    <row r="1408" spans="1:11" x14ac:dyDescent="0.2">
      <c r="A1408" s="4" t="s">
        <v>2957</v>
      </c>
      <c r="B1408" s="4" t="s">
        <v>2958</v>
      </c>
      <c r="C1408" s="4" t="s">
        <v>13</v>
      </c>
      <c r="D1408" s="4" t="s">
        <v>2945</v>
      </c>
      <c r="E1408" s="4" t="s">
        <v>2946</v>
      </c>
      <c r="F1408" s="4" t="s">
        <v>649</v>
      </c>
      <c r="G1408" s="1">
        <v>0.13300000000000001</v>
      </c>
      <c r="H1408" s="4" t="s">
        <v>112</v>
      </c>
      <c r="I1408" s="4" t="s">
        <v>1580</v>
      </c>
      <c r="J1408" s="4" t="s">
        <v>2077</v>
      </c>
      <c r="K1408" s="4" t="s">
        <v>24</v>
      </c>
    </row>
    <row r="1409" spans="1:11" x14ac:dyDescent="0.2">
      <c r="A1409" s="4" t="s">
        <v>2959</v>
      </c>
      <c r="B1409" s="4" t="s">
        <v>2960</v>
      </c>
      <c r="C1409" s="4" t="s">
        <v>13</v>
      </c>
      <c r="D1409" s="4" t="s">
        <v>2945</v>
      </c>
      <c r="E1409" s="4" t="s">
        <v>2946</v>
      </c>
      <c r="F1409" s="4" t="s">
        <v>649</v>
      </c>
      <c r="G1409" s="1">
        <v>0.13300000000000001</v>
      </c>
      <c r="H1409" s="4" t="s">
        <v>112</v>
      </c>
      <c r="I1409" s="4" t="s">
        <v>1580</v>
      </c>
      <c r="J1409" s="4" t="s">
        <v>2077</v>
      </c>
      <c r="K1409" s="4" t="s">
        <v>24</v>
      </c>
    </row>
    <row r="1410" spans="1:11" x14ac:dyDescent="0.2">
      <c r="A1410" s="4" t="s">
        <v>2961</v>
      </c>
      <c r="B1410" s="4" t="s">
        <v>2962</v>
      </c>
      <c r="C1410" s="4" t="s">
        <v>13</v>
      </c>
      <c r="D1410" s="4" t="s">
        <v>2945</v>
      </c>
      <c r="E1410" s="4" t="s">
        <v>2946</v>
      </c>
      <c r="F1410" s="4" t="s">
        <v>649</v>
      </c>
      <c r="G1410" s="1">
        <v>0.13300000000000001</v>
      </c>
      <c r="H1410" s="4" t="s">
        <v>112</v>
      </c>
      <c r="I1410" s="4" t="s">
        <v>1580</v>
      </c>
      <c r="J1410" s="4" t="s">
        <v>2077</v>
      </c>
      <c r="K1410" s="4" t="s">
        <v>24</v>
      </c>
    </row>
    <row r="1411" spans="1:11" x14ac:dyDescent="0.2">
      <c r="A1411" s="4" t="s">
        <v>2963</v>
      </c>
      <c r="B1411" s="4" t="s">
        <v>2964</v>
      </c>
      <c r="C1411" s="4" t="s">
        <v>13</v>
      </c>
      <c r="D1411" s="4" t="s">
        <v>2945</v>
      </c>
      <c r="E1411" s="4" t="s">
        <v>2946</v>
      </c>
      <c r="F1411" s="4" t="s">
        <v>649</v>
      </c>
      <c r="G1411" s="1">
        <v>0.1</v>
      </c>
      <c r="H1411" s="4" t="s">
        <v>117</v>
      </c>
      <c r="I1411" s="4" t="s">
        <v>1580</v>
      </c>
      <c r="J1411" s="4" t="s">
        <v>2077</v>
      </c>
      <c r="K1411" s="4" t="s">
        <v>24</v>
      </c>
    </row>
    <row r="1412" spans="1:11" x14ac:dyDescent="0.2">
      <c r="A1412" s="4" t="s">
        <v>2965</v>
      </c>
      <c r="B1412" s="4" t="s">
        <v>2966</v>
      </c>
      <c r="C1412" s="4" t="s">
        <v>13</v>
      </c>
      <c r="D1412" s="4" t="s">
        <v>2945</v>
      </c>
      <c r="E1412" s="4" t="s">
        <v>2946</v>
      </c>
      <c r="F1412" s="4" t="s">
        <v>649</v>
      </c>
      <c r="G1412" s="1">
        <v>0.13300000000000001</v>
      </c>
      <c r="H1412" s="4" t="s">
        <v>112</v>
      </c>
      <c r="I1412" s="4" t="s">
        <v>1580</v>
      </c>
      <c r="J1412" s="4" t="s">
        <v>2077</v>
      </c>
      <c r="K1412" s="4" t="s">
        <v>24</v>
      </c>
    </row>
    <row r="1413" spans="1:11" x14ac:dyDescent="0.2">
      <c r="A1413" s="4" t="s">
        <v>2967</v>
      </c>
      <c r="B1413" s="4" t="s">
        <v>2968</v>
      </c>
      <c r="C1413" s="4" t="s">
        <v>13</v>
      </c>
      <c r="D1413" s="4" t="s">
        <v>2945</v>
      </c>
      <c r="E1413" s="4" t="s">
        <v>2946</v>
      </c>
      <c r="F1413" s="4" t="s">
        <v>649</v>
      </c>
      <c r="G1413" s="1">
        <v>0.13300000000000001</v>
      </c>
      <c r="H1413" s="4" t="s">
        <v>112</v>
      </c>
      <c r="I1413" s="4" t="s">
        <v>1580</v>
      </c>
      <c r="J1413" s="4" t="s">
        <v>2077</v>
      </c>
      <c r="K1413" s="4" t="s">
        <v>24</v>
      </c>
    </row>
    <row r="1414" spans="1:11" x14ac:dyDescent="0.2">
      <c r="A1414" s="4" t="s">
        <v>2969</v>
      </c>
      <c r="B1414" s="4" t="s">
        <v>2970</v>
      </c>
      <c r="C1414" s="4" t="s">
        <v>13</v>
      </c>
      <c r="D1414" s="4" t="s">
        <v>2945</v>
      </c>
      <c r="E1414" s="4" t="s">
        <v>2946</v>
      </c>
      <c r="F1414" s="4" t="s">
        <v>649</v>
      </c>
      <c r="G1414" s="1">
        <v>6.7000000000000004E-2</v>
      </c>
      <c r="H1414" s="4" t="s">
        <v>166</v>
      </c>
      <c r="I1414" s="4" t="s">
        <v>1580</v>
      </c>
      <c r="J1414" s="4" t="s">
        <v>2077</v>
      </c>
      <c r="K1414" s="4" t="s">
        <v>24</v>
      </c>
    </row>
    <row r="1415" spans="1:11" x14ac:dyDescent="0.2">
      <c r="A1415" s="4" t="s">
        <v>2971</v>
      </c>
      <c r="B1415" s="4" t="s">
        <v>2972</v>
      </c>
      <c r="C1415" s="4" t="s">
        <v>13</v>
      </c>
      <c r="D1415" s="4" t="s">
        <v>2945</v>
      </c>
      <c r="E1415" s="4" t="s">
        <v>2946</v>
      </c>
      <c r="F1415" s="4" t="s">
        <v>649</v>
      </c>
      <c r="G1415" s="1">
        <v>0.13300000000000001</v>
      </c>
      <c r="H1415" s="4" t="s">
        <v>112</v>
      </c>
      <c r="I1415" s="4" t="s">
        <v>1580</v>
      </c>
      <c r="J1415" s="4" t="s">
        <v>2077</v>
      </c>
      <c r="K1415" s="4" t="s">
        <v>24</v>
      </c>
    </row>
    <row r="1416" spans="1:11" x14ac:dyDescent="0.2">
      <c r="A1416" s="4" t="s">
        <v>2973</v>
      </c>
      <c r="B1416" s="4" t="s">
        <v>2974</v>
      </c>
      <c r="C1416" s="4" t="s">
        <v>13</v>
      </c>
      <c r="D1416" s="4" t="s">
        <v>2945</v>
      </c>
      <c r="E1416" s="4" t="s">
        <v>2946</v>
      </c>
      <c r="F1416" s="4" t="s">
        <v>649</v>
      </c>
      <c r="G1416" s="1">
        <v>0.13300000000000001</v>
      </c>
      <c r="H1416" s="4" t="s">
        <v>112</v>
      </c>
      <c r="I1416" s="4" t="s">
        <v>1580</v>
      </c>
      <c r="J1416" s="4" t="s">
        <v>2077</v>
      </c>
      <c r="K1416" s="4" t="s">
        <v>24</v>
      </c>
    </row>
    <row r="1417" spans="1:11" x14ac:dyDescent="0.2">
      <c r="A1417" s="4" t="s">
        <v>2975</v>
      </c>
      <c r="B1417" s="4" t="s">
        <v>2976</v>
      </c>
      <c r="C1417" s="4" t="s">
        <v>13</v>
      </c>
      <c r="D1417" s="4" t="s">
        <v>2945</v>
      </c>
      <c r="E1417" s="4" t="s">
        <v>2946</v>
      </c>
      <c r="F1417" s="4" t="s">
        <v>649</v>
      </c>
      <c r="G1417" s="1">
        <v>0.1</v>
      </c>
      <c r="H1417" s="4" t="s">
        <v>117</v>
      </c>
      <c r="I1417" s="4" t="s">
        <v>1580</v>
      </c>
      <c r="J1417" s="4" t="s">
        <v>2077</v>
      </c>
      <c r="K1417" s="4" t="s">
        <v>24</v>
      </c>
    </row>
    <row r="1418" spans="1:11" x14ac:dyDescent="0.2">
      <c r="A1418" s="4" t="s">
        <v>2977</v>
      </c>
      <c r="B1418" s="4" t="s">
        <v>2978</v>
      </c>
      <c r="C1418" s="4" t="s">
        <v>13</v>
      </c>
      <c r="D1418" s="4" t="s">
        <v>2945</v>
      </c>
      <c r="E1418" s="4" t="s">
        <v>2946</v>
      </c>
      <c r="F1418" s="4" t="s">
        <v>649</v>
      </c>
      <c r="G1418" s="1">
        <v>0.13300000000000001</v>
      </c>
      <c r="H1418" s="4" t="s">
        <v>112</v>
      </c>
      <c r="I1418" s="4" t="s">
        <v>1580</v>
      </c>
      <c r="J1418" s="4" t="s">
        <v>2077</v>
      </c>
      <c r="K1418" s="4" t="s">
        <v>24</v>
      </c>
    </row>
    <row r="1419" spans="1:11" x14ac:dyDescent="0.2">
      <c r="A1419" s="4" t="s">
        <v>2979</v>
      </c>
      <c r="B1419" s="4" t="s">
        <v>2980</v>
      </c>
      <c r="C1419" s="4" t="s">
        <v>13</v>
      </c>
      <c r="D1419" s="4" t="s">
        <v>2945</v>
      </c>
      <c r="E1419" s="4" t="s">
        <v>2946</v>
      </c>
      <c r="F1419" s="4" t="s">
        <v>649</v>
      </c>
      <c r="G1419" s="1">
        <v>3.3000000000000002E-2</v>
      </c>
      <c r="H1419" s="4" t="s">
        <v>225</v>
      </c>
      <c r="I1419" s="4" t="s">
        <v>1580</v>
      </c>
      <c r="J1419" s="4" t="s">
        <v>2077</v>
      </c>
      <c r="K1419" s="4" t="s">
        <v>24</v>
      </c>
    </row>
    <row r="1420" spans="1:11" x14ac:dyDescent="0.2">
      <c r="A1420" s="4" t="s">
        <v>2981</v>
      </c>
      <c r="B1420" s="4" t="s">
        <v>2982</v>
      </c>
      <c r="C1420" s="4" t="s">
        <v>13</v>
      </c>
      <c r="D1420" s="4" t="s">
        <v>2945</v>
      </c>
      <c r="E1420" s="4" t="s">
        <v>2946</v>
      </c>
      <c r="F1420" s="4" t="s">
        <v>649</v>
      </c>
      <c r="G1420" s="1">
        <v>6.7000000000000004E-2</v>
      </c>
      <c r="H1420" s="4" t="s">
        <v>166</v>
      </c>
      <c r="I1420" s="4" t="s">
        <v>1580</v>
      </c>
      <c r="J1420" s="4" t="s">
        <v>2077</v>
      </c>
      <c r="K1420" s="4" t="s">
        <v>24</v>
      </c>
    </row>
    <row r="1421" spans="1:11" x14ac:dyDescent="0.2">
      <c r="A1421" s="4" t="s">
        <v>2983</v>
      </c>
      <c r="B1421" s="4" t="s">
        <v>2984</v>
      </c>
      <c r="C1421" s="4" t="s">
        <v>13</v>
      </c>
      <c r="D1421" s="4" t="s">
        <v>2945</v>
      </c>
      <c r="E1421" s="4" t="s">
        <v>2946</v>
      </c>
      <c r="F1421" s="4" t="s">
        <v>649</v>
      </c>
      <c r="G1421" s="1">
        <v>3.3000000000000002E-2</v>
      </c>
      <c r="H1421" s="4" t="s">
        <v>225</v>
      </c>
      <c r="I1421" s="4" t="s">
        <v>1580</v>
      </c>
      <c r="J1421" s="4" t="s">
        <v>2077</v>
      </c>
      <c r="K1421" s="4" t="s">
        <v>24</v>
      </c>
    </row>
    <row r="1422" spans="1:11" x14ac:dyDescent="0.2">
      <c r="A1422" s="4" t="s">
        <v>2985</v>
      </c>
      <c r="B1422" s="4" t="s">
        <v>2986</v>
      </c>
      <c r="C1422" s="4" t="s">
        <v>13</v>
      </c>
      <c r="D1422" s="4" t="s">
        <v>2945</v>
      </c>
      <c r="E1422" s="4" t="s">
        <v>2946</v>
      </c>
      <c r="F1422" s="4" t="s">
        <v>649</v>
      </c>
      <c r="G1422" s="1">
        <v>3.3000000000000002E-2</v>
      </c>
      <c r="H1422" s="4" t="s">
        <v>225</v>
      </c>
      <c r="I1422" s="4" t="s">
        <v>1580</v>
      </c>
      <c r="J1422" s="4" t="s">
        <v>2077</v>
      </c>
      <c r="K1422" s="4" t="s">
        <v>24</v>
      </c>
    </row>
    <row r="1423" spans="1:11" x14ac:dyDescent="0.2">
      <c r="A1423" s="4" t="s">
        <v>2987</v>
      </c>
      <c r="B1423" s="4" t="s">
        <v>2988</v>
      </c>
      <c r="C1423" s="4" t="s">
        <v>13</v>
      </c>
      <c r="D1423" s="4" t="s">
        <v>2945</v>
      </c>
      <c r="E1423" s="4" t="s">
        <v>2946</v>
      </c>
      <c r="F1423" s="4" t="s">
        <v>649</v>
      </c>
      <c r="G1423" s="1">
        <v>3.3000000000000002E-2</v>
      </c>
      <c r="H1423" s="4" t="s">
        <v>225</v>
      </c>
      <c r="I1423" s="4" t="s">
        <v>1580</v>
      </c>
      <c r="J1423" s="4" t="s">
        <v>2077</v>
      </c>
      <c r="K1423" s="4" t="s">
        <v>24</v>
      </c>
    </row>
    <row r="1424" spans="1:11" x14ac:dyDescent="0.2">
      <c r="A1424" s="4" t="s">
        <v>2989</v>
      </c>
      <c r="B1424" s="4" t="s">
        <v>2990</v>
      </c>
      <c r="C1424" s="4" t="s">
        <v>13</v>
      </c>
      <c r="D1424" s="4" t="s">
        <v>2945</v>
      </c>
      <c r="E1424" s="4" t="s">
        <v>2946</v>
      </c>
      <c r="F1424" s="4" t="s">
        <v>649</v>
      </c>
      <c r="G1424" s="1">
        <v>3.3000000000000002E-2</v>
      </c>
      <c r="H1424" s="4" t="s">
        <v>225</v>
      </c>
      <c r="I1424" s="4" t="s">
        <v>1580</v>
      </c>
      <c r="J1424" s="4" t="s">
        <v>2077</v>
      </c>
      <c r="K1424" s="4" t="s">
        <v>24</v>
      </c>
    </row>
    <row r="1425" spans="1:11" x14ac:dyDescent="0.2">
      <c r="A1425" s="4" t="s">
        <v>2991</v>
      </c>
      <c r="B1425" s="4" t="s">
        <v>2992</v>
      </c>
      <c r="C1425" s="4" t="s">
        <v>13</v>
      </c>
      <c r="D1425" s="4" t="s">
        <v>2945</v>
      </c>
      <c r="E1425" s="4" t="s">
        <v>2946</v>
      </c>
      <c r="F1425" s="4" t="s">
        <v>649</v>
      </c>
      <c r="G1425" s="1">
        <v>3.3000000000000002E-2</v>
      </c>
      <c r="H1425" s="4" t="s">
        <v>225</v>
      </c>
      <c r="I1425" s="4" t="s">
        <v>1580</v>
      </c>
      <c r="J1425" s="4" t="s">
        <v>2077</v>
      </c>
      <c r="K1425" s="4" t="s">
        <v>24</v>
      </c>
    </row>
    <row r="1426" spans="1:11" x14ac:dyDescent="0.2">
      <c r="A1426" s="4" t="s">
        <v>2993</v>
      </c>
      <c r="B1426" s="4" t="s">
        <v>2994</v>
      </c>
      <c r="C1426" s="4" t="s">
        <v>13</v>
      </c>
      <c r="D1426" s="4" t="s">
        <v>2945</v>
      </c>
      <c r="E1426" s="4" t="s">
        <v>2946</v>
      </c>
      <c r="F1426" s="4" t="s">
        <v>649</v>
      </c>
      <c r="G1426" s="1">
        <v>0.13300000000000001</v>
      </c>
      <c r="H1426" s="4" t="s">
        <v>112</v>
      </c>
      <c r="I1426" s="4" t="s">
        <v>1580</v>
      </c>
      <c r="J1426" s="4" t="s">
        <v>2077</v>
      </c>
      <c r="K1426" s="4" t="s">
        <v>24</v>
      </c>
    </row>
    <row r="1427" spans="1:11" x14ac:dyDescent="0.2">
      <c r="A1427" s="4" t="s">
        <v>2995</v>
      </c>
      <c r="B1427" s="4" t="s">
        <v>2996</v>
      </c>
      <c r="C1427" s="4" t="s">
        <v>13</v>
      </c>
      <c r="D1427" s="4" t="s">
        <v>2945</v>
      </c>
      <c r="E1427" s="4" t="s">
        <v>2946</v>
      </c>
      <c r="F1427" s="4" t="s">
        <v>649</v>
      </c>
      <c r="G1427" s="1">
        <v>0.13300000000000001</v>
      </c>
      <c r="H1427" s="4" t="s">
        <v>112</v>
      </c>
      <c r="I1427" s="4" t="s">
        <v>1580</v>
      </c>
      <c r="J1427" s="4" t="s">
        <v>2077</v>
      </c>
      <c r="K1427" s="4" t="s">
        <v>24</v>
      </c>
    </row>
    <row r="1428" spans="1:11" x14ac:dyDescent="0.2">
      <c r="A1428" s="4" t="s">
        <v>2997</v>
      </c>
      <c r="B1428" s="4" t="s">
        <v>2998</v>
      </c>
      <c r="C1428" s="4" t="s">
        <v>13</v>
      </c>
      <c r="D1428" s="4" t="s">
        <v>2945</v>
      </c>
      <c r="E1428" s="4" t="s">
        <v>2946</v>
      </c>
      <c r="F1428" s="4" t="s">
        <v>649</v>
      </c>
      <c r="G1428" s="1">
        <v>0.13300000000000001</v>
      </c>
      <c r="H1428" s="4" t="s">
        <v>112</v>
      </c>
      <c r="I1428" s="4" t="s">
        <v>1580</v>
      </c>
      <c r="J1428" s="4" t="s">
        <v>2077</v>
      </c>
      <c r="K1428" s="4" t="s">
        <v>24</v>
      </c>
    </row>
    <row r="1429" spans="1:11" x14ac:dyDescent="0.2">
      <c r="A1429" s="4" t="s">
        <v>2999</v>
      </c>
      <c r="B1429" s="4" t="s">
        <v>3000</v>
      </c>
      <c r="C1429" s="4" t="s">
        <v>13</v>
      </c>
      <c r="D1429" s="4" t="s">
        <v>2945</v>
      </c>
      <c r="E1429" s="4" t="s">
        <v>2946</v>
      </c>
      <c r="F1429" s="4" t="s">
        <v>649</v>
      </c>
      <c r="G1429" s="1">
        <v>6.7000000000000004E-2</v>
      </c>
      <c r="H1429" s="4" t="s">
        <v>166</v>
      </c>
      <c r="I1429" s="4" t="s">
        <v>1580</v>
      </c>
      <c r="J1429" s="4" t="s">
        <v>2077</v>
      </c>
      <c r="K1429" s="4" t="s">
        <v>24</v>
      </c>
    </row>
    <row r="1430" spans="1:11" x14ac:dyDescent="0.2">
      <c r="A1430" s="4" t="s">
        <v>3001</v>
      </c>
      <c r="B1430" s="4" t="s">
        <v>3002</v>
      </c>
      <c r="C1430" s="4" t="s">
        <v>13</v>
      </c>
      <c r="D1430" s="4" t="s">
        <v>2945</v>
      </c>
      <c r="E1430" s="4" t="s">
        <v>2946</v>
      </c>
      <c r="F1430" s="4" t="s">
        <v>649</v>
      </c>
      <c r="G1430" s="1">
        <v>0.1</v>
      </c>
      <c r="H1430" s="4" t="s">
        <v>117</v>
      </c>
      <c r="I1430" s="4" t="s">
        <v>1580</v>
      </c>
      <c r="J1430" s="4" t="s">
        <v>2077</v>
      </c>
      <c r="K1430" s="4" t="s">
        <v>2078</v>
      </c>
    </row>
    <row r="1431" spans="1:11" x14ac:dyDescent="0.2">
      <c r="A1431" s="4" t="s">
        <v>3003</v>
      </c>
      <c r="B1431" s="4" t="s">
        <v>3004</v>
      </c>
      <c r="C1431" s="4" t="s">
        <v>13</v>
      </c>
      <c r="D1431" s="4" t="s">
        <v>2945</v>
      </c>
      <c r="E1431" s="4" t="s">
        <v>2946</v>
      </c>
      <c r="F1431" s="4" t="s">
        <v>649</v>
      </c>
      <c r="G1431" s="1">
        <v>0.13300000000000001</v>
      </c>
      <c r="H1431" s="4" t="s">
        <v>112</v>
      </c>
      <c r="I1431" s="4" t="s">
        <v>1580</v>
      </c>
      <c r="J1431" s="4" t="s">
        <v>2077</v>
      </c>
      <c r="K1431" s="4" t="s">
        <v>1986</v>
      </c>
    </row>
    <row r="1432" spans="1:11" x14ac:dyDescent="0.2">
      <c r="A1432" s="4" t="s">
        <v>3005</v>
      </c>
      <c r="B1432" s="4" t="s">
        <v>3006</v>
      </c>
      <c r="C1432" s="4" t="s">
        <v>13</v>
      </c>
      <c r="D1432" s="4" t="s">
        <v>2945</v>
      </c>
      <c r="E1432" s="4" t="s">
        <v>2946</v>
      </c>
      <c r="F1432" s="4" t="s">
        <v>649</v>
      </c>
      <c r="G1432" s="1">
        <v>8.3000000000000004E-2</v>
      </c>
      <c r="H1432" s="4" t="s">
        <v>1867</v>
      </c>
      <c r="I1432" s="4" t="s">
        <v>1580</v>
      </c>
      <c r="J1432" s="4" t="s">
        <v>2077</v>
      </c>
      <c r="K1432" s="4" t="s">
        <v>1781</v>
      </c>
    </row>
    <row r="1433" spans="1:11" x14ac:dyDescent="0.2">
      <c r="A1433" s="4" t="s">
        <v>3007</v>
      </c>
      <c r="B1433" s="4" t="s">
        <v>3008</v>
      </c>
      <c r="C1433" s="4" t="s">
        <v>13</v>
      </c>
      <c r="D1433" s="4" t="s">
        <v>2945</v>
      </c>
      <c r="E1433" s="4" t="s">
        <v>2946</v>
      </c>
      <c r="F1433" s="4" t="s">
        <v>649</v>
      </c>
      <c r="G1433" s="1">
        <v>3.3000000000000002E-2</v>
      </c>
      <c r="H1433" s="4" t="s">
        <v>225</v>
      </c>
      <c r="I1433" s="4" t="s">
        <v>1580</v>
      </c>
      <c r="J1433" s="4" t="s">
        <v>2077</v>
      </c>
      <c r="K1433" s="4" t="s">
        <v>2078</v>
      </c>
    </row>
    <row r="1434" spans="1:11" x14ac:dyDescent="0.2">
      <c r="A1434" s="4" t="s">
        <v>3009</v>
      </c>
      <c r="B1434" s="4" t="s">
        <v>3010</v>
      </c>
      <c r="C1434" s="4" t="s">
        <v>13</v>
      </c>
      <c r="D1434" s="4" t="s">
        <v>2945</v>
      </c>
      <c r="E1434" s="4" t="s">
        <v>2946</v>
      </c>
      <c r="F1434" s="4" t="s">
        <v>649</v>
      </c>
      <c r="G1434" s="1">
        <v>0.1</v>
      </c>
      <c r="H1434" s="4" t="s">
        <v>117</v>
      </c>
      <c r="I1434" s="4" t="s">
        <v>1580</v>
      </c>
      <c r="J1434" s="4" t="s">
        <v>2077</v>
      </c>
      <c r="K1434" s="4" t="s">
        <v>1715</v>
      </c>
    </row>
    <row r="1435" spans="1:11" x14ac:dyDescent="0.2">
      <c r="A1435" s="4" t="s">
        <v>3011</v>
      </c>
      <c r="B1435" s="4" t="s">
        <v>3012</v>
      </c>
      <c r="C1435" s="4" t="s">
        <v>13</v>
      </c>
      <c r="D1435" s="4" t="s">
        <v>2945</v>
      </c>
      <c r="E1435" s="4" t="s">
        <v>2946</v>
      </c>
      <c r="F1435" s="4" t="s">
        <v>649</v>
      </c>
      <c r="G1435" s="1">
        <v>0.13300000000000001</v>
      </c>
      <c r="H1435" s="4" t="s">
        <v>112</v>
      </c>
      <c r="I1435" s="4" t="s">
        <v>1580</v>
      </c>
      <c r="J1435" s="4" t="s">
        <v>2077</v>
      </c>
      <c r="K1435" s="4" t="s">
        <v>1992</v>
      </c>
    </row>
    <row r="1436" spans="1:11" x14ac:dyDescent="0.2">
      <c r="A1436" s="4" t="s">
        <v>3013</v>
      </c>
      <c r="B1436" s="4" t="s">
        <v>3014</v>
      </c>
      <c r="C1436" s="4" t="s">
        <v>13</v>
      </c>
      <c r="D1436" s="4" t="s">
        <v>2945</v>
      </c>
      <c r="E1436" s="4" t="s">
        <v>2946</v>
      </c>
      <c r="F1436" s="4" t="s">
        <v>649</v>
      </c>
      <c r="G1436" s="1">
        <v>0.1</v>
      </c>
      <c r="H1436" s="4" t="s">
        <v>117</v>
      </c>
      <c r="I1436" s="4" t="s">
        <v>1580</v>
      </c>
      <c r="J1436" s="4" t="s">
        <v>2077</v>
      </c>
      <c r="K1436" s="4" t="s">
        <v>1992</v>
      </c>
    </row>
    <row r="1437" spans="1:11" x14ac:dyDescent="0.2">
      <c r="A1437" s="4" t="s">
        <v>3015</v>
      </c>
      <c r="B1437" s="4" t="s">
        <v>3016</v>
      </c>
      <c r="C1437" s="4" t="s">
        <v>13</v>
      </c>
      <c r="D1437" s="4" t="s">
        <v>2945</v>
      </c>
      <c r="E1437" s="4" t="s">
        <v>2946</v>
      </c>
      <c r="F1437" s="4" t="s">
        <v>649</v>
      </c>
      <c r="G1437" s="1">
        <v>3.3000000000000002E-2</v>
      </c>
      <c r="H1437" s="4" t="s">
        <v>225</v>
      </c>
      <c r="I1437" s="4" t="s">
        <v>1580</v>
      </c>
      <c r="J1437" s="4" t="s">
        <v>2077</v>
      </c>
      <c r="K1437" s="4" t="s">
        <v>2078</v>
      </c>
    </row>
    <row r="1438" spans="1:11" x14ac:dyDescent="0.2">
      <c r="A1438" s="4" t="s">
        <v>3017</v>
      </c>
      <c r="B1438" s="4" t="s">
        <v>3018</v>
      </c>
      <c r="C1438" s="4" t="s">
        <v>13</v>
      </c>
      <c r="D1438" s="4" t="s">
        <v>2945</v>
      </c>
      <c r="E1438" s="4" t="s">
        <v>2946</v>
      </c>
      <c r="F1438" s="4" t="s">
        <v>649</v>
      </c>
      <c r="G1438" s="1">
        <v>0.13300000000000001</v>
      </c>
      <c r="H1438" s="4" t="s">
        <v>112</v>
      </c>
      <c r="I1438" s="4" t="s">
        <v>1580</v>
      </c>
      <c r="J1438" s="4" t="s">
        <v>2077</v>
      </c>
      <c r="K1438" s="4" t="s">
        <v>2188</v>
      </c>
    </row>
    <row r="1439" spans="1:11" x14ac:dyDescent="0.2">
      <c r="A1439" s="4" t="s">
        <v>3019</v>
      </c>
      <c r="B1439" s="4" t="s">
        <v>3020</v>
      </c>
      <c r="C1439" s="4" t="s">
        <v>13</v>
      </c>
      <c r="D1439" s="4" t="s">
        <v>2945</v>
      </c>
      <c r="E1439" s="4" t="s">
        <v>2946</v>
      </c>
      <c r="F1439" s="4" t="s">
        <v>649</v>
      </c>
      <c r="G1439" s="1">
        <v>0.1</v>
      </c>
      <c r="H1439" s="4" t="s">
        <v>117</v>
      </c>
      <c r="I1439" s="4" t="s">
        <v>1580</v>
      </c>
      <c r="J1439" s="4" t="s">
        <v>2077</v>
      </c>
      <c r="K1439" s="4" t="s">
        <v>1986</v>
      </c>
    </row>
    <row r="1440" spans="1:11" x14ac:dyDescent="0.2">
      <c r="A1440" s="4" t="s">
        <v>3021</v>
      </c>
      <c r="B1440" s="4" t="s">
        <v>3022</v>
      </c>
      <c r="C1440" s="4" t="s">
        <v>13</v>
      </c>
      <c r="D1440" s="4" t="s">
        <v>2945</v>
      </c>
      <c r="E1440" s="4" t="s">
        <v>2946</v>
      </c>
      <c r="F1440" s="4" t="s">
        <v>649</v>
      </c>
      <c r="G1440" s="1">
        <v>0.1</v>
      </c>
      <c r="H1440" s="4" t="s">
        <v>117</v>
      </c>
      <c r="I1440" s="4" t="s">
        <v>1580</v>
      </c>
      <c r="J1440" s="4" t="s">
        <v>2077</v>
      </c>
      <c r="K1440" s="4" t="s">
        <v>1986</v>
      </c>
    </row>
    <row r="1441" spans="1:11" x14ac:dyDescent="0.2">
      <c r="A1441" s="4" t="s">
        <v>3023</v>
      </c>
      <c r="B1441" s="4" t="s">
        <v>3024</v>
      </c>
      <c r="C1441" s="4" t="s">
        <v>13</v>
      </c>
      <c r="D1441" s="4" t="s">
        <v>2945</v>
      </c>
      <c r="E1441" s="4" t="s">
        <v>2946</v>
      </c>
      <c r="F1441" s="4" t="s">
        <v>649</v>
      </c>
      <c r="G1441" s="1">
        <v>6.7000000000000004E-2</v>
      </c>
      <c r="H1441" s="4" t="s">
        <v>166</v>
      </c>
      <c r="I1441" s="4" t="s">
        <v>1580</v>
      </c>
      <c r="J1441" s="4" t="s">
        <v>2077</v>
      </c>
      <c r="K1441" s="4" t="s">
        <v>3025</v>
      </c>
    </row>
    <row r="1442" spans="1:11" x14ac:dyDescent="0.2">
      <c r="A1442" s="4" t="s">
        <v>3026</v>
      </c>
      <c r="B1442" s="4" t="s">
        <v>3027</v>
      </c>
      <c r="C1442" s="4" t="s">
        <v>13</v>
      </c>
      <c r="D1442" s="4" t="s">
        <v>3028</v>
      </c>
      <c r="E1442" s="4" t="s">
        <v>3029</v>
      </c>
      <c r="F1442" s="4" t="s">
        <v>649</v>
      </c>
      <c r="G1442" s="1">
        <v>3.3000000000000002E-2</v>
      </c>
      <c r="H1442" s="4" t="s">
        <v>225</v>
      </c>
      <c r="I1442" s="4" t="s">
        <v>1580</v>
      </c>
      <c r="J1442" s="4" t="s">
        <v>3030</v>
      </c>
      <c r="K1442" s="4" t="s">
        <v>24</v>
      </c>
    </row>
    <row r="1443" spans="1:11" x14ac:dyDescent="0.2">
      <c r="A1443" s="4" t="s">
        <v>3031</v>
      </c>
      <c r="B1443" s="4" t="s">
        <v>3032</v>
      </c>
      <c r="C1443" s="4" t="s">
        <v>13</v>
      </c>
      <c r="D1443" s="4" t="s">
        <v>3028</v>
      </c>
      <c r="E1443" s="4" t="s">
        <v>3029</v>
      </c>
      <c r="F1443" s="4" t="s">
        <v>649</v>
      </c>
      <c r="G1443" s="1">
        <v>3.3000000000000002E-2</v>
      </c>
      <c r="H1443" s="4" t="s">
        <v>225</v>
      </c>
      <c r="I1443" s="4" t="s">
        <v>1580</v>
      </c>
      <c r="J1443" s="4" t="s">
        <v>3030</v>
      </c>
      <c r="K1443" s="4" t="s">
        <v>24</v>
      </c>
    </row>
    <row r="1444" spans="1:11" x14ac:dyDescent="0.2">
      <c r="A1444" s="4" t="s">
        <v>1137</v>
      </c>
      <c r="B1444" s="4" t="s">
        <v>1138</v>
      </c>
      <c r="C1444" s="4" t="s">
        <v>49</v>
      </c>
      <c r="D1444" s="4" t="s">
        <v>3028</v>
      </c>
      <c r="E1444" s="4" t="s">
        <v>3029</v>
      </c>
      <c r="F1444" s="4" t="s">
        <v>649</v>
      </c>
      <c r="G1444" s="1">
        <v>0</v>
      </c>
      <c r="H1444" s="4" t="s">
        <v>254</v>
      </c>
      <c r="I1444" s="4" t="s">
        <v>1580</v>
      </c>
      <c r="J1444" s="4" t="s">
        <v>3030</v>
      </c>
      <c r="K1444" s="4" t="s">
        <v>24</v>
      </c>
    </row>
    <row r="1445" spans="1:11" x14ac:dyDescent="0.2">
      <c r="A1445" s="4" t="s">
        <v>3033</v>
      </c>
      <c r="B1445" s="4" t="s">
        <v>3034</v>
      </c>
      <c r="C1445" s="4" t="s">
        <v>13</v>
      </c>
      <c r="D1445" s="4" t="s">
        <v>3028</v>
      </c>
      <c r="E1445" s="4" t="s">
        <v>3029</v>
      </c>
      <c r="F1445" s="4" t="s">
        <v>649</v>
      </c>
      <c r="G1445" s="1">
        <v>0</v>
      </c>
      <c r="H1445" s="4" t="s">
        <v>254</v>
      </c>
      <c r="I1445" s="4" t="s">
        <v>1580</v>
      </c>
      <c r="J1445" s="4" t="s">
        <v>3030</v>
      </c>
      <c r="K1445" s="4" t="s">
        <v>24</v>
      </c>
    </row>
    <row r="1446" spans="1:11" x14ac:dyDescent="0.2">
      <c r="A1446" s="4" t="s">
        <v>3035</v>
      </c>
      <c r="B1446" s="4" t="s">
        <v>3036</v>
      </c>
      <c r="C1446" s="4" t="s">
        <v>13</v>
      </c>
      <c r="D1446" s="4" t="s">
        <v>3028</v>
      </c>
      <c r="E1446" s="4" t="s">
        <v>3029</v>
      </c>
      <c r="F1446" s="4" t="s">
        <v>649</v>
      </c>
      <c r="G1446" s="1">
        <v>3.3000000000000002E-2</v>
      </c>
      <c r="H1446" s="4" t="s">
        <v>225</v>
      </c>
      <c r="I1446" s="4" t="s">
        <v>1580</v>
      </c>
      <c r="J1446" s="4" t="s">
        <v>3030</v>
      </c>
      <c r="K1446" s="4" t="s">
        <v>24</v>
      </c>
    </row>
    <row r="1447" spans="1:11" x14ac:dyDescent="0.2">
      <c r="A1447" s="4" t="s">
        <v>3037</v>
      </c>
      <c r="B1447" s="4" t="s">
        <v>3038</v>
      </c>
      <c r="C1447" s="4" t="s">
        <v>13</v>
      </c>
      <c r="D1447" s="4" t="s">
        <v>3028</v>
      </c>
      <c r="E1447" s="4" t="s">
        <v>3029</v>
      </c>
      <c r="F1447" s="4" t="s">
        <v>649</v>
      </c>
      <c r="G1447" s="1">
        <v>0</v>
      </c>
      <c r="H1447" s="4" t="s">
        <v>254</v>
      </c>
      <c r="I1447" s="4" t="s">
        <v>1580</v>
      </c>
      <c r="J1447" s="4" t="s">
        <v>3030</v>
      </c>
      <c r="K1447" s="4" t="s">
        <v>24</v>
      </c>
    </row>
    <row r="1448" spans="1:11" x14ac:dyDescent="0.2">
      <c r="A1448" s="4" t="s">
        <v>3039</v>
      </c>
      <c r="B1448" s="4" t="s">
        <v>3040</v>
      </c>
      <c r="C1448" s="4" t="s">
        <v>13</v>
      </c>
      <c r="D1448" s="4" t="s">
        <v>3028</v>
      </c>
      <c r="E1448" s="4" t="s">
        <v>3029</v>
      </c>
      <c r="F1448" s="4" t="s">
        <v>649</v>
      </c>
      <c r="G1448" s="1">
        <v>3.3000000000000002E-2</v>
      </c>
      <c r="H1448" s="4" t="s">
        <v>225</v>
      </c>
      <c r="I1448" s="4" t="s">
        <v>1580</v>
      </c>
      <c r="J1448" s="4" t="s">
        <v>3030</v>
      </c>
      <c r="K1448" s="4" t="s">
        <v>24</v>
      </c>
    </row>
    <row r="1449" spans="1:11" x14ac:dyDescent="0.2">
      <c r="A1449" s="4" t="s">
        <v>3041</v>
      </c>
      <c r="B1449" s="4" t="s">
        <v>3042</v>
      </c>
      <c r="C1449" s="4" t="s">
        <v>13</v>
      </c>
      <c r="D1449" s="4" t="s">
        <v>3028</v>
      </c>
      <c r="E1449" s="4" t="s">
        <v>3029</v>
      </c>
      <c r="F1449" s="4" t="s">
        <v>649</v>
      </c>
      <c r="G1449" s="1">
        <v>3.3000000000000002E-2</v>
      </c>
      <c r="H1449" s="4" t="s">
        <v>225</v>
      </c>
      <c r="I1449" s="4" t="s">
        <v>1580</v>
      </c>
      <c r="J1449" s="4" t="s">
        <v>3030</v>
      </c>
      <c r="K1449" s="4" t="s">
        <v>24</v>
      </c>
    </row>
    <row r="1450" spans="1:11" x14ac:dyDescent="0.2">
      <c r="A1450" s="4" t="s">
        <v>3043</v>
      </c>
      <c r="B1450" s="4" t="s">
        <v>3044</v>
      </c>
      <c r="C1450" s="4" t="s">
        <v>13</v>
      </c>
      <c r="D1450" s="4" t="s">
        <v>3028</v>
      </c>
      <c r="E1450" s="4" t="s">
        <v>3029</v>
      </c>
      <c r="F1450" s="4" t="s">
        <v>649</v>
      </c>
      <c r="G1450" s="1">
        <v>0</v>
      </c>
      <c r="H1450" s="4" t="s">
        <v>254</v>
      </c>
      <c r="I1450" s="4" t="s">
        <v>1580</v>
      </c>
      <c r="J1450" s="4" t="s">
        <v>3030</v>
      </c>
      <c r="K1450" s="4" t="s">
        <v>24</v>
      </c>
    </row>
    <row r="1451" spans="1:11" x14ac:dyDescent="0.2">
      <c r="A1451" s="4" t="s">
        <v>3045</v>
      </c>
      <c r="B1451" s="4" t="s">
        <v>3046</v>
      </c>
      <c r="C1451" s="4" t="s">
        <v>13</v>
      </c>
      <c r="D1451" s="4" t="s">
        <v>3028</v>
      </c>
      <c r="E1451" s="4" t="s">
        <v>3029</v>
      </c>
      <c r="F1451" s="4" t="s">
        <v>649</v>
      </c>
      <c r="G1451" s="1">
        <v>3.3000000000000002E-2</v>
      </c>
      <c r="H1451" s="4" t="s">
        <v>225</v>
      </c>
      <c r="I1451" s="4" t="s">
        <v>1580</v>
      </c>
      <c r="J1451" s="4" t="s">
        <v>3030</v>
      </c>
      <c r="K1451" s="4" t="s">
        <v>24</v>
      </c>
    </row>
    <row r="1452" spans="1:11" x14ac:dyDescent="0.2">
      <c r="A1452" s="4" t="s">
        <v>3047</v>
      </c>
      <c r="B1452" s="4" t="s">
        <v>3048</v>
      </c>
      <c r="C1452" s="4" t="s">
        <v>13</v>
      </c>
      <c r="D1452" s="4" t="s">
        <v>3028</v>
      </c>
      <c r="E1452" s="4" t="s">
        <v>3029</v>
      </c>
      <c r="F1452" s="4" t="s">
        <v>649</v>
      </c>
      <c r="G1452" s="1">
        <v>3.3000000000000002E-2</v>
      </c>
      <c r="H1452" s="4" t="s">
        <v>225</v>
      </c>
      <c r="I1452" s="4" t="s">
        <v>1580</v>
      </c>
      <c r="J1452" s="4" t="s">
        <v>3030</v>
      </c>
      <c r="K1452" s="4" t="s">
        <v>24</v>
      </c>
    </row>
    <row r="1453" spans="1:11" x14ac:dyDescent="0.2">
      <c r="A1453" s="4" t="s">
        <v>3049</v>
      </c>
      <c r="B1453" s="4" t="s">
        <v>3050</v>
      </c>
      <c r="C1453" s="4" t="s">
        <v>13</v>
      </c>
      <c r="D1453" s="4" t="s">
        <v>3028</v>
      </c>
      <c r="E1453" s="4" t="s">
        <v>3029</v>
      </c>
      <c r="F1453" s="4" t="s">
        <v>649</v>
      </c>
      <c r="G1453" s="1">
        <v>0</v>
      </c>
      <c r="H1453" s="4" t="s">
        <v>254</v>
      </c>
      <c r="I1453" s="4" t="s">
        <v>1580</v>
      </c>
      <c r="J1453" s="4" t="s">
        <v>3030</v>
      </c>
      <c r="K1453" s="4" t="s">
        <v>24</v>
      </c>
    </row>
    <row r="1454" spans="1:11" x14ac:dyDescent="0.2">
      <c r="A1454" s="4" t="s">
        <v>3051</v>
      </c>
      <c r="B1454" s="4" t="s">
        <v>3052</v>
      </c>
      <c r="C1454" s="4" t="s">
        <v>13</v>
      </c>
      <c r="D1454" s="4" t="s">
        <v>3028</v>
      </c>
      <c r="E1454" s="4" t="s">
        <v>3029</v>
      </c>
      <c r="F1454" s="4" t="s">
        <v>649</v>
      </c>
      <c r="G1454" s="1">
        <v>3.3000000000000002E-2</v>
      </c>
      <c r="H1454" s="4" t="s">
        <v>225</v>
      </c>
      <c r="I1454" s="4" t="s">
        <v>1580</v>
      </c>
      <c r="J1454" s="4" t="s">
        <v>3030</v>
      </c>
      <c r="K1454" s="4" t="s">
        <v>24</v>
      </c>
    </row>
    <row r="1455" spans="1:11" x14ac:dyDescent="0.2">
      <c r="A1455" s="4" t="s">
        <v>3053</v>
      </c>
      <c r="B1455" s="4" t="s">
        <v>3054</v>
      </c>
      <c r="C1455" s="4" t="s">
        <v>13</v>
      </c>
      <c r="D1455" s="4" t="s">
        <v>3028</v>
      </c>
      <c r="E1455" s="4" t="s">
        <v>3029</v>
      </c>
      <c r="F1455" s="4" t="s">
        <v>649</v>
      </c>
      <c r="G1455" s="1">
        <v>0</v>
      </c>
      <c r="H1455" s="4" t="s">
        <v>254</v>
      </c>
      <c r="I1455" s="4" t="s">
        <v>1580</v>
      </c>
      <c r="J1455" s="4" t="s">
        <v>3030</v>
      </c>
      <c r="K1455" s="4" t="s">
        <v>24</v>
      </c>
    </row>
    <row r="1456" spans="1:11" x14ac:dyDescent="0.2">
      <c r="A1456" s="4" t="s">
        <v>3055</v>
      </c>
      <c r="B1456" s="4" t="s">
        <v>3056</v>
      </c>
      <c r="C1456" s="4" t="s">
        <v>13</v>
      </c>
      <c r="D1456" s="4" t="s">
        <v>3028</v>
      </c>
      <c r="E1456" s="4" t="s">
        <v>3029</v>
      </c>
      <c r="F1456" s="4" t="s">
        <v>649</v>
      </c>
      <c r="G1456" s="1">
        <v>3.3000000000000002E-2</v>
      </c>
      <c r="H1456" s="4" t="s">
        <v>225</v>
      </c>
      <c r="I1456" s="4" t="s">
        <v>1580</v>
      </c>
      <c r="J1456" s="4" t="s">
        <v>3030</v>
      </c>
      <c r="K1456" s="4" t="s">
        <v>24</v>
      </c>
    </row>
    <row r="1457" spans="1:11" x14ac:dyDescent="0.2">
      <c r="A1457" s="4" t="s">
        <v>3057</v>
      </c>
      <c r="B1457" s="4" t="s">
        <v>3058</v>
      </c>
      <c r="C1457" s="4" t="s">
        <v>13</v>
      </c>
      <c r="D1457" s="4" t="s">
        <v>3028</v>
      </c>
      <c r="E1457" s="4" t="s">
        <v>3029</v>
      </c>
      <c r="F1457" s="4" t="s">
        <v>649</v>
      </c>
      <c r="G1457" s="1">
        <v>3.3000000000000002E-2</v>
      </c>
      <c r="H1457" s="4" t="s">
        <v>225</v>
      </c>
      <c r="I1457" s="4" t="s">
        <v>1580</v>
      </c>
      <c r="J1457" s="4" t="s">
        <v>3030</v>
      </c>
      <c r="K1457" s="4" t="s">
        <v>24</v>
      </c>
    </row>
    <row r="1458" spans="1:11" x14ac:dyDescent="0.2">
      <c r="A1458" s="4" t="s">
        <v>3059</v>
      </c>
      <c r="B1458" s="4" t="s">
        <v>3060</v>
      </c>
      <c r="C1458" s="4" t="s">
        <v>13</v>
      </c>
      <c r="D1458" s="4" t="s">
        <v>3028</v>
      </c>
      <c r="E1458" s="4" t="s">
        <v>3029</v>
      </c>
      <c r="F1458" s="4" t="s">
        <v>649</v>
      </c>
      <c r="G1458" s="1">
        <v>3.3000000000000002E-2</v>
      </c>
      <c r="H1458" s="4" t="s">
        <v>225</v>
      </c>
      <c r="I1458" s="4" t="s">
        <v>1580</v>
      </c>
      <c r="J1458" s="4" t="s">
        <v>3030</v>
      </c>
      <c r="K1458" s="4" t="s">
        <v>24</v>
      </c>
    </row>
    <row r="1459" spans="1:11" x14ac:dyDescent="0.2">
      <c r="A1459" s="4" t="s">
        <v>3061</v>
      </c>
      <c r="B1459" s="4" t="s">
        <v>3062</v>
      </c>
      <c r="C1459" s="4" t="s">
        <v>13</v>
      </c>
      <c r="D1459" s="4" t="s">
        <v>3028</v>
      </c>
      <c r="E1459" s="4" t="s">
        <v>3029</v>
      </c>
      <c r="F1459" s="4" t="s">
        <v>649</v>
      </c>
      <c r="G1459" s="1">
        <v>3.3000000000000002E-2</v>
      </c>
      <c r="H1459" s="4" t="s">
        <v>225</v>
      </c>
      <c r="I1459" s="4" t="s">
        <v>1580</v>
      </c>
      <c r="J1459" s="4" t="s">
        <v>3030</v>
      </c>
      <c r="K1459" s="4" t="s">
        <v>24</v>
      </c>
    </row>
    <row r="1460" spans="1:11" x14ac:dyDescent="0.2">
      <c r="A1460" s="4" t="s">
        <v>3063</v>
      </c>
      <c r="B1460" s="4" t="s">
        <v>3064</v>
      </c>
      <c r="C1460" s="4" t="s">
        <v>13</v>
      </c>
      <c r="D1460" s="4" t="s">
        <v>3028</v>
      </c>
      <c r="E1460" s="4" t="s">
        <v>3029</v>
      </c>
      <c r="F1460" s="4" t="s">
        <v>649</v>
      </c>
      <c r="G1460" s="1">
        <v>0</v>
      </c>
      <c r="H1460" s="4" t="s">
        <v>254</v>
      </c>
      <c r="I1460" s="4" t="s">
        <v>1580</v>
      </c>
      <c r="J1460" s="4" t="s">
        <v>3030</v>
      </c>
      <c r="K1460" s="4" t="s">
        <v>24</v>
      </c>
    </row>
    <row r="1461" spans="1:11" x14ac:dyDescent="0.2">
      <c r="A1461" s="4" t="s">
        <v>3065</v>
      </c>
      <c r="B1461" s="4" t="s">
        <v>3066</v>
      </c>
      <c r="C1461" s="4" t="s">
        <v>13</v>
      </c>
      <c r="D1461" s="4" t="s">
        <v>3028</v>
      </c>
      <c r="E1461" s="4" t="s">
        <v>3029</v>
      </c>
      <c r="F1461" s="4" t="s">
        <v>649</v>
      </c>
      <c r="G1461" s="1">
        <v>3.3000000000000002E-2</v>
      </c>
      <c r="H1461" s="4" t="s">
        <v>225</v>
      </c>
      <c r="I1461" s="4" t="s">
        <v>1580</v>
      </c>
      <c r="J1461" s="4" t="s">
        <v>3030</v>
      </c>
      <c r="K1461" s="4" t="s">
        <v>24</v>
      </c>
    </row>
    <row r="1462" spans="1:11" x14ac:dyDescent="0.2">
      <c r="A1462" s="4" t="s">
        <v>3067</v>
      </c>
      <c r="B1462" s="4" t="s">
        <v>3068</v>
      </c>
      <c r="C1462" s="4" t="s">
        <v>13</v>
      </c>
      <c r="D1462" s="4" t="s">
        <v>3028</v>
      </c>
      <c r="E1462" s="4" t="s">
        <v>3029</v>
      </c>
      <c r="F1462" s="4" t="s">
        <v>649</v>
      </c>
      <c r="G1462" s="1">
        <v>3.3000000000000002E-2</v>
      </c>
      <c r="H1462" s="4" t="s">
        <v>225</v>
      </c>
      <c r="I1462" s="4" t="s">
        <v>1580</v>
      </c>
      <c r="J1462" s="4" t="s">
        <v>3030</v>
      </c>
      <c r="K1462" s="4" t="s">
        <v>24</v>
      </c>
    </row>
    <row r="1463" spans="1:11" x14ac:dyDescent="0.2">
      <c r="A1463" s="4" t="s">
        <v>3069</v>
      </c>
      <c r="B1463" s="4" t="s">
        <v>3070</v>
      </c>
      <c r="C1463" s="4" t="s">
        <v>13</v>
      </c>
      <c r="D1463" s="4" t="s">
        <v>3028</v>
      </c>
      <c r="E1463" s="4" t="s">
        <v>3029</v>
      </c>
      <c r="F1463" s="4" t="s">
        <v>649</v>
      </c>
      <c r="G1463" s="1">
        <v>0</v>
      </c>
      <c r="H1463" s="4" t="s">
        <v>254</v>
      </c>
      <c r="I1463" s="4" t="s">
        <v>1580</v>
      </c>
      <c r="J1463" s="4" t="s">
        <v>3030</v>
      </c>
      <c r="K1463" s="4" t="s">
        <v>24</v>
      </c>
    </row>
    <row r="1464" spans="1:11" x14ac:dyDescent="0.2">
      <c r="A1464" s="4" t="s">
        <v>3071</v>
      </c>
      <c r="B1464" s="4" t="s">
        <v>3072</v>
      </c>
      <c r="C1464" s="4" t="s">
        <v>13</v>
      </c>
      <c r="D1464" s="4" t="s">
        <v>3028</v>
      </c>
      <c r="E1464" s="4" t="s">
        <v>3029</v>
      </c>
      <c r="F1464" s="4" t="s">
        <v>649</v>
      </c>
      <c r="G1464" s="1">
        <v>0</v>
      </c>
      <c r="H1464" s="4" t="s">
        <v>254</v>
      </c>
      <c r="I1464" s="4" t="s">
        <v>1580</v>
      </c>
      <c r="J1464" s="4" t="s">
        <v>3030</v>
      </c>
      <c r="K1464" s="4" t="s">
        <v>24</v>
      </c>
    </row>
    <row r="1465" spans="1:11" x14ac:dyDescent="0.2">
      <c r="A1465" s="4" t="s">
        <v>3073</v>
      </c>
      <c r="B1465" s="4" t="s">
        <v>3074</v>
      </c>
      <c r="C1465" s="4" t="s">
        <v>13</v>
      </c>
      <c r="D1465" s="4" t="s">
        <v>3028</v>
      </c>
      <c r="E1465" s="4" t="s">
        <v>3029</v>
      </c>
      <c r="F1465" s="4" t="s">
        <v>649</v>
      </c>
      <c r="G1465" s="1">
        <v>3.3000000000000002E-2</v>
      </c>
      <c r="H1465" s="4" t="s">
        <v>225</v>
      </c>
      <c r="I1465" s="4" t="s">
        <v>1580</v>
      </c>
      <c r="J1465" s="4" t="s">
        <v>3030</v>
      </c>
      <c r="K1465" s="4" t="s">
        <v>24</v>
      </c>
    </row>
    <row r="1466" spans="1:11" x14ac:dyDescent="0.2">
      <c r="A1466" s="4" t="s">
        <v>2865</v>
      </c>
      <c r="B1466" s="4" t="s">
        <v>2866</v>
      </c>
      <c r="C1466" s="4" t="s">
        <v>49</v>
      </c>
      <c r="D1466" s="4" t="s">
        <v>3028</v>
      </c>
      <c r="E1466" s="4" t="s">
        <v>3029</v>
      </c>
      <c r="F1466" s="4" t="s">
        <v>649</v>
      </c>
      <c r="G1466" s="1">
        <v>0</v>
      </c>
      <c r="H1466" s="4" t="s">
        <v>1128</v>
      </c>
      <c r="I1466" s="4" t="s">
        <v>1580</v>
      </c>
      <c r="J1466" s="4" t="s">
        <v>3030</v>
      </c>
      <c r="K1466" s="4" t="s">
        <v>24</v>
      </c>
    </row>
    <row r="1467" spans="1:11" x14ac:dyDescent="0.2">
      <c r="A1467" s="4" t="s">
        <v>3075</v>
      </c>
      <c r="B1467" s="4" t="s">
        <v>3076</v>
      </c>
      <c r="C1467" s="4" t="s">
        <v>13</v>
      </c>
      <c r="D1467" s="4" t="s">
        <v>3028</v>
      </c>
      <c r="E1467" s="4" t="s">
        <v>3029</v>
      </c>
      <c r="F1467" s="4" t="s">
        <v>649</v>
      </c>
      <c r="G1467" s="1">
        <v>3.3000000000000002E-2</v>
      </c>
      <c r="H1467" s="4" t="s">
        <v>225</v>
      </c>
      <c r="I1467" s="4" t="s">
        <v>1580</v>
      </c>
      <c r="J1467" s="4" t="s">
        <v>3030</v>
      </c>
      <c r="K1467" s="4" t="s">
        <v>3025</v>
      </c>
    </row>
    <row r="1468" spans="1:11" x14ac:dyDescent="0.2">
      <c r="A1468" s="4" t="s">
        <v>3077</v>
      </c>
      <c r="B1468" s="4" t="s">
        <v>3078</v>
      </c>
      <c r="C1468" s="4" t="s">
        <v>13</v>
      </c>
      <c r="D1468" s="4" t="s">
        <v>3028</v>
      </c>
      <c r="E1468" s="4" t="s">
        <v>3029</v>
      </c>
      <c r="F1468" s="4" t="s">
        <v>649</v>
      </c>
      <c r="G1468" s="1">
        <v>0</v>
      </c>
      <c r="H1468" s="4" t="s">
        <v>254</v>
      </c>
      <c r="I1468" s="4" t="s">
        <v>1580</v>
      </c>
      <c r="J1468" s="4" t="s">
        <v>3030</v>
      </c>
      <c r="K1468" s="4" t="s">
        <v>1967</v>
      </c>
    </row>
    <row r="1469" spans="1:11" x14ac:dyDescent="0.2">
      <c r="A1469" s="4" t="s">
        <v>3079</v>
      </c>
      <c r="B1469" s="4" t="s">
        <v>3080</v>
      </c>
      <c r="C1469" s="4" t="s">
        <v>13</v>
      </c>
      <c r="D1469" s="4" t="s">
        <v>3028</v>
      </c>
      <c r="E1469" s="4" t="s">
        <v>3029</v>
      </c>
      <c r="F1469" s="4" t="s">
        <v>649</v>
      </c>
      <c r="G1469" s="1">
        <v>3.3000000000000002E-2</v>
      </c>
      <c r="H1469" s="4" t="s">
        <v>225</v>
      </c>
      <c r="I1469" s="4" t="s">
        <v>1580</v>
      </c>
      <c r="J1469" s="4" t="s">
        <v>3030</v>
      </c>
      <c r="K1469" s="4" t="s">
        <v>1986</v>
      </c>
    </row>
    <row r="1470" spans="1:11" x14ac:dyDescent="0.2">
      <c r="A1470" s="4" t="s">
        <v>3081</v>
      </c>
      <c r="B1470" s="4" t="s">
        <v>3082</v>
      </c>
      <c r="C1470" s="4" t="s">
        <v>13</v>
      </c>
      <c r="D1470" s="4" t="s">
        <v>3083</v>
      </c>
      <c r="E1470" s="4" t="s">
        <v>3084</v>
      </c>
      <c r="F1470" s="4" t="s">
        <v>516</v>
      </c>
      <c r="G1470" s="1">
        <v>6.7000000000000004E-2</v>
      </c>
      <c r="H1470" s="4" t="s">
        <v>166</v>
      </c>
      <c r="I1470" s="4" t="s">
        <v>1580</v>
      </c>
      <c r="J1470" s="4" t="s">
        <v>2649</v>
      </c>
      <c r="K1470" s="4" t="s">
        <v>24</v>
      </c>
    </row>
    <row r="1471" spans="1:11" x14ac:dyDescent="0.2">
      <c r="A1471" s="4" t="s">
        <v>3085</v>
      </c>
      <c r="B1471" s="4" t="s">
        <v>3086</v>
      </c>
      <c r="C1471" s="4" t="s">
        <v>13</v>
      </c>
      <c r="D1471" s="4" t="s">
        <v>3083</v>
      </c>
      <c r="E1471" s="4" t="s">
        <v>3084</v>
      </c>
      <c r="F1471" s="4" t="s">
        <v>516</v>
      </c>
      <c r="G1471" s="1">
        <v>6.7000000000000004E-2</v>
      </c>
      <c r="H1471" s="4" t="s">
        <v>166</v>
      </c>
      <c r="I1471" s="4" t="s">
        <v>1580</v>
      </c>
      <c r="J1471" s="4" t="s">
        <v>2649</v>
      </c>
      <c r="K1471" s="4" t="s">
        <v>24</v>
      </c>
    </row>
    <row r="1472" spans="1:11" x14ac:dyDescent="0.2">
      <c r="A1472" s="4" t="s">
        <v>3087</v>
      </c>
      <c r="B1472" s="4" t="s">
        <v>3088</v>
      </c>
      <c r="C1472" s="4" t="s">
        <v>13</v>
      </c>
      <c r="D1472" s="4" t="s">
        <v>3083</v>
      </c>
      <c r="E1472" s="4" t="s">
        <v>3084</v>
      </c>
      <c r="F1472" s="4" t="s">
        <v>516</v>
      </c>
      <c r="G1472" s="1">
        <v>6.7000000000000004E-2</v>
      </c>
      <c r="H1472" s="4" t="s">
        <v>166</v>
      </c>
      <c r="I1472" s="4" t="s">
        <v>1580</v>
      </c>
      <c r="J1472" s="4" t="s">
        <v>2649</v>
      </c>
      <c r="K1472" s="4" t="s">
        <v>24</v>
      </c>
    </row>
    <row r="1473" spans="1:11" x14ac:dyDescent="0.2">
      <c r="A1473" s="4" t="s">
        <v>3089</v>
      </c>
      <c r="B1473" s="4" t="s">
        <v>3090</v>
      </c>
      <c r="C1473" s="4" t="s">
        <v>13</v>
      </c>
      <c r="D1473" s="4" t="s">
        <v>3083</v>
      </c>
      <c r="E1473" s="4" t="s">
        <v>3084</v>
      </c>
      <c r="F1473" s="4" t="s">
        <v>516</v>
      </c>
      <c r="G1473" s="1">
        <v>3.3000000000000002E-2</v>
      </c>
      <c r="H1473" s="4" t="s">
        <v>225</v>
      </c>
      <c r="I1473" s="4" t="s">
        <v>1580</v>
      </c>
      <c r="J1473" s="4" t="s">
        <v>2649</v>
      </c>
      <c r="K1473" s="4" t="s">
        <v>24</v>
      </c>
    </row>
    <row r="1474" spans="1:11" x14ac:dyDescent="0.2">
      <c r="A1474" s="4" t="s">
        <v>3091</v>
      </c>
      <c r="B1474" s="4" t="s">
        <v>3092</v>
      </c>
      <c r="C1474" s="4" t="s">
        <v>13</v>
      </c>
      <c r="D1474" s="4" t="s">
        <v>3083</v>
      </c>
      <c r="E1474" s="4" t="s">
        <v>3084</v>
      </c>
      <c r="F1474" s="4" t="s">
        <v>516</v>
      </c>
      <c r="G1474" s="1">
        <v>6.7000000000000004E-2</v>
      </c>
      <c r="H1474" s="4" t="s">
        <v>166</v>
      </c>
      <c r="I1474" s="4" t="s">
        <v>1580</v>
      </c>
      <c r="J1474" s="4" t="s">
        <v>2649</v>
      </c>
      <c r="K1474" s="4" t="s">
        <v>24</v>
      </c>
    </row>
    <row r="1475" spans="1:11" x14ac:dyDescent="0.2">
      <c r="A1475" s="4" t="s">
        <v>3093</v>
      </c>
      <c r="B1475" s="4" t="s">
        <v>3094</v>
      </c>
      <c r="C1475" s="4" t="s">
        <v>13</v>
      </c>
      <c r="D1475" s="4" t="s">
        <v>3083</v>
      </c>
      <c r="E1475" s="4" t="s">
        <v>3084</v>
      </c>
      <c r="F1475" s="4" t="s">
        <v>516</v>
      </c>
      <c r="G1475" s="1">
        <v>6.7000000000000004E-2</v>
      </c>
      <c r="H1475" s="4" t="s">
        <v>166</v>
      </c>
      <c r="I1475" s="4" t="s">
        <v>1580</v>
      </c>
      <c r="J1475" s="4" t="s">
        <v>2649</v>
      </c>
      <c r="K1475" s="4" t="s">
        <v>24</v>
      </c>
    </row>
    <row r="1476" spans="1:11" x14ac:dyDescent="0.2">
      <c r="A1476" s="4" t="s">
        <v>3095</v>
      </c>
      <c r="B1476" s="4" t="s">
        <v>3096</v>
      </c>
      <c r="C1476" s="4" t="s">
        <v>13</v>
      </c>
      <c r="D1476" s="4" t="s">
        <v>3083</v>
      </c>
      <c r="E1476" s="4" t="s">
        <v>3084</v>
      </c>
      <c r="F1476" s="4" t="s">
        <v>516</v>
      </c>
      <c r="G1476" s="1">
        <v>6.7000000000000004E-2</v>
      </c>
      <c r="H1476" s="4" t="s">
        <v>166</v>
      </c>
      <c r="I1476" s="4" t="s">
        <v>1580</v>
      </c>
      <c r="J1476" s="4" t="s">
        <v>2649</v>
      </c>
      <c r="K1476" s="4" t="s">
        <v>24</v>
      </c>
    </row>
    <row r="1477" spans="1:11" x14ac:dyDescent="0.2">
      <c r="A1477" s="4" t="s">
        <v>3097</v>
      </c>
      <c r="B1477" s="4" t="s">
        <v>3098</v>
      </c>
      <c r="C1477" s="4" t="s">
        <v>13</v>
      </c>
      <c r="D1477" s="4" t="s">
        <v>3083</v>
      </c>
      <c r="E1477" s="4" t="s">
        <v>3084</v>
      </c>
      <c r="F1477" s="4" t="s">
        <v>516</v>
      </c>
      <c r="G1477" s="1">
        <v>6.7000000000000004E-2</v>
      </c>
      <c r="H1477" s="4" t="s">
        <v>166</v>
      </c>
      <c r="I1477" s="4" t="s">
        <v>1580</v>
      </c>
      <c r="J1477" s="4" t="s">
        <v>2649</v>
      </c>
      <c r="K1477" s="4" t="s">
        <v>24</v>
      </c>
    </row>
    <row r="1478" spans="1:11" x14ac:dyDescent="0.2">
      <c r="A1478" s="4" t="s">
        <v>3099</v>
      </c>
      <c r="B1478" s="4" t="s">
        <v>3100</v>
      </c>
      <c r="C1478" s="4" t="s">
        <v>13</v>
      </c>
      <c r="D1478" s="4" t="s">
        <v>3083</v>
      </c>
      <c r="E1478" s="4" t="s">
        <v>3084</v>
      </c>
      <c r="F1478" s="4" t="s">
        <v>516</v>
      </c>
      <c r="G1478" s="1">
        <v>6.7000000000000004E-2</v>
      </c>
      <c r="H1478" s="4" t="s">
        <v>166</v>
      </c>
      <c r="I1478" s="4" t="s">
        <v>1580</v>
      </c>
      <c r="J1478" s="4" t="s">
        <v>2649</v>
      </c>
      <c r="K1478" s="4" t="s">
        <v>24</v>
      </c>
    </row>
    <row r="1479" spans="1:11" x14ac:dyDescent="0.2">
      <c r="A1479" s="4" t="s">
        <v>3101</v>
      </c>
      <c r="B1479" s="4" t="s">
        <v>3102</v>
      </c>
      <c r="C1479" s="4" t="s">
        <v>13</v>
      </c>
      <c r="D1479" s="4" t="s">
        <v>3083</v>
      </c>
      <c r="E1479" s="4" t="s">
        <v>3084</v>
      </c>
      <c r="F1479" s="4" t="s">
        <v>516</v>
      </c>
      <c r="G1479" s="1">
        <v>6.7000000000000004E-2</v>
      </c>
      <c r="H1479" s="4" t="s">
        <v>166</v>
      </c>
      <c r="I1479" s="4" t="s">
        <v>1580</v>
      </c>
      <c r="J1479" s="4" t="s">
        <v>2649</v>
      </c>
      <c r="K1479" s="4" t="s">
        <v>24</v>
      </c>
    </row>
    <row r="1480" spans="1:11" x14ac:dyDescent="0.2">
      <c r="A1480" s="4" t="s">
        <v>3103</v>
      </c>
      <c r="B1480" s="4" t="s">
        <v>3104</v>
      </c>
      <c r="C1480" s="4" t="s">
        <v>13</v>
      </c>
      <c r="D1480" s="4" t="s">
        <v>3083</v>
      </c>
      <c r="E1480" s="4" t="s">
        <v>3084</v>
      </c>
      <c r="F1480" s="4" t="s">
        <v>516</v>
      </c>
      <c r="G1480" s="1">
        <v>3.3000000000000002E-2</v>
      </c>
      <c r="H1480" s="4" t="s">
        <v>225</v>
      </c>
      <c r="I1480" s="4" t="s">
        <v>1580</v>
      </c>
      <c r="J1480" s="4" t="s">
        <v>2649</v>
      </c>
      <c r="K1480" s="4" t="s">
        <v>24</v>
      </c>
    </row>
    <row r="1481" spans="1:11" x14ac:dyDescent="0.2">
      <c r="A1481" s="4" t="s">
        <v>3105</v>
      </c>
      <c r="B1481" s="4" t="s">
        <v>3106</v>
      </c>
      <c r="C1481" s="4" t="s">
        <v>13</v>
      </c>
      <c r="D1481" s="4" t="s">
        <v>3083</v>
      </c>
      <c r="E1481" s="4" t="s">
        <v>3084</v>
      </c>
      <c r="F1481" s="4" t="s">
        <v>516</v>
      </c>
      <c r="G1481" s="1">
        <v>6.7000000000000004E-2</v>
      </c>
      <c r="H1481" s="4" t="s">
        <v>166</v>
      </c>
      <c r="I1481" s="4" t="s">
        <v>1580</v>
      </c>
      <c r="J1481" s="4" t="s">
        <v>2649</v>
      </c>
      <c r="K1481" s="4" t="s">
        <v>24</v>
      </c>
    </row>
    <row r="1482" spans="1:11" x14ac:dyDescent="0.2">
      <c r="A1482" s="4" t="s">
        <v>3107</v>
      </c>
      <c r="B1482" s="4" t="s">
        <v>3108</v>
      </c>
      <c r="C1482" s="4" t="s">
        <v>13</v>
      </c>
      <c r="D1482" s="4" t="s">
        <v>3083</v>
      </c>
      <c r="E1482" s="4" t="s">
        <v>3084</v>
      </c>
      <c r="F1482" s="4" t="s">
        <v>516</v>
      </c>
      <c r="G1482" s="1">
        <v>6.7000000000000004E-2</v>
      </c>
      <c r="H1482" s="4" t="s">
        <v>166</v>
      </c>
      <c r="I1482" s="4" t="s">
        <v>1580</v>
      </c>
      <c r="J1482" s="4" t="s">
        <v>2649</v>
      </c>
      <c r="K1482" s="4" t="s">
        <v>24</v>
      </c>
    </row>
    <row r="1483" spans="1:11" x14ac:dyDescent="0.2">
      <c r="A1483" s="4" t="s">
        <v>3109</v>
      </c>
      <c r="B1483" s="4" t="s">
        <v>3110</v>
      </c>
      <c r="C1483" s="4" t="s">
        <v>13</v>
      </c>
      <c r="D1483" s="4" t="s">
        <v>3083</v>
      </c>
      <c r="E1483" s="4" t="s">
        <v>3084</v>
      </c>
      <c r="F1483" s="4" t="s">
        <v>516</v>
      </c>
      <c r="G1483" s="1">
        <v>3.3000000000000002E-2</v>
      </c>
      <c r="H1483" s="4" t="s">
        <v>225</v>
      </c>
      <c r="I1483" s="4" t="s">
        <v>1580</v>
      </c>
      <c r="J1483" s="4" t="s">
        <v>2649</v>
      </c>
      <c r="K1483" s="4" t="s">
        <v>24</v>
      </c>
    </row>
    <row r="1484" spans="1:11" x14ac:dyDescent="0.2">
      <c r="A1484" s="4" t="s">
        <v>3111</v>
      </c>
      <c r="B1484" s="4" t="s">
        <v>3112</v>
      </c>
      <c r="C1484" s="4" t="s">
        <v>13</v>
      </c>
      <c r="D1484" s="4" t="s">
        <v>3083</v>
      </c>
      <c r="E1484" s="4" t="s">
        <v>3084</v>
      </c>
      <c r="F1484" s="4" t="s">
        <v>516</v>
      </c>
      <c r="G1484" s="1">
        <v>3.3000000000000002E-2</v>
      </c>
      <c r="H1484" s="4" t="s">
        <v>225</v>
      </c>
      <c r="I1484" s="4" t="s">
        <v>1580</v>
      </c>
      <c r="J1484" s="4" t="s">
        <v>2649</v>
      </c>
      <c r="K1484" s="4" t="s">
        <v>1868</v>
      </c>
    </row>
    <row r="1485" spans="1:11" x14ac:dyDescent="0.2">
      <c r="A1485" s="4" t="s">
        <v>3113</v>
      </c>
      <c r="B1485" s="4" t="s">
        <v>3114</v>
      </c>
      <c r="C1485" s="4" t="s">
        <v>13</v>
      </c>
      <c r="D1485" s="4" t="s">
        <v>3083</v>
      </c>
      <c r="E1485" s="4" t="s">
        <v>3084</v>
      </c>
      <c r="F1485" s="4" t="s">
        <v>516</v>
      </c>
      <c r="G1485" s="1">
        <v>3.3000000000000002E-2</v>
      </c>
      <c r="H1485" s="4" t="s">
        <v>225</v>
      </c>
      <c r="I1485" s="4" t="s">
        <v>1580</v>
      </c>
      <c r="J1485" s="4" t="s">
        <v>2649</v>
      </c>
      <c r="K1485" s="4" t="s">
        <v>24</v>
      </c>
    </row>
    <row r="1486" spans="1:11" x14ac:dyDescent="0.2">
      <c r="A1486" s="4" t="s">
        <v>3115</v>
      </c>
      <c r="B1486" s="4" t="s">
        <v>3116</v>
      </c>
      <c r="C1486" s="4" t="s">
        <v>13</v>
      </c>
      <c r="D1486" s="4" t="s">
        <v>3083</v>
      </c>
      <c r="E1486" s="4" t="s">
        <v>3084</v>
      </c>
      <c r="F1486" s="4" t="s">
        <v>516</v>
      </c>
      <c r="G1486" s="1">
        <v>6.7000000000000004E-2</v>
      </c>
      <c r="H1486" s="4" t="s">
        <v>166</v>
      </c>
      <c r="I1486" s="4" t="s">
        <v>1580</v>
      </c>
      <c r="J1486" s="4" t="s">
        <v>2649</v>
      </c>
      <c r="K1486" s="4" t="s">
        <v>24</v>
      </c>
    </row>
    <row r="1487" spans="1:11" x14ac:dyDescent="0.2">
      <c r="A1487" s="4" t="s">
        <v>3117</v>
      </c>
      <c r="B1487" s="4" t="s">
        <v>3118</v>
      </c>
      <c r="C1487" s="4" t="s">
        <v>13</v>
      </c>
      <c r="D1487" s="4" t="s">
        <v>3083</v>
      </c>
      <c r="E1487" s="4" t="s">
        <v>3084</v>
      </c>
      <c r="F1487" s="4" t="s">
        <v>516</v>
      </c>
      <c r="G1487" s="1">
        <v>6.7000000000000004E-2</v>
      </c>
      <c r="H1487" s="4" t="s">
        <v>166</v>
      </c>
      <c r="I1487" s="4" t="s">
        <v>1580</v>
      </c>
      <c r="J1487" s="4" t="s">
        <v>2649</v>
      </c>
      <c r="K1487" s="4" t="s">
        <v>24</v>
      </c>
    </row>
    <row r="1488" spans="1:11" x14ac:dyDescent="0.2">
      <c r="A1488" s="4" t="s">
        <v>3119</v>
      </c>
      <c r="B1488" s="4" t="s">
        <v>3120</v>
      </c>
      <c r="C1488" s="4" t="s">
        <v>13</v>
      </c>
      <c r="D1488" s="4" t="s">
        <v>3083</v>
      </c>
      <c r="E1488" s="4" t="s">
        <v>3084</v>
      </c>
      <c r="F1488" s="4" t="s">
        <v>516</v>
      </c>
      <c r="G1488" s="1">
        <v>6.7000000000000004E-2</v>
      </c>
      <c r="H1488" s="4" t="s">
        <v>166</v>
      </c>
      <c r="I1488" s="4" t="s">
        <v>1580</v>
      </c>
      <c r="J1488" s="4" t="s">
        <v>2649</v>
      </c>
      <c r="K1488" s="4" t="s">
        <v>24</v>
      </c>
    </row>
    <row r="1489" spans="1:11" x14ac:dyDescent="0.2">
      <c r="A1489" s="4" t="s">
        <v>3121</v>
      </c>
      <c r="B1489" s="4" t="s">
        <v>3122</v>
      </c>
      <c r="C1489" s="4" t="s">
        <v>13</v>
      </c>
      <c r="D1489" s="4" t="s">
        <v>3083</v>
      </c>
      <c r="E1489" s="4" t="s">
        <v>3084</v>
      </c>
      <c r="F1489" s="4" t="s">
        <v>516</v>
      </c>
      <c r="G1489" s="1">
        <v>3.3000000000000002E-2</v>
      </c>
      <c r="H1489" s="4" t="s">
        <v>225</v>
      </c>
      <c r="I1489" s="4" t="s">
        <v>1580</v>
      </c>
      <c r="J1489" s="4" t="s">
        <v>2649</v>
      </c>
      <c r="K1489" s="4" t="s">
        <v>24</v>
      </c>
    </row>
    <row r="1490" spans="1:11" x14ac:dyDescent="0.2">
      <c r="A1490" s="4" t="s">
        <v>3123</v>
      </c>
      <c r="B1490" s="4" t="s">
        <v>3124</v>
      </c>
      <c r="C1490" s="4" t="s">
        <v>13</v>
      </c>
      <c r="D1490" s="4" t="s">
        <v>3083</v>
      </c>
      <c r="E1490" s="4" t="s">
        <v>3084</v>
      </c>
      <c r="F1490" s="4" t="s">
        <v>516</v>
      </c>
      <c r="G1490" s="1">
        <v>6.7000000000000004E-2</v>
      </c>
      <c r="H1490" s="4" t="s">
        <v>166</v>
      </c>
      <c r="I1490" s="4" t="s">
        <v>1580</v>
      </c>
      <c r="J1490" s="4" t="s">
        <v>2649</v>
      </c>
      <c r="K1490" s="4" t="s">
        <v>24</v>
      </c>
    </row>
    <row r="1491" spans="1:11" x14ac:dyDescent="0.2">
      <c r="A1491" s="4" t="s">
        <v>3125</v>
      </c>
      <c r="B1491" s="4" t="s">
        <v>3126</v>
      </c>
      <c r="C1491" s="4" t="s">
        <v>13</v>
      </c>
      <c r="D1491" s="4" t="s">
        <v>3083</v>
      </c>
      <c r="E1491" s="4" t="s">
        <v>3084</v>
      </c>
      <c r="F1491" s="4" t="s">
        <v>516</v>
      </c>
      <c r="G1491" s="1">
        <v>6.7000000000000004E-2</v>
      </c>
      <c r="H1491" s="4" t="s">
        <v>166</v>
      </c>
      <c r="I1491" s="4" t="s">
        <v>1580</v>
      </c>
      <c r="J1491" s="4" t="s">
        <v>2649</v>
      </c>
      <c r="K1491" s="4" t="s">
        <v>24</v>
      </c>
    </row>
    <row r="1492" spans="1:11" x14ac:dyDescent="0.2">
      <c r="A1492" s="4" t="s">
        <v>3127</v>
      </c>
      <c r="B1492" s="4" t="s">
        <v>3128</v>
      </c>
      <c r="C1492" s="4" t="s">
        <v>13</v>
      </c>
      <c r="D1492" s="4" t="s">
        <v>3083</v>
      </c>
      <c r="E1492" s="4" t="s">
        <v>3084</v>
      </c>
      <c r="F1492" s="4" t="s">
        <v>516</v>
      </c>
      <c r="G1492" s="1">
        <v>3.3000000000000002E-2</v>
      </c>
      <c r="H1492" s="4" t="s">
        <v>225</v>
      </c>
      <c r="I1492" s="4" t="s">
        <v>1580</v>
      </c>
      <c r="J1492" s="4" t="s">
        <v>2649</v>
      </c>
      <c r="K1492" s="4" t="s">
        <v>24</v>
      </c>
    </row>
    <row r="1493" spans="1:11" x14ac:dyDescent="0.2">
      <c r="A1493" s="4" t="s">
        <v>3129</v>
      </c>
      <c r="B1493" s="4" t="s">
        <v>3130</v>
      </c>
      <c r="C1493" s="4" t="s">
        <v>13</v>
      </c>
      <c r="D1493" s="4" t="s">
        <v>3083</v>
      </c>
      <c r="E1493" s="4" t="s">
        <v>3084</v>
      </c>
      <c r="F1493" s="4" t="s">
        <v>516</v>
      </c>
      <c r="G1493" s="1">
        <v>3.3000000000000002E-2</v>
      </c>
      <c r="H1493" s="4" t="s">
        <v>225</v>
      </c>
      <c r="I1493" s="4" t="s">
        <v>1580</v>
      </c>
      <c r="J1493" s="4" t="s">
        <v>2649</v>
      </c>
      <c r="K1493" s="4" t="s">
        <v>24</v>
      </c>
    </row>
    <row r="1494" spans="1:11" x14ac:dyDescent="0.2">
      <c r="A1494" s="4" t="s">
        <v>3131</v>
      </c>
      <c r="B1494" s="4" t="s">
        <v>3132</v>
      </c>
      <c r="C1494" s="4" t="s">
        <v>13</v>
      </c>
      <c r="D1494" s="4" t="s">
        <v>3083</v>
      </c>
      <c r="E1494" s="4" t="s">
        <v>3084</v>
      </c>
      <c r="F1494" s="4" t="s">
        <v>516</v>
      </c>
      <c r="G1494" s="1">
        <v>6.7000000000000004E-2</v>
      </c>
      <c r="H1494" s="4" t="s">
        <v>166</v>
      </c>
      <c r="I1494" s="4" t="s">
        <v>1580</v>
      </c>
      <c r="J1494" s="4" t="s">
        <v>2649</v>
      </c>
      <c r="K1494" s="4" t="s">
        <v>24</v>
      </c>
    </row>
    <row r="1495" spans="1:11" x14ac:dyDescent="0.2">
      <c r="A1495" s="4" t="s">
        <v>3133</v>
      </c>
      <c r="B1495" s="4" t="s">
        <v>3134</v>
      </c>
      <c r="C1495" s="4" t="s">
        <v>13</v>
      </c>
      <c r="D1495" s="4" t="s">
        <v>3083</v>
      </c>
      <c r="E1495" s="4" t="s">
        <v>3084</v>
      </c>
      <c r="F1495" s="4" t="s">
        <v>516</v>
      </c>
      <c r="G1495" s="1">
        <v>6.7000000000000004E-2</v>
      </c>
      <c r="H1495" s="4" t="s">
        <v>166</v>
      </c>
      <c r="I1495" s="4" t="s">
        <v>1580</v>
      </c>
      <c r="J1495" s="4" t="s">
        <v>2649</v>
      </c>
      <c r="K1495" s="4" t="s">
        <v>24</v>
      </c>
    </row>
    <row r="1496" spans="1:11" x14ac:dyDescent="0.2">
      <c r="A1496" s="4" t="s">
        <v>3135</v>
      </c>
      <c r="B1496" s="4" t="s">
        <v>3136</v>
      </c>
      <c r="C1496" s="4" t="s">
        <v>13</v>
      </c>
      <c r="D1496" s="4" t="s">
        <v>3083</v>
      </c>
      <c r="E1496" s="4" t="s">
        <v>3084</v>
      </c>
      <c r="F1496" s="4" t="s">
        <v>516</v>
      </c>
      <c r="G1496" s="1">
        <v>6.7000000000000004E-2</v>
      </c>
      <c r="H1496" s="4" t="s">
        <v>166</v>
      </c>
      <c r="I1496" s="4" t="s">
        <v>1580</v>
      </c>
      <c r="J1496" s="4" t="s">
        <v>2649</v>
      </c>
      <c r="K1496" s="4" t="s">
        <v>24</v>
      </c>
    </row>
    <row r="1497" spans="1:11" x14ac:dyDescent="0.2">
      <c r="A1497" s="4" t="s">
        <v>3137</v>
      </c>
      <c r="B1497" s="4" t="s">
        <v>3138</v>
      </c>
      <c r="C1497" s="4" t="s">
        <v>13</v>
      </c>
      <c r="D1497" s="4" t="s">
        <v>3083</v>
      </c>
      <c r="E1497" s="4" t="s">
        <v>3084</v>
      </c>
      <c r="F1497" s="4" t="s">
        <v>516</v>
      </c>
      <c r="G1497" s="1">
        <v>6.7000000000000004E-2</v>
      </c>
      <c r="H1497" s="4" t="s">
        <v>166</v>
      </c>
      <c r="I1497" s="4" t="s">
        <v>1580</v>
      </c>
      <c r="J1497" s="4" t="s">
        <v>2649</v>
      </c>
      <c r="K1497" s="4" t="s">
        <v>24</v>
      </c>
    </row>
    <row r="1498" spans="1:11" x14ac:dyDescent="0.2">
      <c r="A1498" s="4" t="s">
        <v>3139</v>
      </c>
      <c r="B1498" s="4" t="s">
        <v>3140</v>
      </c>
      <c r="C1498" s="4" t="s">
        <v>13</v>
      </c>
      <c r="D1498" s="4" t="s">
        <v>3083</v>
      </c>
      <c r="E1498" s="4" t="s">
        <v>3084</v>
      </c>
      <c r="F1498" s="4" t="s">
        <v>516</v>
      </c>
      <c r="G1498" s="1">
        <v>6.7000000000000004E-2</v>
      </c>
      <c r="H1498" s="4" t="s">
        <v>166</v>
      </c>
      <c r="I1498" s="4" t="s">
        <v>1580</v>
      </c>
      <c r="J1498" s="4" t="s">
        <v>2649</v>
      </c>
      <c r="K1498" s="4" t="s">
        <v>24</v>
      </c>
    </row>
    <row r="1499" spans="1:11" x14ac:dyDescent="0.2">
      <c r="A1499" s="4" t="s">
        <v>3141</v>
      </c>
      <c r="B1499" s="4" t="s">
        <v>3142</v>
      </c>
      <c r="C1499" s="4" t="s">
        <v>13</v>
      </c>
      <c r="D1499" s="4" t="s">
        <v>3083</v>
      </c>
      <c r="E1499" s="4" t="s">
        <v>3084</v>
      </c>
      <c r="F1499" s="4" t="s">
        <v>516</v>
      </c>
      <c r="G1499" s="1">
        <v>6.7000000000000004E-2</v>
      </c>
      <c r="H1499" s="4" t="s">
        <v>166</v>
      </c>
      <c r="I1499" s="4" t="s">
        <v>1580</v>
      </c>
      <c r="J1499" s="4" t="s">
        <v>2649</v>
      </c>
      <c r="K1499" s="4" t="s">
        <v>24</v>
      </c>
    </row>
    <row r="1500" spans="1:11" x14ac:dyDescent="0.2">
      <c r="A1500" s="4" t="s">
        <v>3143</v>
      </c>
      <c r="B1500" s="4" t="s">
        <v>3144</v>
      </c>
      <c r="C1500" s="4" t="s">
        <v>13</v>
      </c>
      <c r="D1500" s="4" t="s">
        <v>3083</v>
      </c>
      <c r="E1500" s="4" t="s">
        <v>3084</v>
      </c>
      <c r="F1500" s="4" t="s">
        <v>516</v>
      </c>
      <c r="G1500" s="1">
        <v>1.7000000000000001E-2</v>
      </c>
      <c r="H1500" s="4" t="s">
        <v>578</v>
      </c>
      <c r="I1500" s="4" t="s">
        <v>1580</v>
      </c>
      <c r="J1500" s="4" t="s">
        <v>2649</v>
      </c>
      <c r="K1500" s="4" t="s">
        <v>2452</v>
      </c>
    </row>
    <row r="1501" spans="1:11" x14ac:dyDescent="0.2">
      <c r="A1501" s="4" t="s">
        <v>3145</v>
      </c>
      <c r="B1501" s="4" t="s">
        <v>3146</v>
      </c>
      <c r="C1501" s="4" t="s">
        <v>13</v>
      </c>
      <c r="D1501" s="4" t="s">
        <v>3083</v>
      </c>
      <c r="E1501" s="4" t="s">
        <v>3084</v>
      </c>
      <c r="F1501" s="4" t="s">
        <v>516</v>
      </c>
      <c r="G1501" s="1">
        <v>3.3000000000000002E-2</v>
      </c>
      <c r="H1501" s="4" t="s">
        <v>225</v>
      </c>
      <c r="I1501" s="4" t="s">
        <v>1580</v>
      </c>
      <c r="J1501" s="4" t="s">
        <v>2649</v>
      </c>
      <c r="K1501" s="4" t="s">
        <v>2078</v>
      </c>
    </row>
    <row r="1502" spans="1:11" x14ac:dyDescent="0.2">
      <c r="A1502" s="4" t="s">
        <v>3147</v>
      </c>
      <c r="B1502" s="4" t="s">
        <v>3148</v>
      </c>
      <c r="C1502" s="4" t="s">
        <v>13</v>
      </c>
      <c r="D1502" s="4" t="s">
        <v>3083</v>
      </c>
      <c r="E1502" s="4" t="s">
        <v>3084</v>
      </c>
      <c r="F1502" s="4" t="s">
        <v>516</v>
      </c>
      <c r="G1502" s="1">
        <v>6.7000000000000004E-2</v>
      </c>
      <c r="H1502" s="4" t="s">
        <v>166</v>
      </c>
      <c r="I1502" s="4" t="s">
        <v>1580</v>
      </c>
      <c r="J1502" s="4" t="s">
        <v>2649</v>
      </c>
      <c r="K1502" s="4" t="s">
        <v>2078</v>
      </c>
    </row>
    <row r="1503" spans="1:11" x14ac:dyDescent="0.2">
      <c r="A1503" s="4" t="s">
        <v>3149</v>
      </c>
      <c r="B1503" s="4" t="s">
        <v>3150</v>
      </c>
      <c r="C1503" s="4" t="s">
        <v>13</v>
      </c>
      <c r="D1503" s="4" t="s">
        <v>3083</v>
      </c>
      <c r="E1503" s="4" t="s">
        <v>3084</v>
      </c>
      <c r="F1503" s="4" t="s">
        <v>516</v>
      </c>
      <c r="G1503" s="1">
        <v>0.05</v>
      </c>
      <c r="H1503" s="4" t="s">
        <v>336</v>
      </c>
      <c r="I1503" s="4" t="s">
        <v>1580</v>
      </c>
      <c r="J1503" s="4" t="s">
        <v>2649</v>
      </c>
      <c r="K1503" s="4" t="s">
        <v>2078</v>
      </c>
    </row>
    <row r="1504" spans="1:11" x14ac:dyDescent="0.2">
      <c r="A1504" s="4" t="s">
        <v>3151</v>
      </c>
      <c r="B1504" s="4" t="s">
        <v>3152</v>
      </c>
      <c r="C1504" s="4" t="s">
        <v>13</v>
      </c>
      <c r="D1504" s="4" t="s">
        <v>3083</v>
      </c>
      <c r="E1504" s="4" t="s">
        <v>3084</v>
      </c>
      <c r="F1504" s="4" t="s">
        <v>516</v>
      </c>
      <c r="G1504" s="1">
        <v>6.7000000000000004E-2</v>
      </c>
      <c r="H1504" s="4" t="s">
        <v>166</v>
      </c>
      <c r="I1504" s="4" t="s">
        <v>1580</v>
      </c>
      <c r="J1504" s="4" t="s">
        <v>2649</v>
      </c>
      <c r="K1504" s="4" t="s">
        <v>2078</v>
      </c>
    </row>
    <row r="1505" spans="1:11" x14ac:dyDescent="0.2">
      <c r="A1505" s="4" t="s">
        <v>3153</v>
      </c>
      <c r="B1505" s="4" t="s">
        <v>3154</v>
      </c>
      <c r="C1505" s="4" t="s">
        <v>49</v>
      </c>
      <c r="D1505" s="4" t="s">
        <v>3083</v>
      </c>
      <c r="E1505" s="4" t="s">
        <v>3084</v>
      </c>
      <c r="F1505" s="4" t="s">
        <v>516</v>
      </c>
      <c r="G1505" s="1">
        <v>3.3000000000000002E-2</v>
      </c>
      <c r="H1505" s="4" t="s">
        <v>225</v>
      </c>
      <c r="I1505" s="4" t="s">
        <v>1580</v>
      </c>
      <c r="J1505" s="4" t="s">
        <v>2649</v>
      </c>
      <c r="K1505" s="4" t="s">
        <v>1864</v>
      </c>
    </row>
    <row r="1506" spans="1:11" x14ac:dyDescent="0.2">
      <c r="A1506" s="4" t="s">
        <v>3155</v>
      </c>
      <c r="B1506" s="4" t="s">
        <v>3156</v>
      </c>
      <c r="C1506" s="4" t="s">
        <v>13</v>
      </c>
      <c r="D1506" s="4" t="s">
        <v>3083</v>
      </c>
      <c r="E1506" s="4" t="s">
        <v>3084</v>
      </c>
      <c r="F1506" s="4" t="s">
        <v>516</v>
      </c>
      <c r="G1506" s="1">
        <v>6.7000000000000004E-2</v>
      </c>
      <c r="H1506" s="4" t="s">
        <v>166</v>
      </c>
      <c r="I1506" s="4" t="s">
        <v>1580</v>
      </c>
      <c r="J1506" s="4" t="s">
        <v>2649</v>
      </c>
      <c r="K1506" s="4" t="s">
        <v>1715</v>
      </c>
    </row>
    <row r="1507" spans="1:11" x14ac:dyDescent="0.2">
      <c r="A1507" s="4" t="s">
        <v>3157</v>
      </c>
      <c r="B1507" s="4" t="s">
        <v>3158</v>
      </c>
      <c r="C1507" s="4" t="s">
        <v>13</v>
      </c>
      <c r="D1507" s="4" t="s">
        <v>3083</v>
      </c>
      <c r="E1507" s="4" t="s">
        <v>3084</v>
      </c>
      <c r="F1507" s="4" t="s">
        <v>516</v>
      </c>
      <c r="G1507" s="1">
        <v>6.7000000000000004E-2</v>
      </c>
      <c r="H1507" s="4" t="s">
        <v>166</v>
      </c>
      <c r="I1507" s="4" t="s">
        <v>1580</v>
      </c>
      <c r="J1507" s="4" t="s">
        <v>2649</v>
      </c>
      <c r="K1507" s="4" t="s">
        <v>1868</v>
      </c>
    </row>
    <row r="1508" spans="1:11" x14ac:dyDescent="0.2">
      <c r="A1508" s="4" t="s">
        <v>3159</v>
      </c>
      <c r="B1508" s="4" t="s">
        <v>3160</v>
      </c>
      <c r="C1508" s="4" t="s">
        <v>13</v>
      </c>
      <c r="D1508" s="4" t="s">
        <v>3083</v>
      </c>
      <c r="E1508" s="4" t="s">
        <v>3084</v>
      </c>
      <c r="F1508" s="4" t="s">
        <v>516</v>
      </c>
      <c r="G1508" s="1">
        <v>6.7000000000000004E-2</v>
      </c>
      <c r="H1508" s="4" t="s">
        <v>166</v>
      </c>
      <c r="I1508" s="4" t="s">
        <v>1580</v>
      </c>
      <c r="J1508" s="4" t="s">
        <v>2649</v>
      </c>
      <c r="K1508" s="4" t="s">
        <v>1986</v>
      </c>
    </row>
    <row r="1509" spans="1:11" x14ac:dyDescent="0.2">
      <c r="A1509" s="4" t="s">
        <v>3161</v>
      </c>
      <c r="B1509" s="4" t="s">
        <v>3162</v>
      </c>
      <c r="C1509" s="4" t="s">
        <v>13</v>
      </c>
      <c r="D1509" s="4" t="s">
        <v>3083</v>
      </c>
      <c r="E1509" s="4" t="s">
        <v>3084</v>
      </c>
      <c r="F1509" s="4" t="s">
        <v>516</v>
      </c>
      <c r="G1509" s="1">
        <v>6.7000000000000004E-2</v>
      </c>
      <c r="H1509" s="4" t="s">
        <v>166</v>
      </c>
      <c r="I1509" s="4" t="s">
        <v>1580</v>
      </c>
      <c r="J1509" s="4" t="s">
        <v>2649</v>
      </c>
      <c r="K1509" s="4" t="s">
        <v>1590</v>
      </c>
    </row>
    <row r="1510" spans="1:11" x14ac:dyDescent="0.2">
      <c r="A1510" s="4" t="s">
        <v>2824</v>
      </c>
      <c r="B1510" s="4" t="s">
        <v>2825</v>
      </c>
      <c r="C1510" s="4" t="s">
        <v>13</v>
      </c>
      <c r="D1510" s="4" t="s">
        <v>3083</v>
      </c>
      <c r="E1510" s="4" t="s">
        <v>3084</v>
      </c>
      <c r="F1510" s="4" t="s">
        <v>516</v>
      </c>
      <c r="G1510" s="1">
        <v>3.3000000000000002E-2</v>
      </c>
      <c r="H1510" s="4" t="s">
        <v>2826</v>
      </c>
      <c r="I1510" s="4" t="s">
        <v>1580</v>
      </c>
      <c r="J1510" s="4" t="s">
        <v>2649</v>
      </c>
      <c r="K1510" s="4" t="s">
        <v>24</v>
      </c>
    </row>
    <row r="1511" spans="1:11" x14ac:dyDescent="0.2">
      <c r="A1511" s="4" t="s">
        <v>2905</v>
      </c>
      <c r="B1511" s="4" t="s">
        <v>2906</v>
      </c>
      <c r="C1511" s="4" t="s">
        <v>13</v>
      </c>
      <c r="D1511" s="4" t="s">
        <v>3083</v>
      </c>
      <c r="E1511" s="4" t="s">
        <v>3084</v>
      </c>
      <c r="F1511" s="4" t="s">
        <v>516</v>
      </c>
      <c r="G1511" s="1">
        <v>3.3000000000000002E-2</v>
      </c>
      <c r="H1511" s="4" t="s">
        <v>2826</v>
      </c>
      <c r="I1511" s="4" t="s">
        <v>1580</v>
      </c>
      <c r="J1511" s="4" t="s">
        <v>2649</v>
      </c>
      <c r="K1511" s="4" t="s">
        <v>24</v>
      </c>
    </row>
    <row r="1512" spans="1:11" x14ac:dyDescent="0.2">
      <c r="A1512" s="4" t="s">
        <v>1052</v>
      </c>
      <c r="B1512" s="4" t="s">
        <v>1053</v>
      </c>
      <c r="C1512" s="4" t="s">
        <v>13</v>
      </c>
      <c r="D1512" s="4" t="s">
        <v>3083</v>
      </c>
      <c r="E1512" s="4" t="s">
        <v>3084</v>
      </c>
      <c r="F1512" s="4" t="s">
        <v>516</v>
      </c>
      <c r="G1512" s="1">
        <v>6.7000000000000004E-2</v>
      </c>
      <c r="H1512" s="4" t="s">
        <v>166</v>
      </c>
      <c r="I1512" s="4" t="s">
        <v>1580</v>
      </c>
      <c r="J1512" s="4" t="s">
        <v>2649</v>
      </c>
      <c r="K1512" s="4" t="s">
        <v>24</v>
      </c>
    </row>
    <row r="1513" spans="1:11" x14ac:dyDescent="0.2">
      <c r="A1513" s="4" t="s">
        <v>3163</v>
      </c>
      <c r="B1513" s="4" t="s">
        <v>3164</v>
      </c>
      <c r="C1513" s="4" t="s">
        <v>49</v>
      </c>
      <c r="D1513" s="4" t="s">
        <v>3083</v>
      </c>
      <c r="E1513" s="4" t="s">
        <v>3084</v>
      </c>
      <c r="F1513" s="4" t="s">
        <v>516</v>
      </c>
      <c r="G1513" s="1">
        <v>6.7000000000000004E-2</v>
      </c>
      <c r="H1513" s="4" t="s">
        <v>166</v>
      </c>
      <c r="I1513" s="4" t="s">
        <v>1580</v>
      </c>
      <c r="J1513" s="4" t="s">
        <v>2649</v>
      </c>
      <c r="K1513" s="4" t="s">
        <v>24</v>
      </c>
    </row>
    <row r="1514" spans="1:11" x14ac:dyDescent="0.2">
      <c r="A1514" s="4" t="s">
        <v>3165</v>
      </c>
      <c r="B1514" s="4" t="s">
        <v>3166</v>
      </c>
      <c r="C1514" s="4" t="s">
        <v>13</v>
      </c>
      <c r="D1514" s="4" t="s">
        <v>3167</v>
      </c>
      <c r="E1514" s="4" t="s">
        <v>3168</v>
      </c>
      <c r="F1514" s="4" t="s">
        <v>1453</v>
      </c>
      <c r="G1514" s="1">
        <v>0.2</v>
      </c>
      <c r="H1514" s="4" t="s">
        <v>232</v>
      </c>
      <c r="I1514" s="4" t="s">
        <v>3169</v>
      </c>
      <c r="J1514" s="4" t="s">
        <v>3170</v>
      </c>
      <c r="K1514" s="4" t="s">
        <v>3171</v>
      </c>
    </row>
    <row r="1515" spans="1:11" x14ac:dyDescent="0.2">
      <c r="A1515" s="4" t="s">
        <v>3172</v>
      </c>
      <c r="B1515" s="4" t="s">
        <v>3173</v>
      </c>
      <c r="C1515" s="4" t="s">
        <v>13</v>
      </c>
      <c r="D1515" s="4" t="s">
        <v>3167</v>
      </c>
      <c r="E1515" s="4" t="s">
        <v>3168</v>
      </c>
      <c r="F1515" s="4" t="s">
        <v>1453</v>
      </c>
      <c r="G1515" s="1">
        <v>8.3000000000000004E-2</v>
      </c>
      <c r="H1515" s="4" t="s">
        <v>1867</v>
      </c>
      <c r="I1515" s="4" t="s">
        <v>3169</v>
      </c>
      <c r="J1515" s="4" t="s">
        <v>3170</v>
      </c>
      <c r="K1515" s="4" t="s">
        <v>3174</v>
      </c>
    </row>
    <row r="1516" spans="1:11" x14ac:dyDescent="0.2">
      <c r="A1516" s="4" t="s">
        <v>3175</v>
      </c>
      <c r="B1516" s="4" t="s">
        <v>3176</v>
      </c>
      <c r="C1516" s="4" t="s">
        <v>13</v>
      </c>
      <c r="D1516" s="4" t="s">
        <v>3167</v>
      </c>
      <c r="E1516" s="4" t="s">
        <v>3168</v>
      </c>
      <c r="F1516" s="4" t="s">
        <v>1453</v>
      </c>
      <c r="G1516" s="1">
        <v>0.2</v>
      </c>
      <c r="H1516" s="4" t="s">
        <v>232</v>
      </c>
      <c r="I1516" s="4" t="s">
        <v>3169</v>
      </c>
      <c r="J1516" s="4" t="s">
        <v>3170</v>
      </c>
      <c r="K1516" s="4" t="s">
        <v>3174</v>
      </c>
    </row>
    <row r="1517" spans="1:11" x14ac:dyDescent="0.2">
      <c r="A1517" s="4" t="s">
        <v>3177</v>
      </c>
      <c r="B1517" s="4" t="s">
        <v>3178</v>
      </c>
      <c r="C1517" s="4" t="s">
        <v>13</v>
      </c>
      <c r="D1517" s="4" t="s">
        <v>3167</v>
      </c>
      <c r="E1517" s="4" t="s">
        <v>3168</v>
      </c>
      <c r="F1517" s="4" t="s">
        <v>1453</v>
      </c>
      <c r="G1517" s="1">
        <v>0.2</v>
      </c>
      <c r="H1517" s="4" t="s">
        <v>232</v>
      </c>
      <c r="I1517" s="4" t="s">
        <v>3169</v>
      </c>
      <c r="J1517" s="4" t="s">
        <v>3170</v>
      </c>
      <c r="K1517" s="4" t="s">
        <v>3179</v>
      </c>
    </row>
    <row r="1518" spans="1:11" x14ac:dyDescent="0.2">
      <c r="A1518" s="4" t="s">
        <v>3180</v>
      </c>
      <c r="B1518" s="4" t="s">
        <v>3181</v>
      </c>
      <c r="C1518" s="4" t="s">
        <v>13</v>
      </c>
      <c r="D1518" s="4" t="s">
        <v>3167</v>
      </c>
      <c r="E1518" s="4" t="s">
        <v>3168</v>
      </c>
      <c r="F1518" s="4" t="s">
        <v>1453</v>
      </c>
      <c r="G1518" s="1">
        <v>0</v>
      </c>
      <c r="H1518" s="4" t="s">
        <v>254</v>
      </c>
      <c r="I1518" s="4" t="s">
        <v>3169</v>
      </c>
      <c r="J1518" s="4" t="s">
        <v>3170</v>
      </c>
      <c r="K1518" s="4" t="s">
        <v>24</v>
      </c>
    </row>
    <row r="1519" spans="1:11" x14ac:dyDescent="0.2">
      <c r="A1519" s="4" t="s">
        <v>3182</v>
      </c>
      <c r="B1519" s="4" t="s">
        <v>3183</v>
      </c>
      <c r="C1519" s="4" t="s">
        <v>49</v>
      </c>
      <c r="D1519" s="4" t="s">
        <v>3167</v>
      </c>
      <c r="E1519" s="4" t="s">
        <v>3168</v>
      </c>
      <c r="F1519" s="4" t="s">
        <v>1453</v>
      </c>
      <c r="G1519" s="1">
        <v>0</v>
      </c>
      <c r="H1519" s="4" t="s">
        <v>254</v>
      </c>
      <c r="I1519" s="4" t="s">
        <v>3169</v>
      </c>
      <c r="J1519" s="4" t="s">
        <v>3170</v>
      </c>
      <c r="K1519" s="4" t="s">
        <v>24</v>
      </c>
    </row>
    <row r="1520" spans="1:11" x14ac:dyDescent="0.2">
      <c r="A1520" s="4" t="s">
        <v>3184</v>
      </c>
      <c r="B1520" s="4" t="s">
        <v>3185</v>
      </c>
      <c r="C1520" s="4" t="s">
        <v>13</v>
      </c>
      <c r="D1520" s="4" t="s">
        <v>3167</v>
      </c>
      <c r="E1520" s="4" t="s">
        <v>3168</v>
      </c>
      <c r="F1520" s="4" t="s">
        <v>1453</v>
      </c>
      <c r="G1520" s="1">
        <v>0.13300000000000001</v>
      </c>
      <c r="H1520" s="4" t="s">
        <v>112</v>
      </c>
      <c r="I1520" s="4" t="s">
        <v>3169</v>
      </c>
      <c r="J1520" s="4" t="s">
        <v>3170</v>
      </c>
      <c r="K1520" s="4" t="s">
        <v>24</v>
      </c>
    </row>
    <row r="1521" spans="1:11" x14ac:dyDescent="0.2">
      <c r="A1521" s="4" t="s">
        <v>3186</v>
      </c>
      <c r="B1521" s="4" t="s">
        <v>3187</v>
      </c>
      <c r="C1521" s="4" t="s">
        <v>13</v>
      </c>
      <c r="D1521" s="4" t="s">
        <v>3167</v>
      </c>
      <c r="E1521" s="4" t="s">
        <v>3168</v>
      </c>
      <c r="F1521" s="4" t="s">
        <v>1453</v>
      </c>
      <c r="G1521" s="1">
        <v>0</v>
      </c>
      <c r="H1521" s="4" t="s">
        <v>254</v>
      </c>
      <c r="I1521" s="4" t="s">
        <v>3169</v>
      </c>
      <c r="J1521" s="4" t="s">
        <v>3170</v>
      </c>
      <c r="K1521" s="4" t="s">
        <v>24</v>
      </c>
    </row>
    <row r="1522" spans="1:11" x14ac:dyDescent="0.2">
      <c r="A1522" s="4" t="s">
        <v>3188</v>
      </c>
      <c r="B1522" s="4" t="s">
        <v>3189</v>
      </c>
      <c r="C1522" s="4" t="s">
        <v>13</v>
      </c>
      <c r="D1522" s="4" t="s">
        <v>3167</v>
      </c>
      <c r="E1522" s="4" t="s">
        <v>3168</v>
      </c>
      <c r="F1522" s="4" t="s">
        <v>1453</v>
      </c>
      <c r="G1522" s="1">
        <v>0</v>
      </c>
      <c r="H1522" s="4" t="s">
        <v>254</v>
      </c>
      <c r="I1522" s="4" t="s">
        <v>3169</v>
      </c>
      <c r="J1522" s="4" t="s">
        <v>3170</v>
      </c>
      <c r="K1522" s="4" t="s">
        <v>24</v>
      </c>
    </row>
    <row r="1523" spans="1:11" x14ac:dyDescent="0.2">
      <c r="A1523" s="4" t="s">
        <v>3190</v>
      </c>
      <c r="B1523" s="4" t="s">
        <v>3191</v>
      </c>
      <c r="C1523" s="4" t="s">
        <v>13</v>
      </c>
      <c r="D1523" s="4" t="s">
        <v>3167</v>
      </c>
      <c r="E1523" s="4" t="s">
        <v>3168</v>
      </c>
      <c r="F1523" s="4" t="s">
        <v>1453</v>
      </c>
      <c r="G1523" s="1">
        <v>0.2</v>
      </c>
      <c r="H1523" s="4" t="s">
        <v>232</v>
      </c>
      <c r="I1523" s="4" t="s">
        <v>3169</v>
      </c>
      <c r="J1523" s="4" t="s">
        <v>3170</v>
      </c>
      <c r="K1523" s="4" t="s">
        <v>24</v>
      </c>
    </row>
    <row r="1524" spans="1:11" x14ac:dyDescent="0.2">
      <c r="A1524" s="4" t="s">
        <v>3192</v>
      </c>
      <c r="B1524" s="4" t="s">
        <v>3193</v>
      </c>
      <c r="C1524" s="4" t="s">
        <v>13</v>
      </c>
      <c r="D1524" s="4" t="s">
        <v>3167</v>
      </c>
      <c r="E1524" s="4" t="s">
        <v>3168</v>
      </c>
      <c r="F1524" s="4" t="s">
        <v>1453</v>
      </c>
      <c r="G1524" s="1">
        <v>0.13300000000000001</v>
      </c>
      <c r="H1524" s="4" t="s">
        <v>112</v>
      </c>
      <c r="I1524" s="4" t="s">
        <v>3169</v>
      </c>
      <c r="J1524" s="4" t="s">
        <v>3170</v>
      </c>
      <c r="K1524" s="4" t="s">
        <v>24</v>
      </c>
    </row>
    <row r="1525" spans="1:11" x14ac:dyDescent="0.2">
      <c r="A1525" s="4" t="s">
        <v>3194</v>
      </c>
      <c r="B1525" s="4" t="s">
        <v>3195</v>
      </c>
      <c r="C1525" s="4" t="s">
        <v>13</v>
      </c>
      <c r="D1525" s="4" t="s">
        <v>3167</v>
      </c>
      <c r="E1525" s="4" t="s">
        <v>3168</v>
      </c>
      <c r="F1525" s="4" t="s">
        <v>1453</v>
      </c>
      <c r="G1525" s="1">
        <v>0.2</v>
      </c>
      <c r="H1525" s="4" t="s">
        <v>232</v>
      </c>
      <c r="I1525" s="4" t="s">
        <v>3169</v>
      </c>
      <c r="J1525" s="4" t="s">
        <v>3170</v>
      </c>
      <c r="K1525" s="4" t="s">
        <v>24</v>
      </c>
    </row>
    <row r="1526" spans="1:11" x14ac:dyDescent="0.2">
      <c r="A1526" s="4" t="s">
        <v>3196</v>
      </c>
      <c r="B1526" s="4" t="s">
        <v>3197</v>
      </c>
      <c r="C1526" s="4" t="s">
        <v>13</v>
      </c>
      <c r="D1526" s="4" t="s">
        <v>3167</v>
      </c>
      <c r="E1526" s="4" t="s">
        <v>3168</v>
      </c>
      <c r="F1526" s="4" t="s">
        <v>1453</v>
      </c>
      <c r="G1526" s="1">
        <v>0.2</v>
      </c>
      <c r="H1526" s="4" t="s">
        <v>232</v>
      </c>
      <c r="I1526" s="4" t="s">
        <v>3169</v>
      </c>
      <c r="J1526" s="4" t="s">
        <v>3170</v>
      </c>
      <c r="K1526" s="4" t="s">
        <v>24</v>
      </c>
    </row>
    <row r="1527" spans="1:11" x14ac:dyDescent="0.2">
      <c r="A1527" s="4" t="s">
        <v>3198</v>
      </c>
      <c r="B1527" s="4" t="s">
        <v>3199</v>
      </c>
      <c r="C1527" s="4" t="s">
        <v>13</v>
      </c>
      <c r="D1527" s="4" t="s">
        <v>3167</v>
      </c>
      <c r="E1527" s="4" t="s">
        <v>3168</v>
      </c>
      <c r="F1527" s="4" t="s">
        <v>1453</v>
      </c>
      <c r="G1527" s="1">
        <v>3.3000000000000002E-2</v>
      </c>
      <c r="H1527" s="4" t="s">
        <v>225</v>
      </c>
      <c r="I1527" s="4" t="s">
        <v>3169</v>
      </c>
      <c r="J1527" s="4" t="s">
        <v>3170</v>
      </c>
      <c r="K1527" s="4" t="s">
        <v>24</v>
      </c>
    </row>
    <row r="1528" spans="1:11" x14ac:dyDescent="0.2">
      <c r="A1528" s="4" t="s">
        <v>3200</v>
      </c>
      <c r="B1528" s="4" t="s">
        <v>3201</v>
      </c>
      <c r="C1528" s="4" t="s">
        <v>13</v>
      </c>
      <c r="D1528" s="4" t="s">
        <v>3167</v>
      </c>
      <c r="E1528" s="4" t="s">
        <v>3168</v>
      </c>
      <c r="F1528" s="4" t="s">
        <v>1453</v>
      </c>
      <c r="G1528" s="1">
        <v>0.16700000000000001</v>
      </c>
      <c r="H1528" s="4" t="s">
        <v>229</v>
      </c>
      <c r="I1528" s="4" t="s">
        <v>3169</v>
      </c>
      <c r="J1528" s="4" t="s">
        <v>3170</v>
      </c>
      <c r="K1528" s="4" t="s">
        <v>24</v>
      </c>
    </row>
    <row r="1529" spans="1:11" x14ac:dyDescent="0.2">
      <c r="A1529" s="4" t="s">
        <v>3202</v>
      </c>
      <c r="B1529" s="4" t="s">
        <v>3203</v>
      </c>
      <c r="C1529" s="4" t="s">
        <v>49</v>
      </c>
      <c r="D1529" s="4" t="s">
        <v>3167</v>
      </c>
      <c r="E1529" s="4" t="s">
        <v>3168</v>
      </c>
      <c r="F1529" s="4" t="s">
        <v>1453</v>
      </c>
      <c r="G1529" s="1">
        <v>0</v>
      </c>
      <c r="H1529" s="4" t="s">
        <v>254</v>
      </c>
      <c r="I1529" s="4" t="s">
        <v>3169</v>
      </c>
      <c r="J1529" s="4" t="s">
        <v>3170</v>
      </c>
      <c r="K1529" s="4" t="s">
        <v>24</v>
      </c>
    </row>
    <row r="1530" spans="1:11" x14ac:dyDescent="0.2">
      <c r="A1530" s="4" t="s">
        <v>3204</v>
      </c>
      <c r="B1530" s="4" t="s">
        <v>3205</v>
      </c>
      <c r="C1530" s="4" t="s">
        <v>13</v>
      </c>
      <c r="D1530" s="4" t="s">
        <v>3167</v>
      </c>
      <c r="E1530" s="4" t="s">
        <v>3168</v>
      </c>
      <c r="F1530" s="4" t="s">
        <v>1453</v>
      </c>
      <c r="G1530" s="1">
        <v>0.2</v>
      </c>
      <c r="H1530" s="4" t="s">
        <v>232</v>
      </c>
      <c r="I1530" s="4" t="s">
        <v>3169</v>
      </c>
      <c r="J1530" s="4" t="s">
        <v>3170</v>
      </c>
      <c r="K1530" s="4" t="s">
        <v>24</v>
      </c>
    </row>
    <row r="1531" spans="1:11" x14ac:dyDescent="0.2">
      <c r="A1531" s="4" t="s">
        <v>3206</v>
      </c>
      <c r="B1531" s="4" t="s">
        <v>3207</v>
      </c>
      <c r="C1531" s="4" t="s">
        <v>13</v>
      </c>
      <c r="D1531" s="4" t="s">
        <v>3167</v>
      </c>
      <c r="E1531" s="4" t="s">
        <v>3168</v>
      </c>
      <c r="F1531" s="4" t="s">
        <v>1453</v>
      </c>
      <c r="G1531" s="1">
        <v>0.16700000000000001</v>
      </c>
      <c r="H1531" s="4" t="s">
        <v>229</v>
      </c>
      <c r="I1531" s="4" t="s">
        <v>3169</v>
      </c>
      <c r="J1531" s="4" t="s">
        <v>3170</v>
      </c>
      <c r="K1531" s="4" t="s">
        <v>24</v>
      </c>
    </row>
    <row r="1532" spans="1:11" x14ac:dyDescent="0.2">
      <c r="A1532" s="4" t="s">
        <v>3208</v>
      </c>
      <c r="B1532" s="4" t="s">
        <v>3209</v>
      </c>
      <c r="C1532" s="4" t="s">
        <v>13</v>
      </c>
      <c r="D1532" s="4" t="s">
        <v>3167</v>
      </c>
      <c r="E1532" s="4" t="s">
        <v>3168</v>
      </c>
      <c r="F1532" s="4" t="s">
        <v>1453</v>
      </c>
      <c r="G1532" s="1">
        <v>0.2</v>
      </c>
      <c r="H1532" s="4" t="s">
        <v>232</v>
      </c>
      <c r="I1532" s="4" t="s">
        <v>3169</v>
      </c>
      <c r="J1532" s="4" t="s">
        <v>3170</v>
      </c>
      <c r="K1532" s="4" t="s">
        <v>24</v>
      </c>
    </row>
    <row r="1533" spans="1:11" x14ac:dyDescent="0.2">
      <c r="A1533" s="4" t="s">
        <v>3210</v>
      </c>
      <c r="B1533" s="4" t="s">
        <v>3211</v>
      </c>
      <c r="C1533" s="4" t="s">
        <v>13</v>
      </c>
      <c r="D1533" s="4" t="s">
        <v>3167</v>
      </c>
      <c r="E1533" s="4" t="s">
        <v>3168</v>
      </c>
      <c r="F1533" s="4" t="s">
        <v>1453</v>
      </c>
      <c r="G1533" s="1">
        <v>0.2</v>
      </c>
      <c r="H1533" s="4" t="s">
        <v>232</v>
      </c>
      <c r="I1533" s="4" t="s">
        <v>3169</v>
      </c>
      <c r="J1533" s="4" t="s">
        <v>3170</v>
      </c>
      <c r="K1533" s="4" t="s">
        <v>24</v>
      </c>
    </row>
    <row r="1534" spans="1:11" x14ac:dyDescent="0.2">
      <c r="A1534" s="4" t="s">
        <v>3212</v>
      </c>
      <c r="B1534" s="4" t="s">
        <v>3213</v>
      </c>
      <c r="C1534" s="4" t="s">
        <v>13</v>
      </c>
      <c r="D1534" s="4" t="s">
        <v>3167</v>
      </c>
      <c r="E1534" s="4" t="s">
        <v>3168</v>
      </c>
      <c r="F1534" s="4" t="s">
        <v>1453</v>
      </c>
      <c r="G1534" s="1">
        <v>0.2</v>
      </c>
      <c r="H1534" s="4" t="s">
        <v>232</v>
      </c>
      <c r="I1534" s="4" t="s">
        <v>3169</v>
      </c>
      <c r="J1534" s="4" t="s">
        <v>3170</v>
      </c>
      <c r="K1534" s="4" t="s">
        <v>24</v>
      </c>
    </row>
    <row r="1535" spans="1:11" x14ac:dyDescent="0.2">
      <c r="A1535" s="4" t="s">
        <v>3214</v>
      </c>
      <c r="B1535" s="4" t="s">
        <v>3215</v>
      </c>
      <c r="C1535" s="4" t="s">
        <v>13</v>
      </c>
      <c r="D1535" s="4" t="s">
        <v>3167</v>
      </c>
      <c r="E1535" s="4" t="s">
        <v>3168</v>
      </c>
      <c r="F1535" s="4" t="s">
        <v>1453</v>
      </c>
      <c r="G1535" s="1">
        <v>0.2</v>
      </c>
      <c r="H1535" s="4" t="s">
        <v>232</v>
      </c>
      <c r="I1535" s="4" t="s">
        <v>3169</v>
      </c>
      <c r="J1535" s="4" t="s">
        <v>3170</v>
      </c>
      <c r="K1535" s="4" t="s">
        <v>24</v>
      </c>
    </row>
    <row r="1536" spans="1:11" x14ac:dyDescent="0.2">
      <c r="A1536" s="4" t="s">
        <v>3216</v>
      </c>
      <c r="B1536" s="4" t="s">
        <v>3217</v>
      </c>
      <c r="C1536" s="4" t="s">
        <v>13</v>
      </c>
      <c r="D1536" s="4" t="s">
        <v>3167</v>
      </c>
      <c r="E1536" s="4" t="s">
        <v>3168</v>
      </c>
      <c r="F1536" s="4" t="s">
        <v>1453</v>
      </c>
      <c r="G1536" s="1">
        <v>0.2</v>
      </c>
      <c r="H1536" s="4" t="s">
        <v>232</v>
      </c>
      <c r="I1536" s="4" t="s">
        <v>3169</v>
      </c>
      <c r="J1536" s="4" t="s">
        <v>3170</v>
      </c>
      <c r="K1536" s="4" t="s">
        <v>24</v>
      </c>
    </row>
    <row r="1537" spans="1:11" x14ac:dyDescent="0.2">
      <c r="A1537" s="4" t="s">
        <v>3218</v>
      </c>
      <c r="B1537" s="4" t="s">
        <v>3219</v>
      </c>
      <c r="C1537" s="4" t="s">
        <v>13</v>
      </c>
      <c r="D1537" s="4" t="s">
        <v>3167</v>
      </c>
      <c r="E1537" s="4" t="s">
        <v>3168</v>
      </c>
      <c r="F1537" s="4" t="s">
        <v>1453</v>
      </c>
      <c r="G1537" s="1">
        <v>0.13300000000000001</v>
      </c>
      <c r="H1537" s="4" t="s">
        <v>112</v>
      </c>
      <c r="I1537" s="4" t="s">
        <v>3169</v>
      </c>
      <c r="J1537" s="4" t="s">
        <v>3170</v>
      </c>
      <c r="K1537" s="4" t="s">
        <v>24</v>
      </c>
    </row>
    <row r="1538" spans="1:11" x14ac:dyDescent="0.2">
      <c r="A1538" s="4" t="s">
        <v>3220</v>
      </c>
      <c r="B1538" s="4" t="s">
        <v>3221</v>
      </c>
      <c r="C1538" s="4" t="s">
        <v>49</v>
      </c>
      <c r="D1538" s="4" t="s">
        <v>3167</v>
      </c>
      <c r="E1538" s="4" t="s">
        <v>3168</v>
      </c>
      <c r="F1538" s="4" t="s">
        <v>1453</v>
      </c>
      <c r="G1538" s="1">
        <v>0</v>
      </c>
      <c r="H1538" s="4" t="s">
        <v>254</v>
      </c>
      <c r="I1538" s="4" t="s">
        <v>3169</v>
      </c>
      <c r="J1538" s="4" t="s">
        <v>3170</v>
      </c>
      <c r="K1538" s="4" t="s">
        <v>24</v>
      </c>
    </row>
    <row r="1539" spans="1:11" x14ac:dyDescent="0.2">
      <c r="A1539" s="4" t="s">
        <v>3222</v>
      </c>
      <c r="B1539" s="4" t="s">
        <v>3223</v>
      </c>
      <c r="C1539" s="4" t="s">
        <v>13</v>
      </c>
      <c r="D1539" s="4" t="s">
        <v>3167</v>
      </c>
      <c r="E1539" s="4" t="s">
        <v>3168</v>
      </c>
      <c r="F1539" s="4" t="s">
        <v>1453</v>
      </c>
      <c r="G1539" s="1">
        <v>0.2</v>
      </c>
      <c r="H1539" s="4" t="s">
        <v>232</v>
      </c>
      <c r="I1539" s="4" t="s">
        <v>3169</v>
      </c>
      <c r="J1539" s="4" t="s">
        <v>3170</v>
      </c>
      <c r="K1539" s="4" t="s">
        <v>24</v>
      </c>
    </row>
    <row r="1540" spans="1:11" x14ac:dyDescent="0.2">
      <c r="A1540" s="4" t="s">
        <v>3224</v>
      </c>
      <c r="B1540" s="4" t="s">
        <v>3225</v>
      </c>
      <c r="C1540" s="4" t="s">
        <v>13</v>
      </c>
      <c r="D1540" s="4" t="s">
        <v>3167</v>
      </c>
      <c r="E1540" s="4" t="s">
        <v>3168</v>
      </c>
      <c r="F1540" s="4" t="s">
        <v>1453</v>
      </c>
      <c r="G1540" s="1">
        <v>0.2</v>
      </c>
      <c r="H1540" s="4" t="s">
        <v>232</v>
      </c>
      <c r="I1540" s="4" t="s">
        <v>3169</v>
      </c>
      <c r="J1540" s="4" t="s">
        <v>3170</v>
      </c>
      <c r="K1540" s="4" t="s">
        <v>24</v>
      </c>
    </row>
    <row r="1541" spans="1:11" x14ac:dyDescent="0.2">
      <c r="A1541" s="4" t="s">
        <v>3226</v>
      </c>
      <c r="B1541" s="4" t="s">
        <v>3227</v>
      </c>
      <c r="C1541" s="4" t="s">
        <v>13</v>
      </c>
      <c r="D1541" s="4" t="s">
        <v>3167</v>
      </c>
      <c r="E1541" s="4" t="s">
        <v>3168</v>
      </c>
      <c r="F1541" s="4" t="s">
        <v>1453</v>
      </c>
      <c r="G1541" s="1">
        <v>0.2</v>
      </c>
      <c r="H1541" s="4" t="s">
        <v>232</v>
      </c>
      <c r="I1541" s="4" t="s">
        <v>3169</v>
      </c>
      <c r="J1541" s="4" t="s">
        <v>3170</v>
      </c>
      <c r="K1541" s="4" t="s">
        <v>24</v>
      </c>
    </row>
    <row r="1542" spans="1:11" x14ac:dyDescent="0.2">
      <c r="A1542" s="4" t="s">
        <v>3228</v>
      </c>
      <c r="B1542" s="4" t="s">
        <v>3229</v>
      </c>
      <c r="C1542" s="4" t="s">
        <v>13</v>
      </c>
      <c r="D1542" s="4" t="s">
        <v>3167</v>
      </c>
      <c r="E1542" s="4" t="s">
        <v>3168</v>
      </c>
      <c r="F1542" s="4" t="s">
        <v>1453</v>
      </c>
      <c r="G1542" s="1">
        <v>0.2</v>
      </c>
      <c r="H1542" s="4" t="s">
        <v>232</v>
      </c>
      <c r="I1542" s="4" t="s">
        <v>3169</v>
      </c>
      <c r="J1542" s="4" t="s">
        <v>3170</v>
      </c>
      <c r="K1542" s="4" t="s">
        <v>24</v>
      </c>
    </row>
    <row r="1543" spans="1:11" x14ac:dyDescent="0.2">
      <c r="A1543" s="4" t="s">
        <v>3230</v>
      </c>
      <c r="B1543" s="4" t="s">
        <v>3231</v>
      </c>
      <c r="C1543" s="4" t="s">
        <v>49</v>
      </c>
      <c r="D1543" s="4" t="s">
        <v>3167</v>
      </c>
      <c r="E1543" s="4" t="s">
        <v>3168</v>
      </c>
      <c r="F1543" s="4" t="s">
        <v>1453</v>
      </c>
      <c r="G1543" s="1">
        <v>0</v>
      </c>
      <c r="H1543" s="4" t="s">
        <v>254</v>
      </c>
      <c r="I1543" s="4" t="s">
        <v>3169</v>
      </c>
      <c r="J1543" s="4" t="s">
        <v>3170</v>
      </c>
      <c r="K1543" s="4" t="s">
        <v>24</v>
      </c>
    </row>
    <row r="1544" spans="1:11" x14ac:dyDescent="0.2">
      <c r="A1544" s="4" t="s">
        <v>3232</v>
      </c>
      <c r="B1544" s="4" t="s">
        <v>3233</v>
      </c>
      <c r="C1544" s="4" t="s">
        <v>13</v>
      </c>
      <c r="D1544" s="4" t="s">
        <v>3167</v>
      </c>
      <c r="E1544" s="4" t="s">
        <v>3168</v>
      </c>
      <c r="F1544" s="4" t="s">
        <v>1453</v>
      </c>
      <c r="G1544" s="1">
        <v>0</v>
      </c>
      <c r="H1544" s="4" t="s">
        <v>254</v>
      </c>
      <c r="I1544" s="4" t="s">
        <v>3169</v>
      </c>
      <c r="J1544" s="4" t="s">
        <v>3170</v>
      </c>
      <c r="K1544" s="4" t="s">
        <v>24</v>
      </c>
    </row>
    <row r="1545" spans="1:11" x14ac:dyDescent="0.2">
      <c r="A1545" s="4" t="s">
        <v>3234</v>
      </c>
      <c r="B1545" s="4" t="s">
        <v>3235</v>
      </c>
      <c r="C1545" s="4" t="s">
        <v>13</v>
      </c>
      <c r="D1545" s="4" t="s">
        <v>3167</v>
      </c>
      <c r="E1545" s="4" t="s">
        <v>3168</v>
      </c>
      <c r="F1545" s="4" t="s">
        <v>1453</v>
      </c>
      <c r="G1545" s="1">
        <v>0</v>
      </c>
      <c r="H1545" s="4" t="s">
        <v>254</v>
      </c>
      <c r="I1545" s="4" t="s">
        <v>3169</v>
      </c>
      <c r="J1545" s="4" t="s">
        <v>3170</v>
      </c>
      <c r="K1545" s="4" t="s">
        <v>24</v>
      </c>
    </row>
    <row r="1546" spans="1:11" x14ac:dyDescent="0.2">
      <c r="A1546" s="4" t="s">
        <v>3236</v>
      </c>
      <c r="B1546" s="4" t="s">
        <v>3237</v>
      </c>
      <c r="C1546" s="4" t="s">
        <v>49</v>
      </c>
      <c r="D1546" s="4" t="s">
        <v>3167</v>
      </c>
      <c r="E1546" s="4" t="s">
        <v>3168</v>
      </c>
      <c r="F1546" s="4" t="s">
        <v>1453</v>
      </c>
      <c r="G1546" s="1">
        <v>0</v>
      </c>
      <c r="H1546" s="4" t="s">
        <v>254</v>
      </c>
      <c r="I1546" s="4" t="s">
        <v>3169</v>
      </c>
      <c r="J1546" s="4" t="s">
        <v>3170</v>
      </c>
      <c r="K1546" s="4" t="s">
        <v>24</v>
      </c>
    </row>
    <row r="1547" spans="1:11" x14ac:dyDescent="0.2">
      <c r="A1547" s="4" t="s">
        <v>3238</v>
      </c>
      <c r="B1547" s="4" t="s">
        <v>3239</v>
      </c>
      <c r="C1547" s="4" t="s">
        <v>13</v>
      </c>
      <c r="D1547" s="4" t="s">
        <v>3167</v>
      </c>
      <c r="E1547" s="4" t="s">
        <v>3168</v>
      </c>
      <c r="F1547" s="4" t="s">
        <v>1453</v>
      </c>
      <c r="G1547" s="1">
        <v>0</v>
      </c>
      <c r="H1547" s="4" t="s">
        <v>254</v>
      </c>
      <c r="I1547" s="4" t="s">
        <v>3169</v>
      </c>
      <c r="J1547" s="4" t="s">
        <v>3170</v>
      </c>
      <c r="K1547" s="4" t="s">
        <v>24</v>
      </c>
    </row>
    <row r="1548" spans="1:11" x14ac:dyDescent="0.2">
      <c r="A1548" s="4" t="s">
        <v>3081</v>
      </c>
      <c r="B1548" s="4" t="s">
        <v>3082</v>
      </c>
      <c r="C1548" s="4" t="s">
        <v>13</v>
      </c>
      <c r="D1548" s="4" t="s">
        <v>3240</v>
      </c>
      <c r="E1548" s="4" t="s">
        <v>3241</v>
      </c>
      <c r="F1548" s="4" t="s">
        <v>335</v>
      </c>
      <c r="G1548" s="1">
        <v>0.16700000000000001</v>
      </c>
      <c r="H1548" s="4" t="s">
        <v>229</v>
      </c>
      <c r="I1548" s="4" t="s">
        <v>3169</v>
      </c>
      <c r="J1548" s="4" t="s">
        <v>3242</v>
      </c>
      <c r="K1548" s="4" t="s">
        <v>3174</v>
      </c>
    </row>
    <row r="1549" spans="1:11" x14ac:dyDescent="0.2">
      <c r="A1549" s="4" t="s">
        <v>3243</v>
      </c>
      <c r="B1549" s="4" t="s">
        <v>3244</v>
      </c>
      <c r="C1549" s="4" t="s">
        <v>13</v>
      </c>
      <c r="D1549" s="4" t="s">
        <v>3240</v>
      </c>
      <c r="E1549" s="4" t="s">
        <v>3241</v>
      </c>
      <c r="F1549" s="4" t="s">
        <v>335</v>
      </c>
      <c r="G1549" s="1">
        <v>0.107</v>
      </c>
      <c r="H1549" s="4" t="s">
        <v>3245</v>
      </c>
      <c r="I1549" s="4" t="s">
        <v>3169</v>
      </c>
      <c r="J1549" s="4" t="s">
        <v>3242</v>
      </c>
      <c r="K1549" s="4" t="s">
        <v>3171</v>
      </c>
    </row>
    <row r="1550" spans="1:11" x14ac:dyDescent="0.2">
      <c r="A1550" s="4" t="s">
        <v>3246</v>
      </c>
      <c r="B1550" s="4" t="s">
        <v>3247</v>
      </c>
      <c r="C1550" s="4" t="s">
        <v>13</v>
      </c>
      <c r="D1550" s="4" t="s">
        <v>3240</v>
      </c>
      <c r="E1550" s="4" t="s">
        <v>3241</v>
      </c>
      <c r="F1550" s="4" t="s">
        <v>335</v>
      </c>
      <c r="G1550" s="1">
        <v>0.13300000000000001</v>
      </c>
      <c r="H1550" s="4" t="s">
        <v>112</v>
      </c>
      <c r="I1550" s="4" t="s">
        <v>3169</v>
      </c>
      <c r="J1550" s="4" t="s">
        <v>3242</v>
      </c>
      <c r="K1550" s="4" t="s">
        <v>3174</v>
      </c>
    </row>
    <row r="1551" spans="1:11" x14ac:dyDescent="0.2">
      <c r="A1551" s="4" t="s">
        <v>3248</v>
      </c>
      <c r="B1551" s="4" t="s">
        <v>3249</v>
      </c>
      <c r="C1551" s="4" t="s">
        <v>13</v>
      </c>
      <c r="D1551" s="4" t="s">
        <v>3240</v>
      </c>
      <c r="E1551" s="4" t="s">
        <v>3241</v>
      </c>
      <c r="F1551" s="4" t="s">
        <v>335</v>
      </c>
      <c r="G1551" s="1">
        <v>0.16700000000000001</v>
      </c>
      <c r="H1551" s="4" t="s">
        <v>229</v>
      </c>
      <c r="I1551" s="4" t="s">
        <v>3169</v>
      </c>
      <c r="J1551" s="4" t="s">
        <v>3242</v>
      </c>
      <c r="K1551" s="4" t="s">
        <v>24</v>
      </c>
    </row>
    <row r="1552" spans="1:11" x14ac:dyDescent="0.2">
      <c r="A1552" s="4" t="s">
        <v>3250</v>
      </c>
      <c r="B1552" s="4" t="s">
        <v>3251</v>
      </c>
      <c r="C1552" s="4" t="s">
        <v>13</v>
      </c>
      <c r="D1552" s="4" t="s">
        <v>3240</v>
      </c>
      <c r="E1552" s="4" t="s">
        <v>3241</v>
      </c>
      <c r="F1552" s="4" t="s">
        <v>335</v>
      </c>
      <c r="G1552" s="1">
        <v>0.16700000000000001</v>
      </c>
      <c r="H1552" s="4" t="s">
        <v>229</v>
      </c>
      <c r="I1552" s="4" t="s">
        <v>3169</v>
      </c>
      <c r="J1552" s="4" t="s">
        <v>3242</v>
      </c>
      <c r="K1552" s="4" t="s">
        <v>24</v>
      </c>
    </row>
    <row r="1553" spans="1:11" x14ac:dyDescent="0.2">
      <c r="A1553" s="4" t="s">
        <v>3252</v>
      </c>
      <c r="B1553" s="4" t="s">
        <v>3253</v>
      </c>
      <c r="C1553" s="4" t="s">
        <v>13</v>
      </c>
      <c r="D1553" s="4" t="s">
        <v>3240</v>
      </c>
      <c r="E1553" s="4" t="s">
        <v>3241</v>
      </c>
      <c r="F1553" s="4" t="s">
        <v>335</v>
      </c>
      <c r="G1553" s="1">
        <v>0.16700000000000001</v>
      </c>
      <c r="H1553" s="4" t="s">
        <v>229</v>
      </c>
      <c r="I1553" s="4" t="s">
        <v>3169</v>
      </c>
      <c r="J1553" s="4" t="s">
        <v>3242</v>
      </c>
      <c r="K1553" s="4" t="s">
        <v>24</v>
      </c>
    </row>
    <row r="1554" spans="1:11" x14ac:dyDescent="0.2">
      <c r="A1554" s="4" t="s">
        <v>3254</v>
      </c>
      <c r="B1554" s="4" t="s">
        <v>3255</v>
      </c>
      <c r="C1554" s="4" t="s">
        <v>13</v>
      </c>
      <c r="D1554" s="4" t="s">
        <v>3240</v>
      </c>
      <c r="E1554" s="4" t="s">
        <v>3241</v>
      </c>
      <c r="F1554" s="4" t="s">
        <v>335</v>
      </c>
      <c r="G1554" s="1">
        <v>0.13300000000000001</v>
      </c>
      <c r="H1554" s="4" t="s">
        <v>112</v>
      </c>
      <c r="I1554" s="4" t="s">
        <v>3169</v>
      </c>
      <c r="J1554" s="4" t="s">
        <v>3242</v>
      </c>
      <c r="K1554" s="4" t="s">
        <v>24</v>
      </c>
    </row>
    <row r="1555" spans="1:11" x14ac:dyDescent="0.2">
      <c r="A1555" s="4" t="s">
        <v>3256</v>
      </c>
      <c r="B1555" s="4" t="s">
        <v>3257</v>
      </c>
      <c r="C1555" s="4" t="s">
        <v>13</v>
      </c>
      <c r="D1555" s="4" t="s">
        <v>3240</v>
      </c>
      <c r="E1555" s="4" t="s">
        <v>3241</v>
      </c>
      <c r="F1555" s="4" t="s">
        <v>335</v>
      </c>
      <c r="G1555" s="1">
        <v>3.3000000000000002E-2</v>
      </c>
      <c r="H1555" s="4" t="s">
        <v>225</v>
      </c>
      <c r="I1555" s="4" t="s">
        <v>3169</v>
      </c>
      <c r="J1555" s="4" t="s">
        <v>3242</v>
      </c>
      <c r="K1555" s="4" t="s">
        <v>24</v>
      </c>
    </row>
    <row r="1556" spans="1:11" x14ac:dyDescent="0.2">
      <c r="A1556" s="4" t="s">
        <v>3258</v>
      </c>
      <c r="B1556" s="4" t="s">
        <v>3259</v>
      </c>
      <c r="C1556" s="4" t="s">
        <v>13</v>
      </c>
      <c r="D1556" s="4" t="s">
        <v>3240</v>
      </c>
      <c r="E1556" s="4" t="s">
        <v>3241</v>
      </c>
      <c r="F1556" s="4" t="s">
        <v>335</v>
      </c>
      <c r="G1556" s="1">
        <v>0.1</v>
      </c>
      <c r="H1556" s="4" t="s">
        <v>117</v>
      </c>
      <c r="I1556" s="4" t="s">
        <v>3169</v>
      </c>
      <c r="J1556" s="4" t="s">
        <v>3242</v>
      </c>
      <c r="K1556" s="4" t="s">
        <v>24</v>
      </c>
    </row>
    <row r="1557" spans="1:11" x14ac:dyDescent="0.2">
      <c r="A1557" s="4" t="s">
        <v>3260</v>
      </c>
      <c r="B1557" s="4" t="s">
        <v>3261</v>
      </c>
      <c r="C1557" s="4" t="s">
        <v>13</v>
      </c>
      <c r="D1557" s="4" t="s">
        <v>3240</v>
      </c>
      <c r="E1557" s="4" t="s">
        <v>3241</v>
      </c>
      <c r="F1557" s="4" t="s">
        <v>335</v>
      </c>
      <c r="G1557" s="1">
        <v>0.16700000000000001</v>
      </c>
      <c r="H1557" s="4" t="s">
        <v>229</v>
      </c>
      <c r="I1557" s="4" t="s">
        <v>3169</v>
      </c>
      <c r="J1557" s="4" t="s">
        <v>3242</v>
      </c>
      <c r="K1557" s="4" t="s">
        <v>24</v>
      </c>
    </row>
    <row r="1558" spans="1:11" x14ac:dyDescent="0.2">
      <c r="A1558" s="4" t="s">
        <v>3262</v>
      </c>
      <c r="B1558" s="4" t="s">
        <v>3263</v>
      </c>
      <c r="C1558" s="4" t="s">
        <v>13</v>
      </c>
      <c r="D1558" s="4" t="s">
        <v>3240</v>
      </c>
      <c r="E1558" s="4" t="s">
        <v>3241</v>
      </c>
      <c r="F1558" s="4" t="s">
        <v>335</v>
      </c>
      <c r="G1558" s="1">
        <v>0.13300000000000001</v>
      </c>
      <c r="H1558" s="4" t="s">
        <v>112</v>
      </c>
      <c r="I1558" s="4" t="s">
        <v>3169</v>
      </c>
      <c r="J1558" s="4" t="s">
        <v>3242</v>
      </c>
      <c r="K1558" s="4" t="s">
        <v>24</v>
      </c>
    </row>
    <row r="1559" spans="1:11" x14ac:dyDescent="0.2">
      <c r="A1559" s="4" t="s">
        <v>3264</v>
      </c>
      <c r="B1559" s="4" t="s">
        <v>3265</v>
      </c>
      <c r="C1559" s="4" t="s">
        <v>13</v>
      </c>
      <c r="D1559" s="4" t="s">
        <v>3240</v>
      </c>
      <c r="E1559" s="4" t="s">
        <v>3241</v>
      </c>
      <c r="F1559" s="4" t="s">
        <v>335</v>
      </c>
      <c r="G1559" s="1">
        <v>0.13300000000000001</v>
      </c>
      <c r="H1559" s="4" t="s">
        <v>112</v>
      </c>
      <c r="I1559" s="4" t="s">
        <v>3169</v>
      </c>
      <c r="J1559" s="4" t="s">
        <v>3242</v>
      </c>
      <c r="K1559" s="4" t="s">
        <v>24</v>
      </c>
    </row>
    <row r="1560" spans="1:11" x14ac:dyDescent="0.2">
      <c r="A1560" s="4" t="s">
        <v>3266</v>
      </c>
      <c r="B1560" s="4" t="s">
        <v>3267</v>
      </c>
      <c r="C1560" s="4" t="s">
        <v>13</v>
      </c>
      <c r="D1560" s="4" t="s">
        <v>3240</v>
      </c>
      <c r="E1560" s="4" t="s">
        <v>3241</v>
      </c>
      <c r="F1560" s="4" t="s">
        <v>335</v>
      </c>
      <c r="G1560" s="1">
        <v>0.16700000000000001</v>
      </c>
      <c r="H1560" s="4" t="s">
        <v>229</v>
      </c>
      <c r="I1560" s="4" t="s">
        <v>3169</v>
      </c>
      <c r="J1560" s="4" t="s">
        <v>3242</v>
      </c>
      <c r="K1560" s="4" t="s">
        <v>24</v>
      </c>
    </row>
    <row r="1561" spans="1:11" x14ac:dyDescent="0.2">
      <c r="A1561" s="4" t="s">
        <v>3268</v>
      </c>
      <c r="B1561" s="4" t="s">
        <v>3269</v>
      </c>
      <c r="C1561" s="4" t="s">
        <v>13</v>
      </c>
      <c r="D1561" s="4" t="s">
        <v>3240</v>
      </c>
      <c r="E1561" s="4" t="s">
        <v>3241</v>
      </c>
      <c r="F1561" s="4" t="s">
        <v>335</v>
      </c>
      <c r="G1561" s="1">
        <v>0.16700000000000001</v>
      </c>
      <c r="H1561" s="4" t="s">
        <v>229</v>
      </c>
      <c r="I1561" s="4" t="s">
        <v>3169</v>
      </c>
      <c r="J1561" s="4" t="s">
        <v>3242</v>
      </c>
      <c r="K1561" s="4" t="s">
        <v>24</v>
      </c>
    </row>
    <row r="1562" spans="1:11" x14ac:dyDescent="0.2">
      <c r="A1562" s="4" t="s">
        <v>3270</v>
      </c>
      <c r="B1562" s="4" t="s">
        <v>3271</v>
      </c>
      <c r="C1562" s="4" t="s">
        <v>13</v>
      </c>
      <c r="D1562" s="4" t="s">
        <v>3240</v>
      </c>
      <c r="E1562" s="4" t="s">
        <v>3241</v>
      </c>
      <c r="F1562" s="4" t="s">
        <v>335</v>
      </c>
      <c r="G1562" s="1">
        <v>0.13300000000000001</v>
      </c>
      <c r="H1562" s="4" t="s">
        <v>112</v>
      </c>
      <c r="I1562" s="4" t="s">
        <v>3169</v>
      </c>
      <c r="J1562" s="4" t="s">
        <v>3242</v>
      </c>
      <c r="K1562" s="4" t="s">
        <v>24</v>
      </c>
    </row>
    <row r="1563" spans="1:11" x14ac:dyDescent="0.2">
      <c r="A1563" s="4" t="s">
        <v>3272</v>
      </c>
      <c r="B1563" s="4" t="s">
        <v>3273</v>
      </c>
      <c r="C1563" s="4" t="s">
        <v>13</v>
      </c>
      <c r="D1563" s="4" t="s">
        <v>3240</v>
      </c>
      <c r="E1563" s="4" t="s">
        <v>3241</v>
      </c>
      <c r="F1563" s="4" t="s">
        <v>335</v>
      </c>
      <c r="G1563" s="1">
        <v>0.1</v>
      </c>
      <c r="H1563" s="4" t="s">
        <v>117</v>
      </c>
      <c r="I1563" s="4" t="s">
        <v>3169</v>
      </c>
      <c r="J1563" s="4" t="s">
        <v>3242</v>
      </c>
      <c r="K1563" s="4" t="s">
        <v>24</v>
      </c>
    </row>
    <row r="1564" spans="1:11" x14ac:dyDescent="0.2">
      <c r="A1564" s="4" t="s">
        <v>3274</v>
      </c>
      <c r="B1564" s="4" t="s">
        <v>3275</v>
      </c>
      <c r="C1564" s="4" t="s">
        <v>13</v>
      </c>
      <c r="D1564" s="4" t="s">
        <v>3240</v>
      </c>
      <c r="E1564" s="4" t="s">
        <v>3241</v>
      </c>
      <c r="F1564" s="4" t="s">
        <v>335</v>
      </c>
      <c r="G1564" s="1">
        <v>0.16700000000000001</v>
      </c>
      <c r="H1564" s="4" t="s">
        <v>229</v>
      </c>
      <c r="I1564" s="4" t="s">
        <v>3169</v>
      </c>
      <c r="J1564" s="4" t="s">
        <v>3242</v>
      </c>
      <c r="K1564" s="4" t="s">
        <v>24</v>
      </c>
    </row>
    <row r="1565" spans="1:11" x14ac:dyDescent="0.2">
      <c r="A1565" s="4" t="s">
        <v>3276</v>
      </c>
      <c r="B1565" s="4" t="s">
        <v>3277</v>
      </c>
      <c r="C1565" s="4" t="s">
        <v>13</v>
      </c>
      <c r="D1565" s="4" t="s">
        <v>3240</v>
      </c>
      <c r="E1565" s="4" t="s">
        <v>3241</v>
      </c>
      <c r="F1565" s="4" t="s">
        <v>335</v>
      </c>
      <c r="G1565" s="1">
        <v>3.3000000000000002E-2</v>
      </c>
      <c r="H1565" s="4" t="s">
        <v>225</v>
      </c>
      <c r="I1565" s="4" t="s">
        <v>3169</v>
      </c>
      <c r="J1565" s="4" t="s">
        <v>3242</v>
      </c>
      <c r="K1565" s="4" t="s">
        <v>24</v>
      </c>
    </row>
    <row r="1566" spans="1:11" x14ac:dyDescent="0.2">
      <c r="A1566" s="4" t="s">
        <v>3278</v>
      </c>
      <c r="B1566" s="4" t="s">
        <v>3279</v>
      </c>
      <c r="C1566" s="4" t="s">
        <v>13</v>
      </c>
      <c r="D1566" s="4" t="s">
        <v>3240</v>
      </c>
      <c r="E1566" s="4" t="s">
        <v>3241</v>
      </c>
      <c r="F1566" s="4" t="s">
        <v>335</v>
      </c>
      <c r="G1566" s="1">
        <v>6.7000000000000004E-2</v>
      </c>
      <c r="H1566" s="4" t="s">
        <v>166</v>
      </c>
      <c r="I1566" s="4" t="s">
        <v>3169</v>
      </c>
      <c r="J1566" s="4" t="s">
        <v>3242</v>
      </c>
      <c r="K1566" s="4" t="s">
        <v>24</v>
      </c>
    </row>
    <row r="1567" spans="1:11" x14ac:dyDescent="0.2">
      <c r="A1567" s="4" t="s">
        <v>3280</v>
      </c>
      <c r="B1567" s="4" t="s">
        <v>3281</v>
      </c>
      <c r="C1567" s="4" t="s">
        <v>13</v>
      </c>
      <c r="D1567" s="4" t="s">
        <v>3240</v>
      </c>
      <c r="E1567" s="4" t="s">
        <v>3241</v>
      </c>
      <c r="F1567" s="4" t="s">
        <v>335</v>
      </c>
      <c r="G1567" s="1">
        <v>0.16700000000000001</v>
      </c>
      <c r="H1567" s="4" t="s">
        <v>229</v>
      </c>
      <c r="I1567" s="4" t="s">
        <v>3169</v>
      </c>
      <c r="J1567" s="4" t="s">
        <v>3242</v>
      </c>
      <c r="K1567" s="4" t="s">
        <v>24</v>
      </c>
    </row>
    <row r="1568" spans="1:11" x14ac:dyDescent="0.2">
      <c r="A1568" s="4" t="s">
        <v>3282</v>
      </c>
      <c r="B1568" s="4" t="s">
        <v>3283</v>
      </c>
      <c r="C1568" s="4" t="s">
        <v>13</v>
      </c>
      <c r="D1568" s="4" t="s">
        <v>3240</v>
      </c>
      <c r="E1568" s="4" t="s">
        <v>3241</v>
      </c>
      <c r="F1568" s="4" t="s">
        <v>335</v>
      </c>
      <c r="G1568" s="1">
        <v>0.16700000000000001</v>
      </c>
      <c r="H1568" s="4" t="s">
        <v>229</v>
      </c>
      <c r="I1568" s="4" t="s">
        <v>3169</v>
      </c>
      <c r="J1568" s="4" t="s">
        <v>3242</v>
      </c>
      <c r="K1568" s="4" t="s">
        <v>24</v>
      </c>
    </row>
    <row r="1569" spans="1:11" x14ac:dyDescent="0.2">
      <c r="A1569" s="4" t="s">
        <v>3284</v>
      </c>
      <c r="B1569" s="4" t="s">
        <v>3285</v>
      </c>
      <c r="C1569" s="4" t="s">
        <v>13</v>
      </c>
      <c r="D1569" s="4" t="s">
        <v>3240</v>
      </c>
      <c r="E1569" s="4" t="s">
        <v>3241</v>
      </c>
      <c r="F1569" s="4" t="s">
        <v>335</v>
      </c>
      <c r="G1569" s="1">
        <v>0.16700000000000001</v>
      </c>
      <c r="H1569" s="4" t="s">
        <v>229</v>
      </c>
      <c r="I1569" s="4" t="s">
        <v>3169</v>
      </c>
      <c r="J1569" s="4" t="s">
        <v>3242</v>
      </c>
      <c r="K1569" s="4" t="s">
        <v>24</v>
      </c>
    </row>
    <row r="1570" spans="1:11" x14ac:dyDescent="0.2">
      <c r="A1570" s="4" t="s">
        <v>3286</v>
      </c>
      <c r="B1570" s="4" t="s">
        <v>3287</v>
      </c>
      <c r="C1570" s="4" t="s">
        <v>13</v>
      </c>
      <c r="D1570" s="4" t="s">
        <v>3240</v>
      </c>
      <c r="E1570" s="4" t="s">
        <v>3241</v>
      </c>
      <c r="F1570" s="4" t="s">
        <v>335</v>
      </c>
      <c r="G1570" s="1">
        <v>0.13300000000000001</v>
      </c>
      <c r="H1570" s="4" t="s">
        <v>112</v>
      </c>
      <c r="I1570" s="4" t="s">
        <v>3169</v>
      </c>
      <c r="J1570" s="4" t="s">
        <v>3242</v>
      </c>
      <c r="K1570" s="4" t="s">
        <v>24</v>
      </c>
    </row>
    <row r="1571" spans="1:11" x14ac:dyDescent="0.2">
      <c r="A1571" s="4" t="s">
        <v>3288</v>
      </c>
      <c r="B1571" s="4" t="s">
        <v>3289</v>
      </c>
      <c r="C1571" s="4" t="s">
        <v>13</v>
      </c>
      <c r="D1571" s="4" t="s">
        <v>3240</v>
      </c>
      <c r="E1571" s="4" t="s">
        <v>3241</v>
      </c>
      <c r="F1571" s="4" t="s">
        <v>335</v>
      </c>
      <c r="G1571" s="1">
        <v>0.1</v>
      </c>
      <c r="H1571" s="4" t="s">
        <v>117</v>
      </c>
      <c r="I1571" s="4" t="s">
        <v>3169</v>
      </c>
      <c r="J1571" s="4" t="s">
        <v>3242</v>
      </c>
      <c r="K1571" s="4" t="s">
        <v>24</v>
      </c>
    </row>
    <row r="1572" spans="1:11" x14ac:dyDescent="0.2">
      <c r="A1572" s="4" t="s">
        <v>3290</v>
      </c>
      <c r="B1572" s="4" t="s">
        <v>3291</v>
      </c>
      <c r="C1572" s="4" t="s">
        <v>13</v>
      </c>
      <c r="D1572" s="4" t="s">
        <v>3240</v>
      </c>
      <c r="E1572" s="4" t="s">
        <v>3241</v>
      </c>
      <c r="F1572" s="4" t="s">
        <v>335</v>
      </c>
      <c r="G1572" s="1">
        <v>0.16700000000000001</v>
      </c>
      <c r="H1572" s="4" t="s">
        <v>229</v>
      </c>
      <c r="I1572" s="4" t="s">
        <v>3169</v>
      </c>
      <c r="J1572" s="4" t="s">
        <v>3242</v>
      </c>
      <c r="K1572" s="4" t="s">
        <v>24</v>
      </c>
    </row>
    <row r="1573" spans="1:11" x14ac:dyDescent="0.2">
      <c r="A1573" s="4" t="s">
        <v>3292</v>
      </c>
      <c r="B1573" s="4" t="s">
        <v>3293</v>
      </c>
      <c r="C1573" s="4" t="s">
        <v>13</v>
      </c>
      <c r="D1573" s="4" t="s">
        <v>3240</v>
      </c>
      <c r="E1573" s="4" t="s">
        <v>3241</v>
      </c>
      <c r="F1573" s="4" t="s">
        <v>335</v>
      </c>
      <c r="G1573" s="1">
        <v>0.13300000000000001</v>
      </c>
      <c r="H1573" s="4" t="s">
        <v>112</v>
      </c>
      <c r="I1573" s="4" t="s">
        <v>3169</v>
      </c>
      <c r="J1573" s="4" t="s">
        <v>3242</v>
      </c>
      <c r="K1573" s="4" t="s">
        <v>24</v>
      </c>
    </row>
    <row r="1574" spans="1:11" x14ac:dyDescent="0.2">
      <c r="A1574" s="4" t="s">
        <v>3294</v>
      </c>
      <c r="B1574" s="4" t="s">
        <v>3295</v>
      </c>
      <c r="C1574" s="4" t="s">
        <v>13</v>
      </c>
      <c r="D1574" s="4" t="s">
        <v>3240</v>
      </c>
      <c r="E1574" s="4" t="s">
        <v>3241</v>
      </c>
      <c r="F1574" s="4" t="s">
        <v>335</v>
      </c>
      <c r="G1574" s="1">
        <v>0.16700000000000001</v>
      </c>
      <c r="H1574" s="4" t="s">
        <v>229</v>
      </c>
      <c r="I1574" s="4" t="s">
        <v>3169</v>
      </c>
      <c r="J1574" s="4" t="s">
        <v>3242</v>
      </c>
      <c r="K1574" s="4" t="s">
        <v>24</v>
      </c>
    </row>
    <row r="1575" spans="1:11" x14ac:dyDescent="0.2">
      <c r="A1575" s="4" t="s">
        <v>3296</v>
      </c>
      <c r="B1575" s="4" t="s">
        <v>3297</v>
      </c>
      <c r="C1575" s="4" t="s">
        <v>13</v>
      </c>
      <c r="D1575" s="4" t="s">
        <v>3240</v>
      </c>
      <c r="E1575" s="4" t="s">
        <v>3241</v>
      </c>
      <c r="F1575" s="4" t="s">
        <v>335</v>
      </c>
      <c r="G1575" s="1">
        <v>0.13300000000000001</v>
      </c>
      <c r="H1575" s="4" t="s">
        <v>112</v>
      </c>
      <c r="I1575" s="4" t="s">
        <v>3169</v>
      </c>
      <c r="J1575" s="4" t="s">
        <v>3242</v>
      </c>
      <c r="K1575" s="4" t="s">
        <v>24</v>
      </c>
    </row>
    <row r="1576" spans="1:11" x14ac:dyDescent="0.2">
      <c r="A1576" s="4" t="s">
        <v>3298</v>
      </c>
      <c r="B1576" s="4" t="s">
        <v>3299</v>
      </c>
      <c r="C1576" s="4" t="s">
        <v>13</v>
      </c>
      <c r="D1576" s="4" t="s">
        <v>3240</v>
      </c>
      <c r="E1576" s="4" t="s">
        <v>3241</v>
      </c>
      <c r="F1576" s="4" t="s">
        <v>335</v>
      </c>
      <c r="G1576" s="1">
        <v>6.7000000000000004E-2</v>
      </c>
      <c r="H1576" s="4" t="s">
        <v>166</v>
      </c>
      <c r="I1576" s="4" t="s">
        <v>3169</v>
      </c>
      <c r="J1576" s="4" t="s">
        <v>3242</v>
      </c>
      <c r="K1576" s="4" t="s">
        <v>24</v>
      </c>
    </row>
    <row r="1577" spans="1:11" x14ac:dyDescent="0.2">
      <c r="A1577" s="4" t="s">
        <v>3300</v>
      </c>
      <c r="B1577" s="4" t="s">
        <v>3301</v>
      </c>
      <c r="C1577" s="4" t="s">
        <v>13</v>
      </c>
      <c r="D1577" s="4" t="s">
        <v>3240</v>
      </c>
      <c r="E1577" s="4" t="s">
        <v>3241</v>
      </c>
      <c r="F1577" s="4" t="s">
        <v>335</v>
      </c>
      <c r="G1577" s="1">
        <v>0.16700000000000001</v>
      </c>
      <c r="H1577" s="4" t="s">
        <v>229</v>
      </c>
      <c r="I1577" s="4" t="s">
        <v>3169</v>
      </c>
      <c r="J1577" s="4" t="s">
        <v>3242</v>
      </c>
      <c r="K1577" s="4" t="s">
        <v>24</v>
      </c>
    </row>
    <row r="1578" spans="1:11" x14ac:dyDescent="0.2">
      <c r="A1578" s="4" t="s">
        <v>3302</v>
      </c>
      <c r="B1578" s="4" t="s">
        <v>3303</v>
      </c>
      <c r="C1578" s="4" t="s">
        <v>13</v>
      </c>
      <c r="D1578" s="4" t="s">
        <v>3240</v>
      </c>
      <c r="E1578" s="4" t="s">
        <v>3241</v>
      </c>
      <c r="F1578" s="4" t="s">
        <v>335</v>
      </c>
      <c r="G1578" s="1">
        <v>0.16700000000000001</v>
      </c>
      <c r="H1578" s="4" t="s">
        <v>229</v>
      </c>
      <c r="I1578" s="4" t="s">
        <v>3169</v>
      </c>
      <c r="J1578" s="4" t="s">
        <v>3242</v>
      </c>
      <c r="K1578" s="4" t="s">
        <v>24</v>
      </c>
    </row>
    <row r="1579" spans="1:11" x14ac:dyDescent="0.2">
      <c r="A1579" s="4" t="s">
        <v>3304</v>
      </c>
      <c r="B1579" s="4" t="s">
        <v>3305</v>
      </c>
      <c r="C1579" s="4" t="s">
        <v>13</v>
      </c>
      <c r="D1579" s="4" t="s">
        <v>3240</v>
      </c>
      <c r="E1579" s="4" t="s">
        <v>3241</v>
      </c>
      <c r="F1579" s="4" t="s">
        <v>335</v>
      </c>
      <c r="G1579" s="1">
        <v>6.7000000000000004E-2</v>
      </c>
      <c r="H1579" s="4" t="s">
        <v>166</v>
      </c>
      <c r="I1579" s="4" t="s">
        <v>3169</v>
      </c>
      <c r="J1579" s="4" t="s">
        <v>3242</v>
      </c>
      <c r="K1579" s="4" t="s">
        <v>24</v>
      </c>
    </row>
    <row r="1580" spans="1:11" x14ac:dyDescent="0.2">
      <c r="A1580" s="4" t="s">
        <v>3306</v>
      </c>
      <c r="B1580" s="4" t="s">
        <v>3307</v>
      </c>
      <c r="C1580" s="4" t="s">
        <v>13</v>
      </c>
      <c r="D1580" s="4" t="s">
        <v>3240</v>
      </c>
      <c r="E1580" s="4" t="s">
        <v>3241</v>
      </c>
      <c r="F1580" s="4" t="s">
        <v>335</v>
      </c>
      <c r="G1580" s="1">
        <v>0.13300000000000001</v>
      </c>
      <c r="H1580" s="4" t="s">
        <v>112</v>
      </c>
      <c r="I1580" s="4" t="s">
        <v>3169</v>
      </c>
      <c r="J1580" s="4" t="s">
        <v>3242</v>
      </c>
      <c r="K1580" s="4" t="s">
        <v>24</v>
      </c>
    </row>
    <row r="1581" spans="1:11" x14ac:dyDescent="0.2">
      <c r="A1581" s="4" t="s">
        <v>3308</v>
      </c>
      <c r="B1581" s="4" t="s">
        <v>3309</v>
      </c>
      <c r="C1581" s="4" t="s">
        <v>13</v>
      </c>
      <c r="D1581" s="4" t="s">
        <v>3240</v>
      </c>
      <c r="E1581" s="4" t="s">
        <v>3241</v>
      </c>
      <c r="F1581" s="4" t="s">
        <v>335</v>
      </c>
      <c r="G1581" s="1">
        <v>0.13300000000000001</v>
      </c>
      <c r="H1581" s="4" t="s">
        <v>112</v>
      </c>
      <c r="I1581" s="4" t="s">
        <v>3169</v>
      </c>
      <c r="J1581" s="4" t="s">
        <v>3242</v>
      </c>
      <c r="K1581" s="4" t="s">
        <v>24</v>
      </c>
    </row>
    <row r="1582" spans="1:11" x14ac:dyDescent="0.2">
      <c r="A1582" s="4" t="s">
        <v>3310</v>
      </c>
      <c r="B1582" s="4" t="s">
        <v>3311</v>
      </c>
      <c r="C1582" s="4" t="s">
        <v>13</v>
      </c>
      <c r="D1582" s="4" t="s">
        <v>3240</v>
      </c>
      <c r="E1582" s="4" t="s">
        <v>3241</v>
      </c>
      <c r="F1582" s="4" t="s">
        <v>335</v>
      </c>
      <c r="G1582" s="1">
        <v>0.13300000000000001</v>
      </c>
      <c r="H1582" s="4" t="s">
        <v>112</v>
      </c>
      <c r="I1582" s="4" t="s">
        <v>3169</v>
      </c>
      <c r="J1582" s="4" t="s">
        <v>3242</v>
      </c>
      <c r="K1582" s="4" t="s">
        <v>24</v>
      </c>
    </row>
    <row r="1583" spans="1:11" x14ac:dyDescent="0.2">
      <c r="A1583" s="4" t="s">
        <v>3312</v>
      </c>
      <c r="B1583" s="4" t="s">
        <v>3313</v>
      </c>
      <c r="C1583" s="4" t="s">
        <v>13</v>
      </c>
      <c r="D1583" s="4" t="s">
        <v>3240</v>
      </c>
      <c r="E1583" s="4" t="s">
        <v>3241</v>
      </c>
      <c r="F1583" s="4" t="s">
        <v>335</v>
      </c>
      <c r="G1583" s="1">
        <v>0.1</v>
      </c>
      <c r="H1583" s="4" t="s">
        <v>117</v>
      </c>
      <c r="I1583" s="4" t="s">
        <v>3169</v>
      </c>
      <c r="J1583" s="4" t="s">
        <v>3242</v>
      </c>
      <c r="K1583" s="4" t="s">
        <v>24</v>
      </c>
    </row>
    <row r="1584" spans="1:11" x14ac:dyDescent="0.2">
      <c r="A1584" s="4" t="s">
        <v>3314</v>
      </c>
      <c r="B1584" s="4" t="s">
        <v>3315</v>
      </c>
      <c r="C1584" s="4" t="s">
        <v>13</v>
      </c>
      <c r="D1584" s="4" t="s">
        <v>3240</v>
      </c>
      <c r="E1584" s="4" t="s">
        <v>3241</v>
      </c>
      <c r="F1584" s="4" t="s">
        <v>335</v>
      </c>
      <c r="G1584" s="1">
        <v>0.16700000000000001</v>
      </c>
      <c r="H1584" s="4" t="s">
        <v>229</v>
      </c>
      <c r="I1584" s="4" t="s">
        <v>3169</v>
      </c>
      <c r="J1584" s="4" t="s">
        <v>3242</v>
      </c>
      <c r="K1584" s="4" t="s">
        <v>24</v>
      </c>
    </row>
    <row r="1585" spans="1:11" x14ac:dyDescent="0.2">
      <c r="A1585" s="4" t="s">
        <v>3316</v>
      </c>
      <c r="B1585" s="4" t="s">
        <v>3317</v>
      </c>
      <c r="C1585" s="4" t="s">
        <v>13</v>
      </c>
      <c r="D1585" s="4" t="s">
        <v>3240</v>
      </c>
      <c r="E1585" s="4" t="s">
        <v>3241</v>
      </c>
      <c r="F1585" s="4" t="s">
        <v>335</v>
      </c>
      <c r="G1585" s="1">
        <v>0.16700000000000001</v>
      </c>
      <c r="H1585" s="4" t="s">
        <v>229</v>
      </c>
      <c r="I1585" s="4" t="s">
        <v>3169</v>
      </c>
      <c r="J1585" s="4" t="s">
        <v>3242</v>
      </c>
      <c r="K1585" s="4" t="s">
        <v>24</v>
      </c>
    </row>
    <row r="1586" spans="1:11" x14ac:dyDescent="0.2">
      <c r="A1586" s="4" t="s">
        <v>3318</v>
      </c>
      <c r="B1586" s="4" t="s">
        <v>3319</v>
      </c>
      <c r="C1586" s="4" t="s">
        <v>13</v>
      </c>
      <c r="D1586" s="4" t="s">
        <v>3240</v>
      </c>
      <c r="E1586" s="4" t="s">
        <v>3241</v>
      </c>
      <c r="F1586" s="4" t="s">
        <v>335</v>
      </c>
      <c r="G1586" s="1">
        <v>6.7000000000000004E-2</v>
      </c>
      <c r="H1586" s="4" t="s">
        <v>166</v>
      </c>
      <c r="I1586" s="4" t="s">
        <v>3169</v>
      </c>
      <c r="J1586" s="4" t="s">
        <v>3242</v>
      </c>
      <c r="K1586" s="4" t="s">
        <v>24</v>
      </c>
    </row>
    <row r="1587" spans="1:11" x14ac:dyDescent="0.2">
      <c r="A1587" s="4" t="s">
        <v>3320</v>
      </c>
      <c r="B1587" s="4" t="s">
        <v>3321</v>
      </c>
      <c r="C1587" s="4" t="s">
        <v>13</v>
      </c>
      <c r="D1587" s="4" t="s">
        <v>3240</v>
      </c>
      <c r="E1587" s="4" t="s">
        <v>3241</v>
      </c>
      <c r="F1587" s="4" t="s">
        <v>335</v>
      </c>
      <c r="G1587" s="1">
        <v>0.16700000000000001</v>
      </c>
      <c r="H1587" s="4" t="s">
        <v>229</v>
      </c>
      <c r="I1587" s="4" t="s">
        <v>3169</v>
      </c>
      <c r="J1587" s="4" t="s">
        <v>3242</v>
      </c>
      <c r="K1587" s="4" t="s">
        <v>24</v>
      </c>
    </row>
    <row r="1588" spans="1:11" x14ac:dyDescent="0.2">
      <c r="A1588" s="4" t="s">
        <v>3322</v>
      </c>
      <c r="B1588" s="4" t="s">
        <v>3323</v>
      </c>
      <c r="C1588" s="4" t="s">
        <v>13</v>
      </c>
      <c r="D1588" s="4" t="s">
        <v>3240</v>
      </c>
      <c r="E1588" s="4" t="s">
        <v>3241</v>
      </c>
      <c r="F1588" s="4" t="s">
        <v>335</v>
      </c>
      <c r="G1588" s="1">
        <v>0.16700000000000001</v>
      </c>
      <c r="H1588" s="4" t="s">
        <v>229</v>
      </c>
      <c r="I1588" s="4" t="s">
        <v>3169</v>
      </c>
      <c r="J1588" s="4" t="s">
        <v>3242</v>
      </c>
      <c r="K1588" s="4" t="s">
        <v>24</v>
      </c>
    </row>
    <row r="1589" spans="1:11" x14ac:dyDescent="0.2">
      <c r="A1589" s="4" t="s">
        <v>3324</v>
      </c>
      <c r="B1589" s="4" t="s">
        <v>3325</v>
      </c>
      <c r="C1589" s="4" t="s">
        <v>49</v>
      </c>
      <c r="D1589" s="4" t="s">
        <v>3240</v>
      </c>
      <c r="E1589" s="4" t="s">
        <v>3241</v>
      </c>
      <c r="F1589" s="4" t="s">
        <v>335</v>
      </c>
      <c r="G1589" s="1">
        <v>3.3000000000000002E-2</v>
      </c>
      <c r="H1589" s="4" t="s">
        <v>225</v>
      </c>
      <c r="I1589" s="4" t="s">
        <v>3169</v>
      </c>
      <c r="J1589" s="4" t="s">
        <v>3242</v>
      </c>
      <c r="K1589" s="4" t="s">
        <v>24</v>
      </c>
    </row>
    <row r="1590" spans="1:11" x14ac:dyDescent="0.2">
      <c r="A1590" s="4" t="s">
        <v>3326</v>
      </c>
      <c r="B1590" s="4" t="s">
        <v>3327</v>
      </c>
      <c r="C1590" s="4" t="s">
        <v>13</v>
      </c>
      <c r="D1590" s="4" t="s">
        <v>3240</v>
      </c>
      <c r="E1590" s="4" t="s">
        <v>3241</v>
      </c>
      <c r="F1590" s="4" t="s">
        <v>335</v>
      </c>
      <c r="G1590" s="1">
        <v>6.7000000000000004E-2</v>
      </c>
      <c r="H1590" s="4" t="s">
        <v>166</v>
      </c>
      <c r="I1590" s="4" t="s">
        <v>3169</v>
      </c>
      <c r="J1590" s="4" t="s">
        <v>3242</v>
      </c>
      <c r="K1590" s="4" t="s">
        <v>24</v>
      </c>
    </row>
    <row r="1591" spans="1:11" x14ac:dyDescent="0.2">
      <c r="A1591" s="4" t="s">
        <v>3328</v>
      </c>
      <c r="B1591" s="4" t="s">
        <v>3329</v>
      </c>
      <c r="C1591" s="4" t="s">
        <v>13</v>
      </c>
      <c r="D1591" s="4" t="s">
        <v>3240</v>
      </c>
      <c r="E1591" s="4" t="s">
        <v>3241</v>
      </c>
      <c r="F1591" s="4" t="s">
        <v>335</v>
      </c>
      <c r="G1591" s="1">
        <v>0.16700000000000001</v>
      </c>
      <c r="H1591" s="4" t="s">
        <v>229</v>
      </c>
      <c r="I1591" s="4" t="s">
        <v>3169</v>
      </c>
      <c r="J1591" s="4" t="s">
        <v>3242</v>
      </c>
      <c r="K1591" s="4" t="s">
        <v>24</v>
      </c>
    </row>
    <row r="1592" spans="1:11" x14ac:dyDescent="0.2">
      <c r="A1592" s="4" t="s">
        <v>3330</v>
      </c>
      <c r="B1592" s="4" t="s">
        <v>3331</v>
      </c>
      <c r="C1592" s="4" t="s">
        <v>13</v>
      </c>
      <c r="D1592" s="4" t="s">
        <v>3240</v>
      </c>
      <c r="E1592" s="4" t="s">
        <v>3241</v>
      </c>
      <c r="F1592" s="4" t="s">
        <v>335</v>
      </c>
      <c r="G1592" s="1">
        <v>0.13300000000000001</v>
      </c>
      <c r="H1592" s="4" t="s">
        <v>112</v>
      </c>
      <c r="I1592" s="4" t="s">
        <v>3169</v>
      </c>
      <c r="J1592" s="4" t="s">
        <v>3242</v>
      </c>
      <c r="K1592" s="4" t="s">
        <v>24</v>
      </c>
    </row>
    <row r="1593" spans="1:11" x14ac:dyDescent="0.2">
      <c r="A1593" s="4" t="s">
        <v>3332</v>
      </c>
      <c r="B1593" s="4" t="s">
        <v>3333</v>
      </c>
      <c r="C1593" s="4" t="s">
        <v>13</v>
      </c>
      <c r="D1593" s="4" t="s">
        <v>3240</v>
      </c>
      <c r="E1593" s="4" t="s">
        <v>3241</v>
      </c>
      <c r="F1593" s="4" t="s">
        <v>335</v>
      </c>
      <c r="G1593" s="1">
        <v>0.16700000000000001</v>
      </c>
      <c r="H1593" s="4" t="s">
        <v>229</v>
      </c>
      <c r="I1593" s="4" t="s">
        <v>3169</v>
      </c>
      <c r="J1593" s="4" t="s">
        <v>3242</v>
      </c>
      <c r="K1593" s="4" t="s">
        <v>24</v>
      </c>
    </row>
    <row r="1594" spans="1:11" x14ac:dyDescent="0.2">
      <c r="A1594" s="4" t="s">
        <v>3334</v>
      </c>
      <c r="B1594" s="4" t="s">
        <v>3335</v>
      </c>
      <c r="C1594" s="4" t="s">
        <v>13</v>
      </c>
      <c r="D1594" s="4" t="s">
        <v>3240</v>
      </c>
      <c r="E1594" s="4" t="s">
        <v>3241</v>
      </c>
      <c r="F1594" s="4" t="s">
        <v>335</v>
      </c>
      <c r="G1594" s="1">
        <v>0.13300000000000001</v>
      </c>
      <c r="H1594" s="4" t="s">
        <v>112</v>
      </c>
      <c r="I1594" s="4" t="s">
        <v>3169</v>
      </c>
      <c r="J1594" s="4" t="s">
        <v>3242</v>
      </c>
      <c r="K1594" s="4" t="s">
        <v>24</v>
      </c>
    </row>
    <row r="1595" spans="1:11" x14ac:dyDescent="0.2">
      <c r="A1595" s="4" t="s">
        <v>3336</v>
      </c>
      <c r="B1595" s="4" t="s">
        <v>3337</v>
      </c>
      <c r="C1595" s="4" t="s">
        <v>13</v>
      </c>
      <c r="D1595" s="4" t="s">
        <v>3240</v>
      </c>
      <c r="E1595" s="4" t="s">
        <v>3241</v>
      </c>
      <c r="F1595" s="4" t="s">
        <v>335</v>
      </c>
      <c r="G1595" s="1">
        <v>0.16700000000000001</v>
      </c>
      <c r="H1595" s="4" t="s">
        <v>229</v>
      </c>
      <c r="I1595" s="4" t="s">
        <v>3169</v>
      </c>
      <c r="J1595" s="4" t="s">
        <v>3242</v>
      </c>
      <c r="K1595" s="4" t="s">
        <v>24</v>
      </c>
    </row>
    <row r="1596" spans="1:11" x14ac:dyDescent="0.2">
      <c r="A1596" s="4" t="s">
        <v>3338</v>
      </c>
      <c r="B1596" s="4" t="s">
        <v>3339</v>
      </c>
      <c r="C1596" s="4" t="s">
        <v>13</v>
      </c>
      <c r="D1596" s="4" t="s">
        <v>3240</v>
      </c>
      <c r="E1596" s="4" t="s">
        <v>3241</v>
      </c>
      <c r="F1596" s="4" t="s">
        <v>335</v>
      </c>
      <c r="G1596" s="1">
        <v>0.16700000000000001</v>
      </c>
      <c r="H1596" s="4" t="s">
        <v>229</v>
      </c>
      <c r="I1596" s="4" t="s">
        <v>3169</v>
      </c>
      <c r="J1596" s="4" t="s">
        <v>3242</v>
      </c>
      <c r="K1596" s="4" t="s">
        <v>24</v>
      </c>
    </row>
    <row r="1597" spans="1:11" x14ac:dyDescent="0.2">
      <c r="A1597" s="4" t="s">
        <v>3340</v>
      </c>
      <c r="B1597" s="4" t="s">
        <v>3341</v>
      </c>
      <c r="C1597" s="4" t="s">
        <v>13</v>
      </c>
      <c r="D1597" s="4" t="s">
        <v>3240</v>
      </c>
      <c r="E1597" s="4" t="s">
        <v>3241</v>
      </c>
      <c r="F1597" s="4" t="s">
        <v>335</v>
      </c>
      <c r="G1597" s="1">
        <v>0.13300000000000001</v>
      </c>
      <c r="H1597" s="4" t="s">
        <v>112</v>
      </c>
      <c r="I1597" s="4" t="s">
        <v>3169</v>
      </c>
      <c r="J1597" s="4" t="s">
        <v>3242</v>
      </c>
      <c r="K1597" s="4" t="s">
        <v>24</v>
      </c>
    </row>
    <row r="1598" spans="1:11" x14ac:dyDescent="0.2">
      <c r="A1598" s="4" t="s">
        <v>3342</v>
      </c>
      <c r="B1598" s="4" t="s">
        <v>3343</v>
      </c>
      <c r="C1598" s="4" t="s">
        <v>13</v>
      </c>
      <c r="D1598" s="4" t="s">
        <v>3240</v>
      </c>
      <c r="E1598" s="4" t="s">
        <v>3241</v>
      </c>
      <c r="F1598" s="4" t="s">
        <v>335</v>
      </c>
      <c r="G1598" s="1">
        <v>0.16700000000000001</v>
      </c>
      <c r="H1598" s="4" t="s">
        <v>229</v>
      </c>
      <c r="I1598" s="4" t="s">
        <v>3169</v>
      </c>
      <c r="J1598" s="4" t="s">
        <v>3242</v>
      </c>
      <c r="K1598" s="4" t="s">
        <v>24</v>
      </c>
    </row>
    <row r="1599" spans="1:11" x14ac:dyDescent="0.2">
      <c r="A1599" s="4" t="s">
        <v>3344</v>
      </c>
      <c r="B1599" s="4" t="s">
        <v>3345</v>
      </c>
      <c r="C1599" s="4" t="s">
        <v>13</v>
      </c>
      <c r="D1599" s="4" t="s">
        <v>3240</v>
      </c>
      <c r="E1599" s="4" t="s">
        <v>3241</v>
      </c>
      <c r="F1599" s="4" t="s">
        <v>335</v>
      </c>
      <c r="G1599" s="1">
        <v>0.13300000000000001</v>
      </c>
      <c r="H1599" s="4" t="s">
        <v>112</v>
      </c>
      <c r="I1599" s="4" t="s">
        <v>3169</v>
      </c>
      <c r="J1599" s="4" t="s">
        <v>3242</v>
      </c>
      <c r="K1599" s="4" t="s">
        <v>24</v>
      </c>
    </row>
    <row r="1600" spans="1:11" x14ac:dyDescent="0.2">
      <c r="A1600" s="4" t="s">
        <v>3346</v>
      </c>
      <c r="B1600" s="4" t="s">
        <v>3347</v>
      </c>
      <c r="C1600" s="4" t="s">
        <v>13</v>
      </c>
      <c r="D1600" s="4" t="s">
        <v>3240</v>
      </c>
      <c r="E1600" s="4" t="s">
        <v>3241</v>
      </c>
      <c r="F1600" s="4" t="s">
        <v>335</v>
      </c>
      <c r="G1600" s="1">
        <v>0.16700000000000001</v>
      </c>
      <c r="H1600" s="4" t="s">
        <v>229</v>
      </c>
      <c r="I1600" s="4" t="s">
        <v>3169</v>
      </c>
      <c r="J1600" s="4" t="s">
        <v>3242</v>
      </c>
      <c r="K1600" s="4" t="s">
        <v>24</v>
      </c>
    </row>
    <row r="1601" spans="1:11" x14ac:dyDescent="0.2">
      <c r="A1601" s="4" t="s">
        <v>3348</v>
      </c>
      <c r="B1601" s="4" t="s">
        <v>3349</v>
      </c>
      <c r="C1601" s="4" t="s">
        <v>13</v>
      </c>
      <c r="D1601" s="4" t="s">
        <v>3240</v>
      </c>
      <c r="E1601" s="4" t="s">
        <v>3241</v>
      </c>
      <c r="F1601" s="4" t="s">
        <v>335</v>
      </c>
      <c r="G1601" s="1">
        <v>0.16700000000000001</v>
      </c>
      <c r="H1601" s="4" t="s">
        <v>229</v>
      </c>
      <c r="I1601" s="4" t="s">
        <v>3169</v>
      </c>
      <c r="J1601" s="4" t="s">
        <v>3242</v>
      </c>
      <c r="K1601" s="4" t="s">
        <v>24</v>
      </c>
    </row>
    <row r="1602" spans="1:11" x14ac:dyDescent="0.2">
      <c r="A1602" s="4" t="s">
        <v>3350</v>
      </c>
      <c r="B1602" s="4" t="s">
        <v>3351</v>
      </c>
      <c r="C1602" s="4" t="s">
        <v>13</v>
      </c>
      <c r="D1602" s="4" t="s">
        <v>3240</v>
      </c>
      <c r="E1602" s="4" t="s">
        <v>3241</v>
      </c>
      <c r="F1602" s="4" t="s">
        <v>335</v>
      </c>
      <c r="G1602" s="1">
        <v>0.1</v>
      </c>
      <c r="H1602" s="4" t="s">
        <v>117</v>
      </c>
      <c r="I1602" s="4" t="s">
        <v>3169</v>
      </c>
      <c r="J1602" s="4" t="s">
        <v>3242</v>
      </c>
      <c r="K1602" s="4" t="s">
        <v>24</v>
      </c>
    </row>
    <row r="1603" spans="1:11" x14ac:dyDescent="0.2">
      <c r="A1603" s="4" t="s">
        <v>3352</v>
      </c>
      <c r="B1603" s="4" t="s">
        <v>3353</v>
      </c>
      <c r="C1603" s="4" t="s">
        <v>13</v>
      </c>
      <c r="D1603" s="4" t="s">
        <v>3240</v>
      </c>
      <c r="E1603" s="4" t="s">
        <v>3241</v>
      </c>
      <c r="F1603" s="4" t="s">
        <v>335</v>
      </c>
      <c r="G1603" s="1">
        <v>6.7000000000000004E-2</v>
      </c>
      <c r="H1603" s="4" t="s">
        <v>166</v>
      </c>
      <c r="I1603" s="4" t="s">
        <v>3169</v>
      </c>
      <c r="J1603" s="4" t="s">
        <v>3242</v>
      </c>
      <c r="K1603" s="4" t="s">
        <v>24</v>
      </c>
    </row>
    <row r="1604" spans="1:11" x14ac:dyDescent="0.2">
      <c r="A1604" s="4" t="s">
        <v>3354</v>
      </c>
      <c r="B1604" s="4" t="s">
        <v>3355</v>
      </c>
      <c r="C1604" s="4" t="s">
        <v>13</v>
      </c>
      <c r="D1604" s="4" t="s">
        <v>3240</v>
      </c>
      <c r="E1604" s="4" t="s">
        <v>3241</v>
      </c>
      <c r="F1604" s="4" t="s">
        <v>335</v>
      </c>
      <c r="G1604" s="1">
        <v>0.16700000000000001</v>
      </c>
      <c r="H1604" s="4" t="s">
        <v>229</v>
      </c>
      <c r="I1604" s="4" t="s">
        <v>3169</v>
      </c>
      <c r="J1604" s="4" t="s">
        <v>3242</v>
      </c>
      <c r="K1604" s="4" t="s">
        <v>24</v>
      </c>
    </row>
    <row r="1605" spans="1:11" x14ac:dyDescent="0.2">
      <c r="A1605" s="4" t="s">
        <v>3356</v>
      </c>
      <c r="B1605" s="4" t="s">
        <v>3357</v>
      </c>
      <c r="C1605" s="4" t="s">
        <v>13</v>
      </c>
      <c r="D1605" s="4" t="s">
        <v>3240</v>
      </c>
      <c r="E1605" s="4" t="s">
        <v>3241</v>
      </c>
      <c r="F1605" s="4" t="s">
        <v>335</v>
      </c>
      <c r="G1605" s="1">
        <v>0.1</v>
      </c>
      <c r="H1605" s="4" t="s">
        <v>117</v>
      </c>
      <c r="I1605" s="4" t="s">
        <v>3169</v>
      </c>
      <c r="J1605" s="4" t="s">
        <v>3242</v>
      </c>
      <c r="K1605" s="4" t="s">
        <v>24</v>
      </c>
    </row>
    <row r="1606" spans="1:11" x14ac:dyDescent="0.2">
      <c r="A1606" s="4" t="s">
        <v>3358</v>
      </c>
      <c r="B1606" s="4" t="s">
        <v>3359</v>
      </c>
      <c r="C1606" s="4" t="s">
        <v>13</v>
      </c>
      <c r="D1606" s="4" t="s">
        <v>3360</v>
      </c>
      <c r="E1606" s="4" t="s">
        <v>3361</v>
      </c>
      <c r="F1606" s="4" t="s">
        <v>516</v>
      </c>
      <c r="G1606" s="1">
        <v>6.7000000000000004E-2</v>
      </c>
      <c r="H1606" s="4" t="s">
        <v>166</v>
      </c>
      <c r="I1606" s="4" t="s">
        <v>3169</v>
      </c>
      <c r="J1606" s="4" t="s">
        <v>3362</v>
      </c>
      <c r="K1606" s="4" t="s">
        <v>24</v>
      </c>
    </row>
    <row r="1607" spans="1:11" x14ac:dyDescent="0.2">
      <c r="A1607" s="4" t="s">
        <v>3363</v>
      </c>
      <c r="B1607" s="4" t="s">
        <v>3364</v>
      </c>
      <c r="C1607" s="4" t="s">
        <v>13</v>
      </c>
      <c r="D1607" s="4" t="s">
        <v>3360</v>
      </c>
      <c r="E1607" s="4" t="s">
        <v>3361</v>
      </c>
      <c r="F1607" s="4" t="s">
        <v>516</v>
      </c>
      <c r="G1607" s="1">
        <v>0</v>
      </c>
      <c r="H1607" s="4" t="s">
        <v>254</v>
      </c>
      <c r="I1607" s="4" t="s">
        <v>3169</v>
      </c>
      <c r="J1607" s="4" t="s">
        <v>3362</v>
      </c>
      <c r="K1607" s="4" t="s">
        <v>24</v>
      </c>
    </row>
    <row r="1608" spans="1:11" x14ac:dyDescent="0.2">
      <c r="A1608" s="4" t="s">
        <v>3365</v>
      </c>
      <c r="B1608" s="4" t="s">
        <v>3366</v>
      </c>
      <c r="C1608" s="4" t="s">
        <v>13</v>
      </c>
      <c r="D1608" s="4" t="s">
        <v>3360</v>
      </c>
      <c r="E1608" s="4" t="s">
        <v>3361</v>
      </c>
      <c r="F1608" s="4" t="s">
        <v>516</v>
      </c>
      <c r="G1608" s="1">
        <v>6.7000000000000004E-2</v>
      </c>
      <c r="H1608" s="4" t="s">
        <v>166</v>
      </c>
      <c r="I1608" s="4" t="s">
        <v>3169</v>
      </c>
      <c r="J1608" s="4" t="s">
        <v>3362</v>
      </c>
      <c r="K1608" s="4" t="s">
        <v>24</v>
      </c>
    </row>
    <row r="1609" spans="1:11" x14ac:dyDescent="0.2">
      <c r="A1609" s="4" t="s">
        <v>3367</v>
      </c>
      <c r="B1609" s="4" t="s">
        <v>3368</v>
      </c>
      <c r="C1609" s="4" t="s">
        <v>13</v>
      </c>
      <c r="D1609" s="4" t="s">
        <v>3360</v>
      </c>
      <c r="E1609" s="4" t="s">
        <v>3361</v>
      </c>
      <c r="F1609" s="4" t="s">
        <v>516</v>
      </c>
      <c r="G1609" s="1">
        <v>6.7000000000000004E-2</v>
      </c>
      <c r="H1609" s="4" t="s">
        <v>166</v>
      </c>
      <c r="I1609" s="4" t="s">
        <v>3169</v>
      </c>
      <c r="J1609" s="4" t="s">
        <v>3362</v>
      </c>
      <c r="K1609" s="4" t="s">
        <v>24</v>
      </c>
    </row>
    <row r="1610" spans="1:11" x14ac:dyDescent="0.2">
      <c r="A1610" s="4" t="s">
        <v>3369</v>
      </c>
      <c r="B1610" s="4" t="s">
        <v>3370</v>
      </c>
      <c r="C1610" s="4" t="s">
        <v>13</v>
      </c>
      <c r="D1610" s="4" t="s">
        <v>3360</v>
      </c>
      <c r="E1610" s="4" t="s">
        <v>3361</v>
      </c>
      <c r="F1610" s="4" t="s">
        <v>516</v>
      </c>
      <c r="G1610" s="1">
        <v>0</v>
      </c>
      <c r="H1610" s="4" t="s">
        <v>254</v>
      </c>
      <c r="I1610" s="4" t="s">
        <v>3169</v>
      </c>
      <c r="J1610" s="4" t="s">
        <v>3362</v>
      </c>
      <c r="K1610" s="4" t="s">
        <v>24</v>
      </c>
    </row>
    <row r="1611" spans="1:11" x14ac:dyDescent="0.2">
      <c r="A1611" s="4" t="s">
        <v>3371</v>
      </c>
      <c r="B1611" s="4" t="s">
        <v>3372</v>
      </c>
      <c r="C1611" s="4" t="s">
        <v>13</v>
      </c>
      <c r="D1611" s="4" t="s">
        <v>3360</v>
      </c>
      <c r="E1611" s="4" t="s">
        <v>3361</v>
      </c>
      <c r="F1611" s="4" t="s">
        <v>516</v>
      </c>
      <c r="G1611" s="1">
        <v>6.7000000000000004E-2</v>
      </c>
      <c r="H1611" s="4" t="s">
        <v>166</v>
      </c>
      <c r="I1611" s="4" t="s">
        <v>3169</v>
      </c>
      <c r="J1611" s="4" t="s">
        <v>3362</v>
      </c>
      <c r="K1611" s="4" t="s">
        <v>24</v>
      </c>
    </row>
    <row r="1612" spans="1:11" x14ac:dyDescent="0.2">
      <c r="A1612" s="4" t="s">
        <v>3373</v>
      </c>
      <c r="B1612" s="4" t="s">
        <v>3374</v>
      </c>
      <c r="C1612" s="4" t="s">
        <v>13</v>
      </c>
      <c r="D1612" s="4" t="s">
        <v>3360</v>
      </c>
      <c r="E1612" s="4" t="s">
        <v>3361</v>
      </c>
      <c r="F1612" s="4" t="s">
        <v>516</v>
      </c>
      <c r="G1612" s="1">
        <v>0</v>
      </c>
      <c r="H1612" s="4" t="s">
        <v>254</v>
      </c>
      <c r="I1612" s="4" t="s">
        <v>3169</v>
      </c>
      <c r="J1612" s="4" t="s">
        <v>3362</v>
      </c>
      <c r="K1612" s="4" t="s">
        <v>24</v>
      </c>
    </row>
    <row r="1613" spans="1:11" x14ac:dyDescent="0.2">
      <c r="A1613" s="4" t="s">
        <v>3375</v>
      </c>
      <c r="B1613" s="4" t="s">
        <v>3376</v>
      </c>
      <c r="C1613" s="4" t="s">
        <v>13</v>
      </c>
      <c r="D1613" s="4" t="s">
        <v>3360</v>
      </c>
      <c r="E1613" s="4" t="s">
        <v>3361</v>
      </c>
      <c r="F1613" s="4" t="s">
        <v>516</v>
      </c>
      <c r="G1613" s="1">
        <v>6.7000000000000004E-2</v>
      </c>
      <c r="H1613" s="4" t="s">
        <v>166</v>
      </c>
      <c r="I1613" s="4" t="s">
        <v>3169</v>
      </c>
      <c r="J1613" s="4" t="s">
        <v>3362</v>
      </c>
      <c r="K1613" s="4" t="s">
        <v>24</v>
      </c>
    </row>
    <row r="1614" spans="1:11" x14ac:dyDescent="0.2">
      <c r="A1614" s="4" t="s">
        <v>3377</v>
      </c>
      <c r="B1614" s="4" t="s">
        <v>3378</v>
      </c>
      <c r="C1614" s="4" t="s">
        <v>13</v>
      </c>
      <c r="D1614" s="4" t="s">
        <v>3360</v>
      </c>
      <c r="E1614" s="4" t="s">
        <v>3361</v>
      </c>
      <c r="F1614" s="4" t="s">
        <v>516</v>
      </c>
      <c r="G1614" s="1">
        <v>6.7000000000000004E-2</v>
      </c>
      <c r="H1614" s="4" t="s">
        <v>166</v>
      </c>
      <c r="I1614" s="4" t="s">
        <v>3169</v>
      </c>
      <c r="J1614" s="4" t="s">
        <v>3362</v>
      </c>
      <c r="K1614" s="4" t="s">
        <v>24</v>
      </c>
    </row>
    <row r="1615" spans="1:11" x14ac:dyDescent="0.2">
      <c r="A1615" s="4" t="s">
        <v>3379</v>
      </c>
      <c r="B1615" s="4" t="s">
        <v>3380</v>
      </c>
      <c r="C1615" s="4" t="s">
        <v>13</v>
      </c>
      <c r="D1615" s="4" t="s">
        <v>3360</v>
      </c>
      <c r="E1615" s="4" t="s">
        <v>3361</v>
      </c>
      <c r="F1615" s="4" t="s">
        <v>516</v>
      </c>
      <c r="G1615" s="1">
        <v>6.7000000000000004E-2</v>
      </c>
      <c r="H1615" s="4" t="s">
        <v>166</v>
      </c>
      <c r="I1615" s="4" t="s">
        <v>3169</v>
      </c>
      <c r="J1615" s="4" t="s">
        <v>3362</v>
      </c>
      <c r="K1615" s="4" t="s">
        <v>24</v>
      </c>
    </row>
    <row r="1616" spans="1:11" x14ac:dyDescent="0.2">
      <c r="A1616" s="4" t="s">
        <v>3381</v>
      </c>
      <c r="B1616" s="4" t="s">
        <v>3382</v>
      </c>
      <c r="C1616" s="4" t="s">
        <v>13</v>
      </c>
      <c r="D1616" s="4" t="s">
        <v>3360</v>
      </c>
      <c r="E1616" s="4" t="s">
        <v>3361</v>
      </c>
      <c r="F1616" s="4" t="s">
        <v>516</v>
      </c>
      <c r="G1616" s="1">
        <v>0</v>
      </c>
      <c r="H1616" s="4" t="s">
        <v>254</v>
      </c>
      <c r="I1616" s="4" t="s">
        <v>3169</v>
      </c>
      <c r="J1616" s="4" t="s">
        <v>3362</v>
      </c>
      <c r="K1616" s="4" t="s">
        <v>24</v>
      </c>
    </row>
    <row r="1617" spans="1:11" x14ac:dyDescent="0.2">
      <c r="A1617" s="4" t="s">
        <v>3383</v>
      </c>
      <c r="B1617" s="4" t="s">
        <v>3384</v>
      </c>
      <c r="C1617" s="4" t="s">
        <v>13</v>
      </c>
      <c r="D1617" s="4" t="s">
        <v>3360</v>
      </c>
      <c r="E1617" s="4" t="s">
        <v>3361</v>
      </c>
      <c r="F1617" s="4" t="s">
        <v>516</v>
      </c>
      <c r="G1617" s="1">
        <v>6.7000000000000004E-2</v>
      </c>
      <c r="H1617" s="4" t="s">
        <v>166</v>
      </c>
      <c r="I1617" s="4" t="s">
        <v>3169</v>
      </c>
      <c r="J1617" s="4" t="s">
        <v>3362</v>
      </c>
      <c r="K1617" s="4" t="s">
        <v>24</v>
      </c>
    </row>
    <row r="1618" spans="1:11" x14ac:dyDescent="0.2">
      <c r="A1618" s="4" t="s">
        <v>3385</v>
      </c>
      <c r="B1618" s="4" t="s">
        <v>3386</v>
      </c>
      <c r="C1618" s="4" t="s">
        <v>13</v>
      </c>
      <c r="D1618" s="4" t="s">
        <v>3360</v>
      </c>
      <c r="E1618" s="4" t="s">
        <v>3361</v>
      </c>
      <c r="F1618" s="4" t="s">
        <v>516</v>
      </c>
      <c r="G1618" s="1">
        <v>0</v>
      </c>
      <c r="H1618" s="4" t="s">
        <v>254</v>
      </c>
      <c r="I1618" s="4" t="s">
        <v>3169</v>
      </c>
      <c r="J1618" s="4" t="s">
        <v>3362</v>
      </c>
      <c r="K1618" s="4" t="s">
        <v>24</v>
      </c>
    </row>
    <row r="1619" spans="1:11" x14ac:dyDescent="0.2">
      <c r="A1619" s="4" t="s">
        <v>3387</v>
      </c>
      <c r="B1619" s="4" t="s">
        <v>3388</v>
      </c>
      <c r="C1619" s="4" t="s">
        <v>13</v>
      </c>
      <c r="D1619" s="4" t="s">
        <v>3360</v>
      </c>
      <c r="E1619" s="4" t="s">
        <v>3361</v>
      </c>
      <c r="F1619" s="4" t="s">
        <v>516</v>
      </c>
      <c r="G1619" s="1">
        <v>0</v>
      </c>
      <c r="H1619" s="4" t="s">
        <v>254</v>
      </c>
      <c r="I1619" s="4" t="s">
        <v>3169</v>
      </c>
      <c r="J1619" s="4" t="s">
        <v>3362</v>
      </c>
      <c r="K1619" s="4" t="s">
        <v>24</v>
      </c>
    </row>
    <row r="1620" spans="1:11" x14ac:dyDescent="0.2">
      <c r="A1620" s="4" t="s">
        <v>3389</v>
      </c>
      <c r="B1620" s="4" t="s">
        <v>3390</v>
      </c>
      <c r="C1620" s="4" t="s">
        <v>13</v>
      </c>
      <c r="D1620" s="4" t="s">
        <v>3360</v>
      </c>
      <c r="E1620" s="4" t="s">
        <v>3361</v>
      </c>
      <c r="F1620" s="4" t="s">
        <v>516</v>
      </c>
      <c r="G1620" s="1">
        <v>0</v>
      </c>
      <c r="H1620" s="4" t="s">
        <v>254</v>
      </c>
      <c r="I1620" s="4" t="s">
        <v>3169</v>
      </c>
      <c r="J1620" s="4" t="s">
        <v>3362</v>
      </c>
      <c r="K1620" s="4" t="s">
        <v>24</v>
      </c>
    </row>
    <row r="1621" spans="1:11" x14ac:dyDescent="0.2">
      <c r="A1621" s="4" t="s">
        <v>3391</v>
      </c>
      <c r="B1621" s="4" t="s">
        <v>3392</v>
      </c>
      <c r="C1621" s="4" t="s">
        <v>13</v>
      </c>
      <c r="D1621" s="4" t="s">
        <v>3360</v>
      </c>
      <c r="E1621" s="4" t="s">
        <v>3361</v>
      </c>
      <c r="F1621" s="4" t="s">
        <v>516</v>
      </c>
      <c r="G1621" s="1">
        <v>0</v>
      </c>
      <c r="H1621" s="4" t="s">
        <v>254</v>
      </c>
      <c r="I1621" s="4" t="s">
        <v>3169</v>
      </c>
      <c r="J1621" s="4" t="s">
        <v>3362</v>
      </c>
      <c r="K1621" s="4" t="s">
        <v>24</v>
      </c>
    </row>
    <row r="1622" spans="1:11" x14ac:dyDescent="0.2">
      <c r="A1622" s="4" t="s">
        <v>3393</v>
      </c>
      <c r="B1622" s="4" t="s">
        <v>3394</v>
      </c>
      <c r="C1622" s="4" t="s">
        <v>13</v>
      </c>
      <c r="D1622" s="4" t="s">
        <v>3360</v>
      </c>
      <c r="E1622" s="4" t="s">
        <v>3361</v>
      </c>
      <c r="F1622" s="4" t="s">
        <v>516</v>
      </c>
      <c r="G1622" s="1">
        <v>6.7000000000000004E-2</v>
      </c>
      <c r="H1622" s="4" t="s">
        <v>166</v>
      </c>
      <c r="I1622" s="4" t="s">
        <v>3169</v>
      </c>
      <c r="J1622" s="4" t="s">
        <v>3362</v>
      </c>
      <c r="K1622" s="4" t="s">
        <v>24</v>
      </c>
    </row>
    <row r="1623" spans="1:11" x14ac:dyDescent="0.2">
      <c r="A1623" s="4" t="s">
        <v>3395</v>
      </c>
      <c r="B1623" s="4" t="s">
        <v>3396</v>
      </c>
      <c r="C1623" s="4" t="s">
        <v>13</v>
      </c>
      <c r="D1623" s="4" t="s">
        <v>3360</v>
      </c>
      <c r="E1623" s="4" t="s">
        <v>3361</v>
      </c>
      <c r="F1623" s="4" t="s">
        <v>516</v>
      </c>
      <c r="G1623" s="1">
        <v>6.7000000000000004E-2</v>
      </c>
      <c r="H1623" s="4" t="s">
        <v>166</v>
      </c>
      <c r="I1623" s="4" t="s">
        <v>3169</v>
      </c>
      <c r="J1623" s="4" t="s">
        <v>3362</v>
      </c>
      <c r="K1623" s="4" t="s">
        <v>24</v>
      </c>
    </row>
    <row r="1624" spans="1:11" x14ac:dyDescent="0.2">
      <c r="A1624" s="4" t="s">
        <v>3397</v>
      </c>
      <c r="B1624" s="4" t="s">
        <v>3398</v>
      </c>
      <c r="C1624" s="4" t="s">
        <v>13</v>
      </c>
      <c r="D1624" s="4" t="s">
        <v>3360</v>
      </c>
      <c r="E1624" s="4" t="s">
        <v>3361</v>
      </c>
      <c r="F1624" s="4" t="s">
        <v>516</v>
      </c>
      <c r="G1624" s="1">
        <v>6.7000000000000004E-2</v>
      </c>
      <c r="H1624" s="4" t="s">
        <v>166</v>
      </c>
      <c r="I1624" s="4" t="s">
        <v>3169</v>
      </c>
      <c r="J1624" s="4" t="s">
        <v>3362</v>
      </c>
      <c r="K1624" s="4" t="s">
        <v>24</v>
      </c>
    </row>
    <row r="1625" spans="1:11" x14ac:dyDescent="0.2">
      <c r="A1625" s="4" t="s">
        <v>3399</v>
      </c>
      <c r="B1625" s="4" t="s">
        <v>3400</v>
      </c>
      <c r="C1625" s="4" t="s">
        <v>13</v>
      </c>
      <c r="D1625" s="4" t="s">
        <v>3360</v>
      </c>
      <c r="E1625" s="4" t="s">
        <v>3361</v>
      </c>
      <c r="F1625" s="4" t="s">
        <v>516</v>
      </c>
      <c r="G1625" s="1">
        <v>0</v>
      </c>
      <c r="H1625" s="4" t="s">
        <v>254</v>
      </c>
      <c r="I1625" s="4" t="s">
        <v>3169</v>
      </c>
      <c r="J1625" s="4" t="s">
        <v>3362</v>
      </c>
      <c r="K1625" s="4" t="s">
        <v>24</v>
      </c>
    </row>
    <row r="1626" spans="1:11" x14ac:dyDescent="0.2">
      <c r="A1626" s="4" t="s">
        <v>3401</v>
      </c>
      <c r="B1626" s="4" t="s">
        <v>3402</v>
      </c>
      <c r="C1626" s="4" t="s">
        <v>13</v>
      </c>
      <c r="D1626" s="4" t="s">
        <v>3360</v>
      </c>
      <c r="E1626" s="4" t="s">
        <v>3361</v>
      </c>
      <c r="F1626" s="4" t="s">
        <v>516</v>
      </c>
      <c r="G1626" s="1">
        <v>6.7000000000000004E-2</v>
      </c>
      <c r="H1626" s="4" t="s">
        <v>166</v>
      </c>
      <c r="I1626" s="4" t="s">
        <v>3169</v>
      </c>
      <c r="J1626" s="4" t="s">
        <v>3362</v>
      </c>
      <c r="K1626" s="4" t="s">
        <v>24</v>
      </c>
    </row>
    <row r="1627" spans="1:11" x14ac:dyDescent="0.2">
      <c r="A1627" s="4" t="s">
        <v>3403</v>
      </c>
      <c r="B1627" s="4" t="s">
        <v>3404</v>
      </c>
      <c r="C1627" s="4" t="s">
        <v>13</v>
      </c>
      <c r="D1627" s="4" t="s">
        <v>3360</v>
      </c>
      <c r="E1627" s="4" t="s">
        <v>3361</v>
      </c>
      <c r="F1627" s="4" t="s">
        <v>516</v>
      </c>
      <c r="G1627" s="1">
        <v>6.7000000000000004E-2</v>
      </c>
      <c r="H1627" s="4" t="s">
        <v>166</v>
      </c>
      <c r="I1627" s="4" t="s">
        <v>3169</v>
      </c>
      <c r="J1627" s="4" t="s">
        <v>3362</v>
      </c>
      <c r="K1627" s="4" t="s">
        <v>24</v>
      </c>
    </row>
    <row r="1628" spans="1:11" x14ac:dyDescent="0.2">
      <c r="A1628" s="4" t="s">
        <v>3405</v>
      </c>
      <c r="B1628" s="4" t="s">
        <v>3406</v>
      </c>
      <c r="C1628" s="4" t="s">
        <v>13</v>
      </c>
      <c r="D1628" s="4" t="s">
        <v>3360</v>
      </c>
      <c r="E1628" s="4" t="s">
        <v>3361</v>
      </c>
      <c r="F1628" s="4" t="s">
        <v>516</v>
      </c>
      <c r="G1628" s="1">
        <v>6.7000000000000004E-2</v>
      </c>
      <c r="H1628" s="4" t="s">
        <v>166</v>
      </c>
      <c r="I1628" s="4" t="s">
        <v>3169</v>
      </c>
      <c r="J1628" s="4" t="s">
        <v>3362</v>
      </c>
      <c r="K1628" s="4" t="s">
        <v>24</v>
      </c>
    </row>
    <row r="1629" spans="1:11" x14ac:dyDescent="0.2">
      <c r="A1629" s="4" t="s">
        <v>3407</v>
      </c>
      <c r="B1629" s="4" t="s">
        <v>3408</v>
      </c>
      <c r="C1629" s="4" t="s">
        <v>13</v>
      </c>
      <c r="D1629" s="4" t="s">
        <v>3360</v>
      </c>
      <c r="E1629" s="4" t="s">
        <v>3361</v>
      </c>
      <c r="F1629" s="4" t="s">
        <v>516</v>
      </c>
      <c r="G1629" s="1">
        <v>0</v>
      </c>
      <c r="H1629" s="4" t="s">
        <v>254</v>
      </c>
      <c r="I1629" s="4" t="s">
        <v>3169</v>
      </c>
      <c r="J1629" s="4" t="s">
        <v>3362</v>
      </c>
      <c r="K1629" s="4" t="s">
        <v>24</v>
      </c>
    </row>
    <row r="1630" spans="1:11" x14ac:dyDescent="0.2">
      <c r="A1630" s="4" t="s">
        <v>3409</v>
      </c>
      <c r="B1630" s="4" t="s">
        <v>3410</v>
      </c>
      <c r="C1630" s="4" t="s">
        <v>13</v>
      </c>
      <c r="D1630" s="4" t="s">
        <v>3360</v>
      </c>
      <c r="E1630" s="4" t="s">
        <v>3361</v>
      </c>
      <c r="F1630" s="4" t="s">
        <v>516</v>
      </c>
      <c r="G1630" s="1">
        <v>6.7000000000000004E-2</v>
      </c>
      <c r="H1630" s="4" t="s">
        <v>166</v>
      </c>
      <c r="I1630" s="4" t="s">
        <v>3169</v>
      </c>
      <c r="J1630" s="4" t="s">
        <v>3362</v>
      </c>
      <c r="K1630" s="4" t="s">
        <v>24</v>
      </c>
    </row>
    <row r="1631" spans="1:11" x14ac:dyDescent="0.2">
      <c r="A1631" s="4" t="s">
        <v>3411</v>
      </c>
      <c r="B1631" s="4" t="s">
        <v>3412</v>
      </c>
      <c r="C1631" s="4" t="s">
        <v>13</v>
      </c>
      <c r="D1631" s="4" t="s">
        <v>3360</v>
      </c>
      <c r="E1631" s="4" t="s">
        <v>3361</v>
      </c>
      <c r="F1631" s="4" t="s">
        <v>516</v>
      </c>
      <c r="G1631" s="1">
        <v>0</v>
      </c>
      <c r="H1631" s="4" t="s">
        <v>254</v>
      </c>
      <c r="I1631" s="4" t="s">
        <v>3169</v>
      </c>
      <c r="J1631" s="4" t="s">
        <v>3362</v>
      </c>
      <c r="K1631" s="4" t="s">
        <v>24</v>
      </c>
    </row>
    <row r="1632" spans="1:11" x14ac:dyDescent="0.2">
      <c r="A1632" s="4" t="s">
        <v>3413</v>
      </c>
      <c r="B1632" s="4" t="s">
        <v>3414</v>
      </c>
      <c r="C1632" s="4" t="s">
        <v>13</v>
      </c>
      <c r="D1632" s="4" t="s">
        <v>3360</v>
      </c>
      <c r="E1632" s="4" t="s">
        <v>3361</v>
      </c>
      <c r="F1632" s="4" t="s">
        <v>516</v>
      </c>
      <c r="G1632" s="1">
        <v>6.7000000000000004E-2</v>
      </c>
      <c r="H1632" s="4" t="s">
        <v>166</v>
      </c>
      <c r="I1632" s="4" t="s">
        <v>3169</v>
      </c>
      <c r="J1632" s="4" t="s">
        <v>3362</v>
      </c>
      <c r="K1632" s="4" t="s">
        <v>24</v>
      </c>
    </row>
    <row r="1633" spans="1:11" x14ac:dyDescent="0.2">
      <c r="A1633" s="4" t="s">
        <v>3415</v>
      </c>
      <c r="B1633" s="4" t="s">
        <v>3416</v>
      </c>
      <c r="C1633" s="4" t="s">
        <v>13</v>
      </c>
      <c r="D1633" s="4" t="s">
        <v>3360</v>
      </c>
      <c r="E1633" s="4" t="s">
        <v>3361</v>
      </c>
      <c r="F1633" s="4" t="s">
        <v>516</v>
      </c>
      <c r="G1633" s="1">
        <v>6.7000000000000004E-2</v>
      </c>
      <c r="H1633" s="4" t="s">
        <v>166</v>
      </c>
      <c r="I1633" s="4" t="s">
        <v>3169</v>
      </c>
      <c r="J1633" s="4" t="s">
        <v>3362</v>
      </c>
      <c r="K1633" s="4" t="s">
        <v>24</v>
      </c>
    </row>
    <row r="1634" spans="1:11" x14ac:dyDescent="0.2">
      <c r="A1634" s="4" t="s">
        <v>3417</v>
      </c>
      <c r="B1634" s="4" t="s">
        <v>3418</v>
      </c>
      <c r="C1634" s="4" t="s">
        <v>13</v>
      </c>
      <c r="D1634" s="4" t="s">
        <v>3360</v>
      </c>
      <c r="E1634" s="4" t="s">
        <v>3361</v>
      </c>
      <c r="F1634" s="4" t="s">
        <v>516</v>
      </c>
      <c r="G1634" s="1">
        <v>0</v>
      </c>
      <c r="H1634" s="4" t="s">
        <v>254</v>
      </c>
      <c r="I1634" s="4" t="s">
        <v>3169</v>
      </c>
      <c r="J1634" s="4" t="s">
        <v>3362</v>
      </c>
      <c r="K1634" s="4" t="s">
        <v>3179</v>
      </c>
    </row>
    <row r="1635" spans="1:11" x14ac:dyDescent="0.2">
      <c r="A1635" s="4" t="s">
        <v>3419</v>
      </c>
      <c r="B1635" s="4" t="s">
        <v>3420</v>
      </c>
      <c r="C1635" s="4" t="s">
        <v>13</v>
      </c>
      <c r="D1635" s="4" t="s">
        <v>3360</v>
      </c>
      <c r="E1635" s="4" t="s">
        <v>3361</v>
      </c>
      <c r="F1635" s="4" t="s">
        <v>516</v>
      </c>
      <c r="G1635" s="1">
        <v>6.7000000000000004E-2</v>
      </c>
      <c r="H1635" s="4" t="s">
        <v>166</v>
      </c>
      <c r="I1635" s="4" t="s">
        <v>3169</v>
      </c>
      <c r="J1635" s="4" t="s">
        <v>3362</v>
      </c>
      <c r="K1635" s="4" t="s">
        <v>3179</v>
      </c>
    </row>
    <row r="1636" spans="1:11" x14ac:dyDescent="0.2">
      <c r="A1636" s="4" t="s">
        <v>3421</v>
      </c>
      <c r="B1636" s="4" t="s">
        <v>3422</v>
      </c>
      <c r="C1636" s="4" t="s">
        <v>13</v>
      </c>
      <c r="D1636" s="4" t="s">
        <v>3360</v>
      </c>
      <c r="E1636" s="4" t="s">
        <v>3361</v>
      </c>
      <c r="F1636" s="4" t="s">
        <v>516</v>
      </c>
      <c r="G1636" s="1">
        <v>6.7000000000000004E-2</v>
      </c>
      <c r="H1636" s="4" t="s">
        <v>166</v>
      </c>
      <c r="I1636" s="4" t="s">
        <v>3169</v>
      </c>
      <c r="J1636" s="4" t="s">
        <v>3362</v>
      </c>
      <c r="K1636" s="4" t="s">
        <v>3179</v>
      </c>
    </row>
    <row r="1637" spans="1:11" x14ac:dyDescent="0.2">
      <c r="A1637" s="4" t="s">
        <v>3423</v>
      </c>
      <c r="B1637" s="4" t="s">
        <v>3424</v>
      </c>
      <c r="C1637" s="4" t="s">
        <v>13</v>
      </c>
      <c r="D1637" s="4" t="s">
        <v>3360</v>
      </c>
      <c r="E1637" s="4" t="s">
        <v>3361</v>
      </c>
      <c r="F1637" s="4" t="s">
        <v>516</v>
      </c>
      <c r="G1637" s="1">
        <v>6.7000000000000004E-2</v>
      </c>
      <c r="H1637" s="4" t="s">
        <v>166</v>
      </c>
      <c r="I1637" s="4" t="s">
        <v>3169</v>
      </c>
      <c r="J1637" s="4" t="s">
        <v>3362</v>
      </c>
      <c r="K1637" s="4" t="s">
        <v>3179</v>
      </c>
    </row>
    <row r="1638" spans="1:11" x14ac:dyDescent="0.2">
      <c r="A1638" s="4" t="s">
        <v>3425</v>
      </c>
      <c r="B1638" s="4" t="s">
        <v>3426</v>
      </c>
      <c r="C1638" s="4" t="s">
        <v>13</v>
      </c>
      <c r="D1638" s="4" t="s">
        <v>3360</v>
      </c>
      <c r="E1638" s="4" t="s">
        <v>3361</v>
      </c>
      <c r="F1638" s="4" t="s">
        <v>516</v>
      </c>
      <c r="G1638" s="1">
        <v>6.7000000000000004E-2</v>
      </c>
      <c r="H1638" s="4" t="s">
        <v>166</v>
      </c>
      <c r="I1638" s="4" t="s">
        <v>3169</v>
      </c>
      <c r="J1638" s="4" t="s">
        <v>3362</v>
      </c>
      <c r="K1638" s="4" t="s">
        <v>3427</v>
      </c>
    </row>
    <row r="1639" spans="1:11" x14ac:dyDescent="0.2">
      <c r="A1639" s="4" t="s">
        <v>3428</v>
      </c>
      <c r="B1639" s="4" t="s">
        <v>3429</v>
      </c>
      <c r="C1639" s="4" t="s">
        <v>13</v>
      </c>
      <c r="D1639" s="4" t="s">
        <v>3360</v>
      </c>
      <c r="E1639" s="4" t="s">
        <v>3361</v>
      </c>
      <c r="F1639" s="4" t="s">
        <v>516</v>
      </c>
      <c r="G1639" s="1">
        <v>6.7000000000000004E-2</v>
      </c>
      <c r="H1639" s="4" t="s">
        <v>166</v>
      </c>
      <c r="I1639" s="4" t="s">
        <v>3169</v>
      </c>
      <c r="J1639" s="4" t="s">
        <v>3362</v>
      </c>
      <c r="K1639" s="4" t="s">
        <v>3427</v>
      </c>
    </row>
    <row r="1640" spans="1:11" x14ac:dyDescent="0.2">
      <c r="A1640" s="4" t="s">
        <v>3430</v>
      </c>
      <c r="B1640" s="4" t="s">
        <v>3431</v>
      </c>
      <c r="C1640" s="4" t="s">
        <v>13</v>
      </c>
      <c r="D1640" s="4" t="s">
        <v>3360</v>
      </c>
      <c r="E1640" s="4" t="s">
        <v>3361</v>
      </c>
      <c r="F1640" s="4" t="s">
        <v>516</v>
      </c>
      <c r="G1640" s="1">
        <v>6.7000000000000004E-2</v>
      </c>
      <c r="H1640" s="4" t="s">
        <v>166</v>
      </c>
      <c r="I1640" s="4" t="s">
        <v>3169</v>
      </c>
      <c r="J1640" s="4" t="s">
        <v>3362</v>
      </c>
      <c r="K1640" s="4" t="s">
        <v>24</v>
      </c>
    </row>
    <row r="1641" spans="1:11" x14ac:dyDescent="0.2">
      <c r="A1641" s="4" t="s">
        <v>3432</v>
      </c>
      <c r="B1641" s="4" t="s">
        <v>3433</v>
      </c>
      <c r="C1641" s="4" t="s">
        <v>13</v>
      </c>
      <c r="D1641" s="4" t="s">
        <v>3360</v>
      </c>
      <c r="E1641" s="4" t="s">
        <v>3361</v>
      </c>
      <c r="F1641" s="4" t="s">
        <v>516</v>
      </c>
      <c r="G1641" s="1">
        <v>6.7000000000000004E-2</v>
      </c>
      <c r="H1641" s="4" t="s">
        <v>166</v>
      </c>
      <c r="I1641" s="4" t="s">
        <v>3169</v>
      </c>
      <c r="J1641" s="4" t="s">
        <v>3362</v>
      </c>
      <c r="K1641" s="4" t="s">
        <v>24</v>
      </c>
    </row>
    <row r="1642" spans="1:11" x14ac:dyDescent="0.2">
      <c r="A1642" s="4" t="s">
        <v>3163</v>
      </c>
      <c r="B1642" s="4" t="s">
        <v>3164</v>
      </c>
      <c r="C1642" s="4" t="s">
        <v>49</v>
      </c>
      <c r="D1642" s="4" t="s">
        <v>3360</v>
      </c>
      <c r="E1642" s="4" t="s">
        <v>3361</v>
      </c>
      <c r="F1642" s="4" t="s">
        <v>516</v>
      </c>
      <c r="G1642" s="1">
        <v>0</v>
      </c>
      <c r="H1642" s="4" t="s">
        <v>3434</v>
      </c>
      <c r="I1642" s="4" t="s">
        <v>3169</v>
      </c>
      <c r="J1642" s="4" t="s">
        <v>3362</v>
      </c>
      <c r="K1642" s="4" t="s">
        <v>24</v>
      </c>
    </row>
    <row r="1643" spans="1:11" x14ac:dyDescent="0.2">
      <c r="A1643" s="4" t="s">
        <v>3435</v>
      </c>
      <c r="B1643" s="4" t="s">
        <v>3436</v>
      </c>
      <c r="C1643" s="4" t="s">
        <v>13</v>
      </c>
      <c r="D1643" s="4" t="s">
        <v>3360</v>
      </c>
      <c r="E1643" s="4" t="s">
        <v>3361</v>
      </c>
      <c r="F1643" s="4" t="s">
        <v>516</v>
      </c>
      <c r="G1643" s="1">
        <v>0</v>
      </c>
      <c r="H1643" s="4" t="s">
        <v>254</v>
      </c>
      <c r="I1643" s="4" t="s">
        <v>3169</v>
      </c>
      <c r="J1643" s="4" t="s">
        <v>3362</v>
      </c>
      <c r="K1643" s="4" t="s">
        <v>3427</v>
      </c>
    </row>
    <row r="1644" spans="1:11" x14ac:dyDescent="0.2">
      <c r="A1644" s="4" t="s">
        <v>3437</v>
      </c>
      <c r="B1644" s="4" t="s">
        <v>3438</v>
      </c>
      <c r="C1644" s="4" t="s">
        <v>13</v>
      </c>
      <c r="D1644" s="4" t="s">
        <v>3439</v>
      </c>
      <c r="E1644" s="4" t="s">
        <v>3440</v>
      </c>
      <c r="F1644" s="4" t="s">
        <v>16</v>
      </c>
      <c r="G1644" s="1">
        <v>0.2</v>
      </c>
      <c r="H1644" s="4" t="s">
        <v>27</v>
      </c>
      <c r="I1644" s="4" t="s">
        <v>3169</v>
      </c>
      <c r="J1644" s="4" t="s">
        <v>3170</v>
      </c>
      <c r="K1644" s="4" t="s">
        <v>24</v>
      </c>
    </row>
    <row r="1645" spans="1:11" x14ac:dyDescent="0.2">
      <c r="A1645" s="4" t="s">
        <v>3163</v>
      </c>
      <c r="B1645" s="4" t="s">
        <v>3164</v>
      </c>
      <c r="C1645" s="4" t="s">
        <v>49</v>
      </c>
      <c r="D1645" s="4" t="s">
        <v>3439</v>
      </c>
      <c r="E1645" s="4" t="s">
        <v>3440</v>
      </c>
      <c r="F1645" s="4" t="s">
        <v>16</v>
      </c>
      <c r="G1645" s="1">
        <v>0</v>
      </c>
      <c r="H1645" s="4" t="s">
        <v>3434</v>
      </c>
      <c r="I1645" s="4" t="s">
        <v>3169</v>
      </c>
      <c r="J1645" s="4" t="s">
        <v>3170</v>
      </c>
      <c r="K1645" s="4" t="s">
        <v>24</v>
      </c>
    </row>
    <row r="1646" spans="1:11" x14ac:dyDescent="0.2">
      <c r="A1646" s="4" t="s">
        <v>3441</v>
      </c>
      <c r="B1646" s="4" t="s">
        <v>3442</v>
      </c>
      <c r="C1646" s="4" t="s">
        <v>13</v>
      </c>
      <c r="D1646" s="4" t="s">
        <v>3439</v>
      </c>
      <c r="E1646" s="4" t="s">
        <v>3440</v>
      </c>
      <c r="F1646" s="4" t="s">
        <v>16</v>
      </c>
      <c r="G1646" s="1">
        <v>0.156</v>
      </c>
      <c r="H1646" s="4" t="s">
        <v>42</v>
      </c>
      <c r="I1646" s="4" t="s">
        <v>3169</v>
      </c>
      <c r="J1646" s="4" t="s">
        <v>3170</v>
      </c>
      <c r="K1646" s="4" t="s">
        <v>24</v>
      </c>
    </row>
    <row r="1647" spans="1:11" x14ac:dyDescent="0.2">
      <c r="A1647" s="4" t="s">
        <v>3443</v>
      </c>
      <c r="B1647" s="4" t="s">
        <v>3444</v>
      </c>
      <c r="C1647" s="4" t="s">
        <v>13</v>
      </c>
      <c r="D1647" s="4" t="s">
        <v>3439</v>
      </c>
      <c r="E1647" s="4" t="s">
        <v>3440</v>
      </c>
      <c r="F1647" s="4" t="s">
        <v>16</v>
      </c>
      <c r="G1647" s="1">
        <v>0.156</v>
      </c>
      <c r="H1647" s="4" t="s">
        <v>42</v>
      </c>
      <c r="I1647" s="4" t="s">
        <v>3169</v>
      </c>
      <c r="J1647" s="4" t="s">
        <v>3170</v>
      </c>
      <c r="K1647" s="4" t="s">
        <v>24</v>
      </c>
    </row>
    <row r="1648" spans="1:11" x14ac:dyDescent="0.2">
      <c r="A1648" s="4" t="s">
        <v>3445</v>
      </c>
      <c r="B1648" s="4" t="s">
        <v>3446</v>
      </c>
      <c r="C1648" s="4" t="s">
        <v>13</v>
      </c>
      <c r="D1648" s="4" t="s">
        <v>3439</v>
      </c>
      <c r="E1648" s="4" t="s">
        <v>3440</v>
      </c>
      <c r="F1648" s="4" t="s">
        <v>16</v>
      </c>
      <c r="G1648" s="1">
        <v>2.1999999999999999E-2</v>
      </c>
      <c r="H1648" s="4" t="s">
        <v>23</v>
      </c>
      <c r="I1648" s="4" t="s">
        <v>3169</v>
      </c>
      <c r="J1648" s="4" t="s">
        <v>3170</v>
      </c>
      <c r="K1648" s="4" t="s">
        <v>24</v>
      </c>
    </row>
    <row r="1649" spans="1:11" x14ac:dyDescent="0.2">
      <c r="A1649" s="4" t="s">
        <v>3447</v>
      </c>
      <c r="B1649" s="4" t="s">
        <v>3448</v>
      </c>
      <c r="C1649" s="4" t="s">
        <v>13</v>
      </c>
      <c r="D1649" s="4" t="s">
        <v>3439</v>
      </c>
      <c r="E1649" s="4" t="s">
        <v>3440</v>
      </c>
      <c r="F1649" s="4" t="s">
        <v>16</v>
      </c>
      <c r="G1649" s="1">
        <v>0.156</v>
      </c>
      <c r="H1649" s="4" t="s">
        <v>42</v>
      </c>
      <c r="I1649" s="4" t="s">
        <v>3169</v>
      </c>
      <c r="J1649" s="4" t="s">
        <v>3170</v>
      </c>
      <c r="K1649" s="4" t="s">
        <v>24</v>
      </c>
    </row>
    <row r="1650" spans="1:11" x14ac:dyDescent="0.2">
      <c r="A1650" s="4" t="s">
        <v>3449</v>
      </c>
      <c r="B1650" s="4" t="s">
        <v>3450</v>
      </c>
      <c r="C1650" s="4" t="s">
        <v>49</v>
      </c>
      <c r="D1650" s="4" t="s">
        <v>3439</v>
      </c>
      <c r="E1650" s="4" t="s">
        <v>3440</v>
      </c>
      <c r="F1650" s="4" t="s">
        <v>16</v>
      </c>
      <c r="G1650" s="1">
        <v>0</v>
      </c>
      <c r="H1650" s="4" t="s">
        <v>1149</v>
      </c>
      <c r="I1650" s="4" t="s">
        <v>3169</v>
      </c>
      <c r="J1650" s="4" t="s">
        <v>3170</v>
      </c>
      <c r="K1650" s="4" t="s">
        <v>24</v>
      </c>
    </row>
    <row r="1651" spans="1:11" x14ac:dyDescent="0.2">
      <c r="A1651" s="4" t="s">
        <v>3451</v>
      </c>
      <c r="B1651" s="4" t="s">
        <v>3452</v>
      </c>
      <c r="C1651" s="4" t="s">
        <v>13</v>
      </c>
      <c r="D1651" s="4" t="s">
        <v>3439</v>
      </c>
      <c r="E1651" s="4" t="s">
        <v>3440</v>
      </c>
      <c r="F1651" s="4" t="s">
        <v>16</v>
      </c>
      <c r="G1651" s="1">
        <v>0</v>
      </c>
      <c r="H1651" s="4" t="s">
        <v>1149</v>
      </c>
      <c r="I1651" s="4" t="s">
        <v>3169</v>
      </c>
      <c r="J1651" s="4" t="s">
        <v>3170</v>
      </c>
      <c r="K1651" s="4" t="s">
        <v>24</v>
      </c>
    </row>
    <row r="1652" spans="1:11" x14ac:dyDescent="0.2">
      <c r="A1652" s="4" t="s">
        <v>3453</v>
      </c>
      <c r="B1652" s="4" t="s">
        <v>3454</v>
      </c>
      <c r="C1652" s="4" t="s">
        <v>13</v>
      </c>
      <c r="D1652" s="4" t="s">
        <v>3439</v>
      </c>
      <c r="E1652" s="4" t="s">
        <v>3440</v>
      </c>
      <c r="F1652" s="4" t="s">
        <v>16</v>
      </c>
      <c r="G1652" s="1">
        <v>0.2</v>
      </c>
      <c r="H1652" s="4" t="s">
        <v>27</v>
      </c>
      <c r="I1652" s="4" t="s">
        <v>3169</v>
      </c>
      <c r="J1652" s="4" t="s">
        <v>3170</v>
      </c>
      <c r="K1652" s="4" t="s">
        <v>24</v>
      </c>
    </row>
    <row r="1653" spans="1:11" x14ac:dyDescent="0.2">
      <c r="A1653" s="4" t="s">
        <v>3455</v>
      </c>
      <c r="B1653" s="4" t="s">
        <v>3456</v>
      </c>
      <c r="C1653" s="4" t="s">
        <v>13</v>
      </c>
      <c r="D1653" s="4" t="s">
        <v>3439</v>
      </c>
      <c r="E1653" s="4" t="s">
        <v>3440</v>
      </c>
      <c r="F1653" s="4" t="s">
        <v>16</v>
      </c>
      <c r="G1653" s="1">
        <v>0.2</v>
      </c>
      <c r="H1653" s="4" t="s">
        <v>27</v>
      </c>
      <c r="I1653" s="4" t="s">
        <v>3169</v>
      </c>
      <c r="J1653" s="4" t="s">
        <v>3170</v>
      </c>
      <c r="K1653" s="4" t="s">
        <v>24</v>
      </c>
    </row>
    <row r="1654" spans="1:11" x14ac:dyDescent="0.2">
      <c r="A1654" s="4" t="s">
        <v>3457</v>
      </c>
      <c r="B1654" s="4" t="s">
        <v>3458</v>
      </c>
      <c r="C1654" s="4" t="s">
        <v>13</v>
      </c>
      <c r="D1654" s="4" t="s">
        <v>3439</v>
      </c>
      <c r="E1654" s="4" t="s">
        <v>3440</v>
      </c>
      <c r="F1654" s="4" t="s">
        <v>16</v>
      </c>
      <c r="G1654" s="1">
        <v>0.2</v>
      </c>
      <c r="H1654" s="4" t="s">
        <v>27</v>
      </c>
      <c r="I1654" s="4" t="s">
        <v>3169</v>
      </c>
      <c r="J1654" s="4" t="s">
        <v>3170</v>
      </c>
      <c r="K1654" s="4" t="s">
        <v>24</v>
      </c>
    </row>
    <row r="1655" spans="1:11" x14ac:dyDescent="0.2">
      <c r="A1655" s="4" t="s">
        <v>3459</v>
      </c>
      <c r="B1655" s="4" t="s">
        <v>3460</v>
      </c>
      <c r="C1655" s="4" t="s">
        <v>13</v>
      </c>
      <c r="D1655" s="4" t="s">
        <v>3439</v>
      </c>
      <c r="E1655" s="4" t="s">
        <v>3440</v>
      </c>
      <c r="F1655" s="4" t="s">
        <v>16</v>
      </c>
      <c r="G1655" s="1">
        <v>0.13300000000000001</v>
      </c>
      <c r="H1655" s="4" t="s">
        <v>36</v>
      </c>
      <c r="I1655" s="4" t="s">
        <v>3169</v>
      </c>
      <c r="J1655" s="4" t="s">
        <v>3170</v>
      </c>
      <c r="K1655" s="4" t="s">
        <v>24</v>
      </c>
    </row>
    <row r="1656" spans="1:11" x14ac:dyDescent="0.2">
      <c r="A1656" s="4" t="s">
        <v>3461</v>
      </c>
      <c r="B1656" s="4" t="s">
        <v>3462</v>
      </c>
      <c r="C1656" s="4" t="s">
        <v>13</v>
      </c>
      <c r="D1656" s="4" t="s">
        <v>3439</v>
      </c>
      <c r="E1656" s="4" t="s">
        <v>3440</v>
      </c>
      <c r="F1656" s="4" t="s">
        <v>16</v>
      </c>
      <c r="G1656" s="1">
        <v>0.2</v>
      </c>
      <c r="H1656" s="4" t="s">
        <v>27</v>
      </c>
      <c r="I1656" s="4" t="s">
        <v>3169</v>
      </c>
      <c r="J1656" s="4" t="s">
        <v>3170</v>
      </c>
      <c r="K1656" s="4" t="s">
        <v>24</v>
      </c>
    </row>
    <row r="1657" spans="1:11" x14ac:dyDescent="0.2">
      <c r="A1657" s="4" t="s">
        <v>3463</v>
      </c>
      <c r="B1657" s="4" t="s">
        <v>3464</v>
      </c>
      <c r="C1657" s="4" t="s">
        <v>13</v>
      </c>
      <c r="D1657" s="4" t="s">
        <v>3439</v>
      </c>
      <c r="E1657" s="4" t="s">
        <v>3440</v>
      </c>
      <c r="F1657" s="4" t="s">
        <v>16</v>
      </c>
      <c r="G1657" s="1">
        <v>0.17799999999999999</v>
      </c>
      <c r="H1657" s="4" t="s">
        <v>39</v>
      </c>
      <c r="I1657" s="4" t="s">
        <v>3169</v>
      </c>
      <c r="J1657" s="4" t="s">
        <v>3170</v>
      </c>
      <c r="K1657" s="4" t="s">
        <v>24</v>
      </c>
    </row>
    <row r="1658" spans="1:11" x14ac:dyDescent="0.2">
      <c r="A1658" s="4" t="s">
        <v>3465</v>
      </c>
      <c r="B1658" s="4" t="s">
        <v>3466</v>
      </c>
      <c r="C1658" s="4" t="s">
        <v>13</v>
      </c>
      <c r="D1658" s="4" t="s">
        <v>3439</v>
      </c>
      <c r="E1658" s="4" t="s">
        <v>3440</v>
      </c>
      <c r="F1658" s="4" t="s">
        <v>16</v>
      </c>
      <c r="G1658" s="1">
        <v>0.2</v>
      </c>
      <c r="H1658" s="4" t="s">
        <v>27</v>
      </c>
      <c r="I1658" s="4" t="s">
        <v>3169</v>
      </c>
      <c r="J1658" s="4" t="s">
        <v>3170</v>
      </c>
      <c r="K1658" s="4" t="s">
        <v>24</v>
      </c>
    </row>
    <row r="1659" spans="1:11" x14ac:dyDescent="0.2">
      <c r="A1659" s="4" t="s">
        <v>3467</v>
      </c>
      <c r="B1659" s="4" t="s">
        <v>3468</v>
      </c>
      <c r="C1659" s="4" t="s">
        <v>49</v>
      </c>
      <c r="D1659" s="4" t="s">
        <v>3439</v>
      </c>
      <c r="E1659" s="4" t="s">
        <v>3440</v>
      </c>
      <c r="F1659" s="4" t="s">
        <v>16</v>
      </c>
      <c r="G1659" s="1">
        <v>4.3999999999999997E-2</v>
      </c>
      <c r="H1659" s="4" t="s">
        <v>76</v>
      </c>
      <c r="I1659" s="4" t="s">
        <v>3169</v>
      </c>
      <c r="J1659" s="4" t="s">
        <v>3170</v>
      </c>
      <c r="K1659" s="4" t="s">
        <v>24</v>
      </c>
    </row>
    <row r="1660" spans="1:11" x14ac:dyDescent="0.2">
      <c r="A1660" s="4" t="s">
        <v>3469</v>
      </c>
      <c r="B1660" s="4" t="s">
        <v>3470</v>
      </c>
      <c r="C1660" s="4" t="s">
        <v>13</v>
      </c>
      <c r="D1660" s="4" t="s">
        <v>3439</v>
      </c>
      <c r="E1660" s="4" t="s">
        <v>3440</v>
      </c>
      <c r="F1660" s="4" t="s">
        <v>16</v>
      </c>
      <c r="G1660" s="1">
        <v>0</v>
      </c>
      <c r="H1660" s="4" t="s">
        <v>1149</v>
      </c>
      <c r="I1660" s="4" t="s">
        <v>3169</v>
      </c>
      <c r="J1660" s="4" t="s">
        <v>3170</v>
      </c>
      <c r="K1660" s="4" t="s">
        <v>24</v>
      </c>
    </row>
    <row r="1661" spans="1:11" x14ac:dyDescent="0.2">
      <c r="A1661" s="4" t="s">
        <v>3471</v>
      </c>
      <c r="B1661" s="4" t="s">
        <v>3472</v>
      </c>
      <c r="C1661" s="4" t="s">
        <v>13</v>
      </c>
      <c r="D1661" s="4" t="s">
        <v>3439</v>
      </c>
      <c r="E1661" s="4" t="s">
        <v>3440</v>
      </c>
      <c r="F1661" s="4" t="s">
        <v>16</v>
      </c>
      <c r="G1661" s="1">
        <v>0</v>
      </c>
      <c r="H1661" s="4" t="s">
        <v>1149</v>
      </c>
      <c r="I1661" s="4" t="s">
        <v>3169</v>
      </c>
      <c r="J1661" s="4" t="s">
        <v>3170</v>
      </c>
      <c r="K1661" s="4" t="s">
        <v>24</v>
      </c>
    </row>
    <row r="1662" spans="1:11" x14ac:dyDescent="0.2">
      <c r="A1662" s="4" t="s">
        <v>3473</v>
      </c>
      <c r="B1662" s="4" t="s">
        <v>3474</v>
      </c>
      <c r="C1662" s="4" t="s">
        <v>13</v>
      </c>
      <c r="D1662" s="4" t="s">
        <v>3439</v>
      </c>
      <c r="E1662" s="4" t="s">
        <v>3440</v>
      </c>
      <c r="F1662" s="4" t="s">
        <v>16</v>
      </c>
      <c r="G1662" s="1">
        <v>0</v>
      </c>
      <c r="H1662" s="4" t="s">
        <v>1149</v>
      </c>
      <c r="I1662" s="4" t="s">
        <v>3169</v>
      </c>
      <c r="J1662" s="4" t="s">
        <v>3170</v>
      </c>
      <c r="K1662" s="4" t="s">
        <v>24</v>
      </c>
    </row>
    <row r="1663" spans="1:11" x14ac:dyDescent="0.2">
      <c r="A1663" s="4" t="s">
        <v>3475</v>
      </c>
      <c r="B1663" s="4" t="s">
        <v>3476</v>
      </c>
      <c r="C1663" s="4" t="s">
        <v>13</v>
      </c>
      <c r="D1663" s="4" t="s">
        <v>3439</v>
      </c>
      <c r="E1663" s="4" t="s">
        <v>3440</v>
      </c>
      <c r="F1663" s="4" t="s">
        <v>16</v>
      </c>
      <c r="G1663" s="1">
        <v>6.7000000000000004E-2</v>
      </c>
      <c r="H1663" s="4" t="s">
        <v>50</v>
      </c>
      <c r="I1663" s="4" t="s">
        <v>3169</v>
      </c>
      <c r="J1663" s="4" t="s">
        <v>3170</v>
      </c>
      <c r="K1663" s="4" t="s">
        <v>24</v>
      </c>
    </row>
    <row r="1664" spans="1:11" x14ac:dyDescent="0.2">
      <c r="A1664" s="4" t="s">
        <v>3477</v>
      </c>
      <c r="B1664" s="4" t="s">
        <v>3478</v>
      </c>
      <c r="C1664" s="4" t="s">
        <v>13</v>
      </c>
      <c r="D1664" s="4" t="s">
        <v>3439</v>
      </c>
      <c r="E1664" s="4" t="s">
        <v>3440</v>
      </c>
      <c r="F1664" s="4" t="s">
        <v>16</v>
      </c>
      <c r="G1664" s="1">
        <v>0.17799999999999999</v>
      </c>
      <c r="H1664" s="4" t="s">
        <v>39</v>
      </c>
      <c r="I1664" s="4" t="s">
        <v>3169</v>
      </c>
      <c r="J1664" s="4" t="s">
        <v>3170</v>
      </c>
      <c r="K1664" s="4" t="s">
        <v>24</v>
      </c>
    </row>
    <row r="1665" spans="1:11" x14ac:dyDescent="0.2">
      <c r="A1665" s="4" t="s">
        <v>3479</v>
      </c>
      <c r="B1665" s="4" t="s">
        <v>3480</v>
      </c>
      <c r="C1665" s="4" t="s">
        <v>13</v>
      </c>
      <c r="D1665" s="4" t="s">
        <v>3439</v>
      </c>
      <c r="E1665" s="4" t="s">
        <v>3440</v>
      </c>
      <c r="F1665" s="4" t="s">
        <v>16</v>
      </c>
      <c r="G1665" s="1">
        <v>0.2</v>
      </c>
      <c r="H1665" s="4" t="s">
        <v>27</v>
      </c>
      <c r="I1665" s="4" t="s">
        <v>3169</v>
      </c>
      <c r="J1665" s="4" t="s">
        <v>3170</v>
      </c>
      <c r="K1665" s="4" t="s">
        <v>24</v>
      </c>
    </row>
    <row r="1666" spans="1:11" x14ac:dyDescent="0.2">
      <c r="A1666" s="4" t="s">
        <v>3481</v>
      </c>
      <c r="B1666" s="4" t="s">
        <v>3482</v>
      </c>
      <c r="C1666" s="4" t="s">
        <v>49</v>
      </c>
      <c r="D1666" s="4" t="s">
        <v>3439</v>
      </c>
      <c r="E1666" s="4" t="s">
        <v>3440</v>
      </c>
      <c r="F1666" s="4" t="s">
        <v>16</v>
      </c>
      <c r="G1666" s="1">
        <v>0</v>
      </c>
      <c r="H1666" s="4" t="s">
        <v>1149</v>
      </c>
      <c r="I1666" s="4" t="s">
        <v>3169</v>
      </c>
      <c r="J1666" s="4" t="s">
        <v>3170</v>
      </c>
      <c r="K1666" s="4" t="s">
        <v>24</v>
      </c>
    </row>
    <row r="1667" spans="1:11" x14ac:dyDescent="0.2">
      <c r="A1667" s="4" t="s">
        <v>3483</v>
      </c>
      <c r="B1667" s="4" t="s">
        <v>3484</v>
      </c>
      <c r="C1667" s="4" t="s">
        <v>13</v>
      </c>
      <c r="D1667" s="4" t="s">
        <v>3439</v>
      </c>
      <c r="E1667" s="4" t="s">
        <v>3440</v>
      </c>
      <c r="F1667" s="4" t="s">
        <v>16</v>
      </c>
      <c r="G1667" s="1">
        <v>0.2</v>
      </c>
      <c r="H1667" s="4" t="s">
        <v>27</v>
      </c>
      <c r="I1667" s="4" t="s">
        <v>3169</v>
      </c>
      <c r="J1667" s="4" t="s">
        <v>3170</v>
      </c>
      <c r="K1667" s="4" t="s">
        <v>24</v>
      </c>
    </row>
    <row r="1668" spans="1:11" x14ac:dyDescent="0.2">
      <c r="A1668" s="4" t="s">
        <v>3485</v>
      </c>
      <c r="B1668" s="4" t="s">
        <v>3486</v>
      </c>
      <c r="C1668" s="4" t="s">
        <v>13</v>
      </c>
      <c r="D1668" s="4" t="s">
        <v>3439</v>
      </c>
      <c r="E1668" s="4" t="s">
        <v>3440</v>
      </c>
      <c r="F1668" s="4" t="s">
        <v>16</v>
      </c>
      <c r="G1668" s="1">
        <v>0.17799999999999999</v>
      </c>
      <c r="H1668" s="4" t="s">
        <v>39</v>
      </c>
      <c r="I1668" s="4" t="s">
        <v>3169</v>
      </c>
      <c r="J1668" s="4" t="s">
        <v>3170</v>
      </c>
      <c r="K1668" s="4" t="s">
        <v>24</v>
      </c>
    </row>
    <row r="1669" spans="1:11" x14ac:dyDescent="0.2">
      <c r="A1669" s="4" t="s">
        <v>3487</v>
      </c>
      <c r="B1669" s="4" t="s">
        <v>3488</v>
      </c>
      <c r="C1669" s="4" t="s">
        <v>13</v>
      </c>
      <c r="D1669" s="4" t="s">
        <v>3439</v>
      </c>
      <c r="E1669" s="4" t="s">
        <v>3440</v>
      </c>
      <c r="F1669" s="4" t="s">
        <v>16</v>
      </c>
      <c r="G1669" s="1">
        <v>0</v>
      </c>
      <c r="H1669" s="4" t="s">
        <v>1149</v>
      </c>
      <c r="I1669" s="4" t="s">
        <v>3169</v>
      </c>
      <c r="J1669" s="4" t="s">
        <v>3170</v>
      </c>
      <c r="K1669" s="4" t="s">
        <v>24</v>
      </c>
    </row>
    <row r="1670" spans="1:11" x14ac:dyDescent="0.2">
      <c r="A1670" s="4" t="s">
        <v>3489</v>
      </c>
      <c r="B1670" s="4" t="s">
        <v>3490</v>
      </c>
      <c r="C1670" s="4" t="s">
        <v>13</v>
      </c>
      <c r="D1670" s="4" t="s">
        <v>3439</v>
      </c>
      <c r="E1670" s="4" t="s">
        <v>3440</v>
      </c>
      <c r="F1670" s="4" t="s">
        <v>16</v>
      </c>
      <c r="G1670" s="1">
        <v>0.2</v>
      </c>
      <c r="H1670" s="4" t="s">
        <v>27</v>
      </c>
      <c r="I1670" s="4" t="s">
        <v>3169</v>
      </c>
      <c r="J1670" s="4" t="s">
        <v>3170</v>
      </c>
      <c r="K1670" s="4" t="s">
        <v>24</v>
      </c>
    </row>
    <row r="1671" spans="1:11" x14ac:dyDescent="0.2">
      <c r="A1671" s="4" t="s">
        <v>3491</v>
      </c>
      <c r="B1671" s="4" t="s">
        <v>3492</v>
      </c>
      <c r="C1671" s="4" t="s">
        <v>13</v>
      </c>
      <c r="D1671" s="4" t="s">
        <v>3439</v>
      </c>
      <c r="E1671" s="4" t="s">
        <v>3440</v>
      </c>
      <c r="F1671" s="4" t="s">
        <v>16</v>
      </c>
      <c r="G1671" s="1">
        <v>0.2</v>
      </c>
      <c r="H1671" s="4" t="s">
        <v>27</v>
      </c>
      <c r="I1671" s="4" t="s">
        <v>3169</v>
      </c>
      <c r="J1671" s="4" t="s">
        <v>3170</v>
      </c>
      <c r="K1671" s="4" t="s">
        <v>24</v>
      </c>
    </row>
    <row r="1672" spans="1:11" x14ac:dyDescent="0.2">
      <c r="A1672" s="4" t="s">
        <v>3493</v>
      </c>
      <c r="B1672" s="4" t="s">
        <v>3494</v>
      </c>
      <c r="C1672" s="4" t="s">
        <v>13</v>
      </c>
      <c r="D1672" s="4" t="s">
        <v>3439</v>
      </c>
      <c r="E1672" s="4" t="s">
        <v>3440</v>
      </c>
      <c r="F1672" s="4" t="s">
        <v>16</v>
      </c>
      <c r="G1672" s="1">
        <v>0</v>
      </c>
      <c r="H1672" s="4" t="s">
        <v>1149</v>
      </c>
      <c r="I1672" s="4" t="s">
        <v>3169</v>
      </c>
      <c r="J1672" s="4" t="s">
        <v>3170</v>
      </c>
      <c r="K1672" s="4" t="s">
        <v>24</v>
      </c>
    </row>
    <row r="1673" spans="1:11" x14ac:dyDescent="0.2">
      <c r="A1673" s="4" t="s">
        <v>3495</v>
      </c>
      <c r="B1673" s="4" t="s">
        <v>3496</v>
      </c>
      <c r="C1673" s="4" t="s">
        <v>13</v>
      </c>
      <c r="D1673" s="4" t="s">
        <v>3439</v>
      </c>
      <c r="E1673" s="4" t="s">
        <v>3440</v>
      </c>
      <c r="F1673" s="4" t="s">
        <v>16</v>
      </c>
      <c r="G1673" s="1">
        <v>2.1999999999999999E-2</v>
      </c>
      <c r="H1673" s="4" t="s">
        <v>23</v>
      </c>
      <c r="I1673" s="4" t="s">
        <v>3169</v>
      </c>
      <c r="J1673" s="4" t="s">
        <v>3170</v>
      </c>
      <c r="K1673" s="4" t="s">
        <v>24</v>
      </c>
    </row>
    <row r="1674" spans="1:11" x14ac:dyDescent="0.2">
      <c r="A1674" s="4" t="s">
        <v>3497</v>
      </c>
      <c r="B1674" s="4" t="s">
        <v>3498</v>
      </c>
      <c r="C1674" s="4" t="s">
        <v>13</v>
      </c>
      <c r="D1674" s="4" t="s">
        <v>3439</v>
      </c>
      <c r="E1674" s="4" t="s">
        <v>3440</v>
      </c>
      <c r="F1674" s="4" t="s">
        <v>16</v>
      </c>
      <c r="G1674" s="1">
        <v>0.2</v>
      </c>
      <c r="H1674" s="4" t="s">
        <v>27</v>
      </c>
      <c r="I1674" s="4" t="s">
        <v>3169</v>
      </c>
      <c r="J1674" s="4" t="s">
        <v>3170</v>
      </c>
      <c r="K1674" s="4" t="s">
        <v>3427</v>
      </c>
    </row>
    <row r="1675" spans="1:11" x14ac:dyDescent="0.2">
      <c r="A1675" s="4" t="s">
        <v>3499</v>
      </c>
      <c r="B1675" s="4" t="s">
        <v>3500</v>
      </c>
      <c r="C1675" s="4" t="s">
        <v>13</v>
      </c>
      <c r="D1675" s="4" t="s">
        <v>3439</v>
      </c>
      <c r="E1675" s="4" t="s">
        <v>3440</v>
      </c>
      <c r="F1675" s="4" t="s">
        <v>16</v>
      </c>
      <c r="G1675" s="1">
        <v>0.17799999999999999</v>
      </c>
      <c r="H1675" s="4" t="s">
        <v>39</v>
      </c>
      <c r="I1675" s="4" t="s">
        <v>3169</v>
      </c>
      <c r="J1675" s="4" t="s">
        <v>3170</v>
      </c>
      <c r="K1675" s="4" t="s">
        <v>24</v>
      </c>
    </row>
    <row r="1676" spans="1:11" x14ac:dyDescent="0.2">
      <c r="A1676" s="4" t="s">
        <v>3501</v>
      </c>
      <c r="B1676" s="4" t="s">
        <v>3502</v>
      </c>
      <c r="C1676" s="4" t="s">
        <v>13</v>
      </c>
      <c r="D1676" s="4" t="s">
        <v>3439</v>
      </c>
      <c r="E1676" s="4" t="s">
        <v>3440</v>
      </c>
      <c r="F1676" s="4" t="s">
        <v>16</v>
      </c>
      <c r="G1676" s="1">
        <v>0.17799999999999999</v>
      </c>
      <c r="H1676" s="4" t="s">
        <v>39</v>
      </c>
      <c r="I1676" s="4" t="s">
        <v>3169</v>
      </c>
      <c r="J1676" s="4" t="s">
        <v>3170</v>
      </c>
      <c r="K1676" s="4" t="s">
        <v>24</v>
      </c>
    </row>
    <row r="1677" spans="1:11" x14ac:dyDescent="0.2">
      <c r="A1677" s="4" t="s">
        <v>1139</v>
      </c>
      <c r="B1677" s="4" t="s">
        <v>1140</v>
      </c>
      <c r="C1677" s="4" t="s">
        <v>49</v>
      </c>
      <c r="D1677" s="4" t="s">
        <v>3503</v>
      </c>
      <c r="E1677" s="4" t="s">
        <v>3504</v>
      </c>
      <c r="F1677" s="4" t="s">
        <v>1863</v>
      </c>
      <c r="G1677" s="1">
        <v>2.1999999999999999E-2</v>
      </c>
      <c r="H1677" s="4" t="s">
        <v>23</v>
      </c>
      <c r="I1677" s="4" t="s">
        <v>3505</v>
      </c>
      <c r="J1677" s="4" t="s">
        <v>3506</v>
      </c>
      <c r="K1677" s="4" t="s">
        <v>3507</v>
      </c>
    </row>
    <row r="1678" spans="1:11" x14ac:dyDescent="0.2">
      <c r="A1678" s="4" t="s">
        <v>3508</v>
      </c>
      <c r="B1678" s="4" t="s">
        <v>3509</v>
      </c>
      <c r="C1678" s="4" t="s">
        <v>13</v>
      </c>
      <c r="D1678" s="4" t="s">
        <v>3503</v>
      </c>
      <c r="E1678" s="4" t="s">
        <v>3504</v>
      </c>
      <c r="F1678" s="4" t="s">
        <v>1863</v>
      </c>
      <c r="G1678" s="1">
        <v>0.13300000000000001</v>
      </c>
      <c r="H1678" s="4" t="s">
        <v>36</v>
      </c>
      <c r="I1678" s="4" t="s">
        <v>3505</v>
      </c>
      <c r="J1678" s="4" t="s">
        <v>3506</v>
      </c>
      <c r="K1678" s="4" t="s">
        <v>24</v>
      </c>
    </row>
    <row r="1679" spans="1:11" x14ac:dyDescent="0.2">
      <c r="A1679" s="4" t="s">
        <v>3510</v>
      </c>
      <c r="B1679" s="4" t="s">
        <v>3511</v>
      </c>
      <c r="C1679" s="4" t="s">
        <v>13</v>
      </c>
      <c r="D1679" s="4" t="s">
        <v>3503</v>
      </c>
      <c r="E1679" s="4" t="s">
        <v>3504</v>
      </c>
      <c r="F1679" s="4" t="s">
        <v>1863</v>
      </c>
      <c r="G1679" s="1">
        <v>0.13300000000000001</v>
      </c>
      <c r="H1679" s="4" t="s">
        <v>36</v>
      </c>
      <c r="I1679" s="4" t="s">
        <v>3505</v>
      </c>
      <c r="J1679" s="4" t="s">
        <v>3506</v>
      </c>
      <c r="K1679" s="4" t="s">
        <v>24</v>
      </c>
    </row>
    <row r="1680" spans="1:11" x14ac:dyDescent="0.2">
      <c r="A1680" s="4" t="s">
        <v>3512</v>
      </c>
      <c r="B1680" s="4" t="s">
        <v>3513</v>
      </c>
      <c r="C1680" s="4" t="s">
        <v>13</v>
      </c>
      <c r="D1680" s="4" t="s">
        <v>3503</v>
      </c>
      <c r="E1680" s="4" t="s">
        <v>3504</v>
      </c>
      <c r="F1680" s="4" t="s">
        <v>1863</v>
      </c>
      <c r="G1680" s="1">
        <v>0.111</v>
      </c>
      <c r="H1680" s="4" t="s">
        <v>55</v>
      </c>
      <c r="I1680" s="4" t="s">
        <v>3505</v>
      </c>
      <c r="J1680" s="4" t="s">
        <v>3506</v>
      </c>
      <c r="K1680" s="4" t="s">
        <v>24</v>
      </c>
    </row>
    <row r="1681" spans="1:11" x14ac:dyDescent="0.2">
      <c r="A1681" s="4" t="s">
        <v>3514</v>
      </c>
      <c r="B1681" s="4" t="s">
        <v>3515</v>
      </c>
      <c r="C1681" s="4" t="s">
        <v>13</v>
      </c>
      <c r="D1681" s="4" t="s">
        <v>3503</v>
      </c>
      <c r="E1681" s="4" t="s">
        <v>3504</v>
      </c>
      <c r="F1681" s="4" t="s">
        <v>1863</v>
      </c>
      <c r="G1681" s="1">
        <v>0.13300000000000001</v>
      </c>
      <c r="H1681" s="4" t="s">
        <v>36</v>
      </c>
      <c r="I1681" s="4" t="s">
        <v>3505</v>
      </c>
      <c r="J1681" s="4" t="s">
        <v>3506</v>
      </c>
      <c r="K1681" s="4" t="s">
        <v>24</v>
      </c>
    </row>
    <row r="1682" spans="1:11" x14ac:dyDescent="0.2">
      <c r="A1682" s="4" t="s">
        <v>3516</v>
      </c>
      <c r="B1682" s="4" t="s">
        <v>3517</v>
      </c>
      <c r="C1682" s="4" t="s">
        <v>13</v>
      </c>
      <c r="D1682" s="4" t="s">
        <v>3503</v>
      </c>
      <c r="E1682" s="4" t="s">
        <v>3504</v>
      </c>
      <c r="F1682" s="4" t="s">
        <v>1863</v>
      </c>
      <c r="G1682" s="1">
        <v>0.13300000000000001</v>
      </c>
      <c r="H1682" s="4" t="s">
        <v>36</v>
      </c>
      <c r="I1682" s="4" t="s">
        <v>3505</v>
      </c>
      <c r="J1682" s="4" t="s">
        <v>3506</v>
      </c>
      <c r="K1682" s="4" t="s">
        <v>24</v>
      </c>
    </row>
    <row r="1683" spans="1:11" x14ac:dyDescent="0.2">
      <c r="A1683" s="4" t="s">
        <v>3518</v>
      </c>
      <c r="B1683" s="4" t="s">
        <v>3519</v>
      </c>
      <c r="C1683" s="4" t="s">
        <v>13</v>
      </c>
      <c r="D1683" s="4" t="s">
        <v>3503</v>
      </c>
      <c r="E1683" s="4" t="s">
        <v>3504</v>
      </c>
      <c r="F1683" s="4" t="s">
        <v>1863</v>
      </c>
      <c r="G1683" s="1">
        <v>2.1999999999999999E-2</v>
      </c>
      <c r="H1683" s="4" t="s">
        <v>23</v>
      </c>
      <c r="I1683" s="4" t="s">
        <v>3505</v>
      </c>
      <c r="J1683" s="4" t="s">
        <v>3506</v>
      </c>
      <c r="K1683" s="4" t="s">
        <v>24</v>
      </c>
    </row>
    <row r="1684" spans="1:11" x14ac:dyDescent="0.2">
      <c r="A1684" s="4" t="s">
        <v>3520</v>
      </c>
      <c r="B1684" s="4" t="s">
        <v>3521</v>
      </c>
      <c r="C1684" s="4" t="s">
        <v>13</v>
      </c>
      <c r="D1684" s="4" t="s">
        <v>3503</v>
      </c>
      <c r="E1684" s="4" t="s">
        <v>3504</v>
      </c>
      <c r="F1684" s="4" t="s">
        <v>1863</v>
      </c>
      <c r="G1684" s="1">
        <v>4.3999999999999997E-2</v>
      </c>
      <c r="H1684" s="4" t="s">
        <v>76</v>
      </c>
      <c r="I1684" s="4" t="s">
        <v>3505</v>
      </c>
      <c r="J1684" s="4" t="s">
        <v>3506</v>
      </c>
      <c r="K1684" s="4" t="s">
        <v>24</v>
      </c>
    </row>
    <row r="1685" spans="1:11" x14ac:dyDescent="0.2">
      <c r="A1685" s="4" t="s">
        <v>3522</v>
      </c>
      <c r="B1685" s="4" t="s">
        <v>3523</v>
      </c>
      <c r="C1685" s="4" t="s">
        <v>13</v>
      </c>
      <c r="D1685" s="4" t="s">
        <v>3503</v>
      </c>
      <c r="E1685" s="4" t="s">
        <v>3504</v>
      </c>
      <c r="F1685" s="4" t="s">
        <v>1863</v>
      </c>
      <c r="G1685" s="1">
        <v>0.13300000000000001</v>
      </c>
      <c r="H1685" s="4" t="s">
        <v>36</v>
      </c>
      <c r="I1685" s="4" t="s">
        <v>3505</v>
      </c>
      <c r="J1685" s="4" t="s">
        <v>3506</v>
      </c>
      <c r="K1685" s="4" t="s">
        <v>24</v>
      </c>
    </row>
    <row r="1686" spans="1:11" x14ac:dyDescent="0.2">
      <c r="A1686" s="4" t="s">
        <v>3524</v>
      </c>
      <c r="B1686" s="4" t="s">
        <v>3525</v>
      </c>
      <c r="C1686" s="4" t="s">
        <v>13</v>
      </c>
      <c r="D1686" s="4" t="s">
        <v>3503</v>
      </c>
      <c r="E1686" s="4" t="s">
        <v>3504</v>
      </c>
      <c r="F1686" s="4" t="s">
        <v>1863</v>
      </c>
      <c r="G1686" s="1">
        <v>2.1999999999999999E-2</v>
      </c>
      <c r="H1686" s="4" t="s">
        <v>23</v>
      </c>
      <c r="I1686" s="4" t="s">
        <v>3505</v>
      </c>
      <c r="J1686" s="4" t="s">
        <v>3506</v>
      </c>
      <c r="K1686" s="4" t="s">
        <v>24</v>
      </c>
    </row>
    <row r="1687" spans="1:11" x14ac:dyDescent="0.2">
      <c r="A1687" s="4" t="s">
        <v>3526</v>
      </c>
      <c r="B1687" s="4" t="s">
        <v>3527</v>
      </c>
      <c r="C1687" s="4" t="s">
        <v>13</v>
      </c>
      <c r="D1687" s="4" t="s">
        <v>3503</v>
      </c>
      <c r="E1687" s="4" t="s">
        <v>3504</v>
      </c>
      <c r="F1687" s="4" t="s">
        <v>1863</v>
      </c>
      <c r="G1687" s="1">
        <v>0.13300000000000001</v>
      </c>
      <c r="H1687" s="4" t="s">
        <v>36</v>
      </c>
      <c r="I1687" s="4" t="s">
        <v>3505</v>
      </c>
      <c r="J1687" s="4" t="s">
        <v>3506</v>
      </c>
      <c r="K1687" s="4" t="s">
        <v>24</v>
      </c>
    </row>
    <row r="1688" spans="1:11" x14ac:dyDescent="0.2">
      <c r="A1688" s="4" t="s">
        <v>3528</v>
      </c>
      <c r="B1688" s="4" t="s">
        <v>3529</v>
      </c>
      <c r="C1688" s="4" t="s">
        <v>13</v>
      </c>
      <c r="D1688" s="4" t="s">
        <v>3503</v>
      </c>
      <c r="E1688" s="4" t="s">
        <v>3504</v>
      </c>
      <c r="F1688" s="4" t="s">
        <v>1863</v>
      </c>
      <c r="G1688" s="1">
        <v>0.13300000000000001</v>
      </c>
      <c r="H1688" s="4" t="s">
        <v>36</v>
      </c>
      <c r="I1688" s="4" t="s">
        <v>3505</v>
      </c>
      <c r="J1688" s="4" t="s">
        <v>3506</v>
      </c>
      <c r="K1688" s="4" t="s">
        <v>24</v>
      </c>
    </row>
    <row r="1689" spans="1:11" x14ac:dyDescent="0.2">
      <c r="A1689" s="4" t="s">
        <v>1917</v>
      </c>
      <c r="B1689" s="4" t="s">
        <v>1918</v>
      </c>
      <c r="C1689" s="4" t="s">
        <v>49</v>
      </c>
      <c r="D1689" s="4" t="s">
        <v>3503</v>
      </c>
      <c r="E1689" s="4" t="s">
        <v>3504</v>
      </c>
      <c r="F1689" s="4" t="s">
        <v>1863</v>
      </c>
      <c r="G1689" s="1">
        <v>0</v>
      </c>
      <c r="H1689" s="4" t="s">
        <v>1149</v>
      </c>
      <c r="I1689" s="4" t="s">
        <v>3505</v>
      </c>
      <c r="J1689" s="4" t="s">
        <v>3506</v>
      </c>
      <c r="K1689" s="4" t="s">
        <v>24</v>
      </c>
    </row>
    <row r="1690" spans="1:11" x14ac:dyDescent="0.2">
      <c r="A1690" s="4" t="s">
        <v>3530</v>
      </c>
      <c r="B1690" s="4" t="s">
        <v>3531</v>
      </c>
      <c r="C1690" s="4" t="s">
        <v>13</v>
      </c>
      <c r="D1690" s="4" t="s">
        <v>3503</v>
      </c>
      <c r="E1690" s="4" t="s">
        <v>3504</v>
      </c>
      <c r="F1690" s="4" t="s">
        <v>1863</v>
      </c>
      <c r="G1690" s="1">
        <v>8.8999999999999996E-2</v>
      </c>
      <c r="H1690" s="4" t="s">
        <v>17</v>
      </c>
      <c r="I1690" s="4" t="s">
        <v>3505</v>
      </c>
      <c r="J1690" s="4" t="s">
        <v>3506</v>
      </c>
      <c r="K1690" s="4" t="s">
        <v>24</v>
      </c>
    </row>
    <row r="1691" spans="1:11" x14ac:dyDescent="0.2">
      <c r="A1691" s="4" t="s">
        <v>3532</v>
      </c>
      <c r="B1691" s="4" t="s">
        <v>3533</v>
      </c>
      <c r="C1691" s="4" t="s">
        <v>13</v>
      </c>
      <c r="D1691" s="4" t="s">
        <v>3503</v>
      </c>
      <c r="E1691" s="4" t="s">
        <v>3504</v>
      </c>
      <c r="F1691" s="4" t="s">
        <v>1863</v>
      </c>
      <c r="G1691" s="1">
        <v>0.13300000000000001</v>
      </c>
      <c r="H1691" s="4" t="s">
        <v>36</v>
      </c>
      <c r="I1691" s="4" t="s">
        <v>3505</v>
      </c>
      <c r="J1691" s="4" t="s">
        <v>3506</v>
      </c>
      <c r="K1691" s="4" t="s">
        <v>24</v>
      </c>
    </row>
    <row r="1692" spans="1:11" x14ac:dyDescent="0.2">
      <c r="A1692" s="4" t="s">
        <v>3534</v>
      </c>
      <c r="B1692" s="4" t="s">
        <v>3535</v>
      </c>
      <c r="C1692" s="4" t="s">
        <v>13</v>
      </c>
      <c r="D1692" s="4" t="s">
        <v>3503</v>
      </c>
      <c r="E1692" s="4" t="s">
        <v>3504</v>
      </c>
      <c r="F1692" s="4" t="s">
        <v>1863</v>
      </c>
      <c r="G1692" s="1">
        <v>0.13300000000000001</v>
      </c>
      <c r="H1692" s="4" t="s">
        <v>36</v>
      </c>
      <c r="I1692" s="4" t="s">
        <v>3505</v>
      </c>
      <c r="J1692" s="4" t="s">
        <v>3506</v>
      </c>
      <c r="K1692" s="4" t="s">
        <v>24</v>
      </c>
    </row>
    <row r="1693" spans="1:11" x14ac:dyDescent="0.2">
      <c r="A1693" s="4" t="s">
        <v>3536</v>
      </c>
      <c r="B1693" s="4" t="s">
        <v>3537</v>
      </c>
      <c r="C1693" s="4" t="s">
        <v>13</v>
      </c>
      <c r="D1693" s="4" t="s">
        <v>3503</v>
      </c>
      <c r="E1693" s="4" t="s">
        <v>3504</v>
      </c>
      <c r="F1693" s="4" t="s">
        <v>1863</v>
      </c>
      <c r="G1693" s="1">
        <v>2.1999999999999999E-2</v>
      </c>
      <c r="H1693" s="4" t="s">
        <v>23</v>
      </c>
      <c r="I1693" s="4" t="s">
        <v>3505</v>
      </c>
      <c r="J1693" s="4" t="s">
        <v>3506</v>
      </c>
      <c r="K1693" s="4" t="s">
        <v>24</v>
      </c>
    </row>
    <row r="1694" spans="1:11" x14ac:dyDescent="0.2">
      <c r="A1694" s="4" t="s">
        <v>3538</v>
      </c>
      <c r="B1694" s="4" t="s">
        <v>3539</v>
      </c>
      <c r="C1694" s="4" t="s">
        <v>13</v>
      </c>
      <c r="D1694" s="4" t="s">
        <v>3503</v>
      </c>
      <c r="E1694" s="4" t="s">
        <v>3504</v>
      </c>
      <c r="F1694" s="4" t="s">
        <v>1863</v>
      </c>
      <c r="G1694" s="1">
        <v>0.13300000000000001</v>
      </c>
      <c r="H1694" s="4" t="s">
        <v>36</v>
      </c>
      <c r="I1694" s="4" t="s">
        <v>3505</v>
      </c>
      <c r="J1694" s="4" t="s">
        <v>3506</v>
      </c>
      <c r="K1694" s="4" t="s">
        <v>24</v>
      </c>
    </row>
    <row r="1695" spans="1:11" x14ac:dyDescent="0.2">
      <c r="A1695" s="4" t="s">
        <v>3540</v>
      </c>
      <c r="B1695" s="4" t="s">
        <v>3541</v>
      </c>
      <c r="C1695" s="4" t="s">
        <v>13</v>
      </c>
      <c r="D1695" s="4" t="s">
        <v>3503</v>
      </c>
      <c r="E1695" s="4" t="s">
        <v>3504</v>
      </c>
      <c r="F1695" s="4" t="s">
        <v>1863</v>
      </c>
      <c r="G1695" s="1">
        <v>0.13300000000000001</v>
      </c>
      <c r="H1695" s="4" t="s">
        <v>36</v>
      </c>
      <c r="I1695" s="4" t="s">
        <v>3505</v>
      </c>
      <c r="J1695" s="4" t="s">
        <v>3506</v>
      </c>
      <c r="K1695" s="4" t="s">
        <v>24</v>
      </c>
    </row>
    <row r="1696" spans="1:11" x14ac:dyDescent="0.2">
      <c r="A1696" s="4" t="s">
        <v>3542</v>
      </c>
      <c r="B1696" s="4" t="s">
        <v>3543</v>
      </c>
      <c r="C1696" s="4" t="s">
        <v>13</v>
      </c>
      <c r="D1696" s="4" t="s">
        <v>3503</v>
      </c>
      <c r="E1696" s="4" t="s">
        <v>3504</v>
      </c>
      <c r="F1696" s="4" t="s">
        <v>1863</v>
      </c>
      <c r="G1696" s="1">
        <v>0.13300000000000001</v>
      </c>
      <c r="H1696" s="4" t="s">
        <v>36</v>
      </c>
      <c r="I1696" s="4" t="s">
        <v>3505</v>
      </c>
      <c r="J1696" s="4" t="s">
        <v>3506</v>
      </c>
      <c r="K1696" s="4" t="s">
        <v>24</v>
      </c>
    </row>
    <row r="1697" spans="1:11" x14ac:dyDescent="0.2">
      <c r="A1697" s="4" t="s">
        <v>3544</v>
      </c>
      <c r="B1697" s="4" t="s">
        <v>3545</v>
      </c>
      <c r="C1697" s="4" t="s">
        <v>13</v>
      </c>
      <c r="D1697" s="4" t="s">
        <v>3503</v>
      </c>
      <c r="E1697" s="4" t="s">
        <v>3504</v>
      </c>
      <c r="F1697" s="4" t="s">
        <v>1863</v>
      </c>
      <c r="G1697" s="1">
        <v>2.1999999999999999E-2</v>
      </c>
      <c r="H1697" s="4" t="s">
        <v>23</v>
      </c>
      <c r="I1697" s="4" t="s">
        <v>3505</v>
      </c>
      <c r="J1697" s="4" t="s">
        <v>3506</v>
      </c>
      <c r="K1697" s="4" t="s">
        <v>24</v>
      </c>
    </row>
    <row r="1698" spans="1:11" x14ac:dyDescent="0.2">
      <c r="A1698" s="4" t="s">
        <v>3546</v>
      </c>
      <c r="B1698" s="4" t="s">
        <v>3547</v>
      </c>
      <c r="C1698" s="4" t="s">
        <v>13</v>
      </c>
      <c r="D1698" s="4" t="s">
        <v>3503</v>
      </c>
      <c r="E1698" s="4" t="s">
        <v>3504</v>
      </c>
      <c r="F1698" s="4" t="s">
        <v>1863</v>
      </c>
      <c r="G1698" s="1">
        <v>0</v>
      </c>
      <c r="H1698" s="4" t="s">
        <v>1149</v>
      </c>
      <c r="I1698" s="4" t="s">
        <v>3505</v>
      </c>
      <c r="J1698" s="4" t="s">
        <v>3506</v>
      </c>
      <c r="K1698" s="4" t="s">
        <v>24</v>
      </c>
    </row>
    <row r="1699" spans="1:11" x14ac:dyDescent="0.2">
      <c r="A1699" s="4" t="s">
        <v>1625</v>
      </c>
      <c r="B1699" s="4" t="s">
        <v>1626</v>
      </c>
      <c r="C1699" s="4" t="s">
        <v>13</v>
      </c>
      <c r="D1699" s="4" t="s">
        <v>3503</v>
      </c>
      <c r="E1699" s="4" t="s">
        <v>3504</v>
      </c>
      <c r="F1699" s="4" t="s">
        <v>1863</v>
      </c>
      <c r="G1699" s="1">
        <v>0.13300000000000001</v>
      </c>
      <c r="H1699" s="4" t="s">
        <v>36</v>
      </c>
      <c r="I1699" s="4" t="s">
        <v>3505</v>
      </c>
      <c r="J1699" s="4" t="s">
        <v>3506</v>
      </c>
      <c r="K1699" s="4" t="s">
        <v>24</v>
      </c>
    </row>
    <row r="1700" spans="1:11" x14ac:dyDescent="0.2">
      <c r="A1700" s="4" t="s">
        <v>3548</v>
      </c>
      <c r="B1700" s="4" t="s">
        <v>3549</v>
      </c>
      <c r="C1700" s="4" t="s">
        <v>13</v>
      </c>
      <c r="D1700" s="4" t="s">
        <v>3503</v>
      </c>
      <c r="E1700" s="4" t="s">
        <v>3504</v>
      </c>
      <c r="F1700" s="4" t="s">
        <v>1863</v>
      </c>
      <c r="G1700" s="1">
        <v>8.8999999999999996E-2</v>
      </c>
      <c r="H1700" s="4" t="s">
        <v>17</v>
      </c>
      <c r="I1700" s="4" t="s">
        <v>3505</v>
      </c>
      <c r="J1700" s="4" t="s">
        <v>3506</v>
      </c>
      <c r="K1700" s="4" t="s">
        <v>24</v>
      </c>
    </row>
    <row r="1701" spans="1:11" x14ac:dyDescent="0.2">
      <c r="A1701" s="4" t="s">
        <v>3081</v>
      </c>
      <c r="B1701" s="4" t="s">
        <v>3082</v>
      </c>
      <c r="C1701" s="4" t="s">
        <v>13</v>
      </c>
      <c r="D1701" s="4" t="s">
        <v>3550</v>
      </c>
      <c r="E1701" s="4" t="s">
        <v>3551</v>
      </c>
      <c r="F1701" s="4" t="s">
        <v>335</v>
      </c>
      <c r="G1701" s="1">
        <v>0.1</v>
      </c>
      <c r="H1701" s="4" t="s">
        <v>380</v>
      </c>
      <c r="I1701" s="4" t="s">
        <v>3505</v>
      </c>
      <c r="J1701" s="4" t="s">
        <v>3362</v>
      </c>
      <c r="K1701" s="4" t="s">
        <v>3507</v>
      </c>
    </row>
    <row r="1702" spans="1:11" x14ac:dyDescent="0.2">
      <c r="A1702" s="4" t="s">
        <v>3552</v>
      </c>
      <c r="B1702" s="4" t="s">
        <v>3553</v>
      </c>
      <c r="C1702" s="4" t="s">
        <v>13</v>
      </c>
      <c r="D1702" s="4" t="s">
        <v>3550</v>
      </c>
      <c r="E1702" s="4" t="s">
        <v>3551</v>
      </c>
      <c r="F1702" s="4" t="s">
        <v>335</v>
      </c>
      <c r="G1702" s="1">
        <v>0.16700000000000001</v>
      </c>
      <c r="H1702" s="4" t="s">
        <v>229</v>
      </c>
      <c r="I1702" s="4" t="s">
        <v>3505</v>
      </c>
      <c r="J1702" s="4" t="s">
        <v>3362</v>
      </c>
      <c r="K1702" s="4" t="s">
        <v>3554</v>
      </c>
    </row>
    <row r="1703" spans="1:11" x14ac:dyDescent="0.2">
      <c r="A1703" s="4" t="s">
        <v>3555</v>
      </c>
      <c r="B1703" s="4" t="s">
        <v>3556</v>
      </c>
      <c r="C1703" s="4" t="s">
        <v>13</v>
      </c>
      <c r="D1703" s="4" t="s">
        <v>3550</v>
      </c>
      <c r="E1703" s="4" t="s">
        <v>3551</v>
      </c>
      <c r="F1703" s="4" t="s">
        <v>335</v>
      </c>
      <c r="G1703" s="1">
        <v>0.13300000000000001</v>
      </c>
      <c r="H1703" s="4" t="s">
        <v>112</v>
      </c>
      <c r="I1703" s="4" t="s">
        <v>3505</v>
      </c>
      <c r="J1703" s="4" t="s">
        <v>3362</v>
      </c>
      <c r="K1703" s="4" t="s">
        <v>3554</v>
      </c>
    </row>
    <row r="1704" spans="1:11" x14ac:dyDescent="0.2">
      <c r="A1704" s="4" t="s">
        <v>3557</v>
      </c>
      <c r="B1704" s="4" t="s">
        <v>3558</v>
      </c>
      <c r="C1704" s="4" t="s">
        <v>13</v>
      </c>
      <c r="D1704" s="4" t="s">
        <v>3550</v>
      </c>
      <c r="E1704" s="4" t="s">
        <v>3551</v>
      </c>
      <c r="F1704" s="4" t="s">
        <v>335</v>
      </c>
      <c r="G1704" s="1">
        <v>0.13300000000000001</v>
      </c>
      <c r="H1704" s="4" t="s">
        <v>2173</v>
      </c>
      <c r="I1704" s="4" t="s">
        <v>3505</v>
      </c>
      <c r="J1704" s="4" t="s">
        <v>3362</v>
      </c>
      <c r="K1704" s="4" t="s">
        <v>3554</v>
      </c>
    </row>
    <row r="1705" spans="1:11" x14ac:dyDescent="0.2">
      <c r="A1705" s="4" t="s">
        <v>3559</v>
      </c>
      <c r="B1705" s="4" t="s">
        <v>3560</v>
      </c>
      <c r="C1705" s="4" t="s">
        <v>13</v>
      </c>
      <c r="D1705" s="4" t="s">
        <v>3550</v>
      </c>
      <c r="E1705" s="4" t="s">
        <v>3551</v>
      </c>
      <c r="F1705" s="4" t="s">
        <v>335</v>
      </c>
      <c r="G1705" s="1">
        <v>0.16700000000000001</v>
      </c>
      <c r="H1705" s="4" t="s">
        <v>229</v>
      </c>
      <c r="I1705" s="4" t="s">
        <v>3505</v>
      </c>
      <c r="J1705" s="4" t="s">
        <v>3362</v>
      </c>
      <c r="K1705" s="4" t="s">
        <v>3554</v>
      </c>
    </row>
    <row r="1706" spans="1:11" x14ac:dyDescent="0.2">
      <c r="A1706" s="4" t="s">
        <v>3561</v>
      </c>
      <c r="B1706" s="4" t="s">
        <v>3562</v>
      </c>
      <c r="C1706" s="4" t="s">
        <v>13</v>
      </c>
      <c r="D1706" s="4" t="s">
        <v>3550</v>
      </c>
      <c r="E1706" s="4" t="s">
        <v>3551</v>
      </c>
      <c r="F1706" s="4" t="s">
        <v>335</v>
      </c>
      <c r="G1706" s="1">
        <v>0.16700000000000001</v>
      </c>
      <c r="H1706" s="4" t="s">
        <v>229</v>
      </c>
      <c r="I1706" s="4" t="s">
        <v>3505</v>
      </c>
      <c r="J1706" s="4" t="s">
        <v>3362</v>
      </c>
      <c r="K1706" s="4" t="s">
        <v>3554</v>
      </c>
    </row>
    <row r="1707" spans="1:11" x14ac:dyDescent="0.2">
      <c r="A1707" s="4" t="s">
        <v>3563</v>
      </c>
      <c r="B1707" s="4" t="s">
        <v>3564</v>
      </c>
      <c r="C1707" s="4" t="s">
        <v>13</v>
      </c>
      <c r="D1707" s="4" t="s">
        <v>3550</v>
      </c>
      <c r="E1707" s="4" t="s">
        <v>3551</v>
      </c>
      <c r="F1707" s="4" t="s">
        <v>335</v>
      </c>
      <c r="G1707" s="1">
        <v>0.1</v>
      </c>
      <c r="H1707" s="4" t="s">
        <v>117</v>
      </c>
      <c r="I1707" s="4" t="s">
        <v>3505</v>
      </c>
      <c r="J1707" s="4" t="s">
        <v>3362</v>
      </c>
      <c r="K1707" s="4" t="s">
        <v>3554</v>
      </c>
    </row>
    <row r="1708" spans="1:11" x14ac:dyDescent="0.2">
      <c r="A1708" s="4" t="s">
        <v>3565</v>
      </c>
      <c r="B1708" s="4" t="s">
        <v>3566</v>
      </c>
      <c r="C1708" s="4" t="s">
        <v>13</v>
      </c>
      <c r="D1708" s="4" t="s">
        <v>3550</v>
      </c>
      <c r="E1708" s="4" t="s">
        <v>3551</v>
      </c>
      <c r="F1708" s="4" t="s">
        <v>335</v>
      </c>
      <c r="G1708" s="1">
        <v>0.13300000000000001</v>
      </c>
      <c r="H1708" s="4" t="s">
        <v>112</v>
      </c>
      <c r="I1708" s="4" t="s">
        <v>3505</v>
      </c>
      <c r="J1708" s="4" t="s">
        <v>3362</v>
      </c>
      <c r="K1708" s="4" t="s">
        <v>3567</v>
      </c>
    </row>
    <row r="1709" spans="1:11" x14ac:dyDescent="0.2">
      <c r="A1709" s="4" t="s">
        <v>3568</v>
      </c>
      <c r="B1709" s="4" t="s">
        <v>3569</v>
      </c>
      <c r="C1709" s="4" t="s">
        <v>13</v>
      </c>
      <c r="D1709" s="4" t="s">
        <v>3550</v>
      </c>
      <c r="E1709" s="4" t="s">
        <v>3551</v>
      </c>
      <c r="F1709" s="4" t="s">
        <v>335</v>
      </c>
      <c r="G1709" s="1">
        <v>0.16700000000000001</v>
      </c>
      <c r="H1709" s="4" t="s">
        <v>229</v>
      </c>
      <c r="I1709" s="4" t="s">
        <v>3505</v>
      </c>
      <c r="J1709" s="4" t="s">
        <v>3362</v>
      </c>
      <c r="K1709" s="4" t="s">
        <v>24</v>
      </c>
    </row>
    <row r="1710" spans="1:11" x14ac:dyDescent="0.2">
      <c r="A1710" s="4" t="s">
        <v>3570</v>
      </c>
      <c r="B1710" s="4" t="s">
        <v>3571</v>
      </c>
      <c r="C1710" s="4" t="s">
        <v>13</v>
      </c>
      <c r="D1710" s="4" t="s">
        <v>3550</v>
      </c>
      <c r="E1710" s="4" t="s">
        <v>3551</v>
      </c>
      <c r="F1710" s="4" t="s">
        <v>335</v>
      </c>
      <c r="G1710" s="1">
        <v>0.16700000000000001</v>
      </c>
      <c r="H1710" s="4" t="s">
        <v>229</v>
      </c>
      <c r="I1710" s="4" t="s">
        <v>3505</v>
      </c>
      <c r="J1710" s="4" t="s">
        <v>3362</v>
      </c>
      <c r="K1710" s="4" t="s">
        <v>24</v>
      </c>
    </row>
    <row r="1711" spans="1:11" x14ac:dyDescent="0.2">
      <c r="A1711" s="4" t="s">
        <v>3572</v>
      </c>
      <c r="B1711" s="4" t="s">
        <v>3573</v>
      </c>
      <c r="C1711" s="4" t="s">
        <v>13</v>
      </c>
      <c r="D1711" s="4" t="s">
        <v>3550</v>
      </c>
      <c r="E1711" s="4" t="s">
        <v>3551</v>
      </c>
      <c r="F1711" s="4" t="s">
        <v>335</v>
      </c>
      <c r="G1711" s="1">
        <v>0.13300000000000001</v>
      </c>
      <c r="H1711" s="4" t="s">
        <v>112</v>
      </c>
      <c r="I1711" s="4" t="s">
        <v>3505</v>
      </c>
      <c r="J1711" s="4" t="s">
        <v>3362</v>
      </c>
      <c r="K1711" s="4" t="s">
        <v>24</v>
      </c>
    </row>
    <row r="1712" spans="1:11" x14ac:dyDescent="0.2">
      <c r="A1712" s="4" t="s">
        <v>3574</v>
      </c>
      <c r="B1712" s="4" t="s">
        <v>3575</v>
      </c>
      <c r="C1712" s="4" t="s">
        <v>13</v>
      </c>
      <c r="D1712" s="4" t="s">
        <v>3550</v>
      </c>
      <c r="E1712" s="4" t="s">
        <v>3551</v>
      </c>
      <c r="F1712" s="4" t="s">
        <v>335</v>
      </c>
      <c r="G1712" s="1">
        <v>0.13300000000000001</v>
      </c>
      <c r="H1712" s="4" t="s">
        <v>112</v>
      </c>
      <c r="I1712" s="4" t="s">
        <v>3505</v>
      </c>
      <c r="J1712" s="4" t="s">
        <v>3362</v>
      </c>
      <c r="K1712" s="4" t="s">
        <v>24</v>
      </c>
    </row>
    <row r="1713" spans="1:11" x14ac:dyDescent="0.2">
      <c r="A1713" s="4" t="s">
        <v>3576</v>
      </c>
      <c r="B1713" s="4" t="s">
        <v>3577</v>
      </c>
      <c r="C1713" s="4" t="s">
        <v>13</v>
      </c>
      <c r="D1713" s="4" t="s">
        <v>3550</v>
      </c>
      <c r="E1713" s="4" t="s">
        <v>3551</v>
      </c>
      <c r="F1713" s="4" t="s">
        <v>335</v>
      </c>
      <c r="G1713" s="1">
        <v>0.16700000000000001</v>
      </c>
      <c r="H1713" s="4" t="s">
        <v>229</v>
      </c>
      <c r="I1713" s="4" t="s">
        <v>3505</v>
      </c>
      <c r="J1713" s="4" t="s">
        <v>3362</v>
      </c>
      <c r="K1713" s="4" t="s">
        <v>24</v>
      </c>
    </row>
    <row r="1714" spans="1:11" x14ac:dyDescent="0.2">
      <c r="A1714" s="4" t="s">
        <v>3578</v>
      </c>
      <c r="B1714" s="4" t="s">
        <v>3579</v>
      </c>
      <c r="C1714" s="4" t="s">
        <v>13</v>
      </c>
      <c r="D1714" s="4" t="s">
        <v>3550</v>
      </c>
      <c r="E1714" s="4" t="s">
        <v>3551</v>
      </c>
      <c r="F1714" s="4" t="s">
        <v>335</v>
      </c>
      <c r="G1714" s="1">
        <v>0.16700000000000001</v>
      </c>
      <c r="H1714" s="4" t="s">
        <v>229</v>
      </c>
      <c r="I1714" s="4" t="s">
        <v>3505</v>
      </c>
      <c r="J1714" s="4" t="s">
        <v>3362</v>
      </c>
      <c r="K1714" s="4" t="s">
        <v>24</v>
      </c>
    </row>
    <row r="1715" spans="1:11" x14ac:dyDescent="0.2">
      <c r="A1715" s="4" t="s">
        <v>3580</v>
      </c>
      <c r="B1715" s="4" t="s">
        <v>3581</v>
      </c>
      <c r="C1715" s="4" t="s">
        <v>13</v>
      </c>
      <c r="D1715" s="4" t="s">
        <v>3550</v>
      </c>
      <c r="E1715" s="4" t="s">
        <v>3551</v>
      </c>
      <c r="F1715" s="4" t="s">
        <v>335</v>
      </c>
      <c r="G1715" s="1">
        <v>0.16700000000000001</v>
      </c>
      <c r="H1715" s="4" t="s">
        <v>229</v>
      </c>
      <c r="I1715" s="4" t="s">
        <v>3505</v>
      </c>
      <c r="J1715" s="4" t="s">
        <v>3362</v>
      </c>
      <c r="K1715" s="4" t="s">
        <v>24</v>
      </c>
    </row>
    <row r="1716" spans="1:11" x14ac:dyDescent="0.2">
      <c r="A1716" s="4" t="s">
        <v>3582</v>
      </c>
      <c r="B1716" s="4" t="s">
        <v>3583</v>
      </c>
      <c r="C1716" s="4" t="s">
        <v>13</v>
      </c>
      <c r="D1716" s="4" t="s">
        <v>3550</v>
      </c>
      <c r="E1716" s="4" t="s">
        <v>3551</v>
      </c>
      <c r="F1716" s="4" t="s">
        <v>335</v>
      </c>
      <c r="G1716" s="1">
        <v>0.16700000000000001</v>
      </c>
      <c r="H1716" s="4" t="s">
        <v>229</v>
      </c>
      <c r="I1716" s="4" t="s">
        <v>3505</v>
      </c>
      <c r="J1716" s="4" t="s">
        <v>3362</v>
      </c>
      <c r="K1716" s="4" t="s">
        <v>24</v>
      </c>
    </row>
    <row r="1717" spans="1:11" x14ac:dyDescent="0.2">
      <c r="A1717" s="4" t="s">
        <v>3584</v>
      </c>
      <c r="B1717" s="4" t="s">
        <v>3585</v>
      </c>
      <c r="C1717" s="4" t="s">
        <v>13</v>
      </c>
      <c r="D1717" s="4" t="s">
        <v>3550</v>
      </c>
      <c r="E1717" s="4" t="s">
        <v>3551</v>
      </c>
      <c r="F1717" s="4" t="s">
        <v>335</v>
      </c>
      <c r="G1717" s="1">
        <v>0.16700000000000001</v>
      </c>
      <c r="H1717" s="4" t="s">
        <v>229</v>
      </c>
      <c r="I1717" s="4" t="s">
        <v>3505</v>
      </c>
      <c r="J1717" s="4" t="s">
        <v>3362</v>
      </c>
      <c r="K1717" s="4" t="s">
        <v>24</v>
      </c>
    </row>
    <row r="1718" spans="1:11" x14ac:dyDescent="0.2">
      <c r="A1718" s="4" t="s">
        <v>3586</v>
      </c>
      <c r="B1718" s="4" t="s">
        <v>3587</v>
      </c>
      <c r="C1718" s="4" t="s">
        <v>13</v>
      </c>
      <c r="D1718" s="4" t="s">
        <v>3550</v>
      </c>
      <c r="E1718" s="4" t="s">
        <v>3551</v>
      </c>
      <c r="F1718" s="4" t="s">
        <v>335</v>
      </c>
      <c r="G1718" s="1">
        <v>0.1</v>
      </c>
      <c r="H1718" s="4" t="s">
        <v>117</v>
      </c>
      <c r="I1718" s="4" t="s">
        <v>3505</v>
      </c>
      <c r="J1718" s="4" t="s">
        <v>3362</v>
      </c>
      <c r="K1718" s="4" t="s">
        <v>24</v>
      </c>
    </row>
    <row r="1719" spans="1:11" x14ac:dyDescent="0.2">
      <c r="A1719" s="4" t="s">
        <v>3588</v>
      </c>
      <c r="B1719" s="4" t="s">
        <v>3589</v>
      </c>
      <c r="C1719" s="4" t="s">
        <v>13</v>
      </c>
      <c r="D1719" s="4" t="s">
        <v>3550</v>
      </c>
      <c r="E1719" s="4" t="s">
        <v>3551</v>
      </c>
      <c r="F1719" s="4" t="s">
        <v>335</v>
      </c>
      <c r="G1719" s="1">
        <v>0.16700000000000001</v>
      </c>
      <c r="H1719" s="4" t="s">
        <v>229</v>
      </c>
      <c r="I1719" s="4" t="s">
        <v>3505</v>
      </c>
      <c r="J1719" s="4" t="s">
        <v>3362</v>
      </c>
      <c r="K1719" s="4" t="s">
        <v>24</v>
      </c>
    </row>
    <row r="1720" spans="1:11" x14ac:dyDescent="0.2">
      <c r="A1720" s="4" t="s">
        <v>3590</v>
      </c>
      <c r="B1720" s="4" t="s">
        <v>3591</v>
      </c>
      <c r="C1720" s="4" t="s">
        <v>13</v>
      </c>
      <c r="D1720" s="4" t="s">
        <v>3550</v>
      </c>
      <c r="E1720" s="4" t="s">
        <v>3551</v>
      </c>
      <c r="F1720" s="4" t="s">
        <v>335</v>
      </c>
      <c r="G1720" s="1">
        <v>0.13300000000000001</v>
      </c>
      <c r="H1720" s="4" t="s">
        <v>112</v>
      </c>
      <c r="I1720" s="4" t="s">
        <v>3505</v>
      </c>
      <c r="J1720" s="4" t="s">
        <v>3362</v>
      </c>
      <c r="K1720" s="4" t="s">
        <v>24</v>
      </c>
    </row>
    <row r="1721" spans="1:11" x14ac:dyDescent="0.2">
      <c r="A1721" s="4" t="s">
        <v>3592</v>
      </c>
      <c r="B1721" s="4" t="s">
        <v>3593</v>
      </c>
      <c r="C1721" s="4" t="s">
        <v>13</v>
      </c>
      <c r="D1721" s="4" t="s">
        <v>3550</v>
      </c>
      <c r="E1721" s="4" t="s">
        <v>3551</v>
      </c>
      <c r="F1721" s="4" t="s">
        <v>335</v>
      </c>
      <c r="G1721" s="1">
        <v>0.16700000000000001</v>
      </c>
      <c r="H1721" s="4" t="s">
        <v>229</v>
      </c>
      <c r="I1721" s="4" t="s">
        <v>3505</v>
      </c>
      <c r="J1721" s="4" t="s">
        <v>3362</v>
      </c>
      <c r="K1721" s="4" t="s">
        <v>24</v>
      </c>
    </row>
    <row r="1722" spans="1:11" x14ac:dyDescent="0.2">
      <c r="A1722" s="4" t="s">
        <v>3594</v>
      </c>
      <c r="B1722" s="4" t="s">
        <v>3595</v>
      </c>
      <c r="C1722" s="4" t="s">
        <v>13</v>
      </c>
      <c r="D1722" s="4" t="s">
        <v>3550</v>
      </c>
      <c r="E1722" s="4" t="s">
        <v>3551</v>
      </c>
      <c r="F1722" s="4" t="s">
        <v>335</v>
      </c>
      <c r="G1722" s="1">
        <v>0.16700000000000001</v>
      </c>
      <c r="H1722" s="4" t="s">
        <v>229</v>
      </c>
      <c r="I1722" s="4" t="s">
        <v>3505</v>
      </c>
      <c r="J1722" s="4" t="s">
        <v>3362</v>
      </c>
      <c r="K1722" s="4" t="s">
        <v>24</v>
      </c>
    </row>
    <row r="1723" spans="1:11" x14ac:dyDescent="0.2">
      <c r="A1723" s="4" t="s">
        <v>3596</v>
      </c>
      <c r="B1723" s="4" t="s">
        <v>3597</v>
      </c>
      <c r="C1723" s="4" t="s">
        <v>13</v>
      </c>
      <c r="D1723" s="4" t="s">
        <v>3550</v>
      </c>
      <c r="E1723" s="4" t="s">
        <v>3551</v>
      </c>
      <c r="F1723" s="4" t="s">
        <v>335</v>
      </c>
      <c r="G1723" s="1">
        <v>0.16700000000000001</v>
      </c>
      <c r="H1723" s="4" t="s">
        <v>229</v>
      </c>
      <c r="I1723" s="4" t="s">
        <v>3505</v>
      </c>
      <c r="J1723" s="4" t="s">
        <v>3362</v>
      </c>
      <c r="K1723" s="4" t="s">
        <v>3554</v>
      </c>
    </row>
    <row r="1724" spans="1:11" x14ac:dyDescent="0.2">
      <c r="A1724" s="4" t="s">
        <v>3598</v>
      </c>
      <c r="B1724" s="4" t="s">
        <v>3599</v>
      </c>
      <c r="C1724" s="4" t="s">
        <v>13</v>
      </c>
      <c r="D1724" s="4" t="s">
        <v>3550</v>
      </c>
      <c r="E1724" s="4" t="s">
        <v>3551</v>
      </c>
      <c r="F1724" s="4" t="s">
        <v>335</v>
      </c>
      <c r="G1724" s="1">
        <v>3.3000000000000002E-2</v>
      </c>
      <c r="H1724" s="4" t="s">
        <v>225</v>
      </c>
      <c r="I1724" s="4" t="s">
        <v>3505</v>
      </c>
      <c r="J1724" s="4" t="s">
        <v>3362</v>
      </c>
      <c r="K1724" s="4" t="s">
        <v>24</v>
      </c>
    </row>
    <row r="1725" spans="1:11" x14ac:dyDescent="0.2">
      <c r="A1725" s="4" t="s">
        <v>3600</v>
      </c>
      <c r="B1725" s="4" t="s">
        <v>3601</v>
      </c>
      <c r="C1725" s="4" t="s">
        <v>13</v>
      </c>
      <c r="D1725" s="4" t="s">
        <v>3550</v>
      </c>
      <c r="E1725" s="4" t="s">
        <v>3551</v>
      </c>
      <c r="F1725" s="4" t="s">
        <v>335</v>
      </c>
      <c r="G1725" s="1">
        <v>3.3000000000000002E-2</v>
      </c>
      <c r="H1725" s="4" t="s">
        <v>225</v>
      </c>
      <c r="I1725" s="4" t="s">
        <v>3505</v>
      </c>
      <c r="J1725" s="4" t="s">
        <v>3362</v>
      </c>
      <c r="K1725" s="4" t="s">
        <v>24</v>
      </c>
    </row>
    <row r="1726" spans="1:11" x14ac:dyDescent="0.2">
      <c r="A1726" s="4" t="s">
        <v>3602</v>
      </c>
      <c r="B1726" s="4" t="s">
        <v>3603</v>
      </c>
      <c r="C1726" s="4" t="s">
        <v>13</v>
      </c>
      <c r="D1726" s="4" t="s">
        <v>3550</v>
      </c>
      <c r="E1726" s="4" t="s">
        <v>3551</v>
      </c>
      <c r="F1726" s="4" t="s">
        <v>335</v>
      </c>
      <c r="G1726" s="1">
        <v>0.16700000000000001</v>
      </c>
      <c r="H1726" s="4" t="s">
        <v>229</v>
      </c>
      <c r="I1726" s="4" t="s">
        <v>3505</v>
      </c>
      <c r="J1726" s="4" t="s">
        <v>3362</v>
      </c>
      <c r="K1726" s="4" t="s">
        <v>24</v>
      </c>
    </row>
    <row r="1727" spans="1:11" x14ac:dyDescent="0.2">
      <c r="A1727" s="4" t="s">
        <v>3604</v>
      </c>
      <c r="B1727" s="4" t="s">
        <v>3605</v>
      </c>
      <c r="C1727" s="4" t="s">
        <v>13</v>
      </c>
      <c r="D1727" s="4" t="s">
        <v>3550</v>
      </c>
      <c r="E1727" s="4" t="s">
        <v>3551</v>
      </c>
      <c r="F1727" s="4" t="s">
        <v>335</v>
      </c>
      <c r="G1727" s="1">
        <v>0.16700000000000001</v>
      </c>
      <c r="H1727" s="4" t="s">
        <v>229</v>
      </c>
      <c r="I1727" s="4" t="s">
        <v>3505</v>
      </c>
      <c r="J1727" s="4" t="s">
        <v>3362</v>
      </c>
      <c r="K1727" s="4" t="s">
        <v>24</v>
      </c>
    </row>
    <row r="1728" spans="1:11" x14ac:dyDescent="0.2">
      <c r="A1728" s="4" t="s">
        <v>3606</v>
      </c>
      <c r="B1728" s="4" t="s">
        <v>3607</v>
      </c>
      <c r="C1728" s="4" t="s">
        <v>13</v>
      </c>
      <c r="D1728" s="4" t="s">
        <v>3550</v>
      </c>
      <c r="E1728" s="4" t="s">
        <v>3551</v>
      </c>
      <c r="F1728" s="4" t="s">
        <v>335</v>
      </c>
      <c r="G1728" s="1">
        <v>0.16700000000000001</v>
      </c>
      <c r="H1728" s="4" t="s">
        <v>229</v>
      </c>
      <c r="I1728" s="4" t="s">
        <v>3505</v>
      </c>
      <c r="J1728" s="4" t="s">
        <v>3362</v>
      </c>
      <c r="K1728" s="4" t="s">
        <v>24</v>
      </c>
    </row>
    <row r="1729" spans="1:11" x14ac:dyDescent="0.2">
      <c r="A1729" s="4" t="s">
        <v>3608</v>
      </c>
      <c r="B1729" s="4" t="s">
        <v>3609</v>
      </c>
      <c r="C1729" s="4" t="s">
        <v>13</v>
      </c>
      <c r="D1729" s="4" t="s">
        <v>3550</v>
      </c>
      <c r="E1729" s="4" t="s">
        <v>3551</v>
      </c>
      <c r="F1729" s="4" t="s">
        <v>335</v>
      </c>
      <c r="G1729" s="1">
        <v>0.16700000000000001</v>
      </c>
      <c r="H1729" s="4" t="s">
        <v>229</v>
      </c>
      <c r="I1729" s="4" t="s">
        <v>3505</v>
      </c>
      <c r="J1729" s="4" t="s">
        <v>3362</v>
      </c>
      <c r="K1729" s="4" t="s">
        <v>24</v>
      </c>
    </row>
    <row r="1730" spans="1:11" x14ac:dyDescent="0.2">
      <c r="A1730" s="4" t="s">
        <v>3610</v>
      </c>
      <c r="B1730" s="4" t="s">
        <v>3611</v>
      </c>
      <c r="C1730" s="4" t="s">
        <v>49</v>
      </c>
      <c r="D1730" s="4" t="s">
        <v>3550</v>
      </c>
      <c r="E1730" s="4" t="s">
        <v>3551</v>
      </c>
      <c r="F1730" s="4" t="s">
        <v>335</v>
      </c>
      <c r="G1730" s="1">
        <v>0.1</v>
      </c>
      <c r="H1730" s="4" t="s">
        <v>117</v>
      </c>
      <c r="I1730" s="4" t="s">
        <v>3505</v>
      </c>
      <c r="J1730" s="4" t="s">
        <v>3362</v>
      </c>
      <c r="K1730" s="4" t="s">
        <v>24</v>
      </c>
    </row>
    <row r="1731" spans="1:11" x14ac:dyDescent="0.2">
      <c r="A1731" s="4" t="s">
        <v>3612</v>
      </c>
      <c r="B1731" s="4" t="s">
        <v>3613</v>
      </c>
      <c r="C1731" s="4" t="s">
        <v>13</v>
      </c>
      <c r="D1731" s="4" t="s">
        <v>3550</v>
      </c>
      <c r="E1731" s="4" t="s">
        <v>3551</v>
      </c>
      <c r="F1731" s="4" t="s">
        <v>335</v>
      </c>
      <c r="G1731" s="1">
        <v>0.13300000000000001</v>
      </c>
      <c r="H1731" s="4" t="s">
        <v>112</v>
      </c>
      <c r="I1731" s="4" t="s">
        <v>3505</v>
      </c>
      <c r="J1731" s="4" t="s">
        <v>3362</v>
      </c>
      <c r="K1731" s="4" t="s">
        <v>24</v>
      </c>
    </row>
    <row r="1732" spans="1:11" x14ac:dyDescent="0.2">
      <c r="A1732" s="4" t="s">
        <v>3614</v>
      </c>
      <c r="B1732" s="4" t="s">
        <v>3615</v>
      </c>
      <c r="C1732" s="4" t="s">
        <v>13</v>
      </c>
      <c r="D1732" s="4" t="s">
        <v>3550</v>
      </c>
      <c r="E1732" s="4" t="s">
        <v>3551</v>
      </c>
      <c r="F1732" s="4" t="s">
        <v>335</v>
      </c>
      <c r="G1732" s="1">
        <v>0.16700000000000001</v>
      </c>
      <c r="H1732" s="4" t="s">
        <v>229</v>
      </c>
      <c r="I1732" s="4" t="s">
        <v>3505</v>
      </c>
      <c r="J1732" s="4" t="s">
        <v>3362</v>
      </c>
      <c r="K1732" s="4" t="s">
        <v>24</v>
      </c>
    </row>
    <row r="1733" spans="1:11" x14ac:dyDescent="0.2">
      <c r="A1733" s="4" t="s">
        <v>3616</v>
      </c>
      <c r="B1733" s="4" t="s">
        <v>3617</v>
      </c>
      <c r="C1733" s="4" t="s">
        <v>13</v>
      </c>
      <c r="D1733" s="4" t="s">
        <v>3550</v>
      </c>
      <c r="E1733" s="4" t="s">
        <v>3551</v>
      </c>
      <c r="F1733" s="4" t="s">
        <v>335</v>
      </c>
      <c r="G1733" s="1">
        <v>0.13300000000000001</v>
      </c>
      <c r="H1733" s="4" t="s">
        <v>112</v>
      </c>
      <c r="I1733" s="4" t="s">
        <v>3505</v>
      </c>
      <c r="J1733" s="4" t="s">
        <v>3362</v>
      </c>
      <c r="K1733" s="4" t="s">
        <v>24</v>
      </c>
    </row>
    <row r="1734" spans="1:11" x14ac:dyDescent="0.2">
      <c r="A1734" s="4" t="s">
        <v>3618</v>
      </c>
      <c r="B1734" s="4" t="s">
        <v>3619</v>
      </c>
      <c r="C1734" s="4" t="s">
        <v>13</v>
      </c>
      <c r="D1734" s="4" t="s">
        <v>3550</v>
      </c>
      <c r="E1734" s="4" t="s">
        <v>3551</v>
      </c>
      <c r="F1734" s="4" t="s">
        <v>335</v>
      </c>
      <c r="G1734" s="1">
        <v>0.16700000000000001</v>
      </c>
      <c r="H1734" s="4" t="s">
        <v>229</v>
      </c>
      <c r="I1734" s="4" t="s">
        <v>3505</v>
      </c>
      <c r="J1734" s="4" t="s">
        <v>3362</v>
      </c>
      <c r="K1734" s="4" t="s">
        <v>24</v>
      </c>
    </row>
    <row r="1735" spans="1:11" x14ac:dyDescent="0.2">
      <c r="A1735" s="4" t="s">
        <v>3620</v>
      </c>
      <c r="B1735" s="4" t="s">
        <v>3621</v>
      </c>
      <c r="C1735" s="4" t="s">
        <v>13</v>
      </c>
      <c r="D1735" s="4" t="s">
        <v>3550</v>
      </c>
      <c r="E1735" s="4" t="s">
        <v>3551</v>
      </c>
      <c r="F1735" s="4" t="s">
        <v>335</v>
      </c>
      <c r="G1735" s="1">
        <v>0.13300000000000001</v>
      </c>
      <c r="H1735" s="4" t="s">
        <v>112</v>
      </c>
      <c r="I1735" s="4" t="s">
        <v>3505</v>
      </c>
      <c r="J1735" s="4" t="s">
        <v>3362</v>
      </c>
      <c r="K1735" s="4" t="s">
        <v>24</v>
      </c>
    </row>
    <row r="1736" spans="1:11" x14ac:dyDescent="0.2">
      <c r="A1736" s="4" t="s">
        <v>3622</v>
      </c>
      <c r="B1736" s="4" t="s">
        <v>3623</v>
      </c>
      <c r="C1736" s="4" t="s">
        <v>13</v>
      </c>
      <c r="D1736" s="4" t="s">
        <v>3550</v>
      </c>
      <c r="E1736" s="4" t="s">
        <v>3551</v>
      </c>
      <c r="F1736" s="4" t="s">
        <v>335</v>
      </c>
      <c r="G1736" s="1">
        <v>0.16700000000000001</v>
      </c>
      <c r="H1736" s="4" t="s">
        <v>229</v>
      </c>
      <c r="I1736" s="4" t="s">
        <v>3505</v>
      </c>
      <c r="J1736" s="4" t="s">
        <v>3362</v>
      </c>
      <c r="K1736" s="4" t="s">
        <v>24</v>
      </c>
    </row>
    <row r="1737" spans="1:11" x14ac:dyDescent="0.2">
      <c r="A1737" s="4" t="s">
        <v>3624</v>
      </c>
      <c r="B1737" s="4" t="s">
        <v>3625</v>
      </c>
      <c r="C1737" s="4" t="s">
        <v>13</v>
      </c>
      <c r="D1737" s="4" t="s">
        <v>3550</v>
      </c>
      <c r="E1737" s="4" t="s">
        <v>3551</v>
      </c>
      <c r="F1737" s="4" t="s">
        <v>335</v>
      </c>
      <c r="G1737" s="1">
        <v>0.13300000000000001</v>
      </c>
      <c r="H1737" s="4" t="s">
        <v>112</v>
      </c>
      <c r="I1737" s="4" t="s">
        <v>3505</v>
      </c>
      <c r="J1737" s="4" t="s">
        <v>3362</v>
      </c>
      <c r="K1737" s="4" t="s">
        <v>24</v>
      </c>
    </row>
    <row r="1738" spans="1:11" x14ac:dyDescent="0.2">
      <c r="A1738" s="4" t="s">
        <v>3081</v>
      </c>
      <c r="B1738" s="4" t="s">
        <v>3082</v>
      </c>
      <c r="C1738" s="4" t="s">
        <v>49</v>
      </c>
      <c r="D1738" s="4" t="s">
        <v>3626</v>
      </c>
      <c r="E1738" s="4" t="s">
        <v>3627</v>
      </c>
      <c r="F1738" s="4" t="s">
        <v>1453</v>
      </c>
      <c r="G1738" s="1">
        <v>0.1</v>
      </c>
      <c r="H1738" s="4" t="s">
        <v>380</v>
      </c>
      <c r="I1738" s="4" t="s">
        <v>3505</v>
      </c>
      <c r="J1738" s="4" t="s">
        <v>3242</v>
      </c>
      <c r="K1738" s="4" t="s">
        <v>24</v>
      </c>
    </row>
    <row r="1739" spans="1:11" x14ac:dyDescent="0.2">
      <c r="A1739" s="4" t="s">
        <v>3628</v>
      </c>
      <c r="B1739" s="4" t="s">
        <v>3629</v>
      </c>
      <c r="C1739" s="4" t="s">
        <v>13</v>
      </c>
      <c r="D1739" s="4" t="s">
        <v>3626</v>
      </c>
      <c r="E1739" s="4" t="s">
        <v>3627</v>
      </c>
      <c r="F1739" s="4" t="s">
        <v>1453</v>
      </c>
      <c r="G1739" s="1">
        <v>0</v>
      </c>
      <c r="H1739" s="4" t="s">
        <v>254</v>
      </c>
      <c r="I1739" s="4" t="s">
        <v>3505</v>
      </c>
      <c r="J1739" s="4" t="s">
        <v>3242</v>
      </c>
      <c r="K1739" s="4" t="s">
        <v>3507</v>
      </c>
    </row>
    <row r="1740" spans="1:11" x14ac:dyDescent="0.2">
      <c r="A1740" s="4" t="s">
        <v>3630</v>
      </c>
      <c r="B1740" s="4" t="s">
        <v>3631</v>
      </c>
      <c r="C1740" s="4" t="s">
        <v>13</v>
      </c>
      <c r="D1740" s="4" t="s">
        <v>3626</v>
      </c>
      <c r="E1740" s="4" t="s">
        <v>3627</v>
      </c>
      <c r="F1740" s="4" t="s">
        <v>1453</v>
      </c>
      <c r="G1740" s="1">
        <v>0.2</v>
      </c>
      <c r="H1740" s="4" t="s">
        <v>232</v>
      </c>
      <c r="I1740" s="4" t="s">
        <v>3505</v>
      </c>
      <c r="J1740" s="4" t="s">
        <v>3242</v>
      </c>
      <c r="K1740" s="4" t="s">
        <v>3554</v>
      </c>
    </row>
    <row r="1741" spans="1:11" x14ac:dyDescent="0.2">
      <c r="A1741" s="4" t="s">
        <v>3632</v>
      </c>
      <c r="B1741" s="4" t="s">
        <v>3633</v>
      </c>
      <c r="C1741" s="4" t="s">
        <v>13</v>
      </c>
      <c r="D1741" s="4" t="s">
        <v>3626</v>
      </c>
      <c r="E1741" s="4" t="s">
        <v>3627</v>
      </c>
      <c r="F1741" s="4" t="s">
        <v>1453</v>
      </c>
      <c r="G1741" s="1">
        <v>0.2</v>
      </c>
      <c r="H1741" s="4" t="s">
        <v>232</v>
      </c>
      <c r="I1741" s="4" t="s">
        <v>3505</v>
      </c>
      <c r="J1741" s="4" t="s">
        <v>3242</v>
      </c>
      <c r="K1741" s="4" t="s">
        <v>3554</v>
      </c>
    </row>
    <row r="1742" spans="1:11" x14ac:dyDescent="0.2">
      <c r="A1742" s="4" t="s">
        <v>3634</v>
      </c>
      <c r="B1742" s="4" t="s">
        <v>3635</v>
      </c>
      <c r="C1742" s="4" t="s">
        <v>13</v>
      </c>
      <c r="D1742" s="4" t="s">
        <v>3626</v>
      </c>
      <c r="E1742" s="4" t="s">
        <v>3627</v>
      </c>
      <c r="F1742" s="4" t="s">
        <v>1453</v>
      </c>
      <c r="G1742" s="1">
        <v>0.2</v>
      </c>
      <c r="H1742" s="4" t="s">
        <v>232</v>
      </c>
      <c r="I1742" s="4" t="s">
        <v>3505</v>
      </c>
      <c r="J1742" s="4" t="s">
        <v>3242</v>
      </c>
      <c r="K1742" s="4" t="s">
        <v>24</v>
      </c>
    </row>
    <row r="1743" spans="1:11" x14ac:dyDescent="0.2">
      <c r="A1743" s="4" t="s">
        <v>3636</v>
      </c>
      <c r="B1743" s="4" t="s">
        <v>3637</v>
      </c>
      <c r="C1743" s="4" t="s">
        <v>13</v>
      </c>
      <c r="D1743" s="4" t="s">
        <v>3626</v>
      </c>
      <c r="E1743" s="4" t="s">
        <v>3627</v>
      </c>
      <c r="F1743" s="4" t="s">
        <v>1453</v>
      </c>
      <c r="G1743" s="1">
        <v>0.16700000000000001</v>
      </c>
      <c r="H1743" s="4" t="s">
        <v>229</v>
      </c>
      <c r="I1743" s="4" t="s">
        <v>3505</v>
      </c>
      <c r="J1743" s="4" t="s">
        <v>3242</v>
      </c>
      <c r="K1743" s="4" t="s">
        <v>24</v>
      </c>
    </row>
    <row r="1744" spans="1:11" x14ac:dyDescent="0.2">
      <c r="A1744" s="4" t="s">
        <v>3638</v>
      </c>
      <c r="B1744" s="4" t="s">
        <v>3639</v>
      </c>
      <c r="C1744" s="4" t="s">
        <v>13</v>
      </c>
      <c r="D1744" s="4" t="s">
        <v>3626</v>
      </c>
      <c r="E1744" s="4" t="s">
        <v>3627</v>
      </c>
      <c r="F1744" s="4" t="s">
        <v>1453</v>
      </c>
      <c r="G1744" s="1">
        <v>0.2</v>
      </c>
      <c r="H1744" s="4" t="s">
        <v>232</v>
      </c>
      <c r="I1744" s="4" t="s">
        <v>3505</v>
      </c>
      <c r="J1744" s="4" t="s">
        <v>3242</v>
      </c>
      <c r="K1744" s="4" t="s">
        <v>24</v>
      </c>
    </row>
    <row r="1745" spans="1:11" x14ac:dyDescent="0.2">
      <c r="A1745" s="4" t="s">
        <v>3640</v>
      </c>
      <c r="B1745" s="4" t="s">
        <v>3641</v>
      </c>
      <c r="C1745" s="4" t="s">
        <v>13</v>
      </c>
      <c r="D1745" s="4" t="s">
        <v>3626</v>
      </c>
      <c r="E1745" s="4" t="s">
        <v>3627</v>
      </c>
      <c r="F1745" s="4" t="s">
        <v>1453</v>
      </c>
      <c r="G1745" s="1">
        <v>0.16700000000000001</v>
      </c>
      <c r="H1745" s="4" t="s">
        <v>229</v>
      </c>
      <c r="I1745" s="4" t="s">
        <v>3505</v>
      </c>
      <c r="J1745" s="4" t="s">
        <v>3242</v>
      </c>
      <c r="K1745" s="4" t="s">
        <v>24</v>
      </c>
    </row>
    <row r="1746" spans="1:11" x14ac:dyDescent="0.2">
      <c r="A1746" s="4" t="s">
        <v>3642</v>
      </c>
      <c r="B1746" s="4" t="s">
        <v>3643</v>
      </c>
      <c r="C1746" s="4" t="s">
        <v>13</v>
      </c>
      <c r="D1746" s="4" t="s">
        <v>3626</v>
      </c>
      <c r="E1746" s="4" t="s">
        <v>3627</v>
      </c>
      <c r="F1746" s="4" t="s">
        <v>1453</v>
      </c>
      <c r="G1746" s="1">
        <v>0.2</v>
      </c>
      <c r="H1746" s="4" t="s">
        <v>232</v>
      </c>
      <c r="I1746" s="4" t="s">
        <v>3505</v>
      </c>
      <c r="J1746" s="4" t="s">
        <v>3242</v>
      </c>
      <c r="K1746" s="4" t="s">
        <v>24</v>
      </c>
    </row>
    <row r="1747" spans="1:11" x14ac:dyDescent="0.2">
      <c r="A1747" s="4" t="s">
        <v>3644</v>
      </c>
      <c r="B1747" s="4" t="s">
        <v>3645</v>
      </c>
      <c r="C1747" s="4" t="s">
        <v>13</v>
      </c>
      <c r="D1747" s="4" t="s">
        <v>3626</v>
      </c>
      <c r="E1747" s="4" t="s">
        <v>3627</v>
      </c>
      <c r="F1747" s="4" t="s">
        <v>1453</v>
      </c>
      <c r="G1747" s="1">
        <v>3.3000000000000002E-2</v>
      </c>
      <c r="H1747" s="4" t="s">
        <v>225</v>
      </c>
      <c r="I1747" s="4" t="s">
        <v>3505</v>
      </c>
      <c r="J1747" s="4" t="s">
        <v>3242</v>
      </c>
      <c r="K1747" s="4" t="s">
        <v>24</v>
      </c>
    </row>
    <row r="1748" spans="1:11" x14ac:dyDescent="0.2">
      <c r="A1748" s="4" t="s">
        <v>3646</v>
      </c>
      <c r="B1748" s="4" t="s">
        <v>3647</v>
      </c>
      <c r="C1748" s="4" t="s">
        <v>13</v>
      </c>
      <c r="D1748" s="4" t="s">
        <v>3626</v>
      </c>
      <c r="E1748" s="4" t="s">
        <v>3627</v>
      </c>
      <c r="F1748" s="4" t="s">
        <v>1453</v>
      </c>
      <c r="G1748" s="1">
        <v>0.2</v>
      </c>
      <c r="H1748" s="4" t="s">
        <v>232</v>
      </c>
      <c r="I1748" s="4" t="s">
        <v>3505</v>
      </c>
      <c r="J1748" s="4" t="s">
        <v>3242</v>
      </c>
      <c r="K1748" s="4" t="s">
        <v>24</v>
      </c>
    </row>
    <row r="1749" spans="1:11" x14ac:dyDescent="0.2">
      <c r="A1749" s="4" t="s">
        <v>3648</v>
      </c>
      <c r="B1749" s="4" t="s">
        <v>3649</v>
      </c>
      <c r="C1749" s="4" t="s">
        <v>13</v>
      </c>
      <c r="D1749" s="4" t="s">
        <v>3626</v>
      </c>
      <c r="E1749" s="4" t="s">
        <v>3627</v>
      </c>
      <c r="F1749" s="4" t="s">
        <v>1453</v>
      </c>
      <c r="G1749" s="1">
        <v>0.2</v>
      </c>
      <c r="H1749" s="4" t="s">
        <v>232</v>
      </c>
      <c r="I1749" s="4" t="s">
        <v>3505</v>
      </c>
      <c r="J1749" s="4" t="s">
        <v>3242</v>
      </c>
      <c r="K1749" s="4" t="s">
        <v>24</v>
      </c>
    </row>
    <row r="1750" spans="1:11" x14ac:dyDescent="0.2">
      <c r="A1750" s="4" t="s">
        <v>3650</v>
      </c>
      <c r="B1750" s="4" t="s">
        <v>3651</v>
      </c>
      <c r="C1750" s="4" t="s">
        <v>13</v>
      </c>
      <c r="D1750" s="4" t="s">
        <v>3626</v>
      </c>
      <c r="E1750" s="4" t="s">
        <v>3627</v>
      </c>
      <c r="F1750" s="4" t="s">
        <v>1453</v>
      </c>
      <c r="G1750" s="1">
        <v>0.13300000000000001</v>
      </c>
      <c r="H1750" s="4" t="s">
        <v>112</v>
      </c>
      <c r="I1750" s="4" t="s">
        <v>3505</v>
      </c>
      <c r="J1750" s="4" t="s">
        <v>3242</v>
      </c>
      <c r="K1750" s="4" t="s">
        <v>24</v>
      </c>
    </row>
    <row r="1751" spans="1:11" x14ac:dyDescent="0.2">
      <c r="A1751" s="4" t="s">
        <v>3652</v>
      </c>
      <c r="B1751" s="4" t="s">
        <v>3653</v>
      </c>
      <c r="C1751" s="4" t="s">
        <v>13</v>
      </c>
      <c r="D1751" s="4" t="s">
        <v>3626</v>
      </c>
      <c r="E1751" s="4" t="s">
        <v>3627</v>
      </c>
      <c r="F1751" s="4" t="s">
        <v>1453</v>
      </c>
      <c r="G1751" s="1">
        <v>0.2</v>
      </c>
      <c r="H1751" s="4" t="s">
        <v>232</v>
      </c>
      <c r="I1751" s="4" t="s">
        <v>3505</v>
      </c>
      <c r="J1751" s="4" t="s">
        <v>3242</v>
      </c>
      <c r="K1751" s="4" t="s">
        <v>24</v>
      </c>
    </row>
    <row r="1752" spans="1:11" x14ac:dyDescent="0.2">
      <c r="A1752" s="4" t="s">
        <v>3654</v>
      </c>
      <c r="B1752" s="4" t="s">
        <v>3655</v>
      </c>
      <c r="C1752" s="4" t="s">
        <v>13</v>
      </c>
      <c r="D1752" s="4" t="s">
        <v>3626</v>
      </c>
      <c r="E1752" s="4" t="s">
        <v>3627</v>
      </c>
      <c r="F1752" s="4" t="s">
        <v>1453</v>
      </c>
      <c r="G1752" s="1">
        <v>3.3000000000000002E-2</v>
      </c>
      <c r="H1752" s="4" t="s">
        <v>225</v>
      </c>
      <c r="I1752" s="4" t="s">
        <v>3505</v>
      </c>
      <c r="J1752" s="4" t="s">
        <v>3242</v>
      </c>
      <c r="K1752" s="4" t="s">
        <v>24</v>
      </c>
    </row>
    <row r="1753" spans="1:11" x14ac:dyDescent="0.2">
      <c r="A1753" s="4" t="s">
        <v>3656</v>
      </c>
      <c r="B1753" s="4" t="s">
        <v>3657</v>
      </c>
      <c r="C1753" s="4" t="s">
        <v>13</v>
      </c>
      <c r="D1753" s="4" t="s">
        <v>3626</v>
      </c>
      <c r="E1753" s="4" t="s">
        <v>3627</v>
      </c>
      <c r="F1753" s="4" t="s">
        <v>1453</v>
      </c>
      <c r="G1753" s="1">
        <v>0.1</v>
      </c>
      <c r="H1753" s="4" t="s">
        <v>117</v>
      </c>
      <c r="I1753" s="4" t="s">
        <v>3505</v>
      </c>
      <c r="J1753" s="4" t="s">
        <v>3242</v>
      </c>
      <c r="K1753" s="4" t="s">
        <v>24</v>
      </c>
    </row>
    <row r="1754" spans="1:11" x14ac:dyDescent="0.2">
      <c r="A1754" s="4" t="s">
        <v>3658</v>
      </c>
      <c r="B1754" s="4" t="s">
        <v>3659</v>
      </c>
      <c r="C1754" s="4" t="s">
        <v>13</v>
      </c>
      <c r="D1754" s="4" t="s">
        <v>3626</v>
      </c>
      <c r="E1754" s="4" t="s">
        <v>3627</v>
      </c>
      <c r="F1754" s="4" t="s">
        <v>1453</v>
      </c>
      <c r="G1754" s="1">
        <v>0.2</v>
      </c>
      <c r="H1754" s="4" t="s">
        <v>232</v>
      </c>
      <c r="I1754" s="4" t="s">
        <v>3505</v>
      </c>
      <c r="J1754" s="4" t="s">
        <v>3242</v>
      </c>
      <c r="K1754" s="4" t="s">
        <v>24</v>
      </c>
    </row>
    <row r="1755" spans="1:11" x14ac:dyDescent="0.2">
      <c r="A1755" s="4" t="s">
        <v>3660</v>
      </c>
      <c r="B1755" s="4" t="s">
        <v>3661</v>
      </c>
      <c r="C1755" s="4" t="s">
        <v>13</v>
      </c>
      <c r="D1755" s="4" t="s">
        <v>3626</v>
      </c>
      <c r="E1755" s="4" t="s">
        <v>3627</v>
      </c>
      <c r="F1755" s="4" t="s">
        <v>1453</v>
      </c>
      <c r="G1755" s="1">
        <v>0.16700000000000001</v>
      </c>
      <c r="H1755" s="4" t="s">
        <v>229</v>
      </c>
      <c r="I1755" s="4" t="s">
        <v>3505</v>
      </c>
      <c r="J1755" s="4" t="s">
        <v>3242</v>
      </c>
      <c r="K1755" s="4" t="s">
        <v>24</v>
      </c>
    </row>
    <row r="1756" spans="1:11" x14ac:dyDescent="0.2">
      <c r="A1756" s="4" t="s">
        <v>3662</v>
      </c>
      <c r="B1756" s="4" t="s">
        <v>3663</v>
      </c>
      <c r="C1756" s="4" t="s">
        <v>13</v>
      </c>
      <c r="D1756" s="4" t="s">
        <v>3626</v>
      </c>
      <c r="E1756" s="4" t="s">
        <v>3627</v>
      </c>
      <c r="F1756" s="4" t="s">
        <v>1453</v>
      </c>
      <c r="G1756" s="1">
        <v>0.2</v>
      </c>
      <c r="H1756" s="4" t="s">
        <v>232</v>
      </c>
      <c r="I1756" s="4" t="s">
        <v>3505</v>
      </c>
      <c r="J1756" s="4" t="s">
        <v>3242</v>
      </c>
      <c r="K1756" s="4" t="s">
        <v>24</v>
      </c>
    </row>
    <row r="1757" spans="1:11" x14ac:dyDescent="0.2">
      <c r="A1757" s="4" t="s">
        <v>3664</v>
      </c>
      <c r="B1757" s="4" t="s">
        <v>3665</v>
      </c>
      <c r="C1757" s="4" t="s">
        <v>13</v>
      </c>
      <c r="D1757" s="4" t="s">
        <v>3626</v>
      </c>
      <c r="E1757" s="4" t="s">
        <v>3627</v>
      </c>
      <c r="F1757" s="4" t="s">
        <v>1453</v>
      </c>
      <c r="G1757" s="1">
        <v>3.3000000000000002E-2</v>
      </c>
      <c r="H1757" s="4" t="s">
        <v>225</v>
      </c>
      <c r="I1757" s="4" t="s">
        <v>3505</v>
      </c>
      <c r="J1757" s="4" t="s">
        <v>3242</v>
      </c>
      <c r="K1757" s="4" t="s">
        <v>24</v>
      </c>
    </row>
    <row r="1758" spans="1:11" x14ac:dyDescent="0.2">
      <c r="A1758" s="4" t="s">
        <v>3666</v>
      </c>
      <c r="B1758" s="4" t="s">
        <v>3667</v>
      </c>
      <c r="C1758" s="4" t="s">
        <v>13</v>
      </c>
      <c r="D1758" s="4" t="s">
        <v>3626</v>
      </c>
      <c r="E1758" s="4" t="s">
        <v>3627</v>
      </c>
      <c r="F1758" s="4" t="s">
        <v>1453</v>
      </c>
      <c r="G1758" s="1">
        <v>6.7000000000000004E-2</v>
      </c>
      <c r="H1758" s="4" t="s">
        <v>166</v>
      </c>
      <c r="I1758" s="4" t="s">
        <v>3505</v>
      </c>
      <c r="J1758" s="4" t="s">
        <v>3242</v>
      </c>
      <c r="K1758" s="4" t="s">
        <v>24</v>
      </c>
    </row>
    <row r="1759" spans="1:11" x14ac:dyDescent="0.2">
      <c r="A1759" s="4" t="s">
        <v>3668</v>
      </c>
      <c r="B1759" s="4" t="s">
        <v>3669</v>
      </c>
      <c r="C1759" s="4" t="s">
        <v>13</v>
      </c>
      <c r="D1759" s="4" t="s">
        <v>3626</v>
      </c>
      <c r="E1759" s="4" t="s">
        <v>3627</v>
      </c>
      <c r="F1759" s="4" t="s">
        <v>1453</v>
      </c>
      <c r="G1759" s="1">
        <v>0.13300000000000001</v>
      </c>
      <c r="H1759" s="4" t="s">
        <v>112</v>
      </c>
      <c r="I1759" s="4" t="s">
        <v>3505</v>
      </c>
      <c r="J1759" s="4" t="s">
        <v>3242</v>
      </c>
      <c r="K1759" s="4" t="s">
        <v>24</v>
      </c>
    </row>
    <row r="1760" spans="1:11" x14ac:dyDescent="0.2">
      <c r="A1760" s="4" t="s">
        <v>3670</v>
      </c>
      <c r="B1760" s="4" t="s">
        <v>3671</v>
      </c>
      <c r="C1760" s="4" t="s">
        <v>13</v>
      </c>
      <c r="D1760" s="4" t="s">
        <v>3626</v>
      </c>
      <c r="E1760" s="4" t="s">
        <v>3627</v>
      </c>
      <c r="F1760" s="4" t="s">
        <v>1453</v>
      </c>
      <c r="G1760" s="1">
        <v>0.13300000000000001</v>
      </c>
      <c r="H1760" s="4" t="s">
        <v>112</v>
      </c>
      <c r="I1760" s="4" t="s">
        <v>3505</v>
      </c>
      <c r="J1760" s="4" t="s">
        <v>3242</v>
      </c>
      <c r="K1760" s="4" t="s">
        <v>24</v>
      </c>
    </row>
    <row r="1761" spans="1:11" x14ac:dyDescent="0.2">
      <c r="A1761" s="4" t="s">
        <v>3672</v>
      </c>
      <c r="B1761" s="4" t="s">
        <v>3673</v>
      </c>
      <c r="C1761" s="4" t="s">
        <v>13</v>
      </c>
      <c r="D1761" s="4" t="s">
        <v>3626</v>
      </c>
      <c r="E1761" s="4" t="s">
        <v>3627</v>
      </c>
      <c r="F1761" s="4" t="s">
        <v>1453</v>
      </c>
      <c r="G1761" s="1">
        <v>0.13300000000000001</v>
      </c>
      <c r="H1761" s="4" t="s">
        <v>112</v>
      </c>
      <c r="I1761" s="4" t="s">
        <v>3505</v>
      </c>
      <c r="J1761" s="4" t="s">
        <v>3242</v>
      </c>
      <c r="K1761" s="4" t="s">
        <v>24</v>
      </c>
    </row>
    <row r="1762" spans="1:11" x14ac:dyDescent="0.2">
      <c r="A1762" s="4" t="s">
        <v>3674</v>
      </c>
      <c r="B1762" s="4" t="s">
        <v>3675</v>
      </c>
      <c r="C1762" s="4" t="s">
        <v>13</v>
      </c>
      <c r="D1762" s="4" t="s">
        <v>3626</v>
      </c>
      <c r="E1762" s="4" t="s">
        <v>3627</v>
      </c>
      <c r="F1762" s="4" t="s">
        <v>1453</v>
      </c>
      <c r="G1762" s="1">
        <v>0.16700000000000001</v>
      </c>
      <c r="H1762" s="4" t="s">
        <v>229</v>
      </c>
      <c r="I1762" s="4" t="s">
        <v>3505</v>
      </c>
      <c r="J1762" s="4" t="s">
        <v>3242</v>
      </c>
      <c r="K1762" s="4" t="s">
        <v>24</v>
      </c>
    </row>
    <row r="1763" spans="1:11" x14ac:dyDescent="0.2">
      <c r="A1763" s="4" t="s">
        <v>3676</v>
      </c>
      <c r="B1763" s="4" t="s">
        <v>3677</v>
      </c>
      <c r="C1763" s="4" t="s">
        <v>13</v>
      </c>
      <c r="D1763" s="4" t="s">
        <v>3626</v>
      </c>
      <c r="E1763" s="4" t="s">
        <v>3627</v>
      </c>
      <c r="F1763" s="4" t="s">
        <v>1453</v>
      </c>
      <c r="G1763" s="1">
        <v>0.2</v>
      </c>
      <c r="H1763" s="4" t="s">
        <v>232</v>
      </c>
      <c r="I1763" s="4" t="s">
        <v>3505</v>
      </c>
      <c r="J1763" s="4" t="s">
        <v>3242</v>
      </c>
      <c r="K1763" s="4" t="s">
        <v>24</v>
      </c>
    </row>
    <row r="1764" spans="1:11" x14ac:dyDescent="0.2">
      <c r="A1764" s="4" t="s">
        <v>3678</v>
      </c>
      <c r="B1764" s="4" t="s">
        <v>3679</v>
      </c>
      <c r="C1764" s="4" t="s">
        <v>13</v>
      </c>
      <c r="D1764" s="4" t="s">
        <v>3626</v>
      </c>
      <c r="E1764" s="4" t="s">
        <v>3627</v>
      </c>
      <c r="F1764" s="4" t="s">
        <v>1453</v>
      </c>
      <c r="G1764" s="1">
        <v>0.16700000000000001</v>
      </c>
      <c r="H1764" s="4" t="s">
        <v>229</v>
      </c>
      <c r="I1764" s="4" t="s">
        <v>3505</v>
      </c>
      <c r="J1764" s="4" t="s">
        <v>3242</v>
      </c>
      <c r="K1764" s="4" t="s">
        <v>24</v>
      </c>
    </row>
    <row r="1765" spans="1:11" x14ac:dyDescent="0.2">
      <c r="A1765" s="4" t="s">
        <v>3680</v>
      </c>
      <c r="B1765" s="4" t="s">
        <v>3681</v>
      </c>
      <c r="C1765" s="4" t="s">
        <v>13</v>
      </c>
      <c r="D1765" s="4" t="s">
        <v>3626</v>
      </c>
      <c r="E1765" s="4" t="s">
        <v>3627</v>
      </c>
      <c r="F1765" s="4" t="s">
        <v>1453</v>
      </c>
      <c r="G1765" s="1">
        <v>0.16700000000000001</v>
      </c>
      <c r="H1765" s="4" t="s">
        <v>229</v>
      </c>
      <c r="I1765" s="4" t="s">
        <v>3505</v>
      </c>
      <c r="J1765" s="4" t="s">
        <v>3242</v>
      </c>
      <c r="K1765" s="4" t="s">
        <v>24</v>
      </c>
    </row>
    <row r="1766" spans="1:11" x14ac:dyDescent="0.2">
      <c r="A1766" s="4" t="s">
        <v>3682</v>
      </c>
      <c r="B1766" s="4" t="s">
        <v>3683</v>
      </c>
      <c r="C1766" s="4" t="s">
        <v>13</v>
      </c>
      <c r="D1766" s="4" t="s">
        <v>3626</v>
      </c>
      <c r="E1766" s="4" t="s">
        <v>3627</v>
      </c>
      <c r="F1766" s="4" t="s">
        <v>1453</v>
      </c>
      <c r="G1766" s="1">
        <v>0.2</v>
      </c>
      <c r="H1766" s="4" t="s">
        <v>232</v>
      </c>
      <c r="I1766" s="4" t="s">
        <v>3505</v>
      </c>
      <c r="J1766" s="4" t="s">
        <v>3242</v>
      </c>
      <c r="K1766" s="4" t="s">
        <v>3684</v>
      </c>
    </row>
    <row r="1767" spans="1:11" x14ac:dyDescent="0.2">
      <c r="A1767" s="4" t="s">
        <v>3685</v>
      </c>
      <c r="B1767" s="4" t="s">
        <v>3686</v>
      </c>
      <c r="C1767" s="4" t="s">
        <v>13</v>
      </c>
      <c r="D1767" s="4" t="s">
        <v>3626</v>
      </c>
      <c r="E1767" s="4" t="s">
        <v>3627</v>
      </c>
      <c r="F1767" s="4" t="s">
        <v>1453</v>
      </c>
      <c r="G1767" s="1">
        <v>0.2</v>
      </c>
      <c r="H1767" s="4" t="s">
        <v>232</v>
      </c>
      <c r="I1767" s="4" t="s">
        <v>3505</v>
      </c>
      <c r="J1767" s="4" t="s">
        <v>3242</v>
      </c>
      <c r="K1767" s="4" t="s">
        <v>3684</v>
      </c>
    </row>
    <row r="1768" spans="1:11" x14ac:dyDescent="0.2">
      <c r="A1768" s="4" t="s">
        <v>3687</v>
      </c>
      <c r="B1768" s="4" t="s">
        <v>3688</v>
      </c>
      <c r="C1768" s="4" t="s">
        <v>13</v>
      </c>
      <c r="D1768" s="4" t="s">
        <v>3626</v>
      </c>
      <c r="E1768" s="4" t="s">
        <v>3627</v>
      </c>
      <c r="F1768" s="4" t="s">
        <v>1453</v>
      </c>
      <c r="G1768" s="1">
        <v>0.2</v>
      </c>
      <c r="H1768" s="4" t="s">
        <v>232</v>
      </c>
      <c r="I1768" s="4" t="s">
        <v>3505</v>
      </c>
      <c r="J1768" s="4" t="s">
        <v>3242</v>
      </c>
      <c r="K1768" s="4" t="s">
        <v>3689</v>
      </c>
    </row>
    <row r="1769" spans="1:11" x14ac:dyDescent="0.2">
      <c r="A1769" s="4" t="s">
        <v>3690</v>
      </c>
      <c r="B1769" s="4" t="s">
        <v>3691</v>
      </c>
      <c r="C1769" s="4" t="s">
        <v>13</v>
      </c>
      <c r="D1769" s="4" t="s">
        <v>3626</v>
      </c>
      <c r="E1769" s="4" t="s">
        <v>3627</v>
      </c>
      <c r="F1769" s="4" t="s">
        <v>1453</v>
      </c>
      <c r="G1769" s="1">
        <v>0</v>
      </c>
      <c r="H1769" s="4" t="s">
        <v>254</v>
      </c>
      <c r="I1769" s="4" t="s">
        <v>3505</v>
      </c>
      <c r="J1769" s="4" t="s">
        <v>3242</v>
      </c>
      <c r="K1769" s="4" t="s">
        <v>24</v>
      </c>
    </row>
    <row r="1770" spans="1:11" x14ac:dyDescent="0.2">
      <c r="A1770" s="4" t="s">
        <v>3692</v>
      </c>
      <c r="B1770" s="4" t="s">
        <v>3693</v>
      </c>
      <c r="C1770" s="4" t="s">
        <v>13</v>
      </c>
      <c r="D1770" s="4" t="s">
        <v>3626</v>
      </c>
      <c r="E1770" s="4" t="s">
        <v>3627</v>
      </c>
      <c r="F1770" s="4" t="s">
        <v>1453</v>
      </c>
      <c r="G1770" s="1">
        <v>0.16700000000000001</v>
      </c>
      <c r="H1770" s="4" t="s">
        <v>229</v>
      </c>
      <c r="I1770" s="4" t="s">
        <v>3505</v>
      </c>
      <c r="J1770" s="4" t="s">
        <v>3242</v>
      </c>
      <c r="K1770" s="4" t="s">
        <v>24</v>
      </c>
    </row>
    <row r="1771" spans="1:11" x14ac:dyDescent="0.2">
      <c r="A1771" s="4" t="s">
        <v>3694</v>
      </c>
      <c r="B1771" s="4" t="s">
        <v>3695</v>
      </c>
      <c r="C1771" s="4" t="s">
        <v>13</v>
      </c>
      <c r="D1771" s="4" t="s">
        <v>3626</v>
      </c>
      <c r="E1771" s="4" t="s">
        <v>3627</v>
      </c>
      <c r="F1771" s="4" t="s">
        <v>1453</v>
      </c>
      <c r="G1771" s="1">
        <v>3.3000000000000002E-2</v>
      </c>
      <c r="H1771" s="4" t="s">
        <v>225</v>
      </c>
      <c r="I1771" s="4" t="s">
        <v>3505</v>
      </c>
      <c r="J1771" s="4" t="s">
        <v>3242</v>
      </c>
      <c r="K1771" s="4" t="s">
        <v>3689</v>
      </c>
    </row>
    <row r="1772" spans="1:11" x14ac:dyDescent="0.2">
      <c r="A1772" s="4" t="s">
        <v>3230</v>
      </c>
      <c r="B1772" s="4" t="s">
        <v>3231</v>
      </c>
      <c r="C1772" s="4" t="s">
        <v>13</v>
      </c>
      <c r="D1772" s="4" t="s">
        <v>3626</v>
      </c>
      <c r="E1772" s="4" t="s">
        <v>3627</v>
      </c>
      <c r="F1772" s="4" t="s">
        <v>1453</v>
      </c>
      <c r="G1772" s="1">
        <v>3.3000000000000002E-2</v>
      </c>
      <c r="H1772" s="4" t="s">
        <v>225</v>
      </c>
      <c r="I1772" s="4" t="s">
        <v>3505</v>
      </c>
      <c r="J1772" s="4" t="s">
        <v>3242</v>
      </c>
      <c r="K1772" s="4" t="s">
        <v>24</v>
      </c>
    </row>
    <row r="1773" spans="1:11" x14ac:dyDescent="0.2">
      <c r="A1773" s="4" t="s">
        <v>3696</v>
      </c>
      <c r="B1773" s="4" t="s">
        <v>3697</v>
      </c>
      <c r="C1773" s="4" t="s">
        <v>13</v>
      </c>
      <c r="D1773" s="4" t="s">
        <v>3698</v>
      </c>
      <c r="E1773" s="4" t="s">
        <v>3699</v>
      </c>
      <c r="F1773" s="4" t="s">
        <v>111</v>
      </c>
      <c r="G1773" s="1">
        <v>0.16700000000000001</v>
      </c>
      <c r="H1773" s="4" t="s">
        <v>229</v>
      </c>
      <c r="I1773" s="4" t="s">
        <v>3505</v>
      </c>
      <c r="J1773" s="4" t="s">
        <v>3242</v>
      </c>
      <c r="K1773" s="4" t="s">
        <v>3507</v>
      </c>
    </row>
    <row r="1774" spans="1:11" x14ac:dyDescent="0.2">
      <c r="A1774" s="4" t="s">
        <v>3700</v>
      </c>
      <c r="B1774" s="4" t="s">
        <v>3701</v>
      </c>
      <c r="C1774" s="4" t="s">
        <v>13</v>
      </c>
      <c r="D1774" s="4" t="s">
        <v>3698</v>
      </c>
      <c r="E1774" s="4" t="s">
        <v>3699</v>
      </c>
      <c r="F1774" s="4" t="s">
        <v>111</v>
      </c>
      <c r="G1774" s="1">
        <v>0.1</v>
      </c>
      <c r="H1774" s="4" t="s">
        <v>117</v>
      </c>
      <c r="I1774" s="4" t="s">
        <v>3505</v>
      </c>
      <c r="J1774" s="4" t="s">
        <v>3242</v>
      </c>
      <c r="K1774" s="4" t="s">
        <v>24</v>
      </c>
    </row>
    <row r="1775" spans="1:11" x14ac:dyDescent="0.2">
      <c r="A1775" s="4" t="s">
        <v>3702</v>
      </c>
      <c r="B1775" s="4" t="s">
        <v>3703</v>
      </c>
      <c r="C1775" s="4" t="s">
        <v>13</v>
      </c>
      <c r="D1775" s="4" t="s">
        <v>3698</v>
      </c>
      <c r="E1775" s="4" t="s">
        <v>3699</v>
      </c>
      <c r="F1775" s="4" t="s">
        <v>111</v>
      </c>
      <c r="G1775" s="1">
        <v>0.16700000000000001</v>
      </c>
      <c r="H1775" s="4" t="s">
        <v>229</v>
      </c>
      <c r="I1775" s="4" t="s">
        <v>3505</v>
      </c>
      <c r="J1775" s="4" t="s">
        <v>3242</v>
      </c>
      <c r="K1775" s="4" t="s">
        <v>24</v>
      </c>
    </row>
    <row r="1776" spans="1:11" x14ac:dyDescent="0.2">
      <c r="A1776" s="4" t="s">
        <v>3704</v>
      </c>
      <c r="B1776" s="4" t="s">
        <v>3705</v>
      </c>
      <c r="C1776" s="4" t="s">
        <v>13</v>
      </c>
      <c r="D1776" s="4" t="s">
        <v>3698</v>
      </c>
      <c r="E1776" s="4" t="s">
        <v>3699</v>
      </c>
      <c r="F1776" s="4" t="s">
        <v>111</v>
      </c>
      <c r="G1776" s="1">
        <v>0.13300000000000001</v>
      </c>
      <c r="H1776" s="4" t="s">
        <v>112</v>
      </c>
      <c r="I1776" s="4" t="s">
        <v>3505</v>
      </c>
      <c r="J1776" s="4" t="s">
        <v>3242</v>
      </c>
      <c r="K1776" s="4" t="s">
        <v>24</v>
      </c>
    </row>
    <row r="1777" spans="1:11" x14ac:dyDescent="0.2">
      <c r="A1777" s="4" t="s">
        <v>3706</v>
      </c>
      <c r="B1777" s="4" t="s">
        <v>3707</v>
      </c>
      <c r="C1777" s="4" t="s">
        <v>13</v>
      </c>
      <c r="D1777" s="4" t="s">
        <v>3698</v>
      </c>
      <c r="E1777" s="4" t="s">
        <v>3699</v>
      </c>
      <c r="F1777" s="4" t="s">
        <v>111</v>
      </c>
      <c r="G1777" s="1">
        <v>3.3000000000000002E-2</v>
      </c>
      <c r="H1777" s="4" t="s">
        <v>225</v>
      </c>
      <c r="I1777" s="4" t="s">
        <v>3505</v>
      </c>
      <c r="J1777" s="4" t="s">
        <v>3242</v>
      </c>
      <c r="K1777" s="4" t="s">
        <v>24</v>
      </c>
    </row>
    <row r="1778" spans="1:11" x14ac:dyDescent="0.2">
      <c r="A1778" s="4" t="s">
        <v>2161</v>
      </c>
      <c r="B1778" s="4" t="s">
        <v>2162</v>
      </c>
      <c r="C1778" s="4" t="s">
        <v>49</v>
      </c>
      <c r="D1778" s="4" t="s">
        <v>3698</v>
      </c>
      <c r="E1778" s="4" t="s">
        <v>3699</v>
      </c>
      <c r="F1778" s="4" t="s">
        <v>111</v>
      </c>
      <c r="G1778" s="1">
        <v>0</v>
      </c>
      <c r="H1778" s="4" t="s">
        <v>254</v>
      </c>
      <c r="I1778" s="4" t="s">
        <v>3505</v>
      </c>
      <c r="J1778" s="4" t="s">
        <v>3242</v>
      </c>
      <c r="K1778" s="4" t="s">
        <v>24</v>
      </c>
    </row>
    <row r="1779" spans="1:11" x14ac:dyDescent="0.2">
      <c r="A1779" s="4" t="s">
        <v>3708</v>
      </c>
      <c r="B1779" s="4" t="s">
        <v>3709</v>
      </c>
      <c r="C1779" s="4" t="s">
        <v>13</v>
      </c>
      <c r="D1779" s="4" t="s">
        <v>3698</v>
      </c>
      <c r="E1779" s="4" t="s">
        <v>3699</v>
      </c>
      <c r="F1779" s="4" t="s">
        <v>111</v>
      </c>
      <c r="G1779" s="1">
        <v>0.13300000000000001</v>
      </c>
      <c r="H1779" s="4" t="s">
        <v>112</v>
      </c>
      <c r="I1779" s="4" t="s">
        <v>3505</v>
      </c>
      <c r="J1779" s="4" t="s">
        <v>3242</v>
      </c>
      <c r="K1779" s="4" t="s">
        <v>24</v>
      </c>
    </row>
    <row r="1780" spans="1:11" x14ac:dyDescent="0.2">
      <c r="A1780" s="4" t="s">
        <v>3710</v>
      </c>
      <c r="B1780" s="4" t="s">
        <v>3711</v>
      </c>
      <c r="C1780" s="4" t="s">
        <v>13</v>
      </c>
      <c r="D1780" s="4" t="s">
        <v>3698</v>
      </c>
      <c r="E1780" s="4" t="s">
        <v>3699</v>
      </c>
      <c r="F1780" s="4" t="s">
        <v>111</v>
      </c>
      <c r="G1780" s="1">
        <v>0.16700000000000001</v>
      </c>
      <c r="H1780" s="4" t="s">
        <v>229</v>
      </c>
      <c r="I1780" s="4" t="s">
        <v>3505</v>
      </c>
      <c r="J1780" s="4" t="s">
        <v>3242</v>
      </c>
      <c r="K1780" s="4" t="s">
        <v>24</v>
      </c>
    </row>
    <row r="1781" spans="1:11" x14ac:dyDescent="0.2">
      <c r="A1781" s="4" t="s">
        <v>3712</v>
      </c>
      <c r="B1781" s="4" t="s">
        <v>3713</v>
      </c>
      <c r="C1781" s="4" t="s">
        <v>13</v>
      </c>
      <c r="D1781" s="4" t="s">
        <v>3698</v>
      </c>
      <c r="E1781" s="4" t="s">
        <v>3699</v>
      </c>
      <c r="F1781" s="4" t="s">
        <v>111</v>
      </c>
      <c r="G1781" s="1">
        <v>0.1</v>
      </c>
      <c r="H1781" s="4" t="s">
        <v>117</v>
      </c>
      <c r="I1781" s="4" t="s">
        <v>3505</v>
      </c>
      <c r="J1781" s="4" t="s">
        <v>3242</v>
      </c>
      <c r="K1781" s="4" t="s">
        <v>24</v>
      </c>
    </row>
    <row r="1782" spans="1:11" x14ac:dyDescent="0.2">
      <c r="A1782" s="4" t="s">
        <v>3714</v>
      </c>
      <c r="B1782" s="4" t="s">
        <v>3715</v>
      </c>
      <c r="C1782" s="4" t="s">
        <v>13</v>
      </c>
      <c r="D1782" s="4" t="s">
        <v>3698</v>
      </c>
      <c r="E1782" s="4" t="s">
        <v>3699</v>
      </c>
      <c r="F1782" s="4" t="s">
        <v>111</v>
      </c>
      <c r="G1782" s="1">
        <v>0.16700000000000001</v>
      </c>
      <c r="H1782" s="4" t="s">
        <v>229</v>
      </c>
      <c r="I1782" s="4" t="s">
        <v>3505</v>
      </c>
      <c r="J1782" s="4" t="s">
        <v>3242</v>
      </c>
      <c r="K1782" s="4" t="s">
        <v>24</v>
      </c>
    </row>
    <row r="1783" spans="1:11" x14ac:dyDescent="0.2">
      <c r="A1783" s="4" t="s">
        <v>3716</v>
      </c>
      <c r="B1783" s="4" t="s">
        <v>3717</v>
      </c>
      <c r="C1783" s="4" t="s">
        <v>13</v>
      </c>
      <c r="D1783" s="4" t="s">
        <v>3698</v>
      </c>
      <c r="E1783" s="4" t="s">
        <v>3699</v>
      </c>
      <c r="F1783" s="4" t="s">
        <v>111</v>
      </c>
      <c r="G1783" s="1">
        <v>0.13300000000000001</v>
      </c>
      <c r="H1783" s="4" t="s">
        <v>112</v>
      </c>
      <c r="I1783" s="4" t="s">
        <v>3505</v>
      </c>
      <c r="J1783" s="4" t="s">
        <v>3242</v>
      </c>
      <c r="K1783" s="4" t="s">
        <v>24</v>
      </c>
    </row>
    <row r="1784" spans="1:11" x14ac:dyDescent="0.2">
      <c r="A1784" s="4" t="s">
        <v>3718</v>
      </c>
      <c r="B1784" s="4" t="s">
        <v>3719</v>
      </c>
      <c r="C1784" s="4" t="s">
        <v>13</v>
      </c>
      <c r="D1784" s="4" t="s">
        <v>3698</v>
      </c>
      <c r="E1784" s="4" t="s">
        <v>3699</v>
      </c>
      <c r="F1784" s="4" t="s">
        <v>111</v>
      </c>
      <c r="G1784" s="1">
        <v>0.16700000000000001</v>
      </c>
      <c r="H1784" s="4" t="s">
        <v>229</v>
      </c>
      <c r="I1784" s="4" t="s">
        <v>3505</v>
      </c>
      <c r="J1784" s="4" t="s">
        <v>3242</v>
      </c>
      <c r="K1784" s="4" t="s">
        <v>24</v>
      </c>
    </row>
    <row r="1785" spans="1:11" x14ac:dyDescent="0.2">
      <c r="A1785" s="4" t="s">
        <v>3720</v>
      </c>
      <c r="B1785" s="4" t="s">
        <v>3721</v>
      </c>
      <c r="C1785" s="4" t="s">
        <v>13</v>
      </c>
      <c r="D1785" s="4" t="s">
        <v>3698</v>
      </c>
      <c r="E1785" s="4" t="s">
        <v>3699</v>
      </c>
      <c r="F1785" s="4" t="s">
        <v>111</v>
      </c>
      <c r="G1785" s="1">
        <v>0.13300000000000001</v>
      </c>
      <c r="H1785" s="4" t="s">
        <v>112</v>
      </c>
      <c r="I1785" s="4" t="s">
        <v>3505</v>
      </c>
      <c r="J1785" s="4" t="s">
        <v>3242</v>
      </c>
      <c r="K1785" s="4" t="s">
        <v>24</v>
      </c>
    </row>
    <row r="1786" spans="1:11" x14ac:dyDescent="0.2">
      <c r="A1786" s="4" t="s">
        <v>3722</v>
      </c>
      <c r="B1786" s="4" t="s">
        <v>3723</v>
      </c>
      <c r="C1786" s="4" t="s">
        <v>13</v>
      </c>
      <c r="D1786" s="4" t="s">
        <v>3698</v>
      </c>
      <c r="E1786" s="4" t="s">
        <v>3699</v>
      </c>
      <c r="F1786" s="4" t="s">
        <v>111</v>
      </c>
      <c r="G1786" s="1">
        <v>0.1</v>
      </c>
      <c r="H1786" s="4" t="s">
        <v>117</v>
      </c>
      <c r="I1786" s="4" t="s">
        <v>3505</v>
      </c>
      <c r="J1786" s="4" t="s">
        <v>3242</v>
      </c>
      <c r="K1786" s="4" t="s">
        <v>24</v>
      </c>
    </row>
    <row r="1787" spans="1:11" x14ac:dyDescent="0.2">
      <c r="A1787" s="4" t="s">
        <v>3724</v>
      </c>
      <c r="B1787" s="4" t="s">
        <v>3725</v>
      </c>
      <c r="C1787" s="4" t="s">
        <v>13</v>
      </c>
      <c r="D1787" s="4" t="s">
        <v>3698</v>
      </c>
      <c r="E1787" s="4" t="s">
        <v>3699</v>
      </c>
      <c r="F1787" s="4" t="s">
        <v>111</v>
      </c>
      <c r="G1787" s="1">
        <v>0</v>
      </c>
      <c r="H1787" s="4" t="s">
        <v>254</v>
      </c>
      <c r="I1787" s="4" t="s">
        <v>3505</v>
      </c>
      <c r="J1787" s="4" t="s">
        <v>3242</v>
      </c>
      <c r="K1787" s="4" t="s">
        <v>24</v>
      </c>
    </row>
    <row r="1788" spans="1:11" x14ac:dyDescent="0.2">
      <c r="A1788" s="4" t="s">
        <v>3726</v>
      </c>
      <c r="B1788" s="4" t="s">
        <v>3727</v>
      </c>
      <c r="C1788" s="4" t="s">
        <v>13</v>
      </c>
      <c r="D1788" s="4" t="s">
        <v>3698</v>
      </c>
      <c r="E1788" s="4" t="s">
        <v>3699</v>
      </c>
      <c r="F1788" s="4" t="s">
        <v>111</v>
      </c>
      <c r="G1788" s="1">
        <v>0.16700000000000001</v>
      </c>
      <c r="H1788" s="4" t="s">
        <v>229</v>
      </c>
      <c r="I1788" s="4" t="s">
        <v>3505</v>
      </c>
      <c r="J1788" s="4" t="s">
        <v>3242</v>
      </c>
      <c r="K1788" s="4" t="s">
        <v>24</v>
      </c>
    </row>
    <row r="1789" spans="1:11" x14ac:dyDescent="0.2">
      <c r="A1789" s="4" t="s">
        <v>3728</v>
      </c>
      <c r="B1789" s="4" t="s">
        <v>3729</v>
      </c>
      <c r="C1789" s="4" t="s">
        <v>13</v>
      </c>
      <c r="D1789" s="4" t="s">
        <v>3698</v>
      </c>
      <c r="E1789" s="4" t="s">
        <v>3699</v>
      </c>
      <c r="F1789" s="4" t="s">
        <v>111</v>
      </c>
      <c r="G1789" s="1">
        <v>0.16700000000000001</v>
      </c>
      <c r="H1789" s="4" t="s">
        <v>229</v>
      </c>
      <c r="I1789" s="4" t="s">
        <v>3505</v>
      </c>
      <c r="J1789" s="4" t="s">
        <v>3242</v>
      </c>
      <c r="K1789" s="4" t="s">
        <v>24</v>
      </c>
    </row>
    <row r="1790" spans="1:11" x14ac:dyDescent="0.2">
      <c r="A1790" s="4" t="s">
        <v>3730</v>
      </c>
      <c r="B1790" s="4" t="s">
        <v>3731</v>
      </c>
      <c r="C1790" s="4" t="s">
        <v>13</v>
      </c>
      <c r="D1790" s="4" t="s">
        <v>3698</v>
      </c>
      <c r="E1790" s="4" t="s">
        <v>3699</v>
      </c>
      <c r="F1790" s="4" t="s">
        <v>111</v>
      </c>
      <c r="G1790" s="1">
        <v>0.13300000000000001</v>
      </c>
      <c r="H1790" s="4" t="s">
        <v>112</v>
      </c>
      <c r="I1790" s="4" t="s">
        <v>3505</v>
      </c>
      <c r="J1790" s="4" t="s">
        <v>3242</v>
      </c>
      <c r="K1790" s="4" t="s">
        <v>24</v>
      </c>
    </row>
    <row r="1791" spans="1:11" x14ac:dyDescent="0.2">
      <c r="A1791" s="4" t="s">
        <v>3732</v>
      </c>
      <c r="B1791" s="4" t="s">
        <v>3733</v>
      </c>
      <c r="C1791" s="4" t="s">
        <v>13</v>
      </c>
      <c r="D1791" s="4" t="s">
        <v>3698</v>
      </c>
      <c r="E1791" s="4" t="s">
        <v>3699</v>
      </c>
      <c r="F1791" s="4" t="s">
        <v>111</v>
      </c>
      <c r="G1791" s="1">
        <v>0.16700000000000001</v>
      </c>
      <c r="H1791" s="4" t="s">
        <v>229</v>
      </c>
      <c r="I1791" s="4" t="s">
        <v>3505</v>
      </c>
      <c r="J1791" s="4" t="s">
        <v>3242</v>
      </c>
      <c r="K1791" s="4" t="s">
        <v>24</v>
      </c>
    </row>
    <row r="1792" spans="1:11" x14ac:dyDescent="0.2">
      <c r="A1792" s="4" t="s">
        <v>3734</v>
      </c>
      <c r="B1792" s="4" t="s">
        <v>3735</v>
      </c>
      <c r="C1792" s="4" t="s">
        <v>13</v>
      </c>
      <c r="D1792" s="4" t="s">
        <v>3698</v>
      </c>
      <c r="E1792" s="4" t="s">
        <v>3699</v>
      </c>
      <c r="F1792" s="4" t="s">
        <v>111</v>
      </c>
      <c r="G1792" s="1">
        <v>0.16700000000000001</v>
      </c>
      <c r="H1792" s="4" t="s">
        <v>229</v>
      </c>
      <c r="I1792" s="4" t="s">
        <v>3505</v>
      </c>
      <c r="J1792" s="4" t="s">
        <v>3242</v>
      </c>
      <c r="K1792" s="4" t="s">
        <v>24</v>
      </c>
    </row>
    <row r="1793" spans="1:11" x14ac:dyDescent="0.2">
      <c r="A1793" s="4" t="s">
        <v>3736</v>
      </c>
      <c r="B1793" s="4" t="s">
        <v>3737</v>
      </c>
      <c r="C1793" s="4" t="s">
        <v>13</v>
      </c>
      <c r="D1793" s="4" t="s">
        <v>3698</v>
      </c>
      <c r="E1793" s="4" t="s">
        <v>3699</v>
      </c>
      <c r="F1793" s="4" t="s">
        <v>111</v>
      </c>
      <c r="G1793" s="1">
        <v>0.16700000000000001</v>
      </c>
      <c r="H1793" s="4" t="s">
        <v>229</v>
      </c>
      <c r="I1793" s="4" t="s">
        <v>3505</v>
      </c>
      <c r="J1793" s="4" t="s">
        <v>3242</v>
      </c>
      <c r="K1793" s="4" t="s">
        <v>24</v>
      </c>
    </row>
    <row r="1794" spans="1:11" x14ac:dyDescent="0.2">
      <c r="A1794" s="4" t="s">
        <v>3738</v>
      </c>
      <c r="B1794" s="4" t="s">
        <v>3739</v>
      </c>
      <c r="C1794" s="4" t="s">
        <v>13</v>
      </c>
      <c r="D1794" s="4" t="s">
        <v>3698</v>
      </c>
      <c r="E1794" s="4" t="s">
        <v>3699</v>
      </c>
      <c r="F1794" s="4" t="s">
        <v>111</v>
      </c>
      <c r="G1794" s="1">
        <v>0.13300000000000001</v>
      </c>
      <c r="H1794" s="4" t="s">
        <v>112</v>
      </c>
      <c r="I1794" s="4" t="s">
        <v>3505</v>
      </c>
      <c r="J1794" s="4" t="s">
        <v>3242</v>
      </c>
      <c r="K1794" s="4" t="s">
        <v>24</v>
      </c>
    </row>
    <row r="1795" spans="1:11" x14ac:dyDescent="0.2">
      <c r="A1795" s="4" t="s">
        <v>3740</v>
      </c>
      <c r="B1795" s="4" t="s">
        <v>3741</v>
      </c>
      <c r="C1795" s="4" t="s">
        <v>13</v>
      </c>
      <c r="D1795" s="4" t="s">
        <v>3698</v>
      </c>
      <c r="E1795" s="4" t="s">
        <v>3699</v>
      </c>
      <c r="F1795" s="4" t="s">
        <v>111</v>
      </c>
      <c r="G1795" s="1">
        <v>0.16700000000000001</v>
      </c>
      <c r="H1795" s="4" t="s">
        <v>229</v>
      </c>
      <c r="I1795" s="4" t="s">
        <v>3505</v>
      </c>
      <c r="J1795" s="4" t="s">
        <v>3242</v>
      </c>
      <c r="K1795" s="4" t="s">
        <v>24</v>
      </c>
    </row>
    <row r="1796" spans="1:11" x14ac:dyDescent="0.2">
      <c r="A1796" s="4" t="s">
        <v>3742</v>
      </c>
      <c r="B1796" s="4" t="s">
        <v>3743</v>
      </c>
      <c r="C1796" s="4" t="s">
        <v>13</v>
      </c>
      <c r="D1796" s="4" t="s">
        <v>3698</v>
      </c>
      <c r="E1796" s="4" t="s">
        <v>3699</v>
      </c>
      <c r="F1796" s="4" t="s">
        <v>111</v>
      </c>
      <c r="G1796" s="1">
        <v>0.16700000000000001</v>
      </c>
      <c r="H1796" s="4" t="s">
        <v>229</v>
      </c>
      <c r="I1796" s="4" t="s">
        <v>3505</v>
      </c>
      <c r="J1796" s="4" t="s">
        <v>3242</v>
      </c>
      <c r="K1796" s="4" t="s">
        <v>24</v>
      </c>
    </row>
    <row r="1797" spans="1:11" x14ac:dyDescent="0.2">
      <c r="A1797" s="4" t="s">
        <v>3744</v>
      </c>
      <c r="B1797" s="4" t="s">
        <v>3745</v>
      </c>
      <c r="C1797" s="4" t="s">
        <v>13</v>
      </c>
      <c r="D1797" s="4" t="s">
        <v>3698</v>
      </c>
      <c r="E1797" s="4" t="s">
        <v>3699</v>
      </c>
      <c r="F1797" s="4" t="s">
        <v>111</v>
      </c>
      <c r="G1797" s="1">
        <v>0.16700000000000001</v>
      </c>
      <c r="H1797" s="4" t="s">
        <v>229</v>
      </c>
      <c r="I1797" s="4" t="s">
        <v>3505</v>
      </c>
      <c r="J1797" s="4" t="s">
        <v>3242</v>
      </c>
      <c r="K1797" s="4" t="s">
        <v>24</v>
      </c>
    </row>
    <row r="1798" spans="1:11" x14ac:dyDescent="0.2">
      <c r="A1798" s="4" t="s">
        <v>3746</v>
      </c>
      <c r="B1798" s="4" t="s">
        <v>3747</v>
      </c>
      <c r="C1798" s="4" t="s">
        <v>13</v>
      </c>
      <c r="D1798" s="4" t="s">
        <v>3698</v>
      </c>
      <c r="E1798" s="4" t="s">
        <v>3699</v>
      </c>
      <c r="F1798" s="4" t="s">
        <v>111</v>
      </c>
      <c r="G1798" s="1">
        <v>0.16700000000000001</v>
      </c>
      <c r="H1798" s="4" t="s">
        <v>229</v>
      </c>
      <c r="I1798" s="4" t="s">
        <v>3505</v>
      </c>
      <c r="J1798" s="4" t="s">
        <v>3242</v>
      </c>
      <c r="K1798" s="4" t="s">
        <v>24</v>
      </c>
    </row>
    <row r="1799" spans="1:11" x14ac:dyDescent="0.2">
      <c r="A1799" s="4" t="s">
        <v>3748</v>
      </c>
      <c r="B1799" s="4" t="s">
        <v>3749</v>
      </c>
      <c r="C1799" s="4" t="s">
        <v>13</v>
      </c>
      <c r="D1799" s="4" t="s">
        <v>3698</v>
      </c>
      <c r="E1799" s="4" t="s">
        <v>3699</v>
      </c>
      <c r="F1799" s="4" t="s">
        <v>111</v>
      </c>
      <c r="G1799" s="1">
        <v>0.13300000000000001</v>
      </c>
      <c r="H1799" s="4" t="s">
        <v>112</v>
      </c>
      <c r="I1799" s="4" t="s">
        <v>3505</v>
      </c>
      <c r="J1799" s="4" t="s">
        <v>3242</v>
      </c>
      <c r="K1799" s="4" t="s">
        <v>24</v>
      </c>
    </row>
    <row r="1800" spans="1:11" x14ac:dyDescent="0.2">
      <c r="A1800" s="4" t="s">
        <v>3750</v>
      </c>
      <c r="B1800" s="4" t="s">
        <v>3751</v>
      </c>
      <c r="C1800" s="4" t="s">
        <v>13</v>
      </c>
      <c r="D1800" s="4" t="s">
        <v>3698</v>
      </c>
      <c r="E1800" s="4" t="s">
        <v>3699</v>
      </c>
      <c r="F1800" s="4" t="s">
        <v>111</v>
      </c>
      <c r="G1800" s="1">
        <v>0.1</v>
      </c>
      <c r="H1800" s="4" t="s">
        <v>117</v>
      </c>
      <c r="I1800" s="4" t="s">
        <v>3505</v>
      </c>
      <c r="J1800" s="4" t="s">
        <v>3242</v>
      </c>
      <c r="K1800" s="4" t="s">
        <v>24</v>
      </c>
    </row>
    <row r="1801" spans="1:11" x14ac:dyDescent="0.2">
      <c r="A1801" s="4" t="s">
        <v>3752</v>
      </c>
      <c r="B1801" s="4" t="s">
        <v>3753</v>
      </c>
      <c r="C1801" s="4" t="s">
        <v>13</v>
      </c>
      <c r="D1801" s="4" t="s">
        <v>3698</v>
      </c>
      <c r="E1801" s="4" t="s">
        <v>3699</v>
      </c>
      <c r="F1801" s="4" t="s">
        <v>111</v>
      </c>
      <c r="G1801" s="1">
        <v>0.16700000000000001</v>
      </c>
      <c r="H1801" s="4" t="s">
        <v>229</v>
      </c>
      <c r="I1801" s="4" t="s">
        <v>3505</v>
      </c>
      <c r="J1801" s="4" t="s">
        <v>3242</v>
      </c>
      <c r="K1801" s="4" t="s">
        <v>3567</v>
      </c>
    </row>
    <row r="1802" spans="1:11" x14ac:dyDescent="0.2">
      <c r="A1802" s="4" t="s">
        <v>3754</v>
      </c>
      <c r="B1802" s="4" t="s">
        <v>3755</v>
      </c>
      <c r="C1802" s="4" t="s">
        <v>13</v>
      </c>
      <c r="D1802" s="4" t="s">
        <v>3698</v>
      </c>
      <c r="E1802" s="4" t="s">
        <v>3699</v>
      </c>
      <c r="F1802" s="4" t="s">
        <v>111</v>
      </c>
      <c r="G1802" s="1">
        <v>0.16700000000000001</v>
      </c>
      <c r="H1802" s="4" t="s">
        <v>229</v>
      </c>
      <c r="I1802" s="4" t="s">
        <v>3505</v>
      </c>
      <c r="J1802" s="4" t="s">
        <v>3242</v>
      </c>
      <c r="K1802" s="4" t="s">
        <v>3567</v>
      </c>
    </row>
    <row r="1803" spans="1:11" x14ac:dyDescent="0.2">
      <c r="A1803" s="4" t="s">
        <v>3756</v>
      </c>
      <c r="B1803" s="4" t="s">
        <v>3757</v>
      </c>
      <c r="C1803" s="4" t="s">
        <v>13</v>
      </c>
      <c r="D1803" s="4" t="s">
        <v>3698</v>
      </c>
      <c r="E1803" s="4" t="s">
        <v>3699</v>
      </c>
      <c r="F1803" s="4" t="s">
        <v>111</v>
      </c>
      <c r="G1803" s="1">
        <v>0.1</v>
      </c>
      <c r="H1803" s="4" t="s">
        <v>117</v>
      </c>
      <c r="I1803" s="4" t="s">
        <v>3505</v>
      </c>
      <c r="J1803" s="4" t="s">
        <v>3242</v>
      </c>
      <c r="K1803" s="4" t="s">
        <v>3684</v>
      </c>
    </row>
    <row r="1804" spans="1:11" x14ac:dyDescent="0.2">
      <c r="A1804" s="4" t="s">
        <v>3758</v>
      </c>
      <c r="B1804" s="4" t="s">
        <v>3759</v>
      </c>
      <c r="C1804" s="4" t="s">
        <v>13</v>
      </c>
      <c r="D1804" s="4" t="s">
        <v>3698</v>
      </c>
      <c r="E1804" s="4" t="s">
        <v>3699</v>
      </c>
      <c r="F1804" s="4" t="s">
        <v>111</v>
      </c>
      <c r="G1804" s="1">
        <v>0.16700000000000001</v>
      </c>
      <c r="H1804" s="4" t="s">
        <v>229</v>
      </c>
      <c r="I1804" s="4" t="s">
        <v>3505</v>
      </c>
      <c r="J1804" s="4" t="s">
        <v>3242</v>
      </c>
      <c r="K1804" s="4" t="s">
        <v>3684</v>
      </c>
    </row>
    <row r="1805" spans="1:11" x14ac:dyDescent="0.2">
      <c r="A1805" s="4" t="s">
        <v>3624</v>
      </c>
      <c r="B1805" s="4" t="s">
        <v>3625</v>
      </c>
      <c r="C1805" s="4" t="s">
        <v>49</v>
      </c>
      <c r="D1805" s="4" t="s">
        <v>3698</v>
      </c>
      <c r="E1805" s="4" t="s">
        <v>3699</v>
      </c>
      <c r="F1805" s="4" t="s">
        <v>111</v>
      </c>
      <c r="G1805" s="1">
        <v>0.13300000000000001</v>
      </c>
      <c r="H1805" s="4" t="s">
        <v>112</v>
      </c>
      <c r="I1805" s="4" t="s">
        <v>3505</v>
      </c>
      <c r="J1805" s="4" t="s">
        <v>3242</v>
      </c>
      <c r="K1805" s="4" t="s">
        <v>3684</v>
      </c>
    </row>
    <row r="1806" spans="1:11" x14ac:dyDescent="0.2">
      <c r="A1806" s="4" t="s">
        <v>3760</v>
      </c>
      <c r="B1806" s="4" t="s">
        <v>3761</v>
      </c>
      <c r="C1806" s="4" t="s">
        <v>13</v>
      </c>
      <c r="D1806" s="4" t="s">
        <v>3698</v>
      </c>
      <c r="E1806" s="4" t="s">
        <v>3699</v>
      </c>
      <c r="F1806" s="4" t="s">
        <v>111</v>
      </c>
      <c r="G1806" s="1">
        <v>0.16700000000000001</v>
      </c>
      <c r="H1806" s="4" t="s">
        <v>229</v>
      </c>
      <c r="I1806" s="4" t="s">
        <v>3505</v>
      </c>
      <c r="J1806" s="4" t="s">
        <v>3242</v>
      </c>
      <c r="K1806" s="4" t="s">
        <v>3684</v>
      </c>
    </row>
    <row r="1807" spans="1:11" x14ac:dyDescent="0.2">
      <c r="A1807" s="4" t="s">
        <v>3762</v>
      </c>
      <c r="B1807" s="4" t="s">
        <v>3763</v>
      </c>
      <c r="C1807" s="4" t="s">
        <v>13</v>
      </c>
      <c r="D1807" s="4" t="s">
        <v>3698</v>
      </c>
      <c r="E1807" s="4" t="s">
        <v>3699</v>
      </c>
      <c r="F1807" s="4" t="s">
        <v>111</v>
      </c>
      <c r="G1807" s="1">
        <v>0.1</v>
      </c>
      <c r="H1807" s="4" t="s">
        <v>117</v>
      </c>
      <c r="I1807" s="4" t="s">
        <v>3505</v>
      </c>
      <c r="J1807" s="4" t="s">
        <v>3242</v>
      </c>
      <c r="K1807" s="4" t="s">
        <v>3684</v>
      </c>
    </row>
    <row r="1808" spans="1:11" x14ac:dyDescent="0.2">
      <c r="A1808" s="4" t="s">
        <v>3764</v>
      </c>
      <c r="B1808" s="4" t="s">
        <v>3765</v>
      </c>
      <c r="C1808" s="4" t="s">
        <v>13</v>
      </c>
      <c r="D1808" s="4" t="s">
        <v>3698</v>
      </c>
      <c r="E1808" s="4" t="s">
        <v>3699</v>
      </c>
      <c r="F1808" s="4" t="s">
        <v>111</v>
      </c>
      <c r="G1808" s="1">
        <v>0.16700000000000001</v>
      </c>
      <c r="H1808" s="4" t="s">
        <v>229</v>
      </c>
      <c r="I1808" s="4" t="s">
        <v>3505</v>
      </c>
      <c r="J1808" s="4" t="s">
        <v>3242</v>
      </c>
      <c r="K1808" s="4" t="s">
        <v>3684</v>
      </c>
    </row>
    <row r="1809" spans="1:11" x14ac:dyDescent="0.2">
      <c r="A1809" s="4" t="s">
        <v>3766</v>
      </c>
      <c r="B1809" s="4" t="s">
        <v>3767</v>
      </c>
      <c r="C1809" s="4" t="s">
        <v>13</v>
      </c>
      <c r="D1809" s="4" t="s">
        <v>3698</v>
      </c>
      <c r="E1809" s="4" t="s">
        <v>3699</v>
      </c>
      <c r="F1809" s="4" t="s">
        <v>111</v>
      </c>
      <c r="G1809" s="1">
        <v>0.04</v>
      </c>
      <c r="H1809" s="4" t="s">
        <v>1374</v>
      </c>
      <c r="I1809" s="4" t="s">
        <v>3505</v>
      </c>
      <c r="J1809" s="4" t="s">
        <v>3242</v>
      </c>
      <c r="K1809" s="4" t="s">
        <v>3689</v>
      </c>
    </row>
    <row r="1810" spans="1:11" x14ac:dyDescent="0.2">
      <c r="A1810" s="4" t="s">
        <v>3768</v>
      </c>
      <c r="B1810" s="4" t="s">
        <v>3769</v>
      </c>
      <c r="C1810" s="4" t="s">
        <v>13</v>
      </c>
      <c r="D1810" s="4" t="s">
        <v>3698</v>
      </c>
      <c r="E1810" s="4" t="s">
        <v>3699</v>
      </c>
      <c r="F1810" s="4" t="s">
        <v>111</v>
      </c>
      <c r="G1810" s="1">
        <v>0.13300000000000001</v>
      </c>
      <c r="H1810" s="4" t="s">
        <v>112</v>
      </c>
      <c r="I1810" s="4" t="s">
        <v>3505</v>
      </c>
      <c r="J1810" s="4" t="s">
        <v>3242</v>
      </c>
      <c r="K1810" s="4" t="s">
        <v>3689</v>
      </c>
    </row>
    <row r="1811" spans="1:11" x14ac:dyDescent="0.2">
      <c r="A1811" s="4" t="s">
        <v>3770</v>
      </c>
      <c r="B1811" s="4" t="s">
        <v>3771</v>
      </c>
      <c r="C1811" s="4" t="s">
        <v>13</v>
      </c>
      <c r="D1811" s="4" t="s">
        <v>3772</v>
      </c>
      <c r="E1811" s="4" t="s">
        <v>3773</v>
      </c>
      <c r="F1811" s="4" t="s">
        <v>807</v>
      </c>
      <c r="G1811" s="1">
        <v>0.1</v>
      </c>
      <c r="H1811" s="4" t="s">
        <v>117</v>
      </c>
      <c r="I1811" s="4" t="s">
        <v>3505</v>
      </c>
      <c r="J1811" s="4" t="s">
        <v>3774</v>
      </c>
      <c r="K1811" s="4" t="s">
        <v>24</v>
      </c>
    </row>
    <row r="1812" spans="1:11" x14ac:dyDescent="0.2">
      <c r="A1812" s="4" t="s">
        <v>3775</v>
      </c>
      <c r="B1812" s="4" t="s">
        <v>3776</v>
      </c>
      <c r="C1812" s="4" t="s">
        <v>13</v>
      </c>
      <c r="D1812" s="4" t="s">
        <v>3772</v>
      </c>
      <c r="E1812" s="4" t="s">
        <v>3773</v>
      </c>
      <c r="F1812" s="4" t="s">
        <v>807</v>
      </c>
      <c r="G1812" s="1">
        <v>6.7000000000000004E-2</v>
      </c>
      <c r="H1812" s="4" t="s">
        <v>166</v>
      </c>
      <c r="I1812" s="4" t="s">
        <v>3505</v>
      </c>
      <c r="J1812" s="4" t="s">
        <v>3774</v>
      </c>
      <c r="K1812" s="4" t="s">
        <v>24</v>
      </c>
    </row>
    <row r="1813" spans="1:11" x14ac:dyDescent="0.2">
      <c r="A1813" s="4" t="s">
        <v>3777</v>
      </c>
      <c r="B1813" s="4" t="s">
        <v>3778</v>
      </c>
      <c r="C1813" s="4" t="s">
        <v>13</v>
      </c>
      <c r="D1813" s="4" t="s">
        <v>3772</v>
      </c>
      <c r="E1813" s="4" t="s">
        <v>3773</v>
      </c>
      <c r="F1813" s="4" t="s">
        <v>807</v>
      </c>
      <c r="G1813" s="1">
        <v>0.13300000000000001</v>
      </c>
      <c r="H1813" s="4" t="s">
        <v>112</v>
      </c>
      <c r="I1813" s="4" t="s">
        <v>3505</v>
      </c>
      <c r="J1813" s="4" t="s">
        <v>3774</v>
      </c>
      <c r="K1813" s="4" t="s">
        <v>24</v>
      </c>
    </row>
    <row r="1814" spans="1:11" x14ac:dyDescent="0.2">
      <c r="A1814" s="4" t="s">
        <v>3779</v>
      </c>
      <c r="B1814" s="4" t="s">
        <v>3780</v>
      </c>
      <c r="C1814" s="4" t="s">
        <v>13</v>
      </c>
      <c r="D1814" s="4" t="s">
        <v>3772</v>
      </c>
      <c r="E1814" s="4" t="s">
        <v>3773</v>
      </c>
      <c r="F1814" s="4" t="s">
        <v>807</v>
      </c>
      <c r="G1814" s="1">
        <v>0.1</v>
      </c>
      <c r="H1814" s="4" t="s">
        <v>117</v>
      </c>
      <c r="I1814" s="4" t="s">
        <v>3505</v>
      </c>
      <c r="J1814" s="4" t="s">
        <v>3774</v>
      </c>
      <c r="K1814" s="4" t="s">
        <v>24</v>
      </c>
    </row>
    <row r="1815" spans="1:11" x14ac:dyDescent="0.2">
      <c r="A1815" s="4" t="s">
        <v>3781</v>
      </c>
      <c r="B1815" s="4" t="s">
        <v>3782</v>
      </c>
      <c r="C1815" s="4" t="s">
        <v>13</v>
      </c>
      <c r="D1815" s="4" t="s">
        <v>3772</v>
      </c>
      <c r="E1815" s="4" t="s">
        <v>3773</v>
      </c>
      <c r="F1815" s="4" t="s">
        <v>807</v>
      </c>
      <c r="G1815" s="1">
        <v>6.7000000000000004E-2</v>
      </c>
      <c r="H1815" s="4" t="s">
        <v>166</v>
      </c>
      <c r="I1815" s="4" t="s">
        <v>3505</v>
      </c>
      <c r="J1815" s="4" t="s">
        <v>3774</v>
      </c>
      <c r="K1815" s="4" t="s">
        <v>24</v>
      </c>
    </row>
    <row r="1816" spans="1:11" x14ac:dyDescent="0.2">
      <c r="A1816" s="4" t="s">
        <v>3783</v>
      </c>
      <c r="B1816" s="4" t="s">
        <v>3784</v>
      </c>
      <c r="C1816" s="4" t="s">
        <v>13</v>
      </c>
      <c r="D1816" s="4" t="s">
        <v>3772</v>
      </c>
      <c r="E1816" s="4" t="s">
        <v>3773</v>
      </c>
      <c r="F1816" s="4" t="s">
        <v>807</v>
      </c>
      <c r="G1816" s="1">
        <v>0</v>
      </c>
      <c r="H1816" s="4" t="s">
        <v>254</v>
      </c>
      <c r="I1816" s="4" t="s">
        <v>3505</v>
      </c>
      <c r="J1816" s="4" t="s">
        <v>3774</v>
      </c>
      <c r="K1816" s="4" t="s">
        <v>24</v>
      </c>
    </row>
    <row r="1817" spans="1:11" x14ac:dyDescent="0.2">
      <c r="A1817" s="4" t="s">
        <v>3785</v>
      </c>
      <c r="B1817" s="4" t="s">
        <v>3786</v>
      </c>
      <c r="C1817" s="4" t="s">
        <v>13</v>
      </c>
      <c r="D1817" s="4" t="s">
        <v>3772</v>
      </c>
      <c r="E1817" s="4" t="s">
        <v>3773</v>
      </c>
      <c r="F1817" s="4" t="s">
        <v>807</v>
      </c>
      <c r="G1817" s="1">
        <v>0.1</v>
      </c>
      <c r="H1817" s="4" t="s">
        <v>117</v>
      </c>
      <c r="I1817" s="4" t="s">
        <v>3505</v>
      </c>
      <c r="J1817" s="4" t="s">
        <v>3774</v>
      </c>
      <c r="K1817" s="4" t="s">
        <v>24</v>
      </c>
    </row>
    <row r="1818" spans="1:11" x14ac:dyDescent="0.2">
      <c r="A1818" s="4" t="s">
        <v>3787</v>
      </c>
      <c r="B1818" s="4" t="s">
        <v>3788</v>
      </c>
      <c r="C1818" s="4" t="s">
        <v>13</v>
      </c>
      <c r="D1818" s="4" t="s">
        <v>3772</v>
      </c>
      <c r="E1818" s="4" t="s">
        <v>3773</v>
      </c>
      <c r="F1818" s="4" t="s">
        <v>807</v>
      </c>
      <c r="G1818" s="1">
        <v>6.7000000000000004E-2</v>
      </c>
      <c r="H1818" s="4" t="s">
        <v>166</v>
      </c>
      <c r="I1818" s="4" t="s">
        <v>3505</v>
      </c>
      <c r="J1818" s="4" t="s">
        <v>3774</v>
      </c>
      <c r="K1818" s="4" t="s">
        <v>24</v>
      </c>
    </row>
    <row r="1819" spans="1:11" x14ac:dyDescent="0.2">
      <c r="A1819" s="4" t="s">
        <v>3789</v>
      </c>
      <c r="B1819" s="4" t="s">
        <v>3790</v>
      </c>
      <c r="C1819" s="4" t="s">
        <v>13</v>
      </c>
      <c r="D1819" s="4" t="s">
        <v>3772</v>
      </c>
      <c r="E1819" s="4" t="s">
        <v>3773</v>
      </c>
      <c r="F1819" s="4" t="s">
        <v>807</v>
      </c>
      <c r="G1819" s="1">
        <v>0.13300000000000001</v>
      </c>
      <c r="H1819" s="4" t="s">
        <v>112</v>
      </c>
      <c r="I1819" s="4" t="s">
        <v>3505</v>
      </c>
      <c r="J1819" s="4" t="s">
        <v>3774</v>
      </c>
      <c r="K1819" s="4" t="s">
        <v>24</v>
      </c>
    </row>
    <row r="1820" spans="1:11" x14ac:dyDescent="0.2">
      <c r="A1820" s="4" t="s">
        <v>3791</v>
      </c>
      <c r="B1820" s="4" t="s">
        <v>3792</v>
      </c>
      <c r="C1820" s="4" t="s">
        <v>13</v>
      </c>
      <c r="D1820" s="4" t="s">
        <v>3772</v>
      </c>
      <c r="E1820" s="4" t="s">
        <v>3773</v>
      </c>
      <c r="F1820" s="4" t="s">
        <v>807</v>
      </c>
      <c r="G1820" s="1">
        <v>0.13300000000000001</v>
      </c>
      <c r="H1820" s="4" t="s">
        <v>112</v>
      </c>
      <c r="I1820" s="4" t="s">
        <v>3505</v>
      </c>
      <c r="J1820" s="4" t="s">
        <v>3774</v>
      </c>
      <c r="K1820" s="4" t="s">
        <v>24</v>
      </c>
    </row>
    <row r="1821" spans="1:11" x14ac:dyDescent="0.2">
      <c r="A1821" s="4" t="s">
        <v>3793</v>
      </c>
      <c r="B1821" s="4" t="s">
        <v>3794</v>
      </c>
      <c r="C1821" s="4" t="s">
        <v>13</v>
      </c>
      <c r="D1821" s="4" t="s">
        <v>3772</v>
      </c>
      <c r="E1821" s="4" t="s">
        <v>3773</v>
      </c>
      <c r="F1821" s="4" t="s">
        <v>807</v>
      </c>
      <c r="G1821" s="1">
        <v>0.13300000000000001</v>
      </c>
      <c r="H1821" s="4" t="s">
        <v>112</v>
      </c>
      <c r="I1821" s="4" t="s">
        <v>3505</v>
      </c>
      <c r="J1821" s="4" t="s">
        <v>3774</v>
      </c>
      <c r="K1821" s="4" t="s">
        <v>24</v>
      </c>
    </row>
    <row r="1822" spans="1:11" x14ac:dyDescent="0.2">
      <c r="A1822" s="4" t="s">
        <v>3795</v>
      </c>
      <c r="B1822" s="4" t="s">
        <v>3796</v>
      </c>
      <c r="C1822" s="4" t="s">
        <v>13</v>
      </c>
      <c r="D1822" s="4" t="s">
        <v>3772</v>
      </c>
      <c r="E1822" s="4" t="s">
        <v>3773</v>
      </c>
      <c r="F1822" s="4" t="s">
        <v>807</v>
      </c>
      <c r="G1822" s="1">
        <v>0</v>
      </c>
      <c r="H1822" s="4" t="s">
        <v>254</v>
      </c>
      <c r="I1822" s="4" t="s">
        <v>3505</v>
      </c>
      <c r="J1822" s="4" t="s">
        <v>3774</v>
      </c>
      <c r="K1822" s="4" t="s">
        <v>24</v>
      </c>
    </row>
    <row r="1823" spans="1:11" x14ac:dyDescent="0.2">
      <c r="A1823" s="4" t="s">
        <v>3797</v>
      </c>
      <c r="B1823" s="4" t="s">
        <v>3798</v>
      </c>
      <c r="C1823" s="4" t="s">
        <v>13</v>
      </c>
      <c r="D1823" s="4" t="s">
        <v>3772</v>
      </c>
      <c r="E1823" s="4" t="s">
        <v>3773</v>
      </c>
      <c r="F1823" s="4" t="s">
        <v>807</v>
      </c>
      <c r="G1823" s="1">
        <v>6.7000000000000004E-2</v>
      </c>
      <c r="H1823" s="4" t="s">
        <v>166</v>
      </c>
      <c r="I1823" s="4" t="s">
        <v>3505</v>
      </c>
      <c r="J1823" s="4" t="s">
        <v>3774</v>
      </c>
      <c r="K1823" s="4" t="s">
        <v>24</v>
      </c>
    </row>
    <row r="1824" spans="1:11" x14ac:dyDescent="0.2">
      <c r="A1824" s="4" t="s">
        <v>3799</v>
      </c>
      <c r="B1824" s="4" t="s">
        <v>3800</v>
      </c>
      <c r="C1824" s="4" t="s">
        <v>13</v>
      </c>
      <c r="D1824" s="4" t="s">
        <v>3772</v>
      </c>
      <c r="E1824" s="4" t="s">
        <v>3773</v>
      </c>
      <c r="F1824" s="4" t="s">
        <v>807</v>
      </c>
      <c r="G1824" s="1">
        <v>0.13300000000000001</v>
      </c>
      <c r="H1824" s="4" t="s">
        <v>112</v>
      </c>
      <c r="I1824" s="4" t="s">
        <v>3505</v>
      </c>
      <c r="J1824" s="4" t="s">
        <v>3774</v>
      </c>
      <c r="K1824" s="4" t="s">
        <v>24</v>
      </c>
    </row>
    <row r="1825" spans="1:11" x14ac:dyDescent="0.2">
      <c r="A1825" s="4" t="s">
        <v>3801</v>
      </c>
      <c r="B1825" s="4" t="s">
        <v>3802</v>
      </c>
      <c r="C1825" s="4" t="s">
        <v>13</v>
      </c>
      <c r="D1825" s="4" t="s">
        <v>3772</v>
      </c>
      <c r="E1825" s="4" t="s">
        <v>3773</v>
      </c>
      <c r="F1825" s="4" t="s">
        <v>807</v>
      </c>
      <c r="G1825" s="1">
        <v>0.1</v>
      </c>
      <c r="H1825" s="4" t="s">
        <v>117</v>
      </c>
      <c r="I1825" s="4" t="s">
        <v>3505</v>
      </c>
      <c r="J1825" s="4" t="s">
        <v>3774</v>
      </c>
      <c r="K1825" s="4" t="s">
        <v>24</v>
      </c>
    </row>
    <row r="1826" spans="1:11" x14ac:dyDescent="0.2">
      <c r="A1826" s="4" t="s">
        <v>3803</v>
      </c>
      <c r="B1826" s="4" t="s">
        <v>3804</v>
      </c>
      <c r="C1826" s="4" t="s">
        <v>13</v>
      </c>
      <c r="D1826" s="4" t="s">
        <v>3772</v>
      </c>
      <c r="E1826" s="4" t="s">
        <v>3773</v>
      </c>
      <c r="F1826" s="4" t="s">
        <v>807</v>
      </c>
      <c r="G1826" s="1">
        <v>0.13300000000000001</v>
      </c>
      <c r="H1826" s="4" t="s">
        <v>112</v>
      </c>
      <c r="I1826" s="4" t="s">
        <v>3505</v>
      </c>
      <c r="J1826" s="4" t="s">
        <v>3774</v>
      </c>
      <c r="K1826" s="4" t="s">
        <v>24</v>
      </c>
    </row>
    <row r="1827" spans="1:11" x14ac:dyDescent="0.2">
      <c r="A1827" s="4" t="s">
        <v>3805</v>
      </c>
      <c r="B1827" s="4" t="s">
        <v>3806</v>
      </c>
      <c r="C1827" s="4" t="s">
        <v>13</v>
      </c>
      <c r="D1827" s="4" t="s">
        <v>3772</v>
      </c>
      <c r="E1827" s="4" t="s">
        <v>3773</v>
      </c>
      <c r="F1827" s="4" t="s">
        <v>807</v>
      </c>
      <c r="G1827" s="1">
        <v>0.13300000000000001</v>
      </c>
      <c r="H1827" s="4" t="s">
        <v>112</v>
      </c>
      <c r="I1827" s="4" t="s">
        <v>3505</v>
      </c>
      <c r="J1827" s="4" t="s">
        <v>3774</v>
      </c>
      <c r="K1827" s="4" t="s">
        <v>24</v>
      </c>
    </row>
    <row r="1828" spans="1:11" x14ac:dyDescent="0.2">
      <c r="A1828" s="4" t="s">
        <v>3807</v>
      </c>
      <c r="B1828" s="4" t="s">
        <v>3808</v>
      </c>
      <c r="C1828" s="4" t="s">
        <v>13</v>
      </c>
      <c r="D1828" s="4" t="s">
        <v>3772</v>
      </c>
      <c r="E1828" s="4" t="s">
        <v>3773</v>
      </c>
      <c r="F1828" s="4" t="s">
        <v>807</v>
      </c>
      <c r="G1828" s="1">
        <v>0.13300000000000001</v>
      </c>
      <c r="H1828" s="4" t="s">
        <v>112</v>
      </c>
      <c r="I1828" s="4" t="s">
        <v>3505</v>
      </c>
      <c r="J1828" s="4" t="s">
        <v>3774</v>
      </c>
      <c r="K1828" s="4" t="s">
        <v>24</v>
      </c>
    </row>
    <row r="1829" spans="1:11" x14ac:dyDescent="0.2">
      <c r="A1829" s="4" t="s">
        <v>3809</v>
      </c>
      <c r="B1829" s="4" t="s">
        <v>3810</v>
      </c>
      <c r="C1829" s="4" t="s">
        <v>13</v>
      </c>
      <c r="D1829" s="4" t="s">
        <v>3772</v>
      </c>
      <c r="E1829" s="4" t="s">
        <v>3773</v>
      </c>
      <c r="F1829" s="4" t="s">
        <v>807</v>
      </c>
      <c r="G1829" s="1">
        <v>0.13300000000000001</v>
      </c>
      <c r="H1829" s="4" t="s">
        <v>112</v>
      </c>
      <c r="I1829" s="4" t="s">
        <v>3505</v>
      </c>
      <c r="J1829" s="4" t="s">
        <v>3774</v>
      </c>
      <c r="K1829" s="4" t="s">
        <v>24</v>
      </c>
    </row>
    <row r="1830" spans="1:11" x14ac:dyDescent="0.2">
      <c r="A1830" s="4" t="s">
        <v>3811</v>
      </c>
      <c r="B1830" s="4" t="s">
        <v>3812</v>
      </c>
      <c r="C1830" s="4" t="s">
        <v>13</v>
      </c>
      <c r="D1830" s="4" t="s">
        <v>3772</v>
      </c>
      <c r="E1830" s="4" t="s">
        <v>3773</v>
      </c>
      <c r="F1830" s="4" t="s">
        <v>807</v>
      </c>
      <c r="G1830" s="1">
        <v>0</v>
      </c>
      <c r="H1830" s="4" t="s">
        <v>254</v>
      </c>
      <c r="I1830" s="4" t="s">
        <v>3505</v>
      </c>
      <c r="J1830" s="4" t="s">
        <v>3774</v>
      </c>
      <c r="K1830" s="4" t="s">
        <v>24</v>
      </c>
    </row>
    <row r="1831" spans="1:11" x14ac:dyDescent="0.2">
      <c r="A1831" s="4" t="s">
        <v>3813</v>
      </c>
      <c r="B1831" s="4" t="s">
        <v>3814</v>
      </c>
      <c r="C1831" s="4" t="s">
        <v>13</v>
      </c>
      <c r="D1831" s="4" t="s">
        <v>3772</v>
      </c>
      <c r="E1831" s="4" t="s">
        <v>3773</v>
      </c>
      <c r="F1831" s="4" t="s">
        <v>807</v>
      </c>
      <c r="G1831" s="1">
        <v>0</v>
      </c>
      <c r="H1831" s="4" t="s">
        <v>254</v>
      </c>
      <c r="I1831" s="4" t="s">
        <v>3505</v>
      </c>
      <c r="J1831" s="4" t="s">
        <v>3774</v>
      </c>
      <c r="K1831" s="4" t="s">
        <v>24</v>
      </c>
    </row>
    <row r="1832" spans="1:11" x14ac:dyDescent="0.2">
      <c r="A1832" s="4" t="s">
        <v>3815</v>
      </c>
      <c r="B1832" s="4" t="s">
        <v>3816</v>
      </c>
      <c r="C1832" s="4" t="s">
        <v>13</v>
      </c>
      <c r="D1832" s="4" t="s">
        <v>3772</v>
      </c>
      <c r="E1832" s="4" t="s">
        <v>3773</v>
      </c>
      <c r="F1832" s="4" t="s">
        <v>807</v>
      </c>
      <c r="G1832" s="1">
        <v>0.13300000000000001</v>
      </c>
      <c r="H1832" s="4" t="s">
        <v>112</v>
      </c>
      <c r="I1832" s="4" t="s">
        <v>3505</v>
      </c>
      <c r="J1832" s="4" t="s">
        <v>3774</v>
      </c>
      <c r="K1832" s="4" t="s">
        <v>24</v>
      </c>
    </row>
    <row r="1833" spans="1:11" x14ac:dyDescent="0.2">
      <c r="A1833" s="4" t="s">
        <v>3817</v>
      </c>
      <c r="B1833" s="4" t="s">
        <v>3818</v>
      </c>
      <c r="C1833" s="4" t="s">
        <v>13</v>
      </c>
      <c r="D1833" s="4" t="s">
        <v>3772</v>
      </c>
      <c r="E1833" s="4" t="s">
        <v>3773</v>
      </c>
      <c r="F1833" s="4" t="s">
        <v>807</v>
      </c>
      <c r="G1833" s="1">
        <v>0.13300000000000001</v>
      </c>
      <c r="H1833" s="4" t="s">
        <v>112</v>
      </c>
      <c r="I1833" s="4" t="s">
        <v>3505</v>
      </c>
      <c r="J1833" s="4" t="s">
        <v>3774</v>
      </c>
      <c r="K1833" s="4" t="s">
        <v>24</v>
      </c>
    </row>
    <row r="1834" spans="1:11" x14ac:dyDescent="0.2">
      <c r="A1834" s="4" t="s">
        <v>3819</v>
      </c>
      <c r="B1834" s="4" t="s">
        <v>3820</v>
      </c>
      <c r="C1834" s="4" t="s">
        <v>13</v>
      </c>
      <c r="D1834" s="4" t="s">
        <v>3772</v>
      </c>
      <c r="E1834" s="4" t="s">
        <v>3773</v>
      </c>
      <c r="F1834" s="4" t="s">
        <v>807</v>
      </c>
      <c r="G1834" s="1">
        <v>0.13300000000000001</v>
      </c>
      <c r="H1834" s="4" t="s">
        <v>112</v>
      </c>
      <c r="I1834" s="4" t="s">
        <v>3505</v>
      </c>
      <c r="J1834" s="4" t="s">
        <v>3774</v>
      </c>
      <c r="K1834" s="4" t="s">
        <v>24</v>
      </c>
    </row>
    <row r="1835" spans="1:11" x14ac:dyDescent="0.2">
      <c r="A1835" s="4" t="s">
        <v>3821</v>
      </c>
      <c r="B1835" s="4" t="s">
        <v>3822</v>
      </c>
      <c r="C1835" s="4" t="s">
        <v>13</v>
      </c>
      <c r="D1835" s="4" t="s">
        <v>3772</v>
      </c>
      <c r="E1835" s="4" t="s">
        <v>3773</v>
      </c>
      <c r="F1835" s="4" t="s">
        <v>807</v>
      </c>
      <c r="G1835" s="1">
        <v>0.13300000000000001</v>
      </c>
      <c r="H1835" s="4" t="s">
        <v>112</v>
      </c>
      <c r="I1835" s="4" t="s">
        <v>3505</v>
      </c>
      <c r="J1835" s="4" t="s">
        <v>3774</v>
      </c>
      <c r="K1835" s="4" t="s">
        <v>3567</v>
      </c>
    </row>
    <row r="1836" spans="1:11" x14ac:dyDescent="0.2">
      <c r="A1836" s="4" t="s">
        <v>3823</v>
      </c>
      <c r="B1836" s="4" t="s">
        <v>3824</v>
      </c>
      <c r="C1836" s="4" t="s">
        <v>13</v>
      </c>
      <c r="D1836" s="4" t="s">
        <v>3772</v>
      </c>
      <c r="E1836" s="4" t="s">
        <v>3773</v>
      </c>
      <c r="F1836" s="4" t="s">
        <v>807</v>
      </c>
      <c r="G1836" s="1">
        <v>0.13300000000000001</v>
      </c>
      <c r="H1836" s="4" t="s">
        <v>112</v>
      </c>
      <c r="I1836" s="4" t="s">
        <v>3505</v>
      </c>
      <c r="J1836" s="4" t="s">
        <v>3774</v>
      </c>
      <c r="K1836" s="4" t="s">
        <v>24</v>
      </c>
    </row>
    <row r="1837" spans="1:11" x14ac:dyDescent="0.2">
      <c r="A1837" s="4" t="s">
        <v>3825</v>
      </c>
      <c r="B1837" s="4" t="s">
        <v>3826</v>
      </c>
      <c r="C1837" s="4" t="s">
        <v>13</v>
      </c>
      <c r="D1837" s="4" t="s">
        <v>3772</v>
      </c>
      <c r="E1837" s="4" t="s">
        <v>3773</v>
      </c>
      <c r="F1837" s="4" t="s">
        <v>807</v>
      </c>
      <c r="G1837" s="1">
        <v>0.13300000000000001</v>
      </c>
      <c r="H1837" s="4" t="s">
        <v>112</v>
      </c>
      <c r="I1837" s="4" t="s">
        <v>3505</v>
      </c>
      <c r="J1837" s="4" t="s">
        <v>3774</v>
      </c>
      <c r="K1837" s="4" t="s">
        <v>24</v>
      </c>
    </row>
    <row r="1838" spans="1:11" x14ac:dyDescent="0.2">
      <c r="A1838" s="4" t="s">
        <v>3827</v>
      </c>
      <c r="B1838" s="4" t="s">
        <v>3828</v>
      </c>
      <c r="C1838" s="4" t="s">
        <v>13</v>
      </c>
      <c r="D1838" s="4" t="s">
        <v>3772</v>
      </c>
      <c r="E1838" s="4" t="s">
        <v>3773</v>
      </c>
      <c r="F1838" s="4" t="s">
        <v>807</v>
      </c>
      <c r="G1838" s="1">
        <v>3.3000000000000002E-2</v>
      </c>
      <c r="H1838" s="4" t="s">
        <v>225</v>
      </c>
      <c r="I1838" s="4" t="s">
        <v>3505</v>
      </c>
      <c r="J1838" s="4" t="s">
        <v>3774</v>
      </c>
      <c r="K1838" s="4" t="s">
        <v>24</v>
      </c>
    </row>
    <row r="1839" spans="1:11" x14ac:dyDescent="0.2">
      <c r="A1839" s="4" t="s">
        <v>3829</v>
      </c>
      <c r="B1839" s="4" t="s">
        <v>3830</v>
      </c>
      <c r="C1839" s="4" t="s">
        <v>13</v>
      </c>
      <c r="D1839" s="4" t="s">
        <v>3831</v>
      </c>
      <c r="E1839" s="4" t="s">
        <v>3832</v>
      </c>
      <c r="F1839" s="4" t="s">
        <v>1453</v>
      </c>
      <c r="G1839" s="1">
        <v>0.15</v>
      </c>
      <c r="H1839" s="4" t="s">
        <v>852</v>
      </c>
      <c r="I1839" s="4" t="s">
        <v>3833</v>
      </c>
      <c r="J1839" s="4" t="s">
        <v>3834</v>
      </c>
      <c r="K1839" s="4" t="s">
        <v>3835</v>
      </c>
    </row>
    <row r="1840" spans="1:11" x14ac:dyDescent="0.2">
      <c r="A1840" s="4" t="s">
        <v>3836</v>
      </c>
      <c r="B1840" s="4" t="s">
        <v>3837</v>
      </c>
      <c r="C1840" s="4" t="s">
        <v>13</v>
      </c>
      <c r="D1840" s="4" t="s">
        <v>3831</v>
      </c>
      <c r="E1840" s="4" t="s">
        <v>3832</v>
      </c>
      <c r="F1840" s="4" t="s">
        <v>1453</v>
      </c>
      <c r="G1840" s="1">
        <v>7.4999999999999997E-2</v>
      </c>
      <c r="H1840" s="4" t="s">
        <v>881</v>
      </c>
      <c r="I1840" s="4" t="s">
        <v>3833</v>
      </c>
      <c r="J1840" s="4" t="s">
        <v>3834</v>
      </c>
      <c r="K1840" s="4" t="s">
        <v>3838</v>
      </c>
    </row>
    <row r="1841" spans="1:11" x14ac:dyDescent="0.2">
      <c r="A1841" s="4" t="s">
        <v>3839</v>
      </c>
      <c r="B1841" s="4" t="s">
        <v>3840</v>
      </c>
      <c r="C1841" s="4" t="s">
        <v>13</v>
      </c>
      <c r="D1841" s="4" t="s">
        <v>3831</v>
      </c>
      <c r="E1841" s="4" t="s">
        <v>3832</v>
      </c>
      <c r="F1841" s="4" t="s">
        <v>1453</v>
      </c>
      <c r="G1841" s="1">
        <v>0.1</v>
      </c>
      <c r="H1841" s="4" t="s">
        <v>3841</v>
      </c>
      <c r="I1841" s="4" t="s">
        <v>3833</v>
      </c>
      <c r="J1841" s="4" t="s">
        <v>3834</v>
      </c>
      <c r="K1841" s="4" t="s">
        <v>3842</v>
      </c>
    </row>
    <row r="1842" spans="1:11" x14ac:dyDescent="0.2">
      <c r="A1842" s="4" t="s">
        <v>3843</v>
      </c>
      <c r="B1842" s="4" t="s">
        <v>3844</v>
      </c>
      <c r="C1842" s="4" t="s">
        <v>13</v>
      </c>
      <c r="D1842" s="4" t="s">
        <v>3831</v>
      </c>
      <c r="E1842" s="4" t="s">
        <v>3832</v>
      </c>
      <c r="F1842" s="4" t="s">
        <v>1453</v>
      </c>
      <c r="G1842" s="1">
        <v>0.15</v>
      </c>
      <c r="H1842" s="4" t="s">
        <v>852</v>
      </c>
      <c r="I1842" s="4" t="s">
        <v>3833</v>
      </c>
      <c r="J1842" s="4" t="s">
        <v>3834</v>
      </c>
      <c r="K1842" s="4" t="s">
        <v>3842</v>
      </c>
    </row>
    <row r="1843" spans="1:11" x14ac:dyDescent="0.2">
      <c r="A1843" s="4" t="s">
        <v>3845</v>
      </c>
      <c r="B1843" s="4" t="s">
        <v>3846</v>
      </c>
      <c r="C1843" s="4" t="s">
        <v>13</v>
      </c>
      <c r="D1843" s="4" t="s">
        <v>3831</v>
      </c>
      <c r="E1843" s="4" t="s">
        <v>3832</v>
      </c>
      <c r="F1843" s="4" t="s">
        <v>1453</v>
      </c>
      <c r="G1843" s="1">
        <v>0.15</v>
      </c>
      <c r="H1843" s="4" t="s">
        <v>852</v>
      </c>
      <c r="I1843" s="4" t="s">
        <v>3833</v>
      </c>
      <c r="J1843" s="4" t="s">
        <v>3834</v>
      </c>
      <c r="K1843" s="4" t="s">
        <v>3847</v>
      </c>
    </row>
    <row r="1844" spans="1:11" x14ac:dyDescent="0.2">
      <c r="A1844" s="4" t="s">
        <v>3848</v>
      </c>
      <c r="B1844" s="4" t="s">
        <v>3849</v>
      </c>
      <c r="C1844" s="4" t="s">
        <v>13</v>
      </c>
      <c r="D1844" s="4" t="s">
        <v>3831</v>
      </c>
      <c r="E1844" s="4" t="s">
        <v>3832</v>
      </c>
      <c r="F1844" s="4" t="s">
        <v>1453</v>
      </c>
      <c r="G1844" s="1">
        <v>0.15</v>
      </c>
      <c r="H1844" s="4" t="s">
        <v>852</v>
      </c>
      <c r="I1844" s="4" t="s">
        <v>3833</v>
      </c>
      <c r="J1844" s="4" t="s">
        <v>3834</v>
      </c>
      <c r="K1844" s="4" t="s">
        <v>24</v>
      </c>
    </row>
    <row r="1845" spans="1:11" x14ac:dyDescent="0.2">
      <c r="A1845" s="4" t="s">
        <v>3850</v>
      </c>
      <c r="B1845" s="4" t="s">
        <v>3851</v>
      </c>
      <c r="C1845" s="4" t="s">
        <v>13</v>
      </c>
      <c r="D1845" s="4" t="s">
        <v>3831</v>
      </c>
      <c r="E1845" s="4" t="s">
        <v>3832</v>
      </c>
      <c r="F1845" s="4" t="s">
        <v>1453</v>
      </c>
      <c r="G1845" s="1">
        <v>0.15</v>
      </c>
      <c r="H1845" s="4" t="s">
        <v>852</v>
      </c>
      <c r="I1845" s="4" t="s">
        <v>3833</v>
      </c>
      <c r="J1845" s="4" t="s">
        <v>3834</v>
      </c>
      <c r="K1845" s="4" t="s">
        <v>24</v>
      </c>
    </row>
    <row r="1846" spans="1:11" x14ac:dyDescent="0.2">
      <c r="A1846" s="4" t="s">
        <v>3852</v>
      </c>
      <c r="B1846" s="4" t="s">
        <v>3853</v>
      </c>
      <c r="C1846" s="4" t="s">
        <v>13</v>
      </c>
      <c r="D1846" s="4" t="s">
        <v>3831</v>
      </c>
      <c r="E1846" s="4" t="s">
        <v>3832</v>
      </c>
      <c r="F1846" s="4" t="s">
        <v>1453</v>
      </c>
      <c r="G1846" s="1">
        <v>0.1</v>
      </c>
      <c r="H1846" s="4" t="s">
        <v>867</v>
      </c>
      <c r="I1846" s="4" t="s">
        <v>3833</v>
      </c>
      <c r="J1846" s="4" t="s">
        <v>3834</v>
      </c>
      <c r="K1846" s="4" t="s">
        <v>24</v>
      </c>
    </row>
    <row r="1847" spans="1:11" x14ac:dyDescent="0.2">
      <c r="A1847" s="4" t="s">
        <v>3854</v>
      </c>
      <c r="B1847" s="4" t="s">
        <v>3855</v>
      </c>
      <c r="C1847" s="4" t="s">
        <v>13</v>
      </c>
      <c r="D1847" s="4" t="s">
        <v>3831</v>
      </c>
      <c r="E1847" s="4" t="s">
        <v>3832</v>
      </c>
      <c r="F1847" s="4" t="s">
        <v>1453</v>
      </c>
      <c r="G1847" s="1">
        <v>0.15</v>
      </c>
      <c r="H1847" s="4" t="s">
        <v>852</v>
      </c>
      <c r="I1847" s="4" t="s">
        <v>3833</v>
      </c>
      <c r="J1847" s="4" t="s">
        <v>3834</v>
      </c>
      <c r="K1847" s="4" t="s">
        <v>24</v>
      </c>
    </row>
    <row r="1848" spans="1:11" x14ac:dyDescent="0.2">
      <c r="A1848" s="4" t="s">
        <v>3856</v>
      </c>
      <c r="B1848" s="4" t="s">
        <v>3857</v>
      </c>
      <c r="C1848" s="4" t="s">
        <v>13</v>
      </c>
      <c r="D1848" s="4" t="s">
        <v>3831</v>
      </c>
      <c r="E1848" s="4" t="s">
        <v>3832</v>
      </c>
      <c r="F1848" s="4" t="s">
        <v>1453</v>
      </c>
      <c r="G1848" s="1">
        <v>0.15</v>
      </c>
      <c r="H1848" s="4" t="s">
        <v>852</v>
      </c>
      <c r="I1848" s="4" t="s">
        <v>3833</v>
      </c>
      <c r="J1848" s="4" t="s">
        <v>3834</v>
      </c>
      <c r="K1848" s="4" t="s">
        <v>24</v>
      </c>
    </row>
    <row r="1849" spans="1:11" x14ac:dyDescent="0.2">
      <c r="A1849" s="4" t="s">
        <v>3858</v>
      </c>
      <c r="B1849" s="4" t="s">
        <v>3859</v>
      </c>
      <c r="C1849" s="4" t="s">
        <v>13</v>
      </c>
      <c r="D1849" s="4" t="s">
        <v>3831</v>
      </c>
      <c r="E1849" s="4" t="s">
        <v>3832</v>
      </c>
      <c r="F1849" s="4" t="s">
        <v>1453</v>
      </c>
      <c r="G1849" s="1">
        <v>0.05</v>
      </c>
      <c r="H1849" s="4" t="s">
        <v>870</v>
      </c>
      <c r="I1849" s="4" t="s">
        <v>3833</v>
      </c>
      <c r="J1849" s="4" t="s">
        <v>3834</v>
      </c>
      <c r="K1849" s="4" t="s">
        <v>24</v>
      </c>
    </row>
    <row r="1850" spans="1:11" x14ac:dyDescent="0.2">
      <c r="A1850" s="4" t="s">
        <v>3860</v>
      </c>
      <c r="B1850" s="4" t="s">
        <v>3861</v>
      </c>
      <c r="C1850" s="4" t="s">
        <v>13</v>
      </c>
      <c r="D1850" s="4" t="s">
        <v>3831</v>
      </c>
      <c r="E1850" s="4" t="s">
        <v>3832</v>
      </c>
      <c r="F1850" s="4" t="s">
        <v>1453</v>
      </c>
      <c r="G1850" s="1">
        <v>0</v>
      </c>
      <c r="H1850" s="4" t="s">
        <v>918</v>
      </c>
      <c r="I1850" s="4" t="s">
        <v>3833</v>
      </c>
      <c r="J1850" s="4" t="s">
        <v>3834</v>
      </c>
      <c r="K1850" s="4" t="s">
        <v>24</v>
      </c>
    </row>
    <row r="1851" spans="1:11" x14ac:dyDescent="0.2">
      <c r="A1851" s="4" t="s">
        <v>3862</v>
      </c>
      <c r="B1851" s="4" t="s">
        <v>3863</v>
      </c>
      <c r="C1851" s="4" t="s">
        <v>13</v>
      </c>
      <c r="D1851" s="4" t="s">
        <v>3831</v>
      </c>
      <c r="E1851" s="4" t="s">
        <v>3832</v>
      </c>
      <c r="F1851" s="4" t="s">
        <v>1453</v>
      </c>
      <c r="G1851" s="1">
        <v>0.05</v>
      </c>
      <c r="H1851" s="4" t="s">
        <v>870</v>
      </c>
      <c r="I1851" s="4" t="s">
        <v>3833</v>
      </c>
      <c r="J1851" s="4" t="s">
        <v>3834</v>
      </c>
      <c r="K1851" s="4" t="s">
        <v>24</v>
      </c>
    </row>
    <row r="1852" spans="1:11" x14ac:dyDescent="0.2">
      <c r="A1852" s="4" t="s">
        <v>3864</v>
      </c>
      <c r="B1852" s="4" t="s">
        <v>3865</v>
      </c>
      <c r="C1852" s="4" t="s">
        <v>13</v>
      </c>
      <c r="D1852" s="4" t="s">
        <v>3831</v>
      </c>
      <c r="E1852" s="4" t="s">
        <v>3832</v>
      </c>
      <c r="F1852" s="4" t="s">
        <v>1453</v>
      </c>
      <c r="G1852" s="1">
        <v>0</v>
      </c>
      <c r="H1852" s="4" t="s">
        <v>918</v>
      </c>
      <c r="I1852" s="4" t="s">
        <v>3833</v>
      </c>
      <c r="J1852" s="4" t="s">
        <v>3834</v>
      </c>
      <c r="K1852" s="4" t="s">
        <v>24</v>
      </c>
    </row>
    <row r="1853" spans="1:11" x14ac:dyDescent="0.2">
      <c r="A1853" s="4" t="s">
        <v>3866</v>
      </c>
      <c r="B1853" s="4" t="s">
        <v>3867</v>
      </c>
      <c r="C1853" s="4" t="s">
        <v>13</v>
      </c>
      <c r="D1853" s="4" t="s">
        <v>3831</v>
      </c>
      <c r="E1853" s="4" t="s">
        <v>3832</v>
      </c>
      <c r="F1853" s="4" t="s">
        <v>1453</v>
      </c>
      <c r="G1853" s="1">
        <v>0.125</v>
      </c>
      <c r="H1853" s="4" t="s">
        <v>862</v>
      </c>
      <c r="I1853" s="4" t="s">
        <v>3833</v>
      </c>
      <c r="J1853" s="4" t="s">
        <v>3834</v>
      </c>
      <c r="K1853" s="4" t="s">
        <v>24</v>
      </c>
    </row>
    <row r="1854" spans="1:11" x14ac:dyDescent="0.2">
      <c r="A1854" s="4" t="s">
        <v>3868</v>
      </c>
      <c r="B1854" s="4" t="s">
        <v>3869</v>
      </c>
      <c r="C1854" s="4" t="s">
        <v>13</v>
      </c>
      <c r="D1854" s="4" t="s">
        <v>3831</v>
      </c>
      <c r="E1854" s="4" t="s">
        <v>3832</v>
      </c>
      <c r="F1854" s="4" t="s">
        <v>1453</v>
      </c>
      <c r="G1854" s="1">
        <v>0</v>
      </c>
      <c r="H1854" s="4" t="s">
        <v>918</v>
      </c>
      <c r="I1854" s="4" t="s">
        <v>3833</v>
      </c>
      <c r="J1854" s="4" t="s">
        <v>3834</v>
      </c>
      <c r="K1854" s="4" t="s">
        <v>24</v>
      </c>
    </row>
    <row r="1855" spans="1:11" x14ac:dyDescent="0.2">
      <c r="A1855" s="4" t="s">
        <v>3870</v>
      </c>
      <c r="B1855" s="4" t="s">
        <v>3871</v>
      </c>
      <c r="C1855" s="4" t="s">
        <v>13</v>
      </c>
      <c r="D1855" s="4" t="s">
        <v>3831</v>
      </c>
      <c r="E1855" s="4" t="s">
        <v>3832</v>
      </c>
      <c r="F1855" s="4" t="s">
        <v>1453</v>
      </c>
      <c r="G1855" s="1">
        <v>0.05</v>
      </c>
      <c r="H1855" s="4" t="s">
        <v>870</v>
      </c>
      <c r="I1855" s="4" t="s">
        <v>3833</v>
      </c>
      <c r="J1855" s="4" t="s">
        <v>3834</v>
      </c>
      <c r="K1855" s="4" t="s">
        <v>24</v>
      </c>
    </row>
    <row r="1856" spans="1:11" x14ac:dyDescent="0.2">
      <c r="A1856" s="4" t="s">
        <v>3872</v>
      </c>
      <c r="B1856" s="4" t="s">
        <v>3873</v>
      </c>
      <c r="C1856" s="4" t="s">
        <v>13</v>
      </c>
      <c r="D1856" s="4" t="s">
        <v>3831</v>
      </c>
      <c r="E1856" s="4" t="s">
        <v>3832</v>
      </c>
      <c r="F1856" s="4" t="s">
        <v>1453</v>
      </c>
      <c r="G1856" s="1">
        <v>0</v>
      </c>
      <c r="H1856" s="4" t="s">
        <v>918</v>
      </c>
      <c r="I1856" s="4" t="s">
        <v>3833</v>
      </c>
      <c r="J1856" s="4" t="s">
        <v>3834</v>
      </c>
      <c r="K1856" s="4" t="s">
        <v>24</v>
      </c>
    </row>
    <row r="1857" spans="1:11" x14ac:dyDescent="0.2">
      <c r="A1857" s="4" t="s">
        <v>3874</v>
      </c>
      <c r="B1857" s="4" t="s">
        <v>3875</v>
      </c>
      <c r="C1857" s="4" t="s">
        <v>13</v>
      </c>
      <c r="D1857" s="4" t="s">
        <v>3831</v>
      </c>
      <c r="E1857" s="4" t="s">
        <v>3832</v>
      </c>
      <c r="F1857" s="4" t="s">
        <v>1453</v>
      </c>
      <c r="G1857" s="1">
        <v>0</v>
      </c>
      <c r="H1857" s="4" t="s">
        <v>918</v>
      </c>
      <c r="I1857" s="4" t="s">
        <v>3833</v>
      </c>
      <c r="J1857" s="4" t="s">
        <v>3834</v>
      </c>
      <c r="K1857" s="4" t="s">
        <v>24</v>
      </c>
    </row>
    <row r="1858" spans="1:11" x14ac:dyDescent="0.2">
      <c r="A1858" s="4" t="s">
        <v>3876</v>
      </c>
      <c r="B1858" s="4" t="s">
        <v>3877</v>
      </c>
      <c r="C1858" s="4" t="s">
        <v>13</v>
      </c>
      <c r="D1858" s="4" t="s">
        <v>3831</v>
      </c>
      <c r="E1858" s="4" t="s">
        <v>3832</v>
      </c>
      <c r="F1858" s="4" t="s">
        <v>1453</v>
      </c>
      <c r="G1858" s="1">
        <v>0.15</v>
      </c>
      <c r="H1858" s="4" t="s">
        <v>852</v>
      </c>
      <c r="I1858" s="4" t="s">
        <v>3833</v>
      </c>
      <c r="J1858" s="4" t="s">
        <v>3834</v>
      </c>
      <c r="K1858" s="4" t="s">
        <v>24</v>
      </c>
    </row>
    <row r="1859" spans="1:11" x14ac:dyDescent="0.2">
      <c r="A1859" s="4" t="s">
        <v>3878</v>
      </c>
      <c r="B1859" s="4" t="s">
        <v>3879</v>
      </c>
      <c r="C1859" s="4" t="s">
        <v>13</v>
      </c>
      <c r="D1859" s="4" t="s">
        <v>3831</v>
      </c>
      <c r="E1859" s="4" t="s">
        <v>3832</v>
      </c>
      <c r="F1859" s="4" t="s">
        <v>1453</v>
      </c>
      <c r="G1859" s="1">
        <v>0.1</v>
      </c>
      <c r="H1859" s="4" t="s">
        <v>867</v>
      </c>
      <c r="I1859" s="4" t="s">
        <v>3833</v>
      </c>
      <c r="J1859" s="4" t="s">
        <v>3834</v>
      </c>
      <c r="K1859" s="4" t="s">
        <v>24</v>
      </c>
    </row>
    <row r="1860" spans="1:11" x14ac:dyDescent="0.2">
      <c r="A1860" s="4" t="s">
        <v>3880</v>
      </c>
      <c r="B1860" s="4" t="s">
        <v>3881</v>
      </c>
      <c r="C1860" s="4" t="s">
        <v>13</v>
      </c>
      <c r="D1860" s="4" t="s">
        <v>3831</v>
      </c>
      <c r="E1860" s="4" t="s">
        <v>3832</v>
      </c>
      <c r="F1860" s="4" t="s">
        <v>1453</v>
      </c>
      <c r="G1860" s="1">
        <v>0.125</v>
      </c>
      <c r="H1860" s="4" t="s">
        <v>862</v>
      </c>
      <c r="I1860" s="4" t="s">
        <v>3833</v>
      </c>
      <c r="J1860" s="4" t="s">
        <v>3834</v>
      </c>
      <c r="K1860" s="4" t="s">
        <v>24</v>
      </c>
    </row>
    <row r="1861" spans="1:11" x14ac:dyDescent="0.2">
      <c r="A1861" s="4" t="s">
        <v>3882</v>
      </c>
      <c r="B1861" s="4" t="s">
        <v>3883</v>
      </c>
      <c r="C1861" s="4" t="s">
        <v>13</v>
      </c>
      <c r="D1861" s="4" t="s">
        <v>3831</v>
      </c>
      <c r="E1861" s="4" t="s">
        <v>3832</v>
      </c>
      <c r="F1861" s="4" t="s">
        <v>1453</v>
      </c>
      <c r="G1861" s="1">
        <v>0.15</v>
      </c>
      <c r="H1861" s="4" t="s">
        <v>852</v>
      </c>
      <c r="I1861" s="4" t="s">
        <v>3833</v>
      </c>
      <c r="J1861" s="4" t="s">
        <v>3834</v>
      </c>
      <c r="K1861" s="4" t="s">
        <v>24</v>
      </c>
    </row>
    <row r="1862" spans="1:11" x14ac:dyDescent="0.2">
      <c r="A1862" s="4" t="s">
        <v>3884</v>
      </c>
      <c r="B1862" s="4" t="s">
        <v>3885</v>
      </c>
      <c r="C1862" s="4" t="s">
        <v>13</v>
      </c>
      <c r="D1862" s="4" t="s">
        <v>3831</v>
      </c>
      <c r="E1862" s="4" t="s">
        <v>3832</v>
      </c>
      <c r="F1862" s="4" t="s">
        <v>1453</v>
      </c>
      <c r="G1862" s="1">
        <v>0.1</v>
      </c>
      <c r="H1862" s="4" t="s">
        <v>867</v>
      </c>
      <c r="I1862" s="4" t="s">
        <v>3833</v>
      </c>
      <c r="J1862" s="4" t="s">
        <v>3834</v>
      </c>
      <c r="K1862" s="4" t="s">
        <v>24</v>
      </c>
    </row>
    <row r="1863" spans="1:11" x14ac:dyDescent="0.2">
      <c r="A1863" s="4" t="s">
        <v>3886</v>
      </c>
      <c r="B1863" s="4" t="s">
        <v>3887</v>
      </c>
      <c r="C1863" s="4" t="s">
        <v>13</v>
      </c>
      <c r="D1863" s="4" t="s">
        <v>3831</v>
      </c>
      <c r="E1863" s="4" t="s">
        <v>3832</v>
      </c>
      <c r="F1863" s="4" t="s">
        <v>1453</v>
      </c>
      <c r="G1863" s="1">
        <v>0.125</v>
      </c>
      <c r="H1863" s="4" t="s">
        <v>862</v>
      </c>
      <c r="I1863" s="4" t="s">
        <v>3833</v>
      </c>
      <c r="J1863" s="4" t="s">
        <v>3834</v>
      </c>
      <c r="K1863" s="4" t="s">
        <v>24</v>
      </c>
    </row>
    <row r="1864" spans="1:11" x14ac:dyDescent="0.2">
      <c r="A1864" s="4" t="s">
        <v>3888</v>
      </c>
      <c r="B1864" s="4" t="s">
        <v>3889</v>
      </c>
      <c r="C1864" s="4" t="s">
        <v>13</v>
      </c>
      <c r="D1864" s="4" t="s">
        <v>3831</v>
      </c>
      <c r="E1864" s="4" t="s">
        <v>3832</v>
      </c>
      <c r="F1864" s="4" t="s">
        <v>1453</v>
      </c>
      <c r="G1864" s="1">
        <v>0.125</v>
      </c>
      <c r="H1864" s="4" t="s">
        <v>862</v>
      </c>
      <c r="I1864" s="4" t="s">
        <v>3833</v>
      </c>
      <c r="J1864" s="4" t="s">
        <v>3834</v>
      </c>
      <c r="K1864" s="4" t="s">
        <v>24</v>
      </c>
    </row>
    <row r="1865" spans="1:11" x14ac:dyDescent="0.2">
      <c r="A1865" s="4" t="s">
        <v>3890</v>
      </c>
      <c r="B1865" s="4" t="s">
        <v>3891</v>
      </c>
      <c r="C1865" s="4" t="s">
        <v>13</v>
      </c>
      <c r="D1865" s="4" t="s">
        <v>3831</v>
      </c>
      <c r="E1865" s="4" t="s">
        <v>3832</v>
      </c>
      <c r="F1865" s="4" t="s">
        <v>1453</v>
      </c>
      <c r="G1865" s="1">
        <v>0.15</v>
      </c>
      <c r="H1865" s="4" t="s">
        <v>852</v>
      </c>
      <c r="I1865" s="4" t="s">
        <v>3833</v>
      </c>
      <c r="J1865" s="4" t="s">
        <v>3834</v>
      </c>
      <c r="K1865" s="4" t="s">
        <v>24</v>
      </c>
    </row>
    <row r="1866" spans="1:11" x14ac:dyDescent="0.2">
      <c r="A1866" s="4" t="s">
        <v>3892</v>
      </c>
      <c r="B1866" s="4" t="s">
        <v>3893</v>
      </c>
      <c r="C1866" s="4" t="s">
        <v>13</v>
      </c>
      <c r="D1866" s="4" t="s">
        <v>3831</v>
      </c>
      <c r="E1866" s="4" t="s">
        <v>3832</v>
      </c>
      <c r="F1866" s="4" t="s">
        <v>1453</v>
      </c>
      <c r="G1866" s="1">
        <v>0.15</v>
      </c>
      <c r="H1866" s="4" t="s">
        <v>852</v>
      </c>
      <c r="I1866" s="4" t="s">
        <v>3833</v>
      </c>
      <c r="J1866" s="4" t="s">
        <v>3834</v>
      </c>
      <c r="K1866" s="4" t="s">
        <v>24</v>
      </c>
    </row>
    <row r="1867" spans="1:11" x14ac:dyDescent="0.2">
      <c r="A1867" s="4" t="s">
        <v>3894</v>
      </c>
      <c r="B1867" s="4" t="s">
        <v>3895</v>
      </c>
      <c r="C1867" s="4" t="s">
        <v>13</v>
      </c>
      <c r="D1867" s="4" t="s">
        <v>3831</v>
      </c>
      <c r="E1867" s="4" t="s">
        <v>3832</v>
      </c>
      <c r="F1867" s="4" t="s">
        <v>1453</v>
      </c>
      <c r="G1867" s="1">
        <v>0.15</v>
      </c>
      <c r="H1867" s="4" t="s">
        <v>852</v>
      </c>
      <c r="I1867" s="4" t="s">
        <v>3833</v>
      </c>
      <c r="J1867" s="4" t="s">
        <v>3834</v>
      </c>
      <c r="K1867" s="4" t="s">
        <v>24</v>
      </c>
    </row>
    <row r="1868" spans="1:11" x14ac:dyDescent="0.2">
      <c r="A1868" s="4" t="s">
        <v>3896</v>
      </c>
      <c r="B1868" s="4" t="s">
        <v>3897</v>
      </c>
      <c r="C1868" s="4" t="s">
        <v>13</v>
      </c>
      <c r="D1868" s="4" t="s">
        <v>3831</v>
      </c>
      <c r="E1868" s="4" t="s">
        <v>3832</v>
      </c>
      <c r="F1868" s="4" t="s">
        <v>1453</v>
      </c>
      <c r="G1868" s="1">
        <v>0.1</v>
      </c>
      <c r="H1868" s="4" t="s">
        <v>867</v>
      </c>
      <c r="I1868" s="4" t="s">
        <v>3833</v>
      </c>
      <c r="J1868" s="4" t="s">
        <v>3834</v>
      </c>
      <c r="K1868" s="4" t="s">
        <v>24</v>
      </c>
    </row>
    <row r="1869" spans="1:11" x14ac:dyDescent="0.2">
      <c r="A1869" s="4" t="s">
        <v>3898</v>
      </c>
      <c r="B1869" s="4" t="s">
        <v>3899</v>
      </c>
      <c r="C1869" s="4" t="s">
        <v>13</v>
      </c>
      <c r="D1869" s="4" t="s">
        <v>3831</v>
      </c>
      <c r="E1869" s="4" t="s">
        <v>3832</v>
      </c>
      <c r="F1869" s="4" t="s">
        <v>1453</v>
      </c>
      <c r="G1869" s="1">
        <v>0.125</v>
      </c>
      <c r="H1869" s="4" t="s">
        <v>862</v>
      </c>
      <c r="I1869" s="4" t="s">
        <v>3833</v>
      </c>
      <c r="J1869" s="4" t="s">
        <v>3834</v>
      </c>
      <c r="K1869" s="4" t="s">
        <v>24</v>
      </c>
    </row>
    <row r="1870" spans="1:11" x14ac:dyDescent="0.2">
      <c r="A1870" s="4" t="s">
        <v>3900</v>
      </c>
      <c r="B1870" s="4" t="s">
        <v>3901</v>
      </c>
      <c r="C1870" s="4" t="s">
        <v>13</v>
      </c>
      <c r="D1870" s="4" t="s">
        <v>3831</v>
      </c>
      <c r="E1870" s="4" t="s">
        <v>3832</v>
      </c>
      <c r="F1870" s="4" t="s">
        <v>1453</v>
      </c>
      <c r="G1870" s="1">
        <v>0.1</v>
      </c>
      <c r="H1870" s="4" t="s">
        <v>867</v>
      </c>
      <c r="I1870" s="4" t="s">
        <v>3833</v>
      </c>
      <c r="J1870" s="4" t="s">
        <v>3834</v>
      </c>
      <c r="K1870" s="4" t="s">
        <v>24</v>
      </c>
    </row>
    <row r="1871" spans="1:11" x14ac:dyDescent="0.2">
      <c r="A1871" s="4" t="s">
        <v>3902</v>
      </c>
      <c r="B1871" s="4" t="s">
        <v>3903</v>
      </c>
      <c r="C1871" s="4" t="s">
        <v>13</v>
      </c>
      <c r="D1871" s="4" t="s">
        <v>3831</v>
      </c>
      <c r="E1871" s="4" t="s">
        <v>3832</v>
      </c>
      <c r="F1871" s="4" t="s">
        <v>1453</v>
      </c>
      <c r="G1871" s="1">
        <v>0.15</v>
      </c>
      <c r="H1871" s="4" t="s">
        <v>852</v>
      </c>
      <c r="I1871" s="4" t="s">
        <v>3833</v>
      </c>
      <c r="J1871" s="4" t="s">
        <v>3834</v>
      </c>
      <c r="K1871" s="4" t="s">
        <v>24</v>
      </c>
    </row>
    <row r="1872" spans="1:11" x14ac:dyDescent="0.2">
      <c r="A1872" s="4" t="s">
        <v>3904</v>
      </c>
      <c r="B1872" s="4" t="s">
        <v>3905</v>
      </c>
      <c r="C1872" s="4" t="s">
        <v>13</v>
      </c>
      <c r="D1872" s="4" t="s">
        <v>3831</v>
      </c>
      <c r="E1872" s="4" t="s">
        <v>3832</v>
      </c>
      <c r="F1872" s="4" t="s">
        <v>1453</v>
      </c>
      <c r="G1872" s="1">
        <v>0.125</v>
      </c>
      <c r="H1872" s="4" t="s">
        <v>862</v>
      </c>
      <c r="I1872" s="4" t="s">
        <v>3833</v>
      </c>
      <c r="J1872" s="4" t="s">
        <v>3834</v>
      </c>
      <c r="K1872" s="4" t="s">
        <v>24</v>
      </c>
    </row>
    <row r="1873" spans="1:11" x14ac:dyDescent="0.2">
      <c r="A1873" s="4" t="s">
        <v>3906</v>
      </c>
      <c r="B1873" s="4" t="s">
        <v>3907</v>
      </c>
      <c r="C1873" s="4" t="s">
        <v>13</v>
      </c>
      <c r="D1873" s="4" t="s">
        <v>3831</v>
      </c>
      <c r="E1873" s="4" t="s">
        <v>3832</v>
      </c>
      <c r="F1873" s="4" t="s">
        <v>1453</v>
      </c>
      <c r="G1873" s="1">
        <v>0.1</v>
      </c>
      <c r="H1873" s="4" t="s">
        <v>867</v>
      </c>
      <c r="I1873" s="4" t="s">
        <v>3833</v>
      </c>
      <c r="J1873" s="4" t="s">
        <v>3834</v>
      </c>
      <c r="K1873" s="4" t="s">
        <v>24</v>
      </c>
    </row>
    <row r="1874" spans="1:11" x14ac:dyDescent="0.2">
      <c r="A1874" s="4" t="s">
        <v>3908</v>
      </c>
      <c r="B1874" s="4" t="s">
        <v>3909</v>
      </c>
      <c r="C1874" s="4" t="s">
        <v>13</v>
      </c>
      <c r="D1874" s="4" t="s">
        <v>3831</v>
      </c>
      <c r="E1874" s="4" t="s">
        <v>3832</v>
      </c>
      <c r="F1874" s="4" t="s">
        <v>1453</v>
      </c>
      <c r="G1874" s="1">
        <v>0</v>
      </c>
      <c r="H1874" s="4" t="s">
        <v>918</v>
      </c>
      <c r="I1874" s="4" t="s">
        <v>3833</v>
      </c>
      <c r="J1874" s="4" t="s">
        <v>3834</v>
      </c>
      <c r="K1874" s="4" t="s">
        <v>24</v>
      </c>
    </row>
    <row r="1875" spans="1:11" x14ac:dyDescent="0.2">
      <c r="A1875" s="4" t="s">
        <v>3910</v>
      </c>
      <c r="B1875" s="4" t="s">
        <v>3911</v>
      </c>
      <c r="C1875" s="4" t="s">
        <v>13</v>
      </c>
      <c r="D1875" s="4" t="s">
        <v>3831</v>
      </c>
      <c r="E1875" s="4" t="s">
        <v>3832</v>
      </c>
      <c r="F1875" s="4" t="s">
        <v>1453</v>
      </c>
      <c r="G1875" s="1">
        <v>0.1</v>
      </c>
      <c r="H1875" s="4" t="s">
        <v>867</v>
      </c>
      <c r="I1875" s="4" t="s">
        <v>3833</v>
      </c>
      <c r="J1875" s="4" t="s">
        <v>3834</v>
      </c>
      <c r="K1875" s="4" t="s">
        <v>24</v>
      </c>
    </row>
    <row r="1876" spans="1:11" x14ac:dyDescent="0.2">
      <c r="A1876" s="4" t="s">
        <v>3912</v>
      </c>
      <c r="B1876" s="4" t="s">
        <v>3913</v>
      </c>
      <c r="C1876" s="4" t="s">
        <v>13</v>
      </c>
      <c r="D1876" s="4" t="s">
        <v>3831</v>
      </c>
      <c r="E1876" s="4" t="s">
        <v>3832</v>
      </c>
      <c r="F1876" s="4" t="s">
        <v>1453</v>
      </c>
      <c r="G1876" s="1">
        <v>0.1</v>
      </c>
      <c r="H1876" s="4" t="s">
        <v>867</v>
      </c>
      <c r="I1876" s="4" t="s">
        <v>3833</v>
      </c>
      <c r="J1876" s="4" t="s">
        <v>3834</v>
      </c>
      <c r="K1876" s="4" t="s">
        <v>24</v>
      </c>
    </row>
    <row r="1877" spans="1:11" x14ac:dyDescent="0.2">
      <c r="A1877" s="4" t="s">
        <v>3435</v>
      </c>
      <c r="B1877" s="4" t="s">
        <v>3436</v>
      </c>
      <c r="C1877" s="4" t="s">
        <v>49</v>
      </c>
      <c r="D1877" s="4" t="s">
        <v>3831</v>
      </c>
      <c r="E1877" s="4" t="s">
        <v>3832</v>
      </c>
      <c r="F1877" s="4" t="s">
        <v>1453</v>
      </c>
      <c r="G1877" s="1">
        <v>0</v>
      </c>
      <c r="H1877" s="4" t="s">
        <v>918</v>
      </c>
      <c r="I1877" s="4" t="s">
        <v>3833</v>
      </c>
      <c r="J1877" s="4" t="s">
        <v>3834</v>
      </c>
      <c r="K1877" s="4" t="s">
        <v>24</v>
      </c>
    </row>
    <row r="1878" spans="1:11" x14ac:dyDescent="0.2">
      <c r="A1878" s="4" t="s">
        <v>3914</v>
      </c>
      <c r="B1878" s="4" t="s">
        <v>3915</v>
      </c>
      <c r="C1878" s="4" t="s">
        <v>13</v>
      </c>
      <c r="D1878" s="4" t="s">
        <v>3831</v>
      </c>
      <c r="E1878" s="4" t="s">
        <v>3832</v>
      </c>
      <c r="F1878" s="4" t="s">
        <v>1453</v>
      </c>
      <c r="G1878" s="1">
        <v>0.15</v>
      </c>
      <c r="H1878" s="4" t="s">
        <v>852</v>
      </c>
      <c r="I1878" s="4" t="s">
        <v>3833</v>
      </c>
      <c r="J1878" s="4" t="s">
        <v>3834</v>
      </c>
      <c r="K1878" s="4" t="s">
        <v>24</v>
      </c>
    </row>
    <row r="1879" spans="1:11" x14ac:dyDescent="0.2">
      <c r="A1879" s="4" t="s">
        <v>3916</v>
      </c>
      <c r="B1879" s="4" t="s">
        <v>3917</v>
      </c>
      <c r="C1879" s="4" t="s">
        <v>13</v>
      </c>
      <c r="D1879" s="4" t="s">
        <v>3831</v>
      </c>
      <c r="E1879" s="4" t="s">
        <v>3832</v>
      </c>
      <c r="F1879" s="4" t="s">
        <v>1453</v>
      </c>
      <c r="G1879" s="1">
        <v>0.15</v>
      </c>
      <c r="H1879" s="4" t="s">
        <v>852</v>
      </c>
      <c r="I1879" s="4" t="s">
        <v>3833</v>
      </c>
      <c r="J1879" s="4" t="s">
        <v>3834</v>
      </c>
      <c r="K1879" s="4" t="s">
        <v>24</v>
      </c>
    </row>
    <row r="1880" spans="1:11" x14ac:dyDescent="0.2">
      <c r="A1880" s="4" t="s">
        <v>3918</v>
      </c>
      <c r="B1880" s="4" t="s">
        <v>3919</v>
      </c>
      <c r="C1880" s="4" t="s">
        <v>13</v>
      </c>
      <c r="D1880" s="4" t="s">
        <v>3831</v>
      </c>
      <c r="E1880" s="4" t="s">
        <v>3832</v>
      </c>
      <c r="F1880" s="4" t="s">
        <v>1453</v>
      </c>
      <c r="G1880" s="1">
        <v>0</v>
      </c>
      <c r="H1880" s="4" t="s">
        <v>918</v>
      </c>
      <c r="I1880" s="4" t="s">
        <v>3833</v>
      </c>
      <c r="J1880" s="4" t="s">
        <v>3834</v>
      </c>
      <c r="K1880" s="4" t="s">
        <v>24</v>
      </c>
    </row>
    <row r="1881" spans="1:11" x14ac:dyDescent="0.2">
      <c r="A1881" s="4" t="s">
        <v>1849</v>
      </c>
      <c r="B1881" s="4" t="s">
        <v>1850</v>
      </c>
      <c r="C1881" s="4" t="s">
        <v>13</v>
      </c>
      <c r="D1881" s="4" t="s">
        <v>3831</v>
      </c>
      <c r="E1881" s="4" t="s">
        <v>3832</v>
      </c>
      <c r="F1881" s="4" t="s">
        <v>1453</v>
      </c>
      <c r="G1881" s="1">
        <v>0.125</v>
      </c>
      <c r="H1881" s="4" t="s">
        <v>862</v>
      </c>
      <c r="I1881" s="4" t="s">
        <v>3833</v>
      </c>
      <c r="J1881" s="4" t="s">
        <v>3834</v>
      </c>
      <c r="K1881" s="4" t="s">
        <v>24</v>
      </c>
    </row>
    <row r="1882" spans="1:11" x14ac:dyDescent="0.2">
      <c r="A1882" s="4" t="s">
        <v>1799</v>
      </c>
      <c r="B1882" s="4" t="s">
        <v>1800</v>
      </c>
      <c r="C1882" s="4" t="s">
        <v>13</v>
      </c>
      <c r="D1882" s="4" t="s">
        <v>3831</v>
      </c>
      <c r="E1882" s="4" t="s">
        <v>3832</v>
      </c>
      <c r="F1882" s="4" t="s">
        <v>1453</v>
      </c>
      <c r="G1882" s="1">
        <v>0.125</v>
      </c>
      <c r="H1882" s="4" t="s">
        <v>862</v>
      </c>
      <c r="I1882" s="4" t="s">
        <v>3833</v>
      </c>
      <c r="J1882" s="4" t="s">
        <v>3834</v>
      </c>
      <c r="K1882" s="4" t="s">
        <v>24</v>
      </c>
    </row>
    <row r="1883" spans="1:11" x14ac:dyDescent="0.2">
      <c r="A1883" s="4" t="s">
        <v>2165</v>
      </c>
      <c r="B1883" s="4" t="s">
        <v>2166</v>
      </c>
      <c r="C1883" s="4" t="s">
        <v>13</v>
      </c>
      <c r="D1883" s="4" t="s">
        <v>3831</v>
      </c>
      <c r="E1883" s="4" t="s">
        <v>3832</v>
      </c>
      <c r="F1883" s="4" t="s">
        <v>1453</v>
      </c>
      <c r="G1883" s="1">
        <v>4.2999999999999997E-2</v>
      </c>
      <c r="H1883" s="4" t="s">
        <v>3920</v>
      </c>
      <c r="I1883" s="4" t="s">
        <v>3833</v>
      </c>
      <c r="J1883" s="4" t="s">
        <v>3834</v>
      </c>
      <c r="K1883" s="4" t="s">
        <v>24</v>
      </c>
    </row>
    <row r="1884" spans="1:11" x14ac:dyDescent="0.2">
      <c r="A1884" s="4" t="s">
        <v>3921</v>
      </c>
      <c r="B1884" s="4" t="s">
        <v>3922</v>
      </c>
      <c r="C1884" s="4" t="s">
        <v>13</v>
      </c>
      <c r="D1884" s="4" t="s">
        <v>3923</v>
      </c>
      <c r="E1884" s="4" t="s">
        <v>3924</v>
      </c>
      <c r="F1884" s="4" t="s">
        <v>16</v>
      </c>
      <c r="G1884" s="1">
        <v>5.7000000000000002E-2</v>
      </c>
      <c r="H1884" s="4" t="s">
        <v>3925</v>
      </c>
      <c r="I1884" s="4" t="s">
        <v>3833</v>
      </c>
      <c r="J1884" s="4" t="s">
        <v>3926</v>
      </c>
      <c r="K1884" s="4" t="s">
        <v>3927</v>
      </c>
    </row>
    <row r="1885" spans="1:11" x14ac:dyDescent="0.2">
      <c r="A1885" s="4" t="s">
        <v>1647</v>
      </c>
      <c r="B1885" s="4" t="s">
        <v>1648</v>
      </c>
      <c r="C1885" s="4" t="s">
        <v>49</v>
      </c>
      <c r="D1885" s="4" t="s">
        <v>3923</v>
      </c>
      <c r="E1885" s="4" t="s">
        <v>3924</v>
      </c>
      <c r="F1885" s="4" t="s">
        <v>16</v>
      </c>
      <c r="G1885" s="1">
        <v>0.1</v>
      </c>
      <c r="H1885" s="4" t="s">
        <v>117</v>
      </c>
      <c r="I1885" s="4" t="s">
        <v>3833</v>
      </c>
      <c r="J1885" s="4" t="s">
        <v>3926</v>
      </c>
      <c r="K1885" s="4" t="s">
        <v>3928</v>
      </c>
    </row>
    <row r="1886" spans="1:11" x14ac:dyDescent="0.2">
      <c r="A1886" s="4" t="s">
        <v>3929</v>
      </c>
      <c r="B1886" s="4" t="s">
        <v>3930</v>
      </c>
      <c r="C1886" s="4" t="s">
        <v>13</v>
      </c>
      <c r="D1886" s="4" t="s">
        <v>3923</v>
      </c>
      <c r="E1886" s="4" t="s">
        <v>3924</v>
      </c>
      <c r="F1886" s="4" t="s">
        <v>16</v>
      </c>
      <c r="G1886" s="1">
        <v>0.26700000000000002</v>
      </c>
      <c r="H1886" s="4" t="s">
        <v>3931</v>
      </c>
      <c r="I1886" s="4" t="s">
        <v>3833</v>
      </c>
      <c r="J1886" s="4" t="s">
        <v>3926</v>
      </c>
      <c r="K1886" s="4" t="s">
        <v>3928</v>
      </c>
    </row>
    <row r="1887" spans="1:11" x14ac:dyDescent="0.2">
      <c r="A1887" s="4" t="s">
        <v>3932</v>
      </c>
      <c r="B1887" s="4" t="s">
        <v>3933</v>
      </c>
      <c r="C1887" s="4" t="s">
        <v>13</v>
      </c>
      <c r="D1887" s="4" t="s">
        <v>3923</v>
      </c>
      <c r="E1887" s="4" t="s">
        <v>3924</v>
      </c>
      <c r="F1887" s="4" t="s">
        <v>16</v>
      </c>
      <c r="G1887" s="1">
        <v>0.05</v>
      </c>
      <c r="H1887" s="4" t="s">
        <v>336</v>
      </c>
      <c r="I1887" s="4" t="s">
        <v>3833</v>
      </c>
      <c r="J1887" s="4" t="s">
        <v>3926</v>
      </c>
      <c r="K1887" s="4" t="s">
        <v>3842</v>
      </c>
    </row>
    <row r="1888" spans="1:11" x14ac:dyDescent="0.2">
      <c r="A1888" s="4" t="s">
        <v>3934</v>
      </c>
      <c r="B1888" s="4" t="s">
        <v>3935</v>
      </c>
      <c r="C1888" s="4" t="s">
        <v>13</v>
      </c>
      <c r="D1888" s="4" t="s">
        <v>3923</v>
      </c>
      <c r="E1888" s="4" t="s">
        <v>3924</v>
      </c>
      <c r="F1888" s="4" t="s">
        <v>16</v>
      </c>
      <c r="G1888" s="1">
        <v>0.1</v>
      </c>
      <c r="H1888" s="4" t="s">
        <v>117</v>
      </c>
      <c r="I1888" s="4" t="s">
        <v>3833</v>
      </c>
      <c r="J1888" s="4" t="s">
        <v>3926</v>
      </c>
      <c r="K1888" s="4" t="s">
        <v>24</v>
      </c>
    </row>
    <row r="1889" spans="1:11" x14ac:dyDescent="0.2">
      <c r="A1889" s="4" t="s">
        <v>3936</v>
      </c>
      <c r="B1889" s="4" t="s">
        <v>3937</v>
      </c>
      <c r="C1889" s="4" t="s">
        <v>13</v>
      </c>
      <c r="D1889" s="4" t="s">
        <v>3923</v>
      </c>
      <c r="E1889" s="4" t="s">
        <v>3924</v>
      </c>
      <c r="F1889" s="4" t="s">
        <v>16</v>
      </c>
      <c r="G1889" s="1">
        <v>0.26700000000000002</v>
      </c>
      <c r="H1889" s="4" t="s">
        <v>3931</v>
      </c>
      <c r="I1889" s="4" t="s">
        <v>3833</v>
      </c>
      <c r="J1889" s="4" t="s">
        <v>3926</v>
      </c>
      <c r="K1889" s="4" t="s">
        <v>24</v>
      </c>
    </row>
    <row r="1890" spans="1:11" x14ac:dyDescent="0.2">
      <c r="A1890" s="4" t="s">
        <v>3938</v>
      </c>
      <c r="B1890" s="4" t="s">
        <v>3939</v>
      </c>
      <c r="C1890" s="4" t="s">
        <v>13</v>
      </c>
      <c r="D1890" s="4" t="s">
        <v>3923</v>
      </c>
      <c r="E1890" s="4" t="s">
        <v>3924</v>
      </c>
      <c r="F1890" s="4" t="s">
        <v>16</v>
      </c>
      <c r="G1890" s="1">
        <v>0.23300000000000001</v>
      </c>
      <c r="H1890" s="4" t="s">
        <v>3940</v>
      </c>
      <c r="I1890" s="4" t="s">
        <v>3833</v>
      </c>
      <c r="J1890" s="4" t="s">
        <v>3926</v>
      </c>
      <c r="K1890" s="4" t="s">
        <v>24</v>
      </c>
    </row>
    <row r="1891" spans="1:11" x14ac:dyDescent="0.2">
      <c r="A1891" s="4" t="s">
        <v>3941</v>
      </c>
      <c r="B1891" s="4" t="s">
        <v>3942</v>
      </c>
      <c r="C1891" s="4" t="s">
        <v>13</v>
      </c>
      <c r="D1891" s="4" t="s">
        <v>3923</v>
      </c>
      <c r="E1891" s="4" t="s">
        <v>3924</v>
      </c>
      <c r="F1891" s="4" t="s">
        <v>16</v>
      </c>
      <c r="G1891" s="1">
        <v>0</v>
      </c>
      <c r="H1891" s="4" t="s">
        <v>254</v>
      </c>
      <c r="I1891" s="4" t="s">
        <v>3833</v>
      </c>
      <c r="J1891" s="4" t="s">
        <v>3926</v>
      </c>
      <c r="K1891" s="4" t="s">
        <v>24</v>
      </c>
    </row>
    <row r="1892" spans="1:11" x14ac:dyDescent="0.2">
      <c r="A1892" s="4" t="s">
        <v>3943</v>
      </c>
      <c r="B1892" s="4" t="s">
        <v>3944</v>
      </c>
      <c r="C1892" s="4" t="s">
        <v>13</v>
      </c>
      <c r="D1892" s="4" t="s">
        <v>3923</v>
      </c>
      <c r="E1892" s="4" t="s">
        <v>3924</v>
      </c>
      <c r="F1892" s="4" t="s">
        <v>16</v>
      </c>
      <c r="G1892" s="1">
        <v>0.23300000000000001</v>
      </c>
      <c r="H1892" s="4" t="s">
        <v>3940</v>
      </c>
      <c r="I1892" s="4" t="s">
        <v>3833</v>
      </c>
      <c r="J1892" s="4" t="s">
        <v>3926</v>
      </c>
      <c r="K1892" s="4" t="s">
        <v>24</v>
      </c>
    </row>
    <row r="1893" spans="1:11" x14ac:dyDescent="0.2">
      <c r="A1893" s="4" t="s">
        <v>3945</v>
      </c>
      <c r="B1893" s="4" t="s">
        <v>3946</v>
      </c>
      <c r="C1893" s="4" t="s">
        <v>13</v>
      </c>
      <c r="D1893" s="4" t="s">
        <v>3923</v>
      </c>
      <c r="E1893" s="4" t="s">
        <v>3924</v>
      </c>
      <c r="F1893" s="4" t="s">
        <v>16</v>
      </c>
      <c r="G1893" s="1">
        <v>0.16700000000000001</v>
      </c>
      <c r="H1893" s="4" t="s">
        <v>229</v>
      </c>
      <c r="I1893" s="4" t="s">
        <v>3833</v>
      </c>
      <c r="J1893" s="4" t="s">
        <v>3926</v>
      </c>
      <c r="K1893" s="4" t="s">
        <v>24</v>
      </c>
    </row>
    <row r="1894" spans="1:11" x14ac:dyDescent="0.2">
      <c r="A1894" s="4" t="s">
        <v>3947</v>
      </c>
      <c r="B1894" s="4" t="s">
        <v>3948</v>
      </c>
      <c r="C1894" s="4" t="s">
        <v>13</v>
      </c>
      <c r="D1894" s="4" t="s">
        <v>3923</v>
      </c>
      <c r="E1894" s="4" t="s">
        <v>3924</v>
      </c>
      <c r="F1894" s="4" t="s">
        <v>16</v>
      </c>
      <c r="G1894" s="1">
        <v>0.2</v>
      </c>
      <c r="H1894" s="4" t="s">
        <v>232</v>
      </c>
      <c r="I1894" s="4" t="s">
        <v>3833</v>
      </c>
      <c r="J1894" s="4" t="s">
        <v>3926</v>
      </c>
      <c r="K1894" s="4" t="s">
        <v>24</v>
      </c>
    </row>
    <row r="1895" spans="1:11" x14ac:dyDescent="0.2">
      <c r="A1895" s="4" t="s">
        <v>3949</v>
      </c>
      <c r="B1895" s="4" t="s">
        <v>3950</v>
      </c>
      <c r="C1895" s="4" t="s">
        <v>13</v>
      </c>
      <c r="D1895" s="4" t="s">
        <v>3923</v>
      </c>
      <c r="E1895" s="4" t="s">
        <v>3924</v>
      </c>
      <c r="F1895" s="4" t="s">
        <v>16</v>
      </c>
      <c r="G1895" s="1">
        <v>0.16700000000000001</v>
      </c>
      <c r="H1895" s="4" t="s">
        <v>229</v>
      </c>
      <c r="I1895" s="4" t="s">
        <v>3833</v>
      </c>
      <c r="J1895" s="4" t="s">
        <v>3926</v>
      </c>
      <c r="K1895" s="4" t="s">
        <v>24</v>
      </c>
    </row>
    <row r="1896" spans="1:11" x14ac:dyDescent="0.2">
      <c r="A1896" s="4" t="s">
        <v>3951</v>
      </c>
      <c r="B1896" s="4" t="s">
        <v>3952</v>
      </c>
      <c r="C1896" s="4" t="s">
        <v>13</v>
      </c>
      <c r="D1896" s="4" t="s">
        <v>3923</v>
      </c>
      <c r="E1896" s="4" t="s">
        <v>3924</v>
      </c>
      <c r="F1896" s="4" t="s">
        <v>16</v>
      </c>
      <c r="G1896" s="1">
        <v>0.23300000000000001</v>
      </c>
      <c r="H1896" s="4" t="s">
        <v>3940</v>
      </c>
      <c r="I1896" s="4" t="s">
        <v>3833</v>
      </c>
      <c r="J1896" s="4" t="s">
        <v>3926</v>
      </c>
      <c r="K1896" s="4" t="s">
        <v>24</v>
      </c>
    </row>
    <row r="1897" spans="1:11" x14ac:dyDescent="0.2">
      <c r="A1897" s="4" t="s">
        <v>3953</v>
      </c>
      <c r="B1897" s="4" t="s">
        <v>3954</v>
      </c>
      <c r="C1897" s="4" t="s">
        <v>13</v>
      </c>
      <c r="D1897" s="4" t="s">
        <v>3923</v>
      </c>
      <c r="E1897" s="4" t="s">
        <v>3924</v>
      </c>
      <c r="F1897" s="4" t="s">
        <v>16</v>
      </c>
      <c r="G1897" s="1">
        <v>0.2</v>
      </c>
      <c r="H1897" s="4" t="s">
        <v>232</v>
      </c>
      <c r="I1897" s="4" t="s">
        <v>3833</v>
      </c>
      <c r="J1897" s="4" t="s">
        <v>3926</v>
      </c>
      <c r="K1897" s="4" t="s">
        <v>24</v>
      </c>
    </row>
    <row r="1898" spans="1:11" x14ac:dyDescent="0.2">
      <c r="A1898" s="4" t="s">
        <v>3955</v>
      </c>
      <c r="B1898" s="4" t="s">
        <v>3956</v>
      </c>
      <c r="C1898" s="4" t="s">
        <v>13</v>
      </c>
      <c r="D1898" s="4" t="s">
        <v>3923</v>
      </c>
      <c r="E1898" s="4" t="s">
        <v>3924</v>
      </c>
      <c r="F1898" s="4" t="s">
        <v>16</v>
      </c>
      <c r="G1898" s="1">
        <v>0</v>
      </c>
      <c r="H1898" s="4" t="s">
        <v>254</v>
      </c>
      <c r="I1898" s="4" t="s">
        <v>3833</v>
      </c>
      <c r="J1898" s="4" t="s">
        <v>3926</v>
      </c>
      <c r="K1898" s="4" t="s">
        <v>24</v>
      </c>
    </row>
    <row r="1899" spans="1:11" x14ac:dyDescent="0.2">
      <c r="A1899" s="4" t="s">
        <v>3957</v>
      </c>
      <c r="B1899" s="4" t="s">
        <v>3958</v>
      </c>
      <c r="C1899" s="4" t="s">
        <v>13</v>
      </c>
      <c r="D1899" s="4" t="s">
        <v>3923</v>
      </c>
      <c r="E1899" s="4" t="s">
        <v>3924</v>
      </c>
      <c r="F1899" s="4" t="s">
        <v>16</v>
      </c>
      <c r="G1899" s="1">
        <v>0</v>
      </c>
      <c r="H1899" s="4" t="s">
        <v>254</v>
      </c>
      <c r="I1899" s="4" t="s">
        <v>3833</v>
      </c>
      <c r="J1899" s="4" t="s">
        <v>3926</v>
      </c>
      <c r="K1899" s="4" t="s">
        <v>24</v>
      </c>
    </row>
    <row r="1900" spans="1:11" x14ac:dyDescent="0.2">
      <c r="A1900" s="4" t="s">
        <v>3959</v>
      </c>
      <c r="B1900" s="4" t="s">
        <v>3960</v>
      </c>
      <c r="C1900" s="4" t="s">
        <v>13</v>
      </c>
      <c r="D1900" s="4" t="s">
        <v>3923</v>
      </c>
      <c r="E1900" s="4" t="s">
        <v>3924</v>
      </c>
      <c r="F1900" s="4" t="s">
        <v>16</v>
      </c>
      <c r="G1900" s="1">
        <v>0.2</v>
      </c>
      <c r="H1900" s="4" t="s">
        <v>232</v>
      </c>
      <c r="I1900" s="4" t="s">
        <v>3833</v>
      </c>
      <c r="J1900" s="4" t="s">
        <v>3926</v>
      </c>
      <c r="K1900" s="4" t="s">
        <v>24</v>
      </c>
    </row>
    <row r="1901" spans="1:11" x14ac:dyDescent="0.2">
      <c r="A1901" s="4" t="s">
        <v>3961</v>
      </c>
      <c r="B1901" s="4" t="s">
        <v>3962</v>
      </c>
      <c r="C1901" s="4" t="s">
        <v>13</v>
      </c>
      <c r="D1901" s="4" t="s">
        <v>3923</v>
      </c>
      <c r="E1901" s="4" t="s">
        <v>3924</v>
      </c>
      <c r="F1901" s="4" t="s">
        <v>16</v>
      </c>
      <c r="G1901" s="1">
        <v>0.26700000000000002</v>
      </c>
      <c r="H1901" s="4" t="s">
        <v>3931</v>
      </c>
      <c r="I1901" s="4" t="s">
        <v>3833</v>
      </c>
      <c r="J1901" s="4" t="s">
        <v>3926</v>
      </c>
      <c r="K1901" s="4" t="s">
        <v>24</v>
      </c>
    </row>
    <row r="1902" spans="1:11" x14ac:dyDescent="0.2">
      <c r="A1902" s="4" t="s">
        <v>3963</v>
      </c>
      <c r="B1902" s="4" t="s">
        <v>3964</v>
      </c>
      <c r="C1902" s="4" t="s">
        <v>13</v>
      </c>
      <c r="D1902" s="4" t="s">
        <v>3923</v>
      </c>
      <c r="E1902" s="4" t="s">
        <v>3924</v>
      </c>
      <c r="F1902" s="4" t="s">
        <v>16</v>
      </c>
      <c r="G1902" s="1">
        <v>0.26700000000000002</v>
      </c>
      <c r="H1902" s="4" t="s">
        <v>3931</v>
      </c>
      <c r="I1902" s="4" t="s">
        <v>3833</v>
      </c>
      <c r="J1902" s="4" t="s">
        <v>3926</v>
      </c>
      <c r="K1902" s="4" t="s">
        <v>24</v>
      </c>
    </row>
    <row r="1903" spans="1:11" x14ac:dyDescent="0.2">
      <c r="A1903" s="4" t="s">
        <v>3965</v>
      </c>
      <c r="B1903" s="4" t="s">
        <v>3966</v>
      </c>
      <c r="C1903" s="4" t="s">
        <v>13</v>
      </c>
      <c r="D1903" s="4" t="s">
        <v>3923</v>
      </c>
      <c r="E1903" s="4" t="s">
        <v>3924</v>
      </c>
      <c r="F1903" s="4" t="s">
        <v>16</v>
      </c>
      <c r="G1903" s="1">
        <v>0.26700000000000002</v>
      </c>
      <c r="H1903" s="4" t="s">
        <v>3931</v>
      </c>
      <c r="I1903" s="4" t="s">
        <v>3833</v>
      </c>
      <c r="J1903" s="4" t="s">
        <v>3926</v>
      </c>
      <c r="K1903" s="4" t="s">
        <v>24</v>
      </c>
    </row>
    <row r="1904" spans="1:11" x14ac:dyDescent="0.2">
      <c r="A1904" s="4" t="s">
        <v>3967</v>
      </c>
      <c r="B1904" s="4" t="s">
        <v>3968</v>
      </c>
      <c r="C1904" s="4" t="s">
        <v>13</v>
      </c>
      <c r="D1904" s="4" t="s">
        <v>3923</v>
      </c>
      <c r="E1904" s="4" t="s">
        <v>3924</v>
      </c>
      <c r="F1904" s="4" t="s">
        <v>16</v>
      </c>
      <c r="G1904" s="1">
        <v>0.26700000000000002</v>
      </c>
      <c r="H1904" s="4" t="s">
        <v>3931</v>
      </c>
      <c r="I1904" s="4" t="s">
        <v>3833</v>
      </c>
      <c r="J1904" s="4" t="s">
        <v>3926</v>
      </c>
      <c r="K1904" s="4" t="s">
        <v>24</v>
      </c>
    </row>
    <row r="1905" spans="1:11" x14ac:dyDescent="0.2">
      <c r="A1905" s="4" t="s">
        <v>3969</v>
      </c>
      <c r="B1905" s="4" t="s">
        <v>3970</v>
      </c>
      <c r="C1905" s="4" t="s">
        <v>13</v>
      </c>
      <c r="D1905" s="4" t="s">
        <v>3923</v>
      </c>
      <c r="E1905" s="4" t="s">
        <v>3924</v>
      </c>
      <c r="F1905" s="4" t="s">
        <v>16</v>
      </c>
      <c r="G1905" s="1">
        <v>0.23300000000000001</v>
      </c>
      <c r="H1905" s="4" t="s">
        <v>3940</v>
      </c>
      <c r="I1905" s="4" t="s">
        <v>3833</v>
      </c>
      <c r="J1905" s="4" t="s">
        <v>3926</v>
      </c>
      <c r="K1905" s="4" t="s">
        <v>24</v>
      </c>
    </row>
    <row r="1906" spans="1:11" x14ac:dyDescent="0.2">
      <c r="A1906" s="4" t="s">
        <v>3971</v>
      </c>
      <c r="B1906" s="4" t="s">
        <v>3972</v>
      </c>
      <c r="C1906" s="4" t="s">
        <v>13</v>
      </c>
      <c r="D1906" s="4" t="s">
        <v>3923</v>
      </c>
      <c r="E1906" s="4" t="s">
        <v>3924</v>
      </c>
      <c r="F1906" s="4" t="s">
        <v>16</v>
      </c>
      <c r="G1906" s="1">
        <v>0.23300000000000001</v>
      </c>
      <c r="H1906" s="4" t="s">
        <v>3940</v>
      </c>
      <c r="I1906" s="4" t="s">
        <v>3833</v>
      </c>
      <c r="J1906" s="4" t="s">
        <v>3926</v>
      </c>
      <c r="K1906" s="4" t="s">
        <v>24</v>
      </c>
    </row>
    <row r="1907" spans="1:11" x14ac:dyDescent="0.2">
      <c r="A1907" s="4" t="s">
        <v>3973</v>
      </c>
      <c r="B1907" s="4" t="s">
        <v>3974</v>
      </c>
      <c r="C1907" s="4" t="s">
        <v>49</v>
      </c>
      <c r="D1907" s="4" t="s">
        <v>3923</v>
      </c>
      <c r="E1907" s="4" t="s">
        <v>3924</v>
      </c>
      <c r="F1907" s="4" t="s">
        <v>16</v>
      </c>
      <c r="G1907" s="1">
        <v>0</v>
      </c>
      <c r="H1907" s="4" t="s">
        <v>254</v>
      </c>
      <c r="I1907" s="4" t="s">
        <v>3833</v>
      </c>
      <c r="J1907" s="4" t="s">
        <v>3926</v>
      </c>
      <c r="K1907" s="4" t="s">
        <v>24</v>
      </c>
    </row>
    <row r="1908" spans="1:11" x14ac:dyDescent="0.2">
      <c r="A1908" s="4" t="s">
        <v>3975</v>
      </c>
      <c r="B1908" s="4" t="s">
        <v>3976</v>
      </c>
      <c r="C1908" s="4" t="s">
        <v>13</v>
      </c>
      <c r="D1908" s="4" t="s">
        <v>3923</v>
      </c>
      <c r="E1908" s="4" t="s">
        <v>3924</v>
      </c>
      <c r="F1908" s="4" t="s">
        <v>16</v>
      </c>
      <c r="G1908" s="1">
        <v>0.26700000000000002</v>
      </c>
      <c r="H1908" s="4" t="s">
        <v>3931</v>
      </c>
      <c r="I1908" s="4" t="s">
        <v>3833</v>
      </c>
      <c r="J1908" s="4" t="s">
        <v>3926</v>
      </c>
      <c r="K1908" s="4" t="s">
        <v>24</v>
      </c>
    </row>
    <row r="1909" spans="1:11" x14ac:dyDescent="0.2">
      <c r="A1909" s="4" t="s">
        <v>3977</v>
      </c>
      <c r="B1909" s="4" t="s">
        <v>3978</v>
      </c>
      <c r="C1909" s="4" t="s">
        <v>13</v>
      </c>
      <c r="D1909" s="4" t="s">
        <v>3923</v>
      </c>
      <c r="E1909" s="4" t="s">
        <v>3924</v>
      </c>
      <c r="F1909" s="4" t="s">
        <v>16</v>
      </c>
      <c r="G1909" s="1">
        <v>0</v>
      </c>
      <c r="H1909" s="4" t="s">
        <v>254</v>
      </c>
      <c r="I1909" s="4" t="s">
        <v>3833</v>
      </c>
      <c r="J1909" s="4" t="s">
        <v>3926</v>
      </c>
      <c r="K1909" s="4" t="s">
        <v>24</v>
      </c>
    </row>
    <row r="1910" spans="1:11" x14ac:dyDescent="0.2">
      <c r="A1910" s="4" t="s">
        <v>3979</v>
      </c>
      <c r="B1910" s="4" t="s">
        <v>3980</v>
      </c>
      <c r="C1910" s="4" t="s">
        <v>13</v>
      </c>
      <c r="D1910" s="4" t="s">
        <v>3923</v>
      </c>
      <c r="E1910" s="4" t="s">
        <v>3924</v>
      </c>
      <c r="F1910" s="4" t="s">
        <v>16</v>
      </c>
      <c r="G1910" s="1">
        <v>0.23300000000000001</v>
      </c>
      <c r="H1910" s="4" t="s">
        <v>3940</v>
      </c>
      <c r="I1910" s="4" t="s">
        <v>3833</v>
      </c>
      <c r="J1910" s="4" t="s">
        <v>3926</v>
      </c>
      <c r="K1910" s="4" t="s">
        <v>3981</v>
      </c>
    </row>
    <row r="1911" spans="1:11" x14ac:dyDescent="0.2">
      <c r="A1911" s="4" t="s">
        <v>3982</v>
      </c>
      <c r="B1911" s="4" t="s">
        <v>3983</v>
      </c>
      <c r="C1911" s="4" t="s">
        <v>13</v>
      </c>
      <c r="D1911" s="4" t="s">
        <v>3923</v>
      </c>
      <c r="E1911" s="4" t="s">
        <v>3924</v>
      </c>
      <c r="F1911" s="4" t="s">
        <v>16</v>
      </c>
      <c r="G1911" s="1">
        <v>0.23300000000000001</v>
      </c>
      <c r="H1911" s="4" t="s">
        <v>3940</v>
      </c>
      <c r="I1911" s="4" t="s">
        <v>3833</v>
      </c>
      <c r="J1911" s="4" t="s">
        <v>3926</v>
      </c>
      <c r="K1911" s="4" t="s">
        <v>3981</v>
      </c>
    </row>
    <row r="1912" spans="1:11" x14ac:dyDescent="0.2">
      <c r="A1912" s="4" t="s">
        <v>3481</v>
      </c>
      <c r="B1912" s="4" t="s">
        <v>3482</v>
      </c>
      <c r="C1912" s="4" t="s">
        <v>13</v>
      </c>
      <c r="D1912" s="4" t="s">
        <v>3923</v>
      </c>
      <c r="E1912" s="4" t="s">
        <v>3924</v>
      </c>
      <c r="F1912" s="4" t="s">
        <v>16</v>
      </c>
      <c r="G1912" s="1">
        <v>0.16700000000000001</v>
      </c>
      <c r="H1912" s="4" t="s">
        <v>229</v>
      </c>
      <c r="I1912" s="4" t="s">
        <v>3833</v>
      </c>
      <c r="J1912" s="4" t="s">
        <v>3926</v>
      </c>
      <c r="K1912" s="4" t="s">
        <v>24</v>
      </c>
    </row>
    <row r="1913" spans="1:11" x14ac:dyDescent="0.2">
      <c r="A1913" s="4" t="s">
        <v>3449</v>
      </c>
      <c r="B1913" s="4" t="s">
        <v>3450</v>
      </c>
      <c r="C1913" s="4" t="s">
        <v>13</v>
      </c>
      <c r="D1913" s="4" t="s">
        <v>3923</v>
      </c>
      <c r="E1913" s="4" t="s">
        <v>3924</v>
      </c>
      <c r="F1913" s="4" t="s">
        <v>16</v>
      </c>
      <c r="G1913" s="1">
        <v>0.2</v>
      </c>
      <c r="H1913" s="4" t="s">
        <v>232</v>
      </c>
      <c r="I1913" s="4" t="s">
        <v>3833</v>
      </c>
      <c r="J1913" s="4" t="s">
        <v>3926</v>
      </c>
      <c r="K1913" s="4" t="s">
        <v>24</v>
      </c>
    </row>
    <row r="1914" spans="1:11" x14ac:dyDescent="0.2">
      <c r="A1914" s="4" t="s">
        <v>3984</v>
      </c>
      <c r="B1914" s="4" t="s">
        <v>3985</v>
      </c>
      <c r="C1914" s="4" t="s">
        <v>13</v>
      </c>
      <c r="D1914" s="4" t="s">
        <v>3986</v>
      </c>
      <c r="E1914" s="4" t="s">
        <v>3987</v>
      </c>
      <c r="F1914" s="4" t="s">
        <v>335</v>
      </c>
      <c r="G1914" s="1">
        <v>0.16700000000000001</v>
      </c>
      <c r="H1914" s="4" t="s">
        <v>229</v>
      </c>
      <c r="I1914" s="4" t="s">
        <v>3833</v>
      </c>
      <c r="J1914" s="4" t="s">
        <v>3834</v>
      </c>
      <c r="K1914" s="4" t="s">
        <v>3835</v>
      </c>
    </row>
    <row r="1915" spans="1:11" x14ac:dyDescent="0.2">
      <c r="A1915" s="4" t="s">
        <v>3988</v>
      </c>
      <c r="B1915" s="4" t="s">
        <v>3989</v>
      </c>
      <c r="C1915" s="4" t="s">
        <v>13</v>
      </c>
      <c r="D1915" s="4" t="s">
        <v>3986</v>
      </c>
      <c r="E1915" s="4" t="s">
        <v>3987</v>
      </c>
      <c r="F1915" s="4" t="s">
        <v>335</v>
      </c>
      <c r="G1915" s="1">
        <v>0.13300000000000001</v>
      </c>
      <c r="H1915" s="4" t="s">
        <v>112</v>
      </c>
      <c r="I1915" s="4" t="s">
        <v>3833</v>
      </c>
      <c r="J1915" s="4" t="s">
        <v>3834</v>
      </c>
      <c r="K1915" s="4" t="s">
        <v>3927</v>
      </c>
    </row>
    <row r="1916" spans="1:11" x14ac:dyDescent="0.2">
      <c r="A1916" s="4" t="s">
        <v>3990</v>
      </c>
      <c r="B1916" s="4" t="s">
        <v>3991</v>
      </c>
      <c r="C1916" s="4" t="s">
        <v>13</v>
      </c>
      <c r="D1916" s="4" t="s">
        <v>3986</v>
      </c>
      <c r="E1916" s="4" t="s">
        <v>3987</v>
      </c>
      <c r="F1916" s="4" t="s">
        <v>335</v>
      </c>
      <c r="G1916" s="1">
        <v>0.16700000000000001</v>
      </c>
      <c r="H1916" s="4" t="s">
        <v>229</v>
      </c>
      <c r="I1916" s="4" t="s">
        <v>3833</v>
      </c>
      <c r="J1916" s="4" t="s">
        <v>3834</v>
      </c>
      <c r="K1916" s="4" t="s">
        <v>3927</v>
      </c>
    </row>
    <row r="1917" spans="1:11" x14ac:dyDescent="0.2">
      <c r="A1917" s="4" t="s">
        <v>3992</v>
      </c>
      <c r="B1917" s="4" t="s">
        <v>3993</v>
      </c>
      <c r="C1917" s="4" t="s">
        <v>13</v>
      </c>
      <c r="D1917" s="4" t="s">
        <v>3986</v>
      </c>
      <c r="E1917" s="4" t="s">
        <v>3987</v>
      </c>
      <c r="F1917" s="4" t="s">
        <v>335</v>
      </c>
      <c r="G1917" s="1">
        <v>0.16700000000000001</v>
      </c>
      <c r="H1917" s="4" t="s">
        <v>229</v>
      </c>
      <c r="I1917" s="4" t="s">
        <v>3833</v>
      </c>
      <c r="J1917" s="4" t="s">
        <v>3834</v>
      </c>
      <c r="K1917" s="4" t="s">
        <v>3927</v>
      </c>
    </row>
    <row r="1918" spans="1:11" x14ac:dyDescent="0.2">
      <c r="A1918" s="4" t="s">
        <v>3548</v>
      </c>
      <c r="B1918" s="4" t="s">
        <v>3549</v>
      </c>
      <c r="C1918" s="4" t="s">
        <v>49</v>
      </c>
      <c r="D1918" s="4" t="s">
        <v>3986</v>
      </c>
      <c r="E1918" s="4" t="s">
        <v>3987</v>
      </c>
      <c r="F1918" s="4" t="s">
        <v>335</v>
      </c>
      <c r="G1918" s="1">
        <v>0</v>
      </c>
      <c r="H1918" s="4" t="s">
        <v>254</v>
      </c>
      <c r="I1918" s="4" t="s">
        <v>3833</v>
      </c>
      <c r="J1918" s="4" t="s">
        <v>3834</v>
      </c>
      <c r="K1918" s="4" t="s">
        <v>3928</v>
      </c>
    </row>
    <row r="1919" spans="1:11" x14ac:dyDescent="0.2">
      <c r="A1919" s="4" t="s">
        <v>3994</v>
      </c>
      <c r="B1919" s="4" t="s">
        <v>3995</v>
      </c>
      <c r="C1919" s="4" t="s">
        <v>13</v>
      </c>
      <c r="D1919" s="4" t="s">
        <v>3986</v>
      </c>
      <c r="E1919" s="4" t="s">
        <v>3987</v>
      </c>
      <c r="F1919" s="4" t="s">
        <v>335</v>
      </c>
      <c r="G1919" s="1">
        <v>0.16700000000000001</v>
      </c>
      <c r="H1919" s="4" t="s">
        <v>229</v>
      </c>
      <c r="I1919" s="4" t="s">
        <v>3833</v>
      </c>
      <c r="J1919" s="4" t="s">
        <v>3834</v>
      </c>
      <c r="K1919" s="4" t="s">
        <v>3928</v>
      </c>
    </row>
    <row r="1920" spans="1:11" x14ac:dyDescent="0.2">
      <c r="A1920" s="4" t="s">
        <v>3996</v>
      </c>
      <c r="B1920" s="4" t="s">
        <v>3997</v>
      </c>
      <c r="C1920" s="4" t="s">
        <v>13</v>
      </c>
      <c r="D1920" s="4" t="s">
        <v>3986</v>
      </c>
      <c r="E1920" s="4" t="s">
        <v>3987</v>
      </c>
      <c r="F1920" s="4" t="s">
        <v>335</v>
      </c>
      <c r="G1920" s="1">
        <v>0.13300000000000001</v>
      </c>
      <c r="H1920" s="4" t="s">
        <v>112</v>
      </c>
      <c r="I1920" s="4" t="s">
        <v>3833</v>
      </c>
      <c r="J1920" s="4" t="s">
        <v>3834</v>
      </c>
      <c r="K1920" s="4" t="s">
        <v>3928</v>
      </c>
    </row>
    <row r="1921" spans="1:11" x14ac:dyDescent="0.2">
      <c r="A1921" s="4" t="s">
        <v>3998</v>
      </c>
      <c r="B1921" s="4" t="s">
        <v>3999</v>
      </c>
      <c r="C1921" s="4" t="s">
        <v>13</v>
      </c>
      <c r="D1921" s="4" t="s">
        <v>3986</v>
      </c>
      <c r="E1921" s="4" t="s">
        <v>3987</v>
      </c>
      <c r="F1921" s="4" t="s">
        <v>335</v>
      </c>
      <c r="G1921" s="1">
        <v>8.3000000000000004E-2</v>
      </c>
      <c r="H1921" s="4" t="s">
        <v>1867</v>
      </c>
      <c r="I1921" s="4" t="s">
        <v>3833</v>
      </c>
      <c r="J1921" s="4" t="s">
        <v>3834</v>
      </c>
      <c r="K1921" s="4" t="s">
        <v>3928</v>
      </c>
    </row>
    <row r="1922" spans="1:11" x14ac:dyDescent="0.2">
      <c r="A1922" s="4" t="s">
        <v>4000</v>
      </c>
      <c r="B1922" s="4" t="s">
        <v>4001</v>
      </c>
      <c r="C1922" s="4" t="s">
        <v>13</v>
      </c>
      <c r="D1922" s="4" t="s">
        <v>3986</v>
      </c>
      <c r="E1922" s="4" t="s">
        <v>3987</v>
      </c>
      <c r="F1922" s="4" t="s">
        <v>335</v>
      </c>
      <c r="G1922" s="1">
        <v>0.16700000000000001</v>
      </c>
      <c r="H1922" s="4" t="s">
        <v>229</v>
      </c>
      <c r="I1922" s="4" t="s">
        <v>3833</v>
      </c>
      <c r="J1922" s="4" t="s">
        <v>3834</v>
      </c>
      <c r="K1922" s="4" t="s">
        <v>3928</v>
      </c>
    </row>
    <row r="1923" spans="1:11" x14ac:dyDescent="0.2">
      <c r="A1923" s="4" t="s">
        <v>4002</v>
      </c>
      <c r="B1923" s="4" t="s">
        <v>4003</v>
      </c>
      <c r="C1923" s="4" t="s">
        <v>13</v>
      </c>
      <c r="D1923" s="4" t="s">
        <v>3986</v>
      </c>
      <c r="E1923" s="4" t="s">
        <v>3987</v>
      </c>
      <c r="F1923" s="4" t="s">
        <v>335</v>
      </c>
      <c r="G1923" s="1">
        <v>0.13300000000000001</v>
      </c>
      <c r="H1923" s="4" t="s">
        <v>112</v>
      </c>
      <c r="I1923" s="4" t="s">
        <v>3833</v>
      </c>
      <c r="J1923" s="4" t="s">
        <v>3834</v>
      </c>
      <c r="K1923" s="4" t="s">
        <v>24</v>
      </c>
    </row>
    <row r="1924" spans="1:11" x14ac:dyDescent="0.2">
      <c r="A1924" s="4" t="s">
        <v>4004</v>
      </c>
      <c r="B1924" s="4" t="s">
        <v>4005</v>
      </c>
      <c r="C1924" s="4" t="s">
        <v>13</v>
      </c>
      <c r="D1924" s="4" t="s">
        <v>3986</v>
      </c>
      <c r="E1924" s="4" t="s">
        <v>3987</v>
      </c>
      <c r="F1924" s="4" t="s">
        <v>335</v>
      </c>
      <c r="G1924" s="1">
        <v>0.16700000000000001</v>
      </c>
      <c r="H1924" s="4" t="s">
        <v>229</v>
      </c>
      <c r="I1924" s="4" t="s">
        <v>3833</v>
      </c>
      <c r="J1924" s="4" t="s">
        <v>3834</v>
      </c>
      <c r="K1924" s="4" t="s">
        <v>24</v>
      </c>
    </row>
    <row r="1925" spans="1:11" x14ac:dyDescent="0.2">
      <c r="A1925" s="4" t="s">
        <v>4006</v>
      </c>
      <c r="B1925" s="4" t="s">
        <v>4007</v>
      </c>
      <c r="C1925" s="4" t="s">
        <v>13</v>
      </c>
      <c r="D1925" s="4" t="s">
        <v>3986</v>
      </c>
      <c r="E1925" s="4" t="s">
        <v>3987</v>
      </c>
      <c r="F1925" s="4" t="s">
        <v>335</v>
      </c>
      <c r="G1925" s="1">
        <v>0</v>
      </c>
      <c r="H1925" s="4" t="s">
        <v>254</v>
      </c>
      <c r="I1925" s="4" t="s">
        <v>3833</v>
      </c>
      <c r="J1925" s="4" t="s">
        <v>3834</v>
      </c>
      <c r="K1925" s="4" t="s">
        <v>24</v>
      </c>
    </row>
    <row r="1926" spans="1:11" x14ac:dyDescent="0.2">
      <c r="A1926" s="4" t="s">
        <v>4008</v>
      </c>
      <c r="B1926" s="4" t="s">
        <v>4009</v>
      </c>
      <c r="C1926" s="4" t="s">
        <v>13</v>
      </c>
      <c r="D1926" s="4" t="s">
        <v>3986</v>
      </c>
      <c r="E1926" s="4" t="s">
        <v>3987</v>
      </c>
      <c r="F1926" s="4" t="s">
        <v>335</v>
      </c>
      <c r="G1926" s="1">
        <v>0.16700000000000001</v>
      </c>
      <c r="H1926" s="4" t="s">
        <v>229</v>
      </c>
      <c r="I1926" s="4" t="s">
        <v>3833</v>
      </c>
      <c r="J1926" s="4" t="s">
        <v>3834</v>
      </c>
      <c r="K1926" s="4" t="s">
        <v>24</v>
      </c>
    </row>
    <row r="1927" spans="1:11" x14ac:dyDescent="0.2">
      <c r="A1927" s="4" t="s">
        <v>4010</v>
      </c>
      <c r="B1927" s="4" t="s">
        <v>4011</v>
      </c>
      <c r="C1927" s="4" t="s">
        <v>13</v>
      </c>
      <c r="D1927" s="4" t="s">
        <v>3986</v>
      </c>
      <c r="E1927" s="4" t="s">
        <v>3987</v>
      </c>
      <c r="F1927" s="4" t="s">
        <v>335</v>
      </c>
      <c r="G1927" s="1">
        <v>0.13300000000000001</v>
      </c>
      <c r="H1927" s="4" t="s">
        <v>112</v>
      </c>
      <c r="I1927" s="4" t="s">
        <v>3833</v>
      </c>
      <c r="J1927" s="4" t="s">
        <v>3834</v>
      </c>
      <c r="K1927" s="4" t="s">
        <v>24</v>
      </c>
    </row>
    <row r="1928" spans="1:11" x14ac:dyDescent="0.2">
      <c r="A1928" s="4" t="s">
        <v>4012</v>
      </c>
      <c r="B1928" s="4" t="s">
        <v>4013</v>
      </c>
      <c r="C1928" s="4" t="s">
        <v>13</v>
      </c>
      <c r="D1928" s="4" t="s">
        <v>3986</v>
      </c>
      <c r="E1928" s="4" t="s">
        <v>3987</v>
      </c>
      <c r="F1928" s="4" t="s">
        <v>335</v>
      </c>
      <c r="G1928" s="1">
        <v>0.1</v>
      </c>
      <c r="H1928" s="4" t="s">
        <v>117</v>
      </c>
      <c r="I1928" s="4" t="s">
        <v>3833</v>
      </c>
      <c r="J1928" s="4" t="s">
        <v>3834</v>
      </c>
      <c r="K1928" s="4" t="s">
        <v>24</v>
      </c>
    </row>
    <row r="1929" spans="1:11" x14ac:dyDescent="0.2">
      <c r="A1929" s="4" t="s">
        <v>4014</v>
      </c>
      <c r="B1929" s="4" t="s">
        <v>4015</v>
      </c>
      <c r="C1929" s="4" t="s">
        <v>13</v>
      </c>
      <c r="D1929" s="4" t="s">
        <v>3986</v>
      </c>
      <c r="E1929" s="4" t="s">
        <v>3987</v>
      </c>
      <c r="F1929" s="4" t="s">
        <v>335</v>
      </c>
      <c r="G1929" s="1">
        <v>0.16700000000000001</v>
      </c>
      <c r="H1929" s="4" t="s">
        <v>229</v>
      </c>
      <c r="I1929" s="4" t="s">
        <v>3833</v>
      </c>
      <c r="J1929" s="4" t="s">
        <v>3834</v>
      </c>
      <c r="K1929" s="4" t="s">
        <v>24</v>
      </c>
    </row>
    <row r="1930" spans="1:11" x14ac:dyDescent="0.2">
      <c r="A1930" s="4" t="s">
        <v>4016</v>
      </c>
      <c r="B1930" s="4" t="s">
        <v>4017</v>
      </c>
      <c r="C1930" s="4" t="s">
        <v>13</v>
      </c>
      <c r="D1930" s="4" t="s">
        <v>3986</v>
      </c>
      <c r="E1930" s="4" t="s">
        <v>3987</v>
      </c>
      <c r="F1930" s="4" t="s">
        <v>335</v>
      </c>
      <c r="G1930" s="1">
        <v>6.7000000000000004E-2</v>
      </c>
      <c r="H1930" s="4" t="s">
        <v>166</v>
      </c>
      <c r="I1930" s="4" t="s">
        <v>3833</v>
      </c>
      <c r="J1930" s="4" t="s">
        <v>3834</v>
      </c>
      <c r="K1930" s="4" t="s">
        <v>24</v>
      </c>
    </row>
    <row r="1931" spans="1:11" x14ac:dyDescent="0.2">
      <c r="A1931" s="4" t="s">
        <v>4018</v>
      </c>
      <c r="B1931" s="4" t="s">
        <v>4019</v>
      </c>
      <c r="C1931" s="4" t="s">
        <v>13</v>
      </c>
      <c r="D1931" s="4" t="s">
        <v>3986</v>
      </c>
      <c r="E1931" s="4" t="s">
        <v>3987</v>
      </c>
      <c r="F1931" s="4" t="s">
        <v>335</v>
      </c>
      <c r="G1931" s="1">
        <v>0.13300000000000001</v>
      </c>
      <c r="H1931" s="4" t="s">
        <v>112</v>
      </c>
      <c r="I1931" s="4" t="s">
        <v>3833</v>
      </c>
      <c r="J1931" s="4" t="s">
        <v>3834</v>
      </c>
      <c r="K1931" s="4" t="s">
        <v>24</v>
      </c>
    </row>
    <row r="1932" spans="1:11" x14ac:dyDescent="0.2">
      <c r="A1932" s="4" t="s">
        <v>4020</v>
      </c>
      <c r="B1932" s="4" t="s">
        <v>4021</v>
      </c>
      <c r="C1932" s="4" t="s">
        <v>13</v>
      </c>
      <c r="D1932" s="4" t="s">
        <v>3986</v>
      </c>
      <c r="E1932" s="4" t="s">
        <v>3987</v>
      </c>
      <c r="F1932" s="4" t="s">
        <v>335</v>
      </c>
      <c r="G1932" s="1">
        <v>0.16700000000000001</v>
      </c>
      <c r="H1932" s="4" t="s">
        <v>229</v>
      </c>
      <c r="I1932" s="4" t="s">
        <v>3833</v>
      </c>
      <c r="J1932" s="4" t="s">
        <v>3834</v>
      </c>
      <c r="K1932" s="4" t="s">
        <v>24</v>
      </c>
    </row>
    <row r="1933" spans="1:11" x14ac:dyDescent="0.2">
      <c r="A1933" s="4" t="s">
        <v>4022</v>
      </c>
      <c r="B1933" s="4" t="s">
        <v>4023</v>
      </c>
      <c r="C1933" s="4" t="s">
        <v>13</v>
      </c>
      <c r="D1933" s="4" t="s">
        <v>3986</v>
      </c>
      <c r="E1933" s="4" t="s">
        <v>3987</v>
      </c>
      <c r="F1933" s="4" t="s">
        <v>335</v>
      </c>
      <c r="G1933" s="1">
        <v>0.13300000000000001</v>
      </c>
      <c r="H1933" s="4" t="s">
        <v>112</v>
      </c>
      <c r="I1933" s="4" t="s">
        <v>3833</v>
      </c>
      <c r="J1933" s="4" t="s">
        <v>3834</v>
      </c>
      <c r="K1933" s="4" t="s">
        <v>24</v>
      </c>
    </row>
    <row r="1934" spans="1:11" x14ac:dyDescent="0.2">
      <c r="A1934" s="4" t="s">
        <v>4024</v>
      </c>
      <c r="B1934" s="4" t="s">
        <v>4025</v>
      </c>
      <c r="C1934" s="4" t="s">
        <v>13</v>
      </c>
      <c r="D1934" s="4" t="s">
        <v>3986</v>
      </c>
      <c r="E1934" s="4" t="s">
        <v>3987</v>
      </c>
      <c r="F1934" s="4" t="s">
        <v>335</v>
      </c>
      <c r="G1934" s="1">
        <v>0.16700000000000001</v>
      </c>
      <c r="H1934" s="4" t="s">
        <v>229</v>
      </c>
      <c r="I1934" s="4" t="s">
        <v>3833</v>
      </c>
      <c r="J1934" s="4" t="s">
        <v>3834</v>
      </c>
      <c r="K1934" s="4" t="s">
        <v>24</v>
      </c>
    </row>
    <row r="1935" spans="1:11" x14ac:dyDescent="0.2">
      <c r="A1935" s="4" t="s">
        <v>4026</v>
      </c>
      <c r="B1935" s="4" t="s">
        <v>4027</v>
      </c>
      <c r="C1935" s="4" t="s">
        <v>13</v>
      </c>
      <c r="D1935" s="4" t="s">
        <v>3986</v>
      </c>
      <c r="E1935" s="4" t="s">
        <v>3987</v>
      </c>
      <c r="F1935" s="4" t="s">
        <v>335</v>
      </c>
      <c r="G1935" s="1">
        <v>0.1</v>
      </c>
      <c r="H1935" s="4" t="s">
        <v>117</v>
      </c>
      <c r="I1935" s="4" t="s">
        <v>3833</v>
      </c>
      <c r="J1935" s="4" t="s">
        <v>3834</v>
      </c>
      <c r="K1935" s="4" t="s">
        <v>24</v>
      </c>
    </row>
    <row r="1936" spans="1:11" x14ac:dyDescent="0.2">
      <c r="A1936" s="4" t="s">
        <v>4028</v>
      </c>
      <c r="B1936" s="4" t="s">
        <v>4029</v>
      </c>
      <c r="C1936" s="4" t="s">
        <v>13</v>
      </c>
      <c r="D1936" s="4" t="s">
        <v>3986</v>
      </c>
      <c r="E1936" s="4" t="s">
        <v>3987</v>
      </c>
      <c r="F1936" s="4" t="s">
        <v>335</v>
      </c>
      <c r="G1936" s="1">
        <v>0</v>
      </c>
      <c r="H1936" s="4" t="s">
        <v>254</v>
      </c>
      <c r="I1936" s="4" t="s">
        <v>3833</v>
      </c>
      <c r="J1936" s="4" t="s">
        <v>3834</v>
      </c>
      <c r="K1936" s="4" t="s">
        <v>24</v>
      </c>
    </row>
    <row r="1937" spans="1:11" x14ac:dyDescent="0.2">
      <c r="A1937" s="4" t="s">
        <v>4030</v>
      </c>
      <c r="B1937" s="4" t="s">
        <v>4031</v>
      </c>
      <c r="C1937" s="4" t="s">
        <v>13</v>
      </c>
      <c r="D1937" s="4" t="s">
        <v>3986</v>
      </c>
      <c r="E1937" s="4" t="s">
        <v>3987</v>
      </c>
      <c r="F1937" s="4" t="s">
        <v>335</v>
      </c>
      <c r="G1937" s="1">
        <v>0</v>
      </c>
      <c r="H1937" s="4" t="s">
        <v>254</v>
      </c>
      <c r="I1937" s="4" t="s">
        <v>3833</v>
      </c>
      <c r="J1937" s="4" t="s">
        <v>3834</v>
      </c>
      <c r="K1937" s="4" t="s">
        <v>24</v>
      </c>
    </row>
    <row r="1938" spans="1:11" x14ac:dyDescent="0.2">
      <c r="A1938" s="4" t="s">
        <v>4032</v>
      </c>
      <c r="B1938" s="4" t="s">
        <v>4033</v>
      </c>
      <c r="C1938" s="4" t="s">
        <v>13</v>
      </c>
      <c r="D1938" s="4" t="s">
        <v>3986</v>
      </c>
      <c r="E1938" s="4" t="s">
        <v>3987</v>
      </c>
      <c r="F1938" s="4" t="s">
        <v>335</v>
      </c>
      <c r="G1938" s="1">
        <v>0.13300000000000001</v>
      </c>
      <c r="H1938" s="4" t="s">
        <v>112</v>
      </c>
      <c r="I1938" s="4" t="s">
        <v>3833</v>
      </c>
      <c r="J1938" s="4" t="s">
        <v>3834</v>
      </c>
      <c r="K1938" s="4" t="s">
        <v>24</v>
      </c>
    </row>
    <row r="1939" spans="1:11" x14ac:dyDescent="0.2">
      <c r="A1939" s="4" t="s">
        <v>4034</v>
      </c>
      <c r="B1939" s="4" t="s">
        <v>4035</v>
      </c>
      <c r="C1939" s="4" t="s">
        <v>13</v>
      </c>
      <c r="D1939" s="4" t="s">
        <v>3986</v>
      </c>
      <c r="E1939" s="4" t="s">
        <v>3987</v>
      </c>
      <c r="F1939" s="4" t="s">
        <v>335</v>
      </c>
      <c r="G1939" s="1">
        <v>6.7000000000000004E-2</v>
      </c>
      <c r="H1939" s="4" t="s">
        <v>166</v>
      </c>
      <c r="I1939" s="4" t="s">
        <v>3833</v>
      </c>
      <c r="J1939" s="4" t="s">
        <v>3834</v>
      </c>
      <c r="K1939" s="4" t="s">
        <v>24</v>
      </c>
    </row>
    <row r="1940" spans="1:11" x14ac:dyDescent="0.2">
      <c r="A1940" s="4" t="s">
        <v>4036</v>
      </c>
      <c r="B1940" s="4" t="s">
        <v>4037</v>
      </c>
      <c r="C1940" s="4" t="s">
        <v>13</v>
      </c>
      <c r="D1940" s="4" t="s">
        <v>3986</v>
      </c>
      <c r="E1940" s="4" t="s">
        <v>3987</v>
      </c>
      <c r="F1940" s="4" t="s">
        <v>335</v>
      </c>
      <c r="G1940" s="1">
        <v>0.16700000000000001</v>
      </c>
      <c r="H1940" s="4" t="s">
        <v>229</v>
      </c>
      <c r="I1940" s="4" t="s">
        <v>3833</v>
      </c>
      <c r="J1940" s="4" t="s">
        <v>3834</v>
      </c>
      <c r="K1940" s="4" t="s">
        <v>24</v>
      </c>
    </row>
    <row r="1941" spans="1:11" x14ac:dyDescent="0.2">
      <c r="A1941" s="4" t="s">
        <v>4038</v>
      </c>
      <c r="B1941" s="4" t="s">
        <v>4039</v>
      </c>
      <c r="C1941" s="4" t="s">
        <v>13</v>
      </c>
      <c r="D1941" s="4" t="s">
        <v>3986</v>
      </c>
      <c r="E1941" s="4" t="s">
        <v>3987</v>
      </c>
      <c r="F1941" s="4" t="s">
        <v>335</v>
      </c>
      <c r="G1941" s="1">
        <v>0.1</v>
      </c>
      <c r="H1941" s="4" t="s">
        <v>117</v>
      </c>
      <c r="I1941" s="4" t="s">
        <v>3833</v>
      </c>
      <c r="J1941" s="4" t="s">
        <v>3834</v>
      </c>
      <c r="K1941" s="4" t="s">
        <v>24</v>
      </c>
    </row>
    <row r="1942" spans="1:11" x14ac:dyDescent="0.2">
      <c r="A1942" s="4" t="s">
        <v>4040</v>
      </c>
      <c r="B1942" s="4" t="s">
        <v>4041</v>
      </c>
      <c r="C1942" s="4" t="s">
        <v>13</v>
      </c>
      <c r="D1942" s="4" t="s">
        <v>3986</v>
      </c>
      <c r="E1942" s="4" t="s">
        <v>3987</v>
      </c>
      <c r="F1942" s="4" t="s">
        <v>335</v>
      </c>
      <c r="G1942" s="1">
        <v>6.7000000000000004E-2</v>
      </c>
      <c r="H1942" s="4" t="s">
        <v>166</v>
      </c>
      <c r="I1942" s="4" t="s">
        <v>3833</v>
      </c>
      <c r="J1942" s="4" t="s">
        <v>3834</v>
      </c>
      <c r="K1942" s="4" t="s">
        <v>24</v>
      </c>
    </row>
    <row r="1943" spans="1:11" x14ac:dyDescent="0.2">
      <c r="A1943" s="4" t="s">
        <v>4042</v>
      </c>
      <c r="B1943" s="4" t="s">
        <v>4043</v>
      </c>
      <c r="C1943" s="4" t="s">
        <v>13</v>
      </c>
      <c r="D1943" s="4" t="s">
        <v>3986</v>
      </c>
      <c r="E1943" s="4" t="s">
        <v>3987</v>
      </c>
      <c r="F1943" s="4" t="s">
        <v>335</v>
      </c>
      <c r="G1943" s="1">
        <v>0</v>
      </c>
      <c r="H1943" s="4" t="s">
        <v>254</v>
      </c>
      <c r="I1943" s="4" t="s">
        <v>3833</v>
      </c>
      <c r="J1943" s="4" t="s">
        <v>3834</v>
      </c>
      <c r="K1943" s="4" t="s">
        <v>24</v>
      </c>
    </row>
    <row r="1944" spans="1:11" x14ac:dyDescent="0.2">
      <c r="A1944" s="4" t="s">
        <v>4044</v>
      </c>
      <c r="B1944" s="4" t="s">
        <v>4045</v>
      </c>
      <c r="C1944" s="4" t="s">
        <v>13</v>
      </c>
      <c r="D1944" s="4" t="s">
        <v>3986</v>
      </c>
      <c r="E1944" s="4" t="s">
        <v>3987</v>
      </c>
      <c r="F1944" s="4" t="s">
        <v>335</v>
      </c>
      <c r="G1944" s="1">
        <v>0</v>
      </c>
      <c r="H1944" s="4" t="s">
        <v>254</v>
      </c>
      <c r="I1944" s="4" t="s">
        <v>3833</v>
      </c>
      <c r="J1944" s="4" t="s">
        <v>3834</v>
      </c>
      <c r="K1944" s="4" t="s">
        <v>24</v>
      </c>
    </row>
    <row r="1945" spans="1:11" x14ac:dyDescent="0.2">
      <c r="A1945" s="4" t="s">
        <v>4046</v>
      </c>
      <c r="B1945" s="4" t="s">
        <v>4047</v>
      </c>
      <c r="C1945" s="4" t="s">
        <v>13</v>
      </c>
      <c r="D1945" s="4" t="s">
        <v>3986</v>
      </c>
      <c r="E1945" s="4" t="s">
        <v>3987</v>
      </c>
      <c r="F1945" s="4" t="s">
        <v>335</v>
      </c>
      <c r="G1945" s="1">
        <v>0</v>
      </c>
      <c r="H1945" s="4" t="s">
        <v>254</v>
      </c>
      <c r="I1945" s="4" t="s">
        <v>3833</v>
      </c>
      <c r="J1945" s="4" t="s">
        <v>3834</v>
      </c>
      <c r="K1945" s="4" t="s">
        <v>24</v>
      </c>
    </row>
    <row r="1946" spans="1:11" x14ac:dyDescent="0.2">
      <c r="A1946" s="4" t="s">
        <v>4048</v>
      </c>
      <c r="B1946" s="4" t="s">
        <v>4049</v>
      </c>
      <c r="C1946" s="4" t="s">
        <v>13</v>
      </c>
      <c r="D1946" s="4" t="s">
        <v>3986</v>
      </c>
      <c r="E1946" s="4" t="s">
        <v>3987</v>
      </c>
      <c r="F1946" s="4" t="s">
        <v>335</v>
      </c>
      <c r="G1946" s="1">
        <v>0.16700000000000001</v>
      </c>
      <c r="H1946" s="4" t="s">
        <v>229</v>
      </c>
      <c r="I1946" s="4" t="s">
        <v>3833</v>
      </c>
      <c r="J1946" s="4" t="s">
        <v>3834</v>
      </c>
      <c r="K1946" s="4" t="s">
        <v>24</v>
      </c>
    </row>
    <row r="1947" spans="1:11" x14ac:dyDescent="0.2">
      <c r="A1947" s="4" t="s">
        <v>4050</v>
      </c>
      <c r="B1947" s="4" t="s">
        <v>4051</v>
      </c>
      <c r="C1947" s="4" t="s">
        <v>13</v>
      </c>
      <c r="D1947" s="4" t="s">
        <v>3986</v>
      </c>
      <c r="E1947" s="4" t="s">
        <v>3987</v>
      </c>
      <c r="F1947" s="4" t="s">
        <v>335</v>
      </c>
      <c r="G1947" s="1">
        <v>0</v>
      </c>
      <c r="H1947" s="4" t="s">
        <v>254</v>
      </c>
      <c r="I1947" s="4" t="s">
        <v>3833</v>
      </c>
      <c r="J1947" s="4" t="s">
        <v>3834</v>
      </c>
      <c r="K1947" s="4" t="s">
        <v>24</v>
      </c>
    </row>
    <row r="1948" spans="1:11" x14ac:dyDescent="0.2">
      <c r="A1948" s="4" t="s">
        <v>4052</v>
      </c>
      <c r="B1948" s="4" t="s">
        <v>4053</v>
      </c>
      <c r="C1948" s="4" t="s">
        <v>13</v>
      </c>
      <c r="D1948" s="4" t="s">
        <v>3986</v>
      </c>
      <c r="E1948" s="4" t="s">
        <v>3987</v>
      </c>
      <c r="F1948" s="4" t="s">
        <v>335</v>
      </c>
      <c r="G1948" s="1">
        <v>0</v>
      </c>
      <c r="H1948" s="4" t="s">
        <v>254</v>
      </c>
      <c r="I1948" s="4" t="s">
        <v>3833</v>
      </c>
      <c r="J1948" s="4" t="s">
        <v>3834</v>
      </c>
      <c r="K1948" s="4" t="s">
        <v>24</v>
      </c>
    </row>
    <row r="1949" spans="1:11" x14ac:dyDescent="0.2">
      <c r="A1949" s="4" t="s">
        <v>4054</v>
      </c>
      <c r="B1949" s="4" t="s">
        <v>4055</v>
      </c>
      <c r="C1949" s="4" t="s">
        <v>13</v>
      </c>
      <c r="D1949" s="4" t="s">
        <v>3986</v>
      </c>
      <c r="E1949" s="4" t="s">
        <v>3987</v>
      </c>
      <c r="F1949" s="4" t="s">
        <v>335</v>
      </c>
      <c r="G1949" s="1">
        <v>0.16700000000000001</v>
      </c>
      <c r="H1949" s="4" t="s">
        <v>229</v>
      </c>
      <c r="I1949" s="4" t="s">
        <v>3833</v>
      </c>
      <c r="J1949" s="4" t="s">
        <v>3834</v>
      </c>
      <c r="K1949" s="4" t="s">
        <v>24</v>
      </c>
    </row>
    <row r="1950" spans="1:11" x14ac:dyDescent="0.2">
      <c r="A1950" s="4" t="s">
        <v>4056</v>
      </c>
      <c r="B1950" s="4" t="s">
        <v>4057</v>
      </c>
      <c r="C1950" s="4" t="s">
        <v>13</v>
      </c>
      <c r="D1950" s="4" t="s">
        <v>3986</v>
      </c>
      <c r="E1950" s="4" t="s">
        <v>3987</v>
      </c>
      <c r="F1950" s="4" t="s">
        <v>335</v>
      </c>
      <c r="G1950" s="1">
        <v>0.16700000000000001</v>
      </c>
      <c r="H1950" s="4" t="s">
        <v>229</v>
      </c>
      <c r="I1950" s="4" t="s">
        <v>3833</v>
      </c>
      <c r="J1950" s="4" t="s">
        <v>3834</v>
      </c>
      <c r="K1950" s="4" t="s">
        <v>24</v>
      </c>
    </row>
    <row r="1951" spans="1:11" x14ac:dyDescent="0.2">
      <c r="A1951" s="4" t="s">
        <v>4058</v>
      </c>
      <c r="B1951" s="4" t="s">
        <v>4059</v>
      </c>
      <c r="C1951" s="4" t="s">
        <v>13</v>
      </c>
      <c r="D1951" s="4" t="s">
        <v>3986</v>
      </c>
      <c r="E1951" s="4" t="s">
        <v>3987</v>
      </c>
      <c r="F1951" s="4" t="s">
        <v>335</v>
      </c>
      <c r="G1951" s="1">
        <v>0.16700000000000001</v>
      </c>
      <c r="H1951" s="4" t="s">
        <v>229</v>
      </c>
      <c r="I1951" s="4" t="s">
        <v>3833</v>
      </c>
      <c r="J1951" s="4" t="s">
        <v>3834</v>
      </c>
      <c r="K1951" s="4" t="s">
        <v>24</v>
      </c>
    </row>
    <row r="1952" spans="1:11" x14ac:dyDescent="0.2">
      <c r="A1952" s="4" t="s">
        <v>4060</v>
      </c>
      <c r="B1952" s="4" t="s">
        <v>4061</v>
      </c>
      <c r="C1952" s="4" t="s">
        <v>13</v>
      </c>
      <c r="D1952" s="4" t="s">
        <v>3986</v>
      </c>
      <c r="E1952" s="4" t="s">
        <v>3987</v>
      </c>
      <c r="F1952" s="4" t="s">
        <v>335</v>
      </c>
      <c r="G1952" s="1">
        <v>0.1</v>
      </c>
      <c r="H1952" s="4" t="s">
        <v>117</v>
      </c>
      <c r="I1952" s="4" t="s">
        <v>3833</v>
      </c>
      <c r="J1952" s="4" t="s">
        <v>3834</v>
      </c>
      <c r="K1952" s="4" t="s">
        <v>3847</v>
      </c>
    </row>
    <row r="1953" spans="1:11" x14ac:dyDescent="0.2">
      <c r="A1953" s="4" t="s">
        <v>3324</v>
      </c>
      <c r="B1953" s="4" t="s">
        <v>3325</v>
      </c>
      <c r="C1953" s="4" t="s">
        <v>13</v>
      </c>
      <c r="D1953" s="4" t="s">
        <v>3986</v>
      </c>
      <c r="E1953" s="4" t="s">
        <v>3987</v>
      </c>
      <c r="F1953" s="4" t="s">
        <v>335</v>
      </c>
      <c r="G1953" s="1">
        <v>0</v>
      </c>
      <c r="H1953" s="4" t="s">
        <v>254</v>
      </c>
      <c r="I1953" s="4" t="s">
        <v>3833</v>
      </c>
      <c r="J1953" s="4" t="s">
        <v>3834</v>
      </c>
      <c r="K1953" s="4" t="s">
        <v>24</v>
      </c>
    </row>
    <row r="1954" spans="1:11" x14ac:dyDescent="0.2">
      <c r="A1954" s="4" t="s">
        <v>2486</v>
      </c>
      <c r="B1954" s="4" t="s">
        <v>2487</v>
      </c>
      <c r="C1954" s="4" t="s">
        <v>13</v>
      </c>
      <c r="D1954" s="4" t="s">
        <v>3986</v>
      </c>
      <c r="E1954" s="4" t="s">
        <v>3987</v>
      </c>
      <c r="F1954" s="4" t="s">
        <v>335</v>
      </c>
      <c r="G1954" s="1">
        <v>0.13300000000000001</v>
      </c>
      <c r="H1954" s="4" t="s">
        <v>112</v>
      </c>
      <c r="I1954" s="4" t="s">
        <v>3833</v>
      </c>
      <c r="J1954" s="4" t="s">
        <v>3834</v>
      </c>
      <c r="K1954" s="4" t="s">
        <v>24</v>
      </c>
    </row>
    <row r="1955" spans="1:11" x14ac:dyDescent="0.2">
      <c r="A1955" s="4" t="s">
        <v>1377</v>
      </c>
      <c r="B1955" s="4" t="s">
        <v>1378</v>
      </c>
      <c r="C1955" s="4" t="s">
        <v>13</v>
      </c>
      <c r="D1955" s="4" t="s">
        <v>3986</v>
      </c>
      <c r="E1955" s="4" t="s">
        <v>3987</v>
      </c>
      <c r="F1955" s="4" t="s">
        <v>335</v>
      </c>
      <c r="G1955" s="1">
        <v>0.1</v>
      </c>
      <c r="H1955" s="4" t="s">
        <v>117</v>
      </c>
      <c r="I1955" s="4" t="s">
        <v>3833</v>
      </c>
      <c r="J1955" s="4" t="s">
        <v>3834</v>
      </c>
      <c r="K1955" s="4" t="s">
        <v>24</v>
      </c>
    </row>
    <row r="1956" spans="1:11" x14ac:dyDescent="0.2">
      <c r="A1956" s="4" t="s">
        <v>4062</v>
      </c>
      <c r="B1956" s="4" t="s">
        <v>4063</v>
      </c>
      <c r="C1956" s="4" t="s">
        <v>13</v>
      </c>
      <c r="D1956" s="4" t="s">
        <v>4064</v>
      </c>
      <c r="E1956" s="4" t="s">
        <v>4065</v>
      </c>
      <c r="F1956" s="4" t="s">
        <v>111</v>
      </c>
      <c r="G1956" s="1">
        <v>0.16700000000000001</v>
      </c>
      <c r="H1956" s="4" t="s">
        <v>229</v>
      </c>
      <c r="I1956" s="4" t="s">
        <v>3833</v>
      </c>
      <c r="J1956" s="4" t="s">
        <v>4066</v>
      </c>
      <c r="K1956" s="4" t="s">
        <v>3842</v>
      </c>
    </row>
    <row r="1957" spans="1:11" x14ac:dyDescent="0.2">
      <c r="A1957" s="4" t="s">
        <v>4067</v>
      </c>
      <c r="B1957" s="4" t="s">
        <v>4068</v>
      </c>
      <c r="C1957" s="4" t="s">
        <v>13</v>
      </c>
      <c r="D1957" s="4" t="s">
        <v>4064</v>
      </c>
      <c r="E1957" s="4" t="s">
        <v>4065</v>
      </c>
      <c r="F1957" s="4" t="s">
        <v>111</v>
      </c>
      <c r="G1957" s="1">
        <v>0.13300000000000001</v>
      </c>
      <c r="H1957" s="4" t="s">
        <v>112</v>
      </c>
      <c r="I1957" s="4" t="s">
        <v>3833</v>
      </c>
      <c r="J1957" s="4" t="s">
        <v>4066</v>
      </c>
      <c r="K1957" s="4" t="s">
        <v>24</v>
      </c>
    </row>
    <row r="1958" spans="1:11" x14ac:dyDescent="0.2">
      <c r="A1958" s="4" t="s">
        <v>4069</v>
      </c>
      <c r="B1958" s="4" t="s">
        <v>4070</v>
      </c>
      <c r="C1958" s="4" t="s">
        <v>13</v>
      </c>
      <c r="D1958" s="4" t="s">
        <v>4064</v>
      </c>
      <c r="E1958" s="4" t="s">
        <v>4065</v>
      </c>
      <c r="F1958" s="4" t="s">
        <v>111</v>
      </c>
      <c r="G1958" s="1">
        <v>0.16700000000000001</v>
      </c>
      <c r="H1958" s="4" t="s">
        <v>229</v>
      </c>
      <c r="I1958" s="4" t="s">
        <v>3833</v>
      </c>
      <c r="J1958" s="4" t="s">
        <v>4066</v>
      </c>
      <c r="K1958" s="4" t="s">
        <v>24</v>
      </c>
    </row>
    <row r="1959" spans="1:11" x14ac:dyDescent="0.2">
      <c r="A1959" s="4" t="s">
        <v>4071</v>
      </c>
      <c r="B1959" s="4" t="s">
        <v>4072</v>
      </c>
      <c r="C1959" s="4" t="s">
        <v>49</v>
      </c>
      <c r="D1959" s="4" t="s">
        <v>4064</v>
      </c>
      <c r="E1959" s="4" t="s">
        <v>4065</v>
      </c>
      <c r="F1959" s="4" t="s">
        <v>111</v>
      </c>
      <c r="G1959" s="1">
        <v>0</v>
      </c>
      <c r="H1959" s="4" t="s">
        <v>254</v>
      </c>
      <c r="I1959" s="4" t="s">
        <v>3833</v>
      </c>
      <c r="J1959" s="4" t="s">
        <v>4066</v>
      </c>
      <c r="K1959" s="4" t="s">
        <v>24</v>
      </c>
    </row>
    <row r="1960" spans="1:11" x14ac:dyDescent="0.2">
      <c r="A1960" s="4" t="s">
        <v>4073</v>
      </c>
      <c r="B1960" s="4" t="s">
        <v>4074</v>
      </c>
      <c r="C1960" s="4" t="s">
        <v>13</v>
      </c>
      <c r="D1960" s="4" t="s">
        <v>4064</v>
      </c>
      <c r="E1960" s="4" t="s">
        <v>4065</v>
      </c>
      <c r="F1960" s="4" t="s">
        <v>111</v>
      </c>
      <c r="G1960" s="1">
        <v>0.2</v>
      </c>
      <c r="H1960" s="4" t="s">
        <v>232</v>
      </c>
      <c r="I1960" s="4" t="s">
        <v>3833</v>
      </c>
      <c r="J1960" s="4" t="s">
        <v>4066</v>
      </c>
      <c r="K1960" s="4" t="s">
        <v>3842</v>
      </c>
    </row>
    <row r="1961" spans="1:11" x14ac:dyDescent="0.2">
      <c r="A1961" s="4" t="s">
        <v>4075</v>
      </c>
      <c r="B1961" s="4" t="s">
        <v>4076</v>
      </c>
      <c r="C1961" s="4" t="s">
        <v>13</v>
      </c>
      <c r="D1961" s="4" t="s">
        <v>4064</v>
      </c>
      <c r="E1961" s="4" t="s">
        <v>4065</v>
      </c>
      <c r="F1961" s="4" t="s">
        <v>111</v>
      </c>
      <c r="G1961" s="1">
        <v>3.3000000000000002E-2</v>
      </c>
      <c r="H1961" s="4" t="s">
        <v>225</v>
      </c>
      <c r="I1961" s="4" t="s">
        <v>3833</v>
      </c>
      <c r="J1961" s="4" t="s">
        <v>4066</v>
      </c>
      <c r="K1961" s="4" t="s">
        <v>24</v>
      </c>
    </row>
    <row r="1962" spans="1:11" x14ac:dyDescent="0.2">
      <c r="A1962" s="4" t="s">
        <v>4077</v>
      </c>
      <c r="B1962" s="4" t="s">
        <v>4078</v>
      </c>
      <c r="C1962" s="4" t="s">
        <v>13</v>
      </c>
      <c r="D1962" s="4" t="s">
        <v>4064</v>
      </c>
      <c r="E1962" s="4" t="s">
        <v>4065</v>
      </c>
      <c r="F1962" s="4" t="s">
        <v>111</v>
      </c>
      <c r="G1962" s="1">
        <v>0.16700000000000001</v>
      </c>
      <c r="H1962" s="4" t="s">
        <v>229</v>
      </c>
      <c r="I1962" s="4" t="s">
        <v>3833</v>
      </c>
      <c r="J1962" s="4" t="s">
        <v>4066</v>
      </c>
      <c r="K1962" s="4" t="s">
        <v>24</v>
      </c>
    </row>
    <row r="1963" spans="1:11" x14ac:dyDescent="0.2">
      <c r="A1963" s="4" t="s">
        <v>4079</v>
      </c>
      <c r="B1963" s="4" t="s">
        <v>4080</v>
      </c>
      <c r="C1963" s="4" t="s">
        <v>13</v>
      </c>
      <c r="D1963" s="4" t="s">
        <v>4064</v>
      </c>
      <c r="E1963" s="4" t="s">
        <v>4065</v>
      </c>
      <c r="F1963" s="4" t="s">
        <v>111</v>
      </c>
      <c r="G1963" s="1">
        <v>0</v>
      </c>
      <c r="H1963" s="4" t="s">
        <v>254</v>
      </c>
      <c r="I1963" s="4" t="s">
        <v>3833</v>
      </c>
      <c r="J1963" s="4" t="s">
        <v>4066</v>
      </c>
      <c r="K1963" s="4" t="s">
        <v>24</v>
      </c>
    </row>
    <row r="1964" spans="1:11" x14ac:dyDescent="0.2">
      <c r="A1964" s="4" t="s">
        <v>4081</v>
      </c>
      <c r="B1964" s="4" t="s">
        <v>4082</v>
      </c>
      <c r="C1964" s="4" t="s">
        <v>13</v>
      </c>
      <c r="D1964" s="4" t="s">
        <v>4064</v>
      </c>
      <c r="E1964" s="4" t="s">
        <v>4065</v>
      </c>
      <c r="F1964" s="4" t="s">
        <v>111</v>
      </c>
      <c r="G1964" s="1">
        <v>0.16700000000000001</v>
      </c>
      <c r="H1964" s="4" t="s">
        <v>229</v>
      </c>
      <c r="I1964" s="4" t="s">
        <v>3833</v>
      </c>
      <c r="J1964" s="4" t="s">
        <v>4066</v>
      </c>
      <c r="K1964" s="4" t="s">
        <v>24</v>
      </c>
    </row>
    <row r="1965" spans="1:11" x14ac:dyDescent="0.2">
      <c r="A1965" s="4" t="s">
        <v>4083</v>
      </c>
      <c r="B1965" s="4" t="s">
        <v>4084</v>
      </c>
      <c r="C1965" s="4" t="s">
        <v>13</v>
      </c>
      <c r="D1965" s="4" t="s">
        <v>4064</v>
      </c>
      <c r="E1965" s="4" t="s">
        <v>4065</v>
      </c>
      <c r="F1965" s="4" t="s">
        <v>111</v>
      </c>
      <c r="G1965" s="1">
        <v>0.16700000000000001</v>
      </c>
      <c r="H1965" s="4" t="s">
        <v>229</v>
      </c>
      <c r="I1965" s="4" t="s">
        <v>3833</v>
      </c>
      <c r="J1965" s="4" t="s">
        <v>4066</v>
      </c>
      <c r="K1965" s="4" t="s">
        <v>24</v>
      </c>
    </row>
    <row r="1966" spans="1:11" x14ac:dyDescent="0.2">
      <c r="A1966" s="4" t="s">
        <v>4085</v>
      </c>
      <c r="B1966" s="4" t="s">
        <v>4086</v>
      </c>
      <c r="C1966" s="4" t="s">
        <v>13</v>
      </c>
      <c r="D1966" s="4" t="s">
        <v>4064</v>
      </c>
      <c r="E1966" s="4" t="s">
        <v>4065</v>
      </c>
      <c r="F1966" s="4" t="s">
        <v>111</v>
      </c>
      <c r="G1966" s="1">
        <v>0.16700000000000001</v>
      </c>
      <c r="H1966" s="4" t="s">
        <v>229</v>
      </c>
      <c r="I1966" s="4" t="s">
        <v>3833</v>
      </c>
      <c r="J1966" s="4" t="s">
        <v>4066</v>
      </c>
      <c r="K1966" s="4" t="s">
        <v>24</v>
      </c>
    </row>
    <row r="1967" spans="1:11" x14ac:dyDescent="0.2">
      <c r="A1967" s="4" t="s">
        <v>4087</v>
      </c>
      <c r="B1967" s="4" t="s">
        <v>4088</v>
      </c>
      <c r="C1967" s="4" t="s">
        <v>13</v>
      </c>
      <c r="D1967" s="4" t="s">
        <v>4064</v>
      </c>
      <c r="E1967" s="4" t="s">
        <v>4065</v>
      </c>
      <c r="F1967" s="4" t="s">
        <v>111</v>
      </c>
      <c r="G1967" s="1">
        <v>0.13300000000000001</v>
      </c>
      <c r="H1967" s="4" t="s">
        <v>112</v>
      </c>
      <c r="I1967" s="4" t="s">
        <v>3833</v>
      </c>
      <c r="J1967" s="4" t="s">
        <v>4066</v>
      </c>
      <c r="K1967" s="4" t="s">
        <v>24</v>
      </c>
    </row>
    <row r="1968" spans="1:11" x14ac:dyDescent="0.2">
      <c r="A1968" s="4" t="s">
        <v>327</v>
      </c>
      <c r="B1968" s="4" t="s">
        <v>328</v>
      </c>
      <c r="C1968" s="4" t="s">
        <v>49</v>
      </c>
      <c r="D1968" s="4" t="s">
        <v>4064</v>
      </c>
      <c r="E1968" s="4" t="s">
        <v>4065</v>
      </c>
      <c r="F1968" s="4" t="s">
        <v>111</v>
      </c>
      <c r="G1968" s="1">
        <v>0</v>
      </c>
      <c r="H1968" s="4" t="s">
        <v>254</v>
      </c>
      <c r="I1968" s="4" t="s">
        <v>3833</v>
      </c>
      <c r="J1968" s="4" t="s">
        <v>4066</v>
      </c>
      <c r="K1968" s="4" t="s">
        <v>24</v>
      </c>
    </row>
    <row r="1969" spans="1:11" x14ac:dyDescent="0.2">
      <c r="A1969" s="4" t="s">
        <v>4089</v>
      </c>
      <c r="B1969" s="4" t="s">
        <v>4090</v>
      </c>
      <c r="C1969" s="4" t="s">
        <v>13</v>
      </c>
      <c r="D1969" s="4" t="s">
        <v>4064</v>
      </c>
      <c r="E1969" s="4" t="s">
        <v>4065</v>
      </c>
      <c r="F1969" s="4" t="s">
        <v>111</v>
      </c>
      <c r="G1969" s="1">
        <v>0.13300000000000001</v>
      </c>
      <c r="H1969" s="4" t="s">
        <v>112</v>
      </c>
      <c r="I1969" s="4" t="s">
        <v>3833</v>
      </c>
      <c r="J1969" s="4" t="s">
        <v>4066</v>
      </c>
      <c r="K1969" s="4" t="s">
        <v>24</v>
      </c>
    </row>
    <row r="1970" spans="1:11" x14ac:dyDescent="0.2">
      <c r="A1970" s="4" t="s">
        <v>4091</v>
      </c>
      <c r="B1970" s="4" t="s">
        <v>4092</v>
      </c>
      <c r="C1970" s="4" t="s">
        <v>13</v>
      </c>
      <c r="D1970" s="4" t="s">
        <v>4064</v>
      </c>
      <c r="E1970" s="4" t="s">
        <v>4065</v>
      </c>
      <c r="F1970" s="4" t="s">
        <v>111</v>
      </c>
      <c r="G1970" s="1">
        <v>0</v>
      </c>
      <c r="H1970" s="4" t="s">
        <v>254</v>
      </c>
      <c r="I1970" s="4" t="s">
        <v>3833</v>
      </c>
      <c r="J1970" s="4" t="s">
        <v>4066</v>
      </c>
      <c r="K1970" s="4" t="s">
        <v>24</v>
      </c>
    </row>
    <row r="1971" spans="1:11" x14ac:dyDescent="0.2">
      <c r="A1971" s="4" t="s">
        <v>4093</v>
      </c>
      <c r="B1971" s="4" t="s">
        <v>4094</v>
      </c>
      <c r="C1971" s="4" t="s">
        <v>13</v>
      </c>
      <c r="D1971" s="4" t="s">
        <v>4064</v>
      </c>
      <c r="E1971" s="4" t="s">
        <v>4065</v>
      </c>
      <c r="F1971" s="4" t="s">
        <v>111</v>
      </c>
      <c r="G1971" s="1">
        <v>0</v>
      </c>
      <c r="H1971" s="4" t="s">
        <v>254</v>
      </c>
      <c r="I1971" s="4" t="s">
        <v>3833</v>
      </c>
      <c r="J1971" s="4" t="s">
        <v>4066</v>
      </c>
      <c r="K1971" s="4" t="s">
        <v>24</v>
      </c>
    </row>
    <row r="1972" spans="1:11" x14ac:dyDescent="0.2">
      <c r="A1972" s="4" t="s">
        <v>2163</v>
      </c>
      <c r="B1972" s="4" t="s">
        <v>2164</v>
      </c>
      <c r="C1972" s="4" t="s">
        <v>49</v>
      </c>
      <c r="D1972" s="4" t="s">
        <v>4064</v>
      </c>
      <c r="E1972" s="4" t="s">
        <v>4065</v>
      </c>
      <c r="F1972" s="4" t="s">
        <v>111</v>
      </c>
      <c r="G1972" s="1">
        <v>0</v>
      </c>
      <c r="H1972" s="4" t="s">
        <v>254</v>
      </c>
      <c r="I1972" s="4" t="s">
        <v>3833</v>
      </c>
      <c r="J1972" s="4" t="s">
        <v>4066</v>
      </c>
      <c r="K1972" s="4" t="s">
        <v>24</v>
      </c>
    </row>
    <row r="1973" spans="1:11" x14ac:dyDescent="0.2">
      <c r="A1973" s="4" t="s">
        <v>4095</v>
      </c>
      <c r="B1973" s="4" t="s">
        <v>4096</v>
      </c>
      <c r="C1973" s="4" t="s">
        <v>13</v>
      </c>
      <c r="D1973" s="4" t="s">
        <v>4064</v>
      </c>
      <c r="E1973" s="4" t="s">
        <v>4065</v>
      </c>
      <c r="F1973" s="4" t="s">
        <v>111</v>
      </c>
      <c r="G1973" s="1">
        <v>0.13300000000000001</v>
      </c>
      <c r="H1973" s="4" t="s">
        <v>112</v>
      </c>
      <c r="I1973" s="4" t="s">
        <v>3833</v>
      </c>
      <c r="J1973" s="4" t="s">
        <v>4066</v>
      </c>
      <c r="K1973" s="4" t="s">
        <v>24</v>
      </c>
    </row>
    <row r="1974" spans="1:11" x14ac:dyDescent="0.2">
      <c r="A1974" s="4" t="s">
        <v>4097</v>
      </c>
      <c r="B1974" s="4" t="s">
        <v>4098</v>
      </c>
      <c r="C1974" s="4" t="s">
        <v>13</v>
      </c>
      <c r="D1974" s="4" t="s">
        <v>4064</v>
      </c>
      <c r="E1974" s="4" t="s">
        <v>4065</v>
      </c>
      <c r="F1974" s="4" t="s">
        <v>111</v>
      </c>
      <c r="G1974" s="1">
        <v>0.13300000000000001</v>
      </c>
      <c r="H1974" s="4" t="s">
        <v>112</v>
      </c>
      <c r="I1974" s="4" t="s">
        <v>3833</v>
      </c>
      <c r="J1974" s="4" t="s">
        <v>4066</v>
      </c>
      <c r="K1974" s="4" t="s">
        <v>24</v>
      </c>
    </row>
    <row r="1975" spans="1:11" x14ac:dyDescent="0.2">
      <c r="A1975" s="4" t="s">
        <v>4099</v>
      </c>
      <c r="B1975" s="4" t="s">
        <v>4100</v>
      </c>
      <c r="C1975" s="4" t="s">
        <v>13</v>
      </c>
      <c r="D1975" s="4" t="s">
        <v>4064</v>
      </c>
      <c r="E1975" s="4" t="s">
        <v>4065</v>
      </c>
      <c r="F1975" s="4" t="s">
        <v>111</v>
      </c>
      <c r="G1975" s="1">
        <v>0.13300000000000001</v>
      </c>
      <c r="H1975" s="4" t="s">
        <v>112</v>
      </c>
      <c r="I1975" s="4" t="s">
        <v>3833</v>
      </c>
      <c r="J1975" s="4" t="s">
        <v>4066</v>
      </c>
      <c r="K1975" s="4" t="s">
        <v>24</v>
      </c>
    </row>
    <row r="1976" spans="1:11" x14ac:dyDescent="0.2">
      <c r="A1976" s="4" t="s">
        <v>4101</v>
      </c>
      <c r="B1976" s="4" t="s">
        <v>4102</v>
      </c>
      <c r="C1976" s="4" t="s">
        <v>13</v>
      </c>
      <c r="D1976" s="4" t="s">
        <v>4064</v>
      </c>
      <c r="E1976" s="4" t="s">
        <v>4065</v>
      </c>
      <c r="F1976" s="4" t="s">
        <v>111</v>
      </c>
      <c r="G1976" s="1">
        <v>0.2</v>
      </c>
      <c r="H1976" s="4" t="s">
        <v>232</v>
      </c>
      <c r="I1976" s="4" t="s">
        <v>3833</v>
      </c>
      <c r="J1976" s="4" t="s">
        <v>4066</v>
      </c>
      <c r="K1976" s="4" t="s">
        <v>24</v>
      </c>
    </row>
    <row r="1977" spans="1:11" x14ac:dyDescent="0.2">
      <c r="A1977" s="4" t="s">
        <v>4103</v>
      </c>
      <c r="B1977" s="4" t="s">
        <v>4104</v>
      </c>
      <c r="C1977" s="4" t="s">
        <v>13</v>
      </c>
      <c r="D1977" s="4" t="s">
        <v>4064</v>
      </c>
      <c r="E1977" s="4" t="s">
        <v>4065</v>
      </c>
      <c r="F1977" s="4" t="s">
        <v>111</v>
      </c>
      <c r="G1977" s="1">
        <v>0.2</v>
      </c>
      <c r="H1977" s="4" t="s">
        <v>232</v>
      </c>
      <c r="I1977" s="4" t="s">
        <v>3833</v>
      </c>
      <c r="J1977" s="4" t="s">
        <v>4066</v>
      </c>
      <c r="K1977" s="4" t="s">
        <v>24</v>
      </c>
    </row>
    <row r="1978" spans="1:11" x14ac:dyDescent="0.2">
      <c r="A1978" s="4" t="s">
        <v>4105</v>
      </c>
      <c r="B1978" s="4" t="s">
        <v>4106</v>
      </c>
      <c r="C1978" s="4" t="s">
        <v>13</v>
      </c>
      <c r="D1978" s="4" t="s">
        <v>4064</v>
      </c>
      <c r="E1978" s="4" t="s">
        <v>4065</v>
      </c>
      <c r="F1978" s="4" t="s">
        <v>111</v>
      </c>
      <c r="G1978" s="1">
        <v>0</v>
      </c>
      <c r="H1978" s="4" t="s">
        <v>254</v>
      </c>
      <c r="I1978" s="4" t="s">
        <v>3833</v>
      </c>
      <c r="J1978" s="4" t="s">
        <v>4066</v>
      </c>
      <c r="K1978" s="4" t="s">
        <v>24</v>
      </c>
    </row>
    <row r="1979" spans="1:11" x14ac:dyDescent="0.2">
      <c r="A1979" s="4" t="s">
        <v>4107</v>
      </c>
      <c r="B1979" s="4" t="s">
        <v>4108</v>
      </c>
      <c r="C1979" s="4" t="s">
        <v>13</v>
      </c>
      <c r="D1979" s="4" t="s">
        <v>4064</v>
      </c>
      <c r="E1979" s="4" t="s">
        <v>4065</v>
      </c>
      <c r="F1979" s="4" t="s">
        <v>111</v>
      </c>
      <c r="G1979" s="1">
        <v>0.2</v>
      </c>
      <c r="H1979" s="4" t="s">
        <v>232</v>
      </c>
      <c r="I1979" s="4" t="s">
        <v>3833</v>
      </c>
      <c r="J1979" s="4" t="s">
        <v>4066</v>
      </c>
      <c r="K1979" s="4" t="s">
        <v>24</v>
      </c>
    </row>
    <row r="1980" spans="1:11" x14ac:dyDescent="0.2">
      <c r="A1980" s="4" t="s">
        <v>4109</v>
      </c>
      <c r="B1980" s="4" t="s">
        <v>4110</v>
      </c>
      <c r="C1980" s="4" t="s">
        <v>13</v>
      </c>
      <c r="D1980" s="4" t="s">
        <v>4064</v>
      </c>
      <c r="E1980" s="4" t="s">
        <v>4065</v>
      </c>
      <c r="F1980" s="4" t="s">
        <v>111</v>
      </c>
      <c r="G1980" s="1">
        <v>6.7000000000000004E-2</v>
      </c>
      <c r="H1980" s="4" t="s">
        <v>166</v>
      </c>
      <c r="I1980" s="4" t="s">
        <v>3833</v>
      </c>
      <c r="J1980" s="4" t="s">
        <v>4066</v>
      </c>
      <c r="K1980" s="4" t="s">
        <v>24</v>
      </c>
    </row>
    <row r="1981" spans="1:11" x14ac:dyDescent="0.2">
      <c r="A1981" s="4" t="s">
        <v>4111</v>
      </c>
      <c r="B1981" s="4" t="s">
        <v>4112</v>
      </c>
      <c r="C1981" s="4" t="s">
        <v>13</v>
      </c>
      <c r="D1981" s="4" t="s">
        <v>4064</v>
      </c>
      <c r="E1981" s="4" t="s">
        <v>4065</v>
      </c>
      <c r="F1981" s="4" t="s">
        <v>111</v>
      </c>
      <c r="G1981" s="1">
        <v>0.2</v>
      </c>
      <c r="H1981" s="4" t="s">
        <v>232</v>
      </c>
      <c r="I1981" s="4" t="s">
        <v>3833</v>
      </c>
      <c r="J1981" s="4" t="s">
        <v>4066</v>
      </c>
      <c r="K1981" s="4" t="s">
        <v>24</v>
      </c>
    </row>
    <row r="1982" spans="1:11" x14ac:dyDescent="0.2">
      <c r="A1982" s="4" t="s">
        <v>4113</v>
      </c>
      <c r="B1982" s="4" t="s">
        <v>4114</v>
      </c>
      <c r="C1982" s="4" t="s">
        <v>13</v>
      </c>
      <c r="D1982" s="4" t="s">
        <v>4064</v>
      </c>
      <c r="E1982" s="4" t="s">
        <v>4065</v>
      </c>
      <c r="F1982" s="4" t="s">
        <v>111</v>
      </c>
      <c r="G1982" s="1">
        <v>0.13300000000000001</v>
      </c>
      <c r="H1982" s="4" t="s">
        <v>112</v>
      </c>
      <c r="I1982" s="4" t="s">
        <v>3833</v>
      </c>
      <c r="J1982" s="4" t="s">
        <v>4066</v>
      </c>
      <c r="K1982" s="4" t="s">
        <v>24</v>
      </c>
    </row>
    <row r="1983" spans="1:11" x14ac:dyDescent="0.2">
      <c r="A1983" s="4" t="s">
        <v>4115</v>
      </c>
      <c r="B1983" s="4" t="s">
        <v>4116</v>
      </c>
      <c r="C1983" s="4" t="s">
        <v>13</v>
      </c>
      <c r="D1983" s="4" t="s">
        <v>4064</v>
      </c>
      <c r="E1983" s="4" t="s">
        <v>4065</v>
      </c>
      <c r="F1983" s="4" t="s">
        <v>111</v>
      </c>
      <c r="G1983" s="1">
        <v>0.2</v>
      </c>
      <c r="H1983" s="4" t="s">
        <v>232</v>
      </c>
      <c r="I1983" s="4" t="s">
        <v>3833</v>
      </c>
      <c r="J1983" s="4" t="s">
        <v>4066</v>
      </c>
      <c r="K1983" s="4" t="s">
        <v>24</v>
      </c>
    </row>
    <row r="1984" spans="1:11" x14ac:dyDescent="0.2">
      <c r="A1984" s="4" t="s">
        <v>4117</v>
      </c>
      <c r="B1984" s="4" t="s">
        <v>4118</v>
      </c>
      <c r="C1984" s="4" t="s">
        <v>13</v>
      </c>
      <c r="D1984" s="4" t="s">
        <v>4064</v>
      </c>
      <c r="E1984" s="4" t="s">
        <v>4065</v>
      </c>
      <c r="F1984" s="4" t="s">
        <v>111</v>
      </c>
      <c r="G1984" s="1">
        <v>0.16700000000000001</v>
      </c>
      <c r="H1984" s="4" t="s">
        <v>229</v>
      </c>
      <c r="I1984" s="4" t="s">
        <v>3833</v>
      </c>
      <c r="J1984" s="4" t="s">
        <v>4066</v>
      </c>
      <c r="K1984" s="4" t="s">
        <v>24</v>
      </c>
    </row>
    <row r="1985" spans="1:11" x14ac:dyDescent="0.2">
      <c r="A1985" s="4" t="s">
        <v>4119</v>
      </c>
      <c r="B1985" s="4" t="s">
        <v>4120</v>
      </c>
      <c r="C1985" s="4" t="s">
        <v>13</v>
      </c>
      <c r="D1985" s="4" t="s">
        <v>4064</v>
      </c>
      <c r="E1985" s="4" t="s">
        <v>4065</v>
      </c>
      <c r="F1985" s="4" t="s">
        <v>111</v>
      </c>
      <c r="G1985" s="1">
        <v>0.16700000000000001</v>
      </c>
      <c r="H1985" s="4" t="s">
        <v>229</v>
      </c>
      <c r="I1985" s="4" t="s">
        <v>3833</v>
      </c>
      <c r="J1985" s="4" t="s">
        <v>4066</v>
      </c>
      <c r="K1985" s="4" t="s">
        <v>24</v>
      </c>
    </row>
    <row r="1986" spans="1:11" x14ac:dyDescent="0.2">
      <c r="A1986" s="4" t="s">
        <v>4121</v>
      </c>
      <c r="B1986" s="4" t="s">
        <v>4122</v>
      </c>
      <c r="C1986" s="4" t="s">
        <v>13</v>
      </c>
      <c r="D1986" s="4" t="s">
        <v>4064</v>
      </c>
      <c r="E1986" s="4" t="s">
        <v>4065</v>
      </c>
      <c r="F1986" s="4" t="s">
        <v>111</v>
      </c>
      <c r="G1986" s="1">
        <v>0.2</v>
      </c>
      <c r="H1986" s="4" t="s">
        <v>232</v>
      </c>
      <c r="I1986" s="4" t="s">
        <v>3833</v>
      </c>
      <c r="J1986" s="4" t="s">
        <v>4066</v>
      </c>
      <c r="K1986" s="4" t="s">
        <v>24</v>
      </c>
    </row>
    <row r="1987" spans="1:11" x14ac:dyDescent="0.2">
      <c r="A1987" s="4" t="s">
        <v>4123</v>
      </c>
      <c r="B1987" s="4" t="s">
        <v>4124</v>
      </c>
      <c r="C1987" s="4" t="s">
        <v>13</v>
      </c>
      <c r="D1987" s="4" t="s">
        <v>4064</v>
      </c>
      <c r="E1987" s="4" t="s">
        <v>4065</v>
      </c>
      <c r="F1987" s="4" t="s">
        <v>111</v>
      </c>
      <c r="G1987" s="1">
        <v>3.3000000000000002E-2</v>
      </c>
      <c r="H1987" s="4" t="s">
        <v>225</v>
      </c>
      <c r="I1987" s="4" t="s">
        <v>3833</v>
      </c>
      <c r="J1987" s="4" t="s">
        <v>4066</v>
      </c>
      <c r="K1987" s="4" t="s">
        <v>24</v>
      </c>
    </row>
    <row r="1988" spans="1:11" x14ac:dyDescent="0.2">
      <c r="A1988" s="4" t="s">
        <v>4125</v>
      </c>
      <c r="B1988" s="4" t="s">
        <v>4126</v>
      </c>
      <c r="C1988" s="4" t="s">
        <v>13</v>
      </c>
      <c r="D1988" s="4" t="s">
        <v>4064</v>
      </c>
      <c r="E1988" s="4" t="s">
        <v>4065</v>
      </c>
      <c r="F1988" s="4" t="s">
        <v>111</v>
      </c>
      <c r="G1988" s="1">
        <v>0.13300000000000001</v>
      </c>
      <c r="H1988" s="4" t="s">
        <v>112</v>
      </c>
      <c r="I1988" s="4" t="s">
        <v>3833</v>
      </c>
      <c r="J1988" s="4" t="s">
        <v>4066</v>
      </c>
      <c r="K1988" s="4" t="s">
        <v>24</v>
      </c>
    </row>
    <row r="1989" spans="1:11" x14ac:dyDescent="0.2">
      <c r="A1989" s="4" t="s">
        <v>4127</v>
      </c>
      <c r="B1989" s="4" t="s">
        <v>4128</v>
      </c>
      <c r="C1989" s="4" t="s">
        <v>13</v>
      </c>
      <c r="D1989" s="4" t="s">
        <v>4064</v>
      </c>
      <c r="E1989" s="4" t="s">
        <v>4065</v>
      </c>
      <c r="F1989" s="4" t="s">
        <v>111</v>
      </c>
      <c r="G1989" s="1">
        <v>0.13300000000000001</v>
      </c>
      <c r="H1989" s="4" t="s">
        <v>112</v>
      </c>
      <c r="I1989" s="4" t="s">
        <v>3833</v>
      </c>
      <c r="J1989" s="4" t="s">
        <v>4066</v>
      </c>
      <c r="K1989" s="4" t="s">
        <v>24</v>
      </c>
    </row>
    <row r="1990" spans="1:11" x14ac:dyDescent="0.2">
      <c r="A1990" s="4" t="s">
        <v>4129</v>
      </c>
      <c r="B1990" s="4" t="s">
        <v>4130</v>
      </c>
      <c r="C1990" s="4" t="s">
        <v>13</v>
      </c>
      <c r="D1990" s="4" t="s">
        <v>4064</v>
      </c>
      <c r="E1990" s="4" t="s">
        <v>4065</v>
      </c>
      <c r="F1990" s="4" t="s">
        <v>111</v>
      </c>
      <c r="G1990" s="1">
        <v>0.13300000000000001</v>
      </c>
      <c r="H1990" s="4" t="s">
        <v>112</v>
      </c>
      <c r="I1990" s="4" t="s">
        <v>3833</v>
      </c>
      <c r="J1990" s="4" t="s">
        <v>4066</v>
      </c>
      <c r="K1990" s="4" t="s">
        <v>24</v>
      </c>
    </row>
    <row r="1991" spans="1:11" x14ac:dyDescent="0.2">
      <c r="A1991" s="4" t="s">
        <v>4131</v>
      </c>
      <c r="B1991" s="4" t="s">
        <v>4132</v>
      </c>
      <c r="C1991" s="4" t="s">
        <v>13</v>
      </c>
      <c r="D1991" s="4" t="s">
        <v>4064</v>
      </c>
      <c r="E1991" s="4" t="s">
        <v>4065</v>
      </c>
      <c r="F1991" s="4" t="s">
        <v>111</v>
      </c>
      <c r="G1991" s="1">
        <v>0.2</v>
      </c>
      <c r="H1991" s="4" t="s">
        <v>232</v>
      </c>
      <c r="I1991" s="4" t="s">
        <v>3833</v>
      </c>
      <c r="J1991" s="4" t="s">
        <v>4066</v>
      </c>
      <c r="K1991" s="4" t="s">
        <v>24</v>
      </c>
    </row>
    <row r="1992" spans="1:11" x14ac:dyDescent="0.2">
      <c r="A1992" s="4" t="s">
        <v>4133</v>
      </c>
      <c r="B1992" s="4" t="s">
        <v>4134</v>
      </c>
      <c r="C1992" s="4" t="s">
        <v>13</v>
      </c>
      <c r="D1992" s="4" t="s">
        <v>4064</v>
      </c>
      <c r="E1992" s="4" t="s">
        <v>4065</v>
      </c>
      <c r="F1992" s="4" t="s">
        <v>111</v>
      </c>
      <c r="G1992" s="1">
        <v>0</v>
      </c>
      <c r="H1992" s="4" t="s">
        <v>254</v>
      </c>
      <c r="I1992" s="4" t="s">
        <v>3833</v>
      </c>
      <c r="J1992" s="4" t="s">
        <v>4066</v>
      </c>
      <c r="K1992" s="4" t="s">
        <v>24</v>
      </c>
    </row>
    <row r="1993" spans="1:11" x14ac:dyDescent="0.2">
      <c r="A1993" s="4" t="s">
        <v>4135</v>
      </c>
      <c r="B1993" s="4" t="s">
        <v>4136</v>
      </c>
      <c r="C1993" s="4" t="s">
        <v>13</v>
      </c>
      <c r="D1993" s="4" t="s">
        <v>4064</v>
      </c>
      <c r="E1993" s="4" t="s">
        <v>4065</v>
      </c>
      <c r="F1993" s="4" t="s">
        <v>111</v>
      </c>
      <c r="G1993" s="1">
        <v>0.13300000000000001</v>
      </c>
      <c r="H1993" s="4" t="s">
        <v>112</v>
      </c>
      <c r="I1993" s="4" t="s">
        <v>3833</v>
      </c>
      <c r="J1993" s="4" t="s">
        <v>4066</v>
      </c>
      <c r="K1993" s="4" t="s">
        <v>24</v>
      </c>
    </row>
    <row r="1994" spans="1:11" x14ac:dyDescent="0.2">
      <c r="A1994" s="4" t="s">
        <v>4137</v>
      </c>
      <c r="B1994" s="4" t="s">
        <v>4138</v>
      </c>
      <c r="C1994" s="4" t="s">
        <v>13</v>
      </c>
      <c r="D1994" s="4" t="s">
        <v>4064</v>
      </c>
      <c r="E1994" s="4" t="s">
        <v>4065</v>
      </c>
      <c r="F1994" s="4" t="s">
        <v>111</v>
      </c>
      <c r="G1994" s="1">
        <v>0.13300000000000001</v>
      </c>
      <c r="H1994" s="4" t="s">
        <v>112</v>
      </c>
      <c r="I1994" s="4" t="s">
        <v>3833</v>
      </c>
      <c r="J1994" s="4" t="s">
        <v>4066</v>
      </c>
      <c r="K1994" s="4" t="s">
        <v>24</v>
      </c>
    </row>
    <row r="1995" spans="1:11" x14ac:dyDescent="0.2">
      <c r="A1995" s="4" t="s">
        <v>4139</v>
      </c>
      <c r="B1995" s="4" t="s">
        <v>4140</v>
      </c>
      <c r="C1995" s="4" t="s">
        <v>13</v>
      </c>
      <c r="D1995" s="4" t="s">
        <v>4064</v>
      </c>
      <c r="E1995" s="4" t="s">
        <v>4065</v>
      </c>
      <c r="F1995" s="4" t="s">
        <v>111</v>
      </c>
      <c r="G1995" s="1">
        <v>0.16700000000000001</v>
      </c>
      <c r="H1995" s="4" t="s">
        <v>229</v>
      </c>
      <c r="I1995" s="4" t="s">
        <v>3833</v>
      </c>
      <c r="J1995" s="4" t="s">
        <v>4066</v>
      </c>
      <c r="K1995" s="4" t="s">
        <v>24</v>
      </c>
    </row>
    <row r="1996" spans="1:11" x14ac:dyDescent="0.2">
      <c r="A1996" s="4" t="s">
        <v>4141</v>
      </c>
      <c r="B1996" s="4" t="s">
        <v>4142</v>
      </c>
      <c r="C1996" s="4" t="s">
        <v>13</v>
      </c>
      <c r="D1996" s="4" t="s">
        <v>4064</v>
      </c>
      <c r="E1996" s="4" t="s">
        <v>4065</v>
      </c>
      <c r="F1996" s="4" t="s">
        <v>111</v>
      </c>
      <c r="G1996" s="1">
        <v>0.2</v>
      </c>
      <c r="H1996" s="4" t="s">
        <v>232</v>
      </c>
      <c r="I1996" s="4" t="s">
        <v>3833</v>
      </c>
      <c r="J1996" s="4" t="s">
        <v>4066</v>
      </c>
      <c r="K1996" s="4" t="s">
        <v>3842</v>
      </c>
    </row>
    <row r="1997" spans="1:11" x14ac:dyDescent="0.2">
      <c r="A1997" s="4" t="s">
        <v>4143</v>
      </c>
      <c r="B1997" s="4" t="s">
        <v>4144</v>
      </c>
      <c r="C1997" s="4" t="s">
        <v>13</v>
      </c>
      <c r="D1997" s="4" t="s">
        <v>4064</v>
      </c>
      <c r="E1997" s="4" t="s">
        <v>4065</v>
      </c>
      <c r="F1997" s="4" t="s">
        <v>111</v>
      </c>
      <c r="G1997" s="1">
        <v>0.13300000000000001</v>
      </c>
      <c r="H1997" s="4" t="s">
        <v>112</v>
      </c>
      <c r="I1997" s="4" t="s">
        <v>3833</v>
      </c>
      <c r="J1997" s="4" t="s">
        <v>4066</v>
      </c>
      <c r="K1997" s="4" t="s">
        <v>3842</v>
      </c>
    </row>
    <row r="1998" spans="1:11" x14ac:dyDescent="0.2">
      <c r="A1998" s="4" t="s">
        <v>4145</v>
      </c>
      <c r="B1998" s="4" t="s">
        <v>4146</v>
      </c>
      <c r="C1998" s="4" t="s">
        <v>13</v>
      </c>
      <c r="D1998" s="4" t="s">
        <v>4064</v>
      </c>
      <c r="E1998" s="4" t="s">
        <v>4065</v>
      </c>
      <c r="F1998" s="4" t="s">
        <v>111</v>
      </c>
      <c r="G1998" s="1">
        <v>0.2</v>
      </c>
      <c r="H1998" s="4" t="s">
        <v>232</v>
      </c>
      <c r="I1998" s="4" t="s">
        <v>3833</v>
      </c>
      <c r="J1998" s="4" t="s">
        <v>4066</v>
      </c>
      <c r="K1998" s="4" t="s">
        <v>3842</v>
      </c>
    </row>
    <row r="1999" spans="1:11" x14ac:dyDescent="0.2">
      <c r="A1999" s="4" t="s">
        <v>4147</v>
      </c>
      <c r="B1999" s="4" t="s">
        <v>4148</v>
      </c>
      <c r="C1999" s="4" t="s">
        <v>13</v>
      </c>
      <c r="D1999" s="4" t="s">
        <v>4064</v>
      </c>
      <c r="E1999" s="4" t="s">
        <v>4065</v>
      </c>
      <c r="F1999" s="4" t="s">
        <v>111</v>
      </c>
      <c r="G1999" s="1">
        <v>0.13300000000000001</v>
      </c>
      <c r="H1999" s="4" t="s">
        <v>112</v>
      </c>
      <c r="I1999" s="4" t="s">
        <v>3833</v>
      </c>
      <c r="J1999" s="4" t="s">
        <v>4066</v>
      </c>
      <c r="K1999" s="4" t="s">
        <v>3842</v>
      </c>
    </row>
    <row r="2000" spans="1:11" x14ac:dyDescent="0.2">
      <c r="A2000" s="4" t="s">
        <v>4149</v>
      </c>
      <c r="B2000" s="4" t="s">
        <v>4150</v>
      </c>
      <c r="C2000" s="4" t="s">
        <v>13</v>
      </c>
      <c r="D2000" s="4" t="s">
        <v>4064</v>
      </c>
      <c r="E2000" s="4" t="s">
        <v>4065</v>
      </c>
      <c r="F2000" s="4" t="s">
        <v>111</v>
      </c>
      <c r="G2000" s="1">
        <v>0.16700000000000001</v>
      </c>
      <c r="H2000" s="4" t="s">
        <v>229</v>
      </c>
      <c r="I2000" s="4" t="s">
        <v>3833</v>
      </c>
      <c r="J2000" s="4" t="s">
        <v>4066</v>
      </c>
      <c r="K2000" s="4" t="s">
        <v>3842</v>
      </c>
    </row>
    <row r="2001" spans="1:11" x14ac:dyDescent="0.2">
      <c r="A2001" s="4" t="s">
        <v>4151</v>
      </c>
      <c r="B2001" s="4" t="s">
        <v>4152</v>
      </c>
      <c r="C2001" s="4" t="s">
        <v>13</v>
      </c>
      <c r="D2001" s="4" t="s">
        <v>4064</v>
      </c>
      <c r="E2001" s="4" t="s">
        <v>4065</v>
      </c>
      <c r="F2001" s="4" t="s">
        <v>111</v>
      </c>
      <c r="G2001" s="1">
        <v>0.16700000000000001</v>
      </c>
      <c r="H2001" s="4" t="s">
        <v>229</v>
      </c>
      <c r="I2001" s="4" t="s">
        <v>3833</v>
      </c>
      <c r="J2001" s="4" t="s">
        <v>4066</v>
      </c>
      <c r="K2001" s="4" t="s">
        <v>3842</v>
      </c>
    </row>
    <row r="2002" spans="1:11" x14ac:dyDescent="0.2">
      <c r="A2002" s="4" t="s">
        <v>4153</v>
      </c>
      <c r="B2002" s="4" t="s">
        <v>4154</v>
      </c>
      <c r="C2002" s="4" t="s">
        <v>13</v>
      </c>
      <c r="D2002" s="4" t="s">
        <v>4064</v>
      </c>
      <c r="E2002" s="4" t="s">
        <v>4065</v>
      </c>
      <c r="F2002" s="4" t="s">
        <v>111</v>
      </c>
      <c r="G2002" s="1">
        <v>0.16700000000000001</v>
      </c>
      <c r="H2002" s="4" t="s">
        <v>229</v>
      </c>
      <c r="I2002" s="4" t="s">
        <v>3833</v>
      </c>
      <c r="J2002" s="4" t="s">
        <v>4066</v>
      </c>
      <c r="K2002" s="4" t="s">
        <v>3842</v>
      </c>
    </row>
    <row r="2003" spans="1:11" x14ac:dyDescent="0.2">
      <c r="A2003" s="4" t="s">
        <v>4155</v>
      </c>
      <c r="B2003" s="4" t="s">
        <v>4156</v>
      </c>
      <c r="C2003" s="4" t="s">
        <v>13</v>
      </c>
      <c r="D2003" s="4" t="s">
        <v>4064</v>
      </c>
      <c r="E2003" s="4" t="s">
        <v>4065</v>
      </c>
      <c r="F2003" s="4" t="s">
        <v>111</v>
      </c>
      <c r="G2003" s="1">
        <v>0.2</v>
      </c>
      <c r="H2003" s="4" t="s">
        <v>232</v>
      </c>
      <c r="I2003" s="4" t="s">
        <v>3833</v>
      </c>
      <c r="J2003" s="4" t="s">
        <v>4066</v>
      </c>
      <c r="K2003" s="4" t="s">
        <v>3847</v>
      </c>
    </row>
    <row r="2004" spans="1:11" x14ac:dyDescent="0.2">
      <c r="A2004" s="4" t="s">
        <v>4157</v>
      </c>
      <c r="B2004" s="4" t="s">
        <v>4158</v>
      </c>
      <c r="C2004" s="4" t="s">
        <v>13</v>
      </c>
      <c r="D2004" s="4" t="s">
        <v>4064</v>
      </c>
      <c r="E2004" s="4" t="s">
        <v>4065</v>
      </c>
      <c r="F2004" s="4" t="s">
        <v>111</v>
      </c>
      <c r="G2004" s="1">
        <v>0.16700000000000001</v>
      </c>
      <c r="H2004" s="4" t="s">
        <v>229</v>
      </c>
      <c r="I2004" s="4" t="s">
        <v>3833</v>
      </c>
      <c r="J2004" s="4" t="s">
        <v>4066</v>
      </c>
      <c r="K2004" s="4" t="s">
        <v>3981</v>
      </c>
    </row>
    <row r="2005" spans="1:11" x14ac:dyDescent="0.2">
      <c r="A2005" s="4" t="s">
        <v>4159</v>
      </c>
      <c r="B2005" s="4" t="s">
        <v>4160</v>
      </c>
      <c r="C2005" s="4" t="s">
        <v>13</v>
      </c>
      <c r="D2005" s="4" t="s">
        <v>4064</v>
      </c>
      <c r="E2005" s="4" t="s">
        <v>4065</v>
      </c>
      <c r="F2005" s="4" t="s">
        <v>111</v>
      </c>
      <c r="G2005" s="1">
        <v>0.16700000000000001</v>
      </c>
      <c r="H2005" s="4" t="s">
        <v>229</v>
      </c>
      <c r="I2005" s="4" t="s">
        <v>3833</v>
      </c>
      <c r="J2005" s="4" t="s">
        <v>4066</v>
      </c>
      <c r="K2005" s="4" t="s">
        <v>3981</v>
      </c>
    </row>
    <row r="2006" spans="1:11" x14ac:dyDescent="0.2">
      <c r="A2006" s="4" t="s">
        <v>4161</v>
      </c>
      <c r="B2006" s="4" t="s">
        <v>4162</v>
      </c>
      <c r="C2006" s="4" t="s">
        <v>13</v>
      </c>
      <c r="D2006" s="4" t="s">
        <v>4064</v>
      </c>
      <c r="E2006" s="4" t="s">
        <v>4065</v>
      </c>
      <c r="F2006" s="4" t="s">
        <v>111</v>
      </c>
      <c r="G2006" s="1">
        <v>0.16700000000000001</v>
      </c>
      <c r="H2006" s="4" t="s">
        <v>229</v>
      </c>
      <c r="I2006" s="4" t="s">
        <v>3833</v>
      </c>
      <c r="J2006" s="4" t="s">
        <v>4066</v>
      </c>
      <c r="K2006" s="4" t="s">
        <v>3981</v>
      </c>
    </row>
    <row r="2007" spans="1:11" x14ac:dyDescent="0.2">
      <c r="A2007" s="4" t="s">
        <v>4163</v>
      </c>
      <c r="B2007" s="4" t="s">
        <v>4164</v>
      </c>
      <c r="C2007" s="4" t="s">
        <v>13</v>
      </c>
      <c r="D2007" s="4" t="s">
        <v>4165</v>
      </c>
      <c r="E2007" s="4" t="s">
        <v>4166</v>
      </c>
      <c r="F2007" s="4" t="s">
        <v>807</v>
      </c>
      <c r="G2007" s="1">
        <v>0.125</v>
      </c>
      <c r="H2007" s="4" t="s">
        <v>862</v>
      </c>
      <c r="I2007" s="4" t="s">
        <v>3833</v>
      </c>
      <c r="J2007" s="4" t="s">
        <v>3834</v>
      </c>
      <c r="K2007" s="4" t="s">
        <v>24</v>
      </c>
    </row>
    <row r="2008" spans="1:11" x14ac:dyDescent="0.2">
      <c r="A2008" s="4" t="s">
        <v>4167</v>
      </c>
      <c r="B2008" s="4" t="s">
        <v>4168</v>
      </c>
      <c r="C2008" s="4" t="s">
        <v>13</v>
      </c>
      <c r="D2008" s="4" t="s">
        <v>4165</v>
      </c>
      <c r="E2008" s="4" t="s">
        <v>4166</v>
      </c>
      <c r="F2008" s="4" t="s">
        <v>807</v>
      </c>
      <c r="G2008" s="1">
        <v>0.05</v>
      </c>
      <c r="H2008" s="4" t="s">
        <v>870</v>
      </c>
      <c r="I2008" s="4" t="s">
        <v>3833</v>
      </c>
      <c r="J2008" s="4" t="s">
        <v>3834</v>
      </c>
      <c r="K2008" s="4" t="s">
        <v>24</v>
      </c>
    </row>
    <row r="2009" spans="1:11" x14ac:dyDescent="0.2">
      <c r="A2009" s="4" t="s">
        <v>4169</v>
      </c>
      <c r="B2009" s="4" t="s">
        <v>4170</v>
      </c>
      <c r="C2009" s="4" t="s">
        <v>13</v>
      </c>
      <c r="D2009" s="4" t="s">
        <v>4165</v>
      </c>
      <c r="E2009" s="4" t="s">
        <v>4166</v>
      </c>
      <c r="F2009" s="4" t="s">
        <v>807</v>
      </c>
      <c r="G2009" s="1">
        <v>2.5000000000000001E-2</v>
      </c>
      <c r="H2009" s="4" t="s">
        <v>921</v>
      </c>
      <c r="I2009" s="4" t="s">
        <v>3833</v>
      </c>
      <c r="J2009" s="4" t="s">
        <v>3834</v>
      </c>
      <c r="K2009" s="4" t="s">
        <v>24</v>
      </c>
    </row>
    <row r="2010" spans="1:11" x14ac:dyDescent="0.2">
      <c r="A2010" s="4" t="s">
        <v>4171</v>
      </c>
      <c r="B2010" s="4" t="s">
        <v>4172</v>
      </c>
      <c r="C2010" s="4" t="s">
        <v>13</v>
      </c>
      <c r="D2010" s="4" t="s">
        <v>4165</v>
      </c>
      <c r="E2010" s="4" t="s">
        <v>4166</v>
      </c>
      <c r="F2010" s="4" t="s">
        <v>807</v>
      </c>
      <c r="G2010" s="1">
        <v>0.15</v>
      </c>
      <c r="H2010" s="4" t="s">
        <v>852</v>
      </c>
      <c r="I2010" s="4" t="s">
        <v>3833</v>
      </c>
      <c r="J2010" s="4" t="s">
        <v>3834</v>
      </c>
      <c r="K2010" s="4" t="s">
        <v>24</v>
      </c>
    </row>
    <row r="2011" spans="1:11" x14ac:dyDescent="0.2">
      <c r="A2011" s="4" t="s">
        <v>4173</v>
      </c>
      <c r="B2011" s="4" t="s">
        <v>4174</v>
      </c>
      <c r="C2011" s="4" t="s">
        <v>13</v>
      </c>
      <c r="D2011" s="4" t="s">
        <v>4165</v>
      </c>
      <c r="E2011" s="4" t="s">
        <v>4166</v>
      </c>
      <c r="F2011" s="4" t="s">
        <v>807</v>
      </c>
      <c r="G2011" s="1">
        <v>0</v>
      </c>
      <c r="H2011" s="4" t="s">
        <v>918</v>
      </c>
      <c r="I2011" s="4" t="s">
        <v>3833</v>
      </c>
      <c r="J2011" s="4" t="s">
        <v>3834</v>
      </c>
      <c r="K2011" s="4" t="s">
        <v>24</v>
      </c>
    </row>
    <row r="2012" spans="1:11" x14ac:dyDescent="0.2">
      <c r="A2012" s="4" t="s">
        <v>4175</v>
      </c>
      <c r="B2012" s="4" t="s">
        <v>4176</v>
      </c>
      <c r="C2012" s="4" t="s">
        <v>13</v>
      </c>
      <c r="D2012" s="4" t="s">
        <v>4165</v>
      </c>
      <c r="E2012" s="4" t="s">
        <v>4166</v>
      </c>
      <c r="F2012" s="4" t="s">
        <v>807</v>
      </c>
      <c r="G2012" s="1">
        <v>7.4999999999999997E-2</v>
      </c>
      <c r="H2012" s="4" t="s">
        <v>881</v>
      </c>
      <c r="I2012" s="4" t="s">
        <v>3833</v>
      </c>
      <c r="J2012" s="4" t="s">
        <v>3834</v>
      </c>
      <c r="K2012" s="4" t="s">
        <v>24</v>
      </c>
    </row>
    <row r="2013" spans="1:11" x14ac:dyDescent="0.2">
      <c r="A2013" s="4" t="s">
        <v>4177</v>
      </c>
      <c r="B2013" s="4" t="s">
        <v>4178</v>
      </c>
      <c r="C2013" s="4" t="s">
        <v>13</v>
      </c>
      <c r="D2013" s="4" t="s">
        <v>4165</v>
      </c>
      <c r="E2013" s="4" t="s">
        <v>4166</v>
      </c>
      <c r="F2013" s="4" t="s">
        <v>807</v>
      </c>
      <c r="G2013" s="1">
        <v>0.15</v>
      </c>
      <c r="H2013" s="4" t="s">
        <v>852</v>
      </c>
      <c r="I2013" s="4" t="s">
        <v>3833</v>
      </c>
      <c r="J2013" s="4" t="s">
        <v>3834</v>
      </c>
      <c r="K2013" s="4" t="s">
        <v>24</v>
      </c>
    </row>
    <row r="2014" spans="1:11" x14ac:dyDescent="0.2">
      <c r="A2014" s="4" t="s">
        <v>4179</v>
      </c>
      <c r="B2014" s="4" t="s">
        <v>4180</v>
      </c>
      <c r="C2014" s="4" t="s">
        <v>13</v>
      </c>
      <c r="D2014" s="4" t="s">
        <v>4165</v>
      </c>
      <c r="E2014" s="4" t="s">
        <v>4166</v>
      </c>
      <c r="F2014" s="4" t="s">
        <v>807</v>
      </c>
      <c r="G2014" s="1">
        <v>0.125</v>
      </c>
      <c r="H2014" s="4" t="s">
        <v>862</v>
      </c>
      <c r="I2014" s="4" t="s">
        <v>3833</v>
      </c>
      <c r="J2014" s="4" t="s">
        <v>3834</v>
      </c>
      <c r="K2014" s="4" t="s">
        <v>24</v>
      </c>
    </row>
    <row r="2015" spans="1:11" x14ac:dyDescent="0.2">
      <c r="A2015" s="4" t="s">
        <v>4181</v>
      </c>
      <c r="B2015" s="4" t="s">
        <v>4182</v>
      </c>
      <c r="C2015" s="4" t="s">
        <v>13</v>
      </c>
      <c r="D2015" s="4" t="s">
        <v>4165</v>
      </c>
      <c r="E2015" s="4" t="s">
        <v>4166</v>
      </c>
      <c r="F2015" s="4" t="s">
        <v>807</v>
      </c>
      <c r="G2015" s="1">
        <v>0.15</v>
      </c>
      <c r="H2015" s="4" t="s">
        <v>852</v>
      </c>
      <c r="I2015" s="4" t="s">
        <v>3833</v>
      </c>
      <c r="J2015" s="4" t="s">
        <v>3834</v>
      </c>
      <c r="K2015" s="4" t="s">
        <v>24</v>
      </c>
    </row>
    <row r="2016" spans="1:11" x14ac:dyDescent="0.2">
      <c r="A2016" s="4" t="s">
        <v>4183</v>
      </c>
      <c r="B2016" s="4" t="s">
        <v>4184</v>
      </c>
      <c r="C2016" s="4" t="s">
        <v>13</v>
      </c>
      <c r="D2016" s="4" t="s">
        <v>4165</v>
      </c>
      <c r="E2016" s="4" t="s">
        <v>4166</v>
      </c>
      <c r="F2016" s="4" t="s">
        <v>807</v>
      </c>
      <c r="G2016" s="1">
        <v>0</v>
      </c>
      <c r="H2016" s="4" t="s">
        <v>918</v>
      </c>
      <c r="I2016" s="4" t="s">
        <v>3833</v>
      </c>
      <c r="J2016" s="4" t="s">
        <v>3834</v>
      </c>
      <c r="K2016" s="4" t="s">
        <v>24</v>
      </c>
    </row>
    <row r="2017" spans="1:11" x14ac:dyDescent="0.2">
      <c r="A2017" s="4" t="s">
        <v>4185</v>
      </c>
      <c r="B2017" s="4" t="s">
        <v>4186</v>
      </c>
      <c r="C2017" s="4" t="s">
        <v>13</v>
      </c>
      <c r="D2017" s="4" t="s">
        <v>4165</v>
      </c>
      <c r="E2017" s="4" t="s">
        <v>4166</v>
      </c>
      <c r="F2017" s="4" t="s">
        <v>807</v>
      </c>
      <c r="G2017" s="1">
        <v>0.1</v>
      </c>
      <c r="H2017" s="4" t="s">
        <v>867</v>
      </c>
      <c r="I2017" s="4" t="s">
        <v>3833</v>
      </c>
      <c r="J2017" s="4" t="s">
        <v>3834</v>
      </c>
      <c r="K2017" s="4" t="s">
        <v>24</v>
      </c>
    </row>
    <row r="2018" spans="1:11" x14ac:dyDescent="0.2">
      <c r="A2018" s="4" t="s">
        <v>4187</v>
      </c>
      <c r="B2018" s="4" t="s">
        <v>4188</v>
      </c>
      <c r="C2018" s="4" t="s">
        <v>13</v>
      </c>
      <c r="D2018" s="4" t="s">
        <v>4165</v>
      </c>
      <c r="E2018" s="4" t="s">
        <v>4166</v>
      </c>
      <c r="F2018" s="4" t="s">
        <v>807</v>
      </c>
      <c r="G2018" s="1">
        <v>0.05</v>
      </c>
      <c r="H2018" s="4" t="s">
        <v>870</v>
      </c>
      <c r="I2018" s="4" t="s">
        <v>3833</v>
      </c>
      <c r="J2018" s="4" t="s">
        <v>3834</v>
      </c>
      <c r="K2018" s="4" t="s">
        <v>24</v>
      </c>
    </row>
    <row r="2019" spans="1:11" x14ac:dyDescent="0.2">
      <c r="A2019" s="4" t="s">
        <v>4189</v>
      </c>
      <c r="B2019" s="4" t="s">
        <v>4190</v>
      </c>
      <c r="C2019" s="4" t="s">
        <v>13</v>
      </c>
      <c r="D2019" s="4" t="s">
        <v>4165</v>
      </c>
      <c r="E2019" s="4" t="s">
        <v>4166</v>
      </c>
      <c r="F2019" s="4" t="s">
        <v>807</v>
      </c>
      <c r="G2019" s="1">
        <v>0</v>
      </c>
      <c r="H2019" s="4" t="s">
        <v>918</v>
      </c>
      <c r="I2019" s="4" t="s">
        <v>3833</v>
      </c>
      <c r="J2019" s="4" t="s">
        <v>3834</v>
      </c>
      <c r="K2019" s="4" t="s">
        <v>24</v>
      </c>
    </row>
    <row r="2020" spans="1:11" x14ac:dyDescent="0.2">
      <c r="A2020" s="4" t="s">
        <v>4191</v>
      </c>
      <c r="B2020" s="4" t="s">
        <v>4192</v>
      </c>
      <c r="C2020" s="4" t="s">
        <v>13</v>
      </c>
      <c r="D2020" s="4" t="s">
        <v>4165</v>
      </c>
      <c r="E2020" s="4" t="s">
        <v>4166</v>
      </c>
      <c r="F2020" s="4" t="s">
        <v>807</v>
      </c>
      <c r="G2020" s="1">
        <v>0.125</v>
      </c>
      <c r="H2020" s="4" t="s">
        <v>862</v>
      </c>
      <c r="I2020" s="4" t="s">
        <v>3833</v>
      </c>
      <c r="J2020" s="4" t="s">
        <v>3834</v>
      </c>
      <c r="K2020" s="4" t="s">
        <v>24</v>
      </c>
    </row>
    <row r="2021" spans="1:11" x14ac:dyDescent="0.2">
      <c r="A2021" s="4" t="s">
        <v>4193</v>
      </c>
      <c r="B2021" s="4" t="s">
        <v>4194</v>
      </c>
      <c r="C2021" s="4" t="s">
        <v>13</v>
      </c>
      <c r="D2021" s="4" t="s">
        <v>4165</v>
      </c>
      <c r="E2021" s="4" t="s">
        <v>4166</v>
      </c>
      <c r="F2021" s="4" t="s">
        <v>807</v>
      </c>
      <c r="G2021" s="1">
        <v>0.15</v>
      </c>
      <c r="H2021" s="4" t="s">
        <v>852</v>
      </c>
      <c r="I2021" s="4" t="s">
        <v>3833</v>
      </c>
      <c r="J2021" s="4" t="s">
        <v>3834</v>
      </c>
      <c r="K2021" s="4" t="s">
        <v>24</v>
      </c>
    </row>
    <row r="2022" spans="1:11" x14ac:dyDescent="0.2">
      <c r="A2022" s="4" t="s">
        <v>4195</v>
      </c>
      <c r="B2022" s="4" t="s">
        <v>4196</v>
      </c>
      <c r="C2022" s="4" t="s">
        <v>13</v>
      </c>
      <c r="D2022" s="4" t="s">
        <v>4165</v>
      </c>
      <c r="E2022" s="4" t="s">
        <v>4166</v>
      </c>
      <c r="F2022" s="4" t="s">
        <v>807</v>
      </c>
      <c r="G2022" s="1">
        <v>0.15</v>
      </c>
      <c r="H2022" s="4" t="s">
        <v>852</v>
      </c>
      <c r="I2022" s="4" t="s">
        <v>3833</v>
      </c>
      <c r="J2022" s="4" t="s">
        <v>3834</v>
      </c>
      <c r="K2022" s="4" t="s">
        <v>24</v>
      </c>
    </row>
    <row r="2023" spans="1:11" x14ac:dyDescent="0.2">
      <c r="A2023" s="4" t="s">
        <v>4197</v>
      </c>
      <c r="B2023" s="4" t="s">
        <v>4198</v>
      </c>
      <c r="C2023" s="4" t="s">
        <v>13</v>
      </c>
      <c r="D2023" s="4" t="s">
        <v>4165</v>
      </c>
      <c r="E2023" s="4" t="s">
        <v>4166</v>
      </c>
      <c r="F2023" s="4" t="s">
        <v>807</v>
      </c>
      <c r="G2023" s="1">
        <v>0.125</v>
      </c>
      <c r="H2023" s="4" t="s">
        <v>862</v>
      </c>
      <c r="I2023" s="4" t="s">
        <v>3833</v>
      </c>
      <c r="J2023" s="4" t="s">
        <v>3834</v>
      </c>
      <c r="K2023" s="4" t="s">
        <v>24</v>
      </c>
    </row>
    <row r="2024" spans="1:11" x14ac:dyDescent="0.2">
      <c r="A2024" s="4" t="s">
        <v>4199</v>
      </c>
      <c r="B2024" s="4" t="s">
        <v>4200</v>
      </c>
      <c r="C2024" s="4" t="s">
        <v>13</v>
      </c>
      <c r="D2024" s="4" t="s">
        <v>4165</v>
      </c>
      <c r="E2024" s="4" t="s">
        <v>4166</v>
      </c>
      <c r="F2024" s="4" t="s">
        <v>807</v>
      </c>
      <c r="G2024" s="1">
        <v>0.15</v>
      </c>
      <c r="H2024" s="4" t="s">
        <v>852</v>
      </c>
      <c r="I2024" s="4" t="s">
        <v>3833</v>
      </c>
      <c r="J2024" s="4" t="s">
        <v>3834</v>
      </c>
      <c r="K2024" s="4" t="s">
        <v>24</v>
      </c>
    </row>
    <row r="2025" spans="1:11" x14ac:dyDescent="0.2">
      <c r="A2025" s="4" t="s">
        <v>4201</v>
      </c>
      <c r="B2025" s="4" t="s">
        <v>4202</v>
      </c>
      <c r="C2025" s="4" t="s">
        <v>13</v>
      </c>
      <c r="D2025" s="4" t="s">
        <v>4165</v>
      </c>
      <c r="E2025" s="4" t="s">
        <v>4166</v>
      </c>
      <c r="F2025" s="4" t="s">
        <v>807</v>
      </c>
      <c r="G2025" s="1">
        <v>0.15</v>
      </c>
      <c r="H2025" s="4" t="s">
        <v>852</v>
      </c>
      <c r="I2025" s="4" t="s">
        <v>3833</v>
      </c>
      <c r="J2025" s="4" t="s">
        <v>3834</v>
      </c>
      <c r="K2025" s="4" t="s">
        <v>24</v>
      </c>
    </row>
    <row r="2026" spans="1:11" x14ac:dyDescent="0.2">
      <c r="A2026" s="4" t="s">
        <v>4203</v>
      </c>
      <c r="B2026" s="4" t="s">
        <v>4204</v>
      </c>
      <c r="C2026" s="4" t="s">
        <v>13</v>
      </c>
      <c r="D2026" s="4" t="s">
        <v>4165</v>
      </c>
      <c r="E2026" s="4" t="s">
        <v>4166</v>
      </c>
      <c r="F2026" s="4" t="s">
        <v>807</v>
      </c>
      <c r="G2026" s="1">
        <v>0.15</v>
      </c>
      <c r="H2026" s="4" t="s">
        <v>852</v>
      </c>
      <c r="I2026" s="4" t="s">
        <v>3833</v>
      </c>
      <c r="J2026" s="4" t="s">
        <v>3834</v>
      </c>
      <c r="K2026" s="4" t="s">
        <v>24</v>
      </c>
    </row>
    <row r="2027" spans="1:11" x14ac:dyDescent="0.2">
      <c r="A2027" s="4" t="s">
        <v>4205</v>
      </c>
      <c r="B2027" s="4" t="s">
        <v>4206</v>
      </c>
      <c r="C2027" s="4" t="s">
        <v>13</v>
      </c>
      <c r="D2027" s="4" t="s">
        <v>4165</v>
      </c>
      <c r="E2027" s="4" t="s">
        <v>4166</v>
      </c>
      <c r="F2027" s="4" t="s">
        <v>807</v>
      </c>
      <c r="G2027" s="1">
        <v>0.15</v>
      </c>
      <c r="H2027" s="4" t="s">
        <v>852</v>
      </c>
      <c r="I2027" s="4" t="s">
        <v>3833</v>
      </c>
      <c r="J2027" s="4" t="s">
        <v>3834</v>
      </c>
      <c r="K2027" s="4" t="s">
        <v>3928</v>
      </c>
    </row>
    <row r="2028" spans="1:11" x14ac:dyDescent="0.2">
      <c r="A2028" s="4" t="s">
        <v>4207</v>
      </c>
      <c r="B2028" s="4" t="s">
        <v>4208</v>
      </c>
      <c r="C2028" s="4" t="s">
        <v>13</v>
      </c>
      <c r="D2028" s="4" t="s">
        <v>4165</v>
      </c>
      <c r="E2028" s="4" t="s">
        <v>4166</v>
      </c>
      <c r="F2028" s="4" t="s">
        <v>807</v>
      </c>
      <c r="G2028" s="1">
        <v>0.15</v>
      </c>
      <c r="H2028" s="4" t="s">
        <v>852</v>
      </c>
      <c r="I2028" s="4" t="s">
        <v>3833</v>
      </c>
      <c r="J2028" s="4" t="s">
        <v>3834</v>
      </c>
      <c r="K2028" s="4" t="s">
        <v>3928</v>
      </c>
    </row>
    <row r="2029" spans="1:11" x14ac:dyDescent="0.2">
      <c r="A2029" s="4" t="s">
        <v>4209</v>
      </c>
      <c r="B2029" s="4" t="s">
        <v>4210</v>
      </c>
      <c r="C2029" s="4" t="s">
        <v>49</v>
      </c>
      <c r="D2029" s="4" t="s">
        <v>4165</v>
      </c>
      <c r="E2029" s="4" t="s">
        <v>4166</v>
      </c>
      <c r="F2029" s="4" t="s">
        <v>807</v>
      </c>
      <c r="G2029" s="1">
        <v>0</v>
      </c>
      <c r="H2029" s="4" t="s">
        <v>918</v>
      </c>
      <c r="I2029" s="4" t="s">
        <v>3833</v>
      </c>
      <c r="J2029" s="4" t="s">
        <v>3834</v>
      </c>
      <c r="K2029" s="4" t="s">
        <v>24</v>
      </c>
    </row>
    <row r="2030" spans="1:11" x14ac:dyDescent="0.2">
      <c r="A2030" s="4" t="s">
        <v>4211</v>
      </c>
      <c r="B2030" s="4" t="s">
        <v>4212</v>
      </c>
      <c r="C2030" s="4" t="s">
        <v>13</v>
      </c>
      <c r="D2030" s="4" t="s">
        <v>4165</v>
      </c>
      <c r="E2030" s="4" t="s">
        <v>4166</v>
      </c>
      <c r="F2030" s="4" t="s">
        <v>807</v>
      </c>
      <c r="G2030" s="1">
        <v>0</v>
      </c>
      <c r="H2030" s="4" t="s">
        <v>918</v>
      </c>
      <c r="I2030" s="4" t="s">
        <v>3833</v>
      </c>
      <c r="J2030" s="4" t="s">
        <v>3834</v>
      </c>
      <c r="K2030" s="4" t="s">
        <v>24</v>
      </c>
    </row>
    <row r="2031" spans="1:11" x14ac:dyDescent="0.2">
      <c r="A2031" s="4" t="s">
        <v>4213</v>
      </c>
      <c r="B2031" s="4" t="s">
        <v>4214</v>
      </c>
      <c r="C2031" s="4" t="s">
        <v>13</v>
      </c>
      <c r="D2031" s="4" t="s">
        <v>4165</v>
      </c>
      <c r="E2031" s="4" t="s">
        <v>4166</v>
      </c>
      <c r="F2031" s="4" t="s">
        <v>807</v>
      </c>
      <c r="G2031" s="1">
        <v>0.125</v>
      </c>
      <c r="H2031" s="4" t="s">
        <v>862</v>
      </c>
      <c r="I2031" s="4" t="s">
        <v>3833</v>
      </c>
      <c r="J2031" s="4" t="s">
        <v>3834</v>
      </c>
      <c r="K2031" s="4" t="s">
        <v>24</v>
      </c>
    </row>
    <row r="2032" spans="1:11" x14ac:dyDescent="0.2">
      <c r="A2032" s="4" t="s">
        <v>4215</v>
      </c>
      <c r="B2032" s="4" t="s">
        <v>4216</v>
      </c>
      <c r="C2032" s="4" t="s">
        <v>13</v>
      </c>
      <c r="D2032" s="4" t="s">
        <v>4165</v>
      </c>
      <c r="E2032" s="4" t="s">
        <v>4166</v>
      </c>
      <c r="F2032" s="4" t="s">
        <v>807</v>
      </c>
      <c r="G2032" s="1">
        <v>0.15</v>
      </c>
      <c r="H2032" s="4" t="s">
        <v>852</v>
      </c>
      <c r="I2032" s="4" t="s">
        <v>3833</v>
      </c>
      <c r="J2032" s="4" t="s">
        <v>3834</v>
      </c>
      <c r="K2032" s="4" t="s">
        <v>3928</v>
      </c>
    </row>
    <row r="2033" spans="1:11" x14ac:dyDescent="0.2">
      <c r="A2033" s="4" t="s">
        <v>4217</v>
      </c>
      <c r="B2033" s="4" t="s">
        <v>4218</v>
      </c>
      <c r="C2033" s="4" t="s">
        <v>13</v>
      </c>
      <c r="D2033" s="4" t="s">
        <v>4165</v>
      </c>
      <c r="E2033" s="4" t="s">
        <v>4166</v>
      </c>
      <c r="F2033" s="4" t="s">
        <v>807</v>
      </c>
      <c r="G2033" s="1">
        <v>7.0999999999999994E-2</v>
      </c>
      <c r="H2033" s="4" t="s">
        <v>2356</v>
      </c>
      <c r="I2033" s="4" t="s">
        <v>3833</v>
      </c>
      <c r="J2033" s="4" t="s">
        <v>3834</v>
      </c>
      <c r="K2033" s="4" t="s">
        <v>3842</v>
      </c>
    </row>
    <row r="2034" spans="1:11" x14ac:dyDescent="0.2">
      <c r="A2034" s="4" t="s">
        <v>4219</v>
      </c>
      <c r="B2034" s="4" t="s">
        <v>4220</v>
      </c>
      <c r="C2034" s="4" t="s">
        <v>13</v>
      </c>
      <c r="D2034" s="4" t="s">
        <v>4165</v>
      </c>
      <c r="E2034" s="4" t="s">
        <v>4166</v>
      </c>
      <c r="F2034" s="4" t="s">
        <v>807</v>
      </c>
      <c r="G2034" s="1">
        <v>0</v>
      </c>
      <c r="H2034" s="4" t="s">
        <v>918</v>
      </c>
      <c r="I2034" s="4" t="s">
        <v>3833</v>
      </c>
      <c r="J2034" s="4" t="s">
        <v>3834</v>
      </c>
      <c r="K2034" s="4" t="s">
        <v>24</v>
      </c>
    </row>
    <row r="2035" spans="1:11" x14ac:dyDescent="0.2">
      <c r="A2035" s="4" t="s">
        <v>4221</v>
      </c>
      <c r="B2035" s="4" t="s">
        <v>4222</v>
      </c>
      <c r="C2035" s="4" t="s">
        <v>13</v>
      </c>
      <c r="D2035" s="4" t="s">
        <v>4165</v>
      </c>
      <c r="E2035" s="4" t="s">
        <v>4166</v>
      </c>
      <c r="F2035" s="4" t="s">
        <v>807</v>
      </c>
      <c r="G2035" s="1">
        <v>0.15</v>
      </c>
      <c r="H2035" s="4" t="s">
        <v>852</v>
      </c>
      <c r="I2035" s="4" t="s">
        <v>3833</v>
      </c>
      <c r="J2035" s="4" t="s">
        <v>3834</v>
      </c>
      <c r="K2035" s="4" t="s">
        <v>24</v>
      </c>
    </row>
    <row r="2036" spans="1:11" x14ac:dyDescent="0.2">
      <c r="A2036" s="4" t="s">
        <v>4223</v>
      </c>
      <c r="B2036" s="4" t="s">
        <v>4224</v>
      </c>
      <c r="C2036" s="4" t="s">
        <v>13</v>
      </c>
      <c r="D2036" s="4" t="s">
        <v>4165</v>
      </c>
      <c r="E2036" s="4" t="s">
        <v>4166</v>
      </c>
      <c r="F2036" s="4" t="s">
        <v>807</v>
      </c>
      <c r="G2036" s="1">
        <v>0</v>
      </c>
      <c r="H2036" s="4" t="s">
        <v>918</v>
      </c>
      <c r="I2036" s="4" t="s">
        <v>3833</v>
      </c>
      <c r="J2036" s="4" t="s">
        <v>3834</v>
      </c>
      <c r="K2036" s="4" t="s">
        <v>24</v>
      </c>
    </row>
    <row r="2037" spans="1:11" x14ac:dyDescent="0.2">
      <c r="A2037" s="4" t="s">
        <v>4225</v>
      </c>
      <c r="B2037" s="4" t="s">
        <v>4226</v>
      </c>
      <c r="C2037" s="4" t="s">
        <v>13</v>
      </c>
      <c r="D2037" s="4" t="s">
        <v>4165</v>
      </c>
      <c r="E2037" s="4" t="s">
        <v>4166</v>
      </c>
      <c r="F2037" s="4" t="s">
        <v>807</v>
      </c>
      <c r="G2037" s="1">
        <v>0.15</v>
      </c>
      <c r="H2037" s="4" t="s">
        <v>852</v>
      </c>
      <c r="I2037" s="4" t="s">
        <v>3833</v>
      </c>
      <c r="J2037" s="4" t="s">
        <v>3834</v>
      </c>
      <c r="K2037" s="4" t="s">
        <v>24</v>
      </c>
    </row>
    <row r="2038" spans="1:11" x14ac:dyDescent="0.2">
      <c r="A2038" s="4" t="s">
        <v>4227</v>
      </c>
      <c r="B2038" s="4" t="s">
        <v>4228</v>
      </c>
      <c r="C2038" s="4" t="s">
        <v>13</v>
      </c>
      <c r="D2038" s="4" t="s">
        <v>4165</v>
      </c>
      <c r="E2038" s="4" t="s">
        <v>4166</v>
      </c>
      <c r="F2038" s="4" t="s">
        <v>807</v>
      </c>
      <c r="G2038" s="1">
        <v>0.15</v>
      </c>
      <c r="H2038" s="4" t="s">
        <v>852</v>
      </c>
      <c r="I2038" s="4" t="s">
        <v>3833</v>
      </c>
      <c r="J2038" s="4" t="s">
        <v>3834</v>
      </c>
      <c r="K2038" s="4" t="s">
        <v>24</v>
      </c>
    </row>
    <row r="2039" spans="1:11" x14ac:dyDescent="0.2">
      <c r="A2039" s="4" t="s">
        <v>4229</v>
      </c>
      <c r="B2039" s="4" t="s">
        <v>4230</v>
      </c>
      <c r="C2039" s="4" t="s">
        <v>13</v>
      </c>
      <c r="D2039" s="4" t="s">
        <v>4165</v>
      </c>
      <c r="E2039" s="4" t="s">
        <v>4166</v>
      </c>
      <c r="F2039" s="4" t="s">
        <v>807</v>
      </c>
      <c r="G2039" s="1">
        <v>0</v>
      </c>
      <c r="H2039" s="4" t="s">
        <v>918</v>
      </c>
      <c r="I2039" s="4" t="s">
        <v>3833</v>
      </c>
      <c r="J2039" s="4" t="s">
        <v>3834</v>
      </c>
      <c r="K2039" s="4" t="s">
        <v>24</v>
      </c>
    </row>
    <row r="2040" spans="1:11" x14ac:dyDescent="0.2">
      <c r="A2040" s="4" t="s">
        <v>4231</v>
      </c>
      <c r="B2040" s="4" t="s">
        <v>4232</v>
      </c>
      <c r="C2040" s="4" t="s">
        <v>13</v>
      </c>
      <c r="D2040" s="4" t="s">
        <v>4165</v>
      </c>
      <c r="E2040" s="4" t="s">
        <v>4166</v>
      </c>
      <c r="F2040" s="4" t="s">
        <v>807</v>
      </c>
      <c r="G2040" s="1">
        <v>0.125</v>
      </c>
      <c r="H2040" s="4" t="s">
        <v>862</v>
      </c>
      <c r="I2040" s="4" t="s">
        <v>3833</v>
      </c>
      <c r="J2040" s="4" t="s">
        <v>3834</v>
      </c>
      <c r="K2040" s="4" t="s">
        <v>24</v>
      </c>
    </row>
    <row r="2041" spans="1:11" x14ac:dyDescent="0.2">
      <c r="A2041" s="4" t="s">
        <v>4233</v>
      </c>
      <c r="B2041" s="4" t="s">
        <v>4234</v>
      </c>
      <c r="C2041" s="4" t="s">
        <v>13</v>
      </c>
      <c r="D2041" s="4" t="s">
        <v>4165</v>
      </c>
      <c r="E2041" s="4" t="s">
        <v>4166</v>
      </c>
      <c r="F2041" s="4" t="s">
        <v>807</v>
      </c>
      <c r="G2041" s="1">
        <v>0.1</v>
      </c>
      <c r="H2041" s="4" t="s">
        <v>867</v>
      </c>
      <c r="I2041" s="4" t="s">
        <v>3833</v>
      </c>
      <c r="J2041" s="4" t="s">
        <v>3834</v>
      </c>
      <c r="K2041" s="4" t="s">
        <v>24</v>
      </c>
    </row>
    <row r="2042" spans="1:11" x14ac:dyDescent="0.2">
      <c r="A2042" s="4" t="s">
        <v>4235</v>
      </c>
      <c r="B2042" s="4" t="s">
        <v>4236</v>
      </c>
      <c r="C2042" s="4" t="s">
        <v>13</v>
      </c>
      <c r="D2042" s="4" t="s">
        <v>4165</v>
      </c>
      <c r="E2042" s="4" t="s">
        <v>4166</v>
      </c>
      <c r="F2042" s="4" t="s">
        <v>807</v>
      </c>
      <c r="G2042" s="1">
        <v>0.15</v>
      </c>
      <c r="H2042" s="4" t="s">
        <v>852</v>
      </c>
      <c r="I2042" s="4" t="s">
        <v>3833</v>
      </c>
      <c r="J2042" s="4" t="s">
        <v>3834</v>
      </c>
      <c r="K2042" s="4" t="s">
        <v>24</v>
      </c>
    </row>
    <row r="2043" spans="1:11" x14ac:dyDescent="0.2">
      <c r="A2043" s="4" t="s">
        <v>4237</v>
      </c>
      <c r="B2043" s="4" t="s">
        <v>4238</v>
      </c>
      <c r="C2043" s="4" t="s">
        <v>13</v>
      </c>
      <c r="D2043" s="4" t="s">
        <v>4165</v>
      </c>
      <c r="E2043" s="4" t="s">
        <v>4166</v>
      </c>
      <c r="F2043" s="4" t="s">
        <v>807</v>
      </c>
      <c r="G2043" s="1">
        <v>0.15</v>
      </c>
      <c r="H2043" s="4" t="s">
        <v>852</v>
      </c>
      <c r="I2043" s="4" t="s">
        <v>3833</v>
      </c>
      <c r="J2043" s="4" t="s">
        <v>3834</v>
      </c>
      <c r="K2043" s="4" t="s">
        <v>24</v>
      </c>
    </row>
    <row r="2044" spans="1:11" x14ac:dyDescent="0.2">
      <c r="A2044" s="4" t="s">
        <v>4239</v>
      </c>
      <c r="B2044" s="4" t="s">
        <v>4240</v>
      </c>
      <c r="C2044" s="4" t="s">
        <v>13</v>
      </c>
      <c r="D2044" s="4" t="s">
        <v>4165</v>
      </c>
      <c r="E2044" s="4" t="s">
        <v>4166</v>
      </c>
      <c r="F2044" s="4" t="s">
        <v>807</v>
      </c>
      <c r="G2044" s="1">
        <v>0.1</v>
      </c>
      <c r="H2044" s="4" t="s">
        <v>867</v>
      </c>
      <c r="I2044" s="4" t="s">
        <v>3833</v>
      </c>
      <c r="J2044" s="4" t="s">
        <v>3834</v>
      </c>
      <c r="K2044" s="4" t="s">
        <v>24</v>
      </c>
    </row>
    <row r="2045" spans="1:11" x14ac:dyDescent="0.2">
      <c r="A2045" s="4" t="s">
        <v>4241</v>
      </c>
      <c r="B2045" s="4" t="s">
        <v>4242</v>
      </c>
      <c r="C2045" s="4" t="s">
        <v>13</v>
      </c>
      <c r="D2045" s="4" t="s">
        <v>4165</v>
      </c>
      <c r="E2045" s="4" t="s">
        <v>4166</v>
      </c>
      <c r="F2045" s="4" t="s">
        <v>807</v>
      </c>
      <c r="G2045" s="1">
        <v>0.125</v>
      </c>
      <c r="H2045" s="4" t="s">
        <v>862</v>
      </c>
      <c r="I2045" s="4" t="s">
        <v>3833</v>
      </c>
      <c r="J2045" s="4" t="s">
        <v>3834</v>
      </c>
      <c r="K2045" s="4" t="s">
        <v>24</v>
      </c>
    </row>
    <row r="2046" spans="1:11" x14ac:dyDescent="0.2">
      <c r="A2046" s="4" t="s">
        <v>4243</v>
      </c>
      <c r="B2046" s="4" t="s">
        <v>4244</v>
      </c>
      <c r="C2046" s="4" t="s">
        <v>13</v>
      </c>
      <c r="D2046" s="4" t="s">
        <v>4165</v>
      </c>
      <c r="E2046" s="4" t="s">
        <v>4166</v>
      </c>
      <c r="F2046" s="4" t="s">
        <v>807</v>
      </c>
      <c r="G2046" s="1">
        <v>0.15</v>
      </c>
      <c r="H2046" s="4" t="s">
        <v>852</v>
      </c>
      <c r="I2046" s="4" t="s">
        <v>3833</v>
      </c>
      <c r="J2046" s="4" t="s">
        <v>3834</v>
      </c>
      <c r="K2046" s="4" t="s">
        <v>3981</v>
      </c>
    </row>
    <row r="2047" spans="1:11" x14ac:dyDescent="0.2">
      <c r="A2047" s="4" t="s">
        <v>4245</v>
      </c>
      <c r="B2047" s="4" t="s">
        <v>4246</v>
      </c>
      <c r="C2047" s="4" t="s">
        <v>13</v>
      </c>
      <c r="D2047" s="4" t="s">
        <v>4165</v>
      </c>
      <c r="E2047" s="4" t="s">
        <v>4166</v>
      </c>
      <c r="F2047" s="4" t="s">
        <v>807</v>
      </c>
      <c r="G2047" s="1">
        <v>0.1</v>
      </c>
      <c r="H2047" s="4" t="s">
        <v>867</v>
      </c>
      <c r="I2047" s="4" t="s">
        <v>3833</v>
      </c>
      <c r="J2047" s="4" t="s">
        <v>3834</v>
      </c>
      <c r="K2047" s="4" t="s">
        <v>3981</v>
      </c>
    </row>
    <row r="2048" spans="1:11" x14ac:dyDescent="0.2">
      <c r="A2048" s="4" t="s">
        <v>1439</v>
      </c>
      <c r="B2048" s="4" t="s">
        <v>1440</v>
      </c>
      <c r="C2048" s="4" t="s">
        <v>13</v>
      </c>
      <c r="D2048" s="4" t="s">
        <v>4165</v>
      </c>
      <c r="E2048" s="4" t="s">
        <v>4166</v>
      </c>
      <c r="F2048" s="4" t="s">
        <v>807</v>
      </c>
      <c r="G2048" s="1">
        <v>2.9000000000000001E-2</v>
      </c>
      <c r="H2048" s="4" t="s">
        <v>952</v>
      </c>
      <c r="I2048" s="4" t="s">
        <v>3833</v>
      </c>
      <c r="J2048" s="4" t="s">
        <v>3834</v>
      </c>
      <c r="K2048" s="4" t="s">
        <v>3838</v>
      </c>
    </row>
    <row r="2049" spans="1:11" x14ac:dyDescent="0.2">
      <c r="A2049" s="4" t="s">
        <v>3081</v>
      </c>
      <c r="B2049" s="4" t="s">
        <v>3082</v>
      </c>
      <c r="C2049" s="4" t="s">
        <v>49</v>
      </c>
      <c r="D2049" s="4" t="s">
        <v>4247</v>
      </c>
      <c r="E2049" s="4" t="s">
        <v>4248</v>
      </c>
      <c r="F2049" s="4" t="s">
        <v>516</v>
      </c>
      <c r="G2049" s="1">
        <v>3.3000000000000002E-2</v>
      </c>
      <c r="H2049" s="4" t="s">
        <v>2826</v>
      </c>
      <c r="I2049" s="4" t="s">
        <v>3833</v>
      </c>
      <c r="J2049" s="4" t="s">
        <v>4249</v>
      </c>
      <c r="K2049" s="4" t="s">
        <v>24</v>
      </c>
    </row>
    <row r="2050" spans="1:11" x14ac:dyDescent="0.2">
      <c r="A2050" s="4" t="s">
        <v>4250</v>
      </c>
      <c r="B2050" s="4" t="s">
        <v>4251</v>
      </c>
      <c r="C2050" s="4" t="s">
        <v>13</v>
      </c>
      <c r="D2050" s="4" t="s">
        <v>4247</v>
      </c>
      <c r="E2050" s="4" t="s">
        <v>4248</v>
      </c>
      <c r="F2050" s="4" t="s">
        <v>516</v>
      </c>
      <c r="G2050" s="1">
        <v>6.7000000000000004E-2</v>
      </c>
      <c r="H2050" s="4" t="s">
        <v>166</v>
      </c>
      <c r="I2050" s="4" t="s">
        <v>3833</v>
      </c>
      <c r="J2050" s="4" t="s">
        <v>4249</v>
      </c>
      <c r="K2050" s="4" t="s">
        <v>24</v>
      </c>
    </row>
    <row r="2051" spans="1:11" x14ac:dyDescent="0.2">
      <c r="A2051" s="4" t="s">
        <v>4252</v>
      </c>
      <c r="B2051" s="4" t="s">
        <v>4253</v>
      </c>
      <c r="C2051" s="4" t="s">
        <v>13</v>
      </c>
      <c r="D2051" s="4" t="s">
        <v>4247</v>
      </c>
      <c r="E2051" s="4" t="s">
        <v>4248</v>
      </c>
      <c r="F2051" s="4" t="s">
        <v>516</v>
      </c>
      <c r="G2051" s="1">
        <v>6.7000000000000004E-2</v>
      </c>
      <c r="H2051" s="4" t="s">
        <v>166</v>
      </c>
      <c r="I2051" s="4" t="s">
        <v>3833</v>
      </c>
      <c r="J2051" s="4" t="s">
        <v>4249</v>
      </c>
      <c r="K2051" s="4" t="s">
        <v>24</v>
      </c>
    </row>
    <row r="2052" spans="1:11" x14ac:dyDescent="0.2">
      <c r="A2052" s="4" t="s">
        <v>4254</v>
      </c>
      <c r="B2052" s="4" t="s">
        <v>4255</v>
      </c>
      <c r="C2052" s="4" t="s">
        <v>13</v>
      </c>
      <c r="D2052" s="4" t="s">
        <v>4247</v>
      </c>
      <c r="E2052" s="4" t="s">
        <v>4248</v>
      </c>
      <c r="F2052" s="4" t="s">
        <v>516</v>
      </c>
      <c r="G2052" s="1">
        <v>6.7000000000000004E-2</v>
      </c>
      <c r="H2052" s="4" t="s">
        <v>166</v>
      </c>
      <c r="I2052" s="4" t="s">
        <v>3833</v>
      </c>
      <c r="J2052" s="4" t="s">
        <v>4249</v>
      </c>
      <c r="K2052" s="4" t="s">
        <v>24</v>
      </c>
    </row>
    <row r="2053" spans="1:11" x14ac:dyDescent="0.2">
      <c r="A2053" s="4" t="s">
        <v>4256</v>
      </c>
      <c r="B2053" s="4" t="s">
        <v>4257</v>
      </c>
      <c r="C2053" s="4" t="s">
        <v>13</v>
      </c>
      <c r="D2053" s="4" t="s">
        <v>4247</v>
      </c>
      <c r="E2053" s="4" t="s">
        <v>4248</v>
      </c>
      <c r="F2053" s="4" t="s">
        <v>516</v>
      </c>
      <c r="G2053" s="1">
        <v>6.7000000000000004E-2</v>
      </c>
      <c r="H2053" s="4" t="s">
        <v>166</v>
      </c>
      <c r="I2053" s="4" t="s">
        <v>3833</v>
      </c>
      <c r="J2053" s="4" t="s">
        <v>4249</v>
      </c>
      <c r="K2053" s="4" t="s">
        <v>24</v>
      </c>
    </row>
    <row r="2054" spans="1:11" x14ac:dyDescent="0.2">
      <c r="A2054" s="4" t="s">
        <v>4258</v>
      </c>
      <c r="B2054" s="4" t="s">
        <v>4259</v>
      </c>
      <c r="C2054" s="4" t="s">
        <v>13</v>
      </c>
      <c r="D2054" s="4" t="s">
        <v>4247</v>
      </c>
      <c r="E2054" s="4" t="s">
        <v>4248</v>
      </c>
      <c r="F2054" s="4" t="s">
        <v>516</v>
      </c>
      <c r="G2054" s="1">
        <v>6.7000000000000004E-2</v>
      </c>
      <c r="H2054" s="4" t="s">
        <v>166</v>
      </c>
      <c r="I2054" s="4" t="s">
        <v>3833</v>
      </c>
      <c r="J2054" s="4" t="s">
        <v>4249</v>
      </c>
      <c r="K2054" s="4" t="s">
        <v>24</v>
      </c>
    </row>
    <row r="2055" spans="1:11" x14ac:dyDescent="0.2">
      <c r="A2055" s="4" t="s">
        <v>4260</v>
      </c>
      <c r="B2055" s="4" t="s">
        <v>4261</v>
      </c>
      <c r="C2055" s="4" t="s">
        <v>13</v>
      </c>
      <c r="D2055" s="4" t="s">
        <v>4247</v>
      </c>
      <c r="E2055" s="4" t="s">
        <v>4248</v>
      </c>
      <c r="F2055" s="4" t="s">
        <v>516</v>
      </c>
      <c r="G2055" s="1">
        <v>6.7000000000000004E-2</v>
      </c>
      <c r="H2055" s="4" t="s">
        <v>166</v>
      </c>
      <c r="I2055" s="4" t="s">
        <v>3833</v>
      </c>
      <c r="J2055" s="4" t="s">
        <v>4249</v>
      </c>
      <c r="K2055" s="4" t="s">
        <v>24</v>
      </c>
    </row>
    <row r="2056" spans="1:11" x14ac:dyDescent="0.2">
      <c r="A2056" s="4" t="s">
        <v>4262</v>
      </c>
      <c r="B2056" s="4" t="s">
        <v>4263</v>
      </c>
      <c r="C2056" s="4" t="s">
        <v>13</v>
      </c>
      <c r="D2056" s="4" t="s">
        <v>4247</v>
      </c>
      <c r="E2056" s="4" t="s">
        <v>4248</v>
      </c>
      <c r="F2056" s="4" t="s">
        <v>516</v>
      </c>
      <c r="G2056" s="1">
        <v>3.3000000000000002E-2</v>
      </c>
      <c r="H2056" s="4" t="s">
        <v>225</v>
      </c>
      <c r="I2056" s="4" t="s">
        <v>3833</v>
      </c>
      <c r="J2056" s="4" t="s">
        <v>4249</v>
      </c>
      <c r="K2056" s="4" t="s">
        <v>24</v>
      </c>
    </row>
    <row r="2057" spans="1:11" x14ac:dyDescent="0.2">
      <c r="A2057" s="4" t="s">
        <v>4264</v>
      </c>
      <c r="B2057" s="4" t="s">
        <v>4265</v>
      </c>
      <c r="C2057" s="4" t="s">
        <v>13</v>
      </c>
      <c r="D2057" s="4" t="s">
        <v>4247</v>
      </c>
      <c r="E2057" s="4" t="s">
        <v>4248</v>
      </c>
      <c r="F2057" s="4" t="s">
        <v>516</v>
      </c>
      <c r="G2057" s="1">
        <v>6.7000000000000004E-2</v>
      </c>
      <c r="H2057" s="4" t="s">
        <v>166</v>
      </c>
      <c r="I2057" s="4" t="s">
        <v>3833</v>
      </c>
      <c r="J2057" s="4" t="s">
        <v>4249</v>
      </c>
      <c r="K2057" s="4" t="s">
        <v>24</v>
      </c>
    </row>
    <row r="2058" spans="1:11" x14ac:dyDescent="0.2">
      <c r="A2058" s="4" t="s">
        <v>4266</v>
      </c>
      <c r="B2058" s="4" t="s">
        <v>4267</v>
      </c>
      <c r="C2058" s="4" t="s">
        <v>13</v>
      </c>
      <c r="D2058" s="4" t="s">
        <v>4247</v>
      </c>
      <c r="E2058" s="4" t="s">
        <v>4248</v>
      </c>
      <c r="F2058" s="4" t="s">
        <v>516</v>
      </c>
      <c r="G2058" s="1">
        <v>0</v>
      </c>
      <c r="H2058" s="4" t="s">
        <v>254</v>
      </c>
      <c r="I2058" s="4" t="s">
        <v>3833</v>
      </c>
      <c r="J2058" s="4" t="s">
        <v>4249</v>
      </c>
      <c r="K2058" s="4" t="s">
        <v>24</v>
      </c>
    </row>
    <row r="2059" spans="1:11" x14ac:dyDescent="0.2">
      <c r="A2059" s="4" t="s">
        <v>4268</v>
      </c>
      <c r="B2059" s="4" t="s">
        <v>4269</v>
      </c>
      <c r="C2059" s="4" t="s">
        <v>13</v>
      </c>
      <c r="D2059" s="4" t="s">
        <v>4247</v>
      </c>
      <c r="E2059" s="4" t="s">
        <v>4248</v>
      </c>
      <c r="F2059" s="4" t="s">
        <v>516</v>
      </c>
      <c r="G2059" s="1">
        <v>0</v>
      </c>
      <c r="H2059" s="4" t="s">
        <v>254</v>
      </c>
      <c r="I2059" s="4" t="s">
        <v>3833</v>
      </c>
      <c r="J2059" s="4" t="s">
        <v>4249</v>
      </c>
      <c r="K2059" s="4" t="s">
        <v>24</v>
      </c>
    </row>
    <row r="2060" spans="1:11" x14ac:dyDescent="0.2">
      <c r="A2060" s="4" t="s">
        <v>4270</v>
      </c>
      <c r="B2060" s="4" t="s">
        <v>4271</v>
      </c>
      <c r="C2060" s="4" t="s">
        <v>13</v>
      </c>
      <c r="D2060" s="4" t="s">
        <v>4247</v>
      </c>
      <c r="E2060" s="4" t="s">
        <v>4248</v>
      </c>
      <c r="F2060" s="4" t="s">
        <v>516</v>
      </c>
      <c r="G2060" s="1">
        <v>3.3000000000000002E-2</v>
      </c>
      <c r="H2060" s="4" t="s">
        <v>225</v>
      </c>
      <c r="I2060" s="4" t="s">
        <v>3833</v>
      </c>
      <c r="J2060" s="4" t="s">
        <v>4249</v>
      </c>
      <c r="K2060" s="4" t="s">
        <v>24</v>
      </c>
    </row>
    <row r="2061" spans="1:11" x14ac:dyDescent="0.2">
      <c r="A2061" s="4" t="s">
        <v>4272</v>
      </c>
      <c r="B2061" s="4" t="s">
        <v>4273</v>
      </c>
      <c r="C2061" s="4" t="s">
        <v>13</v>
      </c>
      <c r="D2061" s="4" t="s">
        <v>4247</v>
      </c>
      <c r="E2061" s="4" t="s">
        <v>4248</v>
      </c>
      <c r="F2061" s="4" t="s">
        <v>516</v>
      </c>
      <c r="G2061" s="1">
        <v>3.3000000000000002E-2</v>
      </c>
      <c r="H2061" s="4" t="s">
        <v>225</v>
      </c>
      <c r="I2061" s="4" t="s">
        <v>3833</v>
      </c>
      <c r="J2061" s="4" t="s">
        <v>4249</v>
      </c>
      <c r="K2061" s="4" t="s">
        <v>24</v>
      </c>
    </row>
    <row r="2062" spans="1:11" x14ac:dyDescent="0.2">
      <c r="A2062" s="4" t="s">
        <v>4274</v>
      </c>
      <c r="B2062" s="4" t="s">
        <v>4275</v>
      </c>
      <c r="C2062" s="4" t="s">
        <v>13</v>
      </c>
      <c r="D2062" s="4" t="s">
        <v>4247</v>
      </c>
      <c r="E2062" s="4" t="s">
        <v>4248</v>
      </c>
      <c r="F2062" s="4" t="s">
        <v>516</v>
      </c>
      <c r="G2062" s="1">
        <v>6.7000000000000004E-2</v>
      </c>
      <c r="H2062" s="4" t="s">
        <v>166</v>
      </c>
      <c r="I2062" s="4" t="s">
        <v>3833</v>
      </c>
      <c r="J2062" s="4" t="s">
        <v>4249</v>
      </c>
      <c r="K2062" s="4" t="s">
        <v>24</v>
      </c>
    </row>
    <row r="2063" spans="1:11" x14ac:dyDescent="0.2">
      <c r="A2063" s="4" t="s">
        <v>4276</v>
      </c>
      <c r="B2063" s="4" t="s">
        <v>4277</v>
      </c>
      <c r="C2063" s="4" t="s">
        <v>13</v>
      </c>
      <c r="D2063" s="4" t="s">
        <v>4247</v>
      </c>
      <c r="E2063" s="4" t="s">
        <v>4248</v>
      </c>
      <c r="F2063" s="4" t="s">
        <v>516</v>
      </c>
      <c r="G2063" s="1">
        <v>6.7000000000000004E-2</v>
      </c>
      <c r="H2063" s="4" t="s">
        <v>166</v>
      </c>
      <c r="I2063" s="4" t="s">
        <v>3833</v>
      </c>
      <c r="J2063" s="4" t="s">
        <v>4249</v>
      </c>
      <c r="K2063" s="4" t="s">
        <v>24</v>
      </c>
    </row>
    <row r="2064" spans="1:11" x14ac:dyDescent="0.2">
      <c r="A2064" s="4" t="s">
        <v>4278</v>
      </c>
      <c r="B2064" s="4" t="s">
        <v>4279</v>
      </c>
      <c r="C2064" s="4" t="s">
        <v>13</v>
      </c>
      <c r="D2064" s="4" t="s">
        <v>4247</v>
      </c>
      <c r="E2064" s="4" t="s">
        <v>4248</v>
      </c>
      <c r="F2064" s="4" t="s">
        <v>516</v>
      </c>
      <c r="G2064" s="1">
        <v>6.7000000000000004E-2</v>
      </c>
      <c r="H2064" s="4" t="s">
        <v>166</v>
      </c>
      <c r="I2064" s="4" t="s">
        <v>3833</v>
      </c>
      <c r="J2064" s="4" t="s">
        <v>4249</v>
      </c>
      <c r="K2064" s="4" t="s">
        <v>24</v>
      </c>
    </row>
    <row r="2065" spans="1:11" x14ac:dyDescent="0.2">
      <c r="A2065" s="4" t="s">
        <v>4280</v>
      </c>
      <c r="B2065" s="4" t="s">
        <v>4281</v>
      </c>
      <c r="C2065" s="4" t="s">
        <v>13</v>
      </c>
      <c r="D2065" s="4" t="s">
        <v>4247</v>
      </c>
      <c r="E2065" s="4" t="s">
        <v>4248</v>
      </c>
      <c r="F2065" s="4" t="s">
        <v>516</v>
      </c>
      <c r="G2065" s="1">
        <v>3.3000000000000002E-2</v>
      </c>
      <c r="H2065" s="4" t="s">
        <v>225</v>
      </c>
      <c r="I2065" s="4" t="s">
        <v>3833</v>
      </c>
      <c r="J2065" s="4" t="s">
        <v>4249</v>
      </c>
      <c r="K2065" s="4" t="s">
        <v>24</v>
      </c>
    </row>
    <row r="2066" spans="1:11" x14ac:dyDescent="0.2">
      <c r="A2066" s="4" t="s">
        <v>4282</v>
      </c>
      <c r="B2066" s="4" t="s">
        <v>4283</v>
      </c>
      <c r="C2066" s="4" t="s">
        <v>13</v>
      </c>
      <c r="D2066" s="4" t="s">
        <v>4247</v>
      </c>
      <c r="E2066" s="4" t="s">
        <v>4248</v>
      </c>
      <c r="F2066" s="4" t="s">
        <v>516</v>
      </c>
      <c r="G2066" s="1">
        <v>3.3000000000000002E-2</v>
      </c>
      <c r="H2066" s="4" t="s">
        <v>225</v>
      </c>
      <c r="I2066" s="4" t="s">
        <v>3833</v>
      </c>
      <c r="J2066" s="4" t="s">
        <v>4249</v>
      </c>
      <c r="K2066" s="4" t="s">
        <v>24</v>
      </c>
    </row>
    <row r="2067" spans="1:11" x14ac:dyDescent="0.2">
      <c r="A2067" s="4" t="s">
        <v>4284</v>
      </c>
      <c r="B2067" s="4" t="s">
        <v>4285</v>
      </c>
      <c r="C2067" s="4" t="s">
        <v>13</v>
      </c>
      <c r="D2067" s="4" t="s">
        <v>4247</v>
      </c>
      <c r="E2067" s="4" t="s">
        <v>4248</v>
      </c>
      <c r="F2067" s="4" t="s">
        <v>516</v>
      </c>
      <c r="G2067" s="1">
        <v>6.7000000000000004E-2</v>
      </c>
      <c r="H2067" s="4" t="s">
        <v>166</v>
      </c>
      <c r="I2067" s="4" t="s">
        <v>3833</v>
      </c>
      <c r="J2067" s="4" t="s">
        <v>4249</v>
      </c>
      <c r="K2067" s="4" t="s">
        <v>24</v>
      </c>
    </row>
    <row r="2068" spans="1:11" x14ac:dyDescent="0.2">
      <c r="A2068" s="4" t="s">
        <v>2165</v>
      </c>
      <c r="B2068" s="4" t="s">
        <v>2166</v>
      </c>
      <c r="C2068" s="4" t="s">
        <v>49</v>
      </c>
      <c r="D2068" s="4" t="s">
        <v>4247</v>
      </c>
      <c r="E2068" s="4" t="s">
        <v>4248</v>
      </c>
      <c r="F2068" s="4" t="s">
        <v>516</v>
      </c>
      <c r="G2068" s="1">
        <v>4.2999999999999997E-2</v>
      </c>
      <c r="H2068" s="4" t="s">
        <v>3920</v>
      </c>
      <c r="I2068" s="4" t="s">
        <v>3833</v>
      </c>
      <c r="J2068" s="4" t="s">
        <v>4249</v>
      </c>
      <c r="K2068" s="4" t="s">
        <v>24</v>
      </c>
    </row>
    <row r="2069" spans="1:11" x14ac:dyDescent="0.2">
      <c r="A2069" s="4" t="s">
        <v>4286</v>
      </c>
      <c r="B2069" s="4" t="s">
        <v>4287</v>
      </c>
      <c r="C2069" s="4" t="s">
        <v>13</v>
      </c>
      <c r="D2069" s="4" t="s">
        <v>4247</v>
      </c>
      <c r="E2069" s="4" t="s">
        <v>4248</v>
      </c>
      <c r="F2069" s="4" t="s">
        <v>516</v>
      </c>
      <c r="G2069" s="1">
        <v>6.7000000000000004E-2</v>
      </c>
      <c r="H2069" s="4" t="s">
        <v>166</v>
      </c>
      <c r="I2069" s="4" t="s">
        <v>3833</v>
      </c>
      <c r="J2069" s="4" t="s">
        <v>4249</v>
      </c>
      <c r="K2069" s="4" t="s">
        <v>24</v>
      </c>
    </row>
    <row r="2070" spans="1:11" x14ac:dyDescent="0.2">
      <c r="A2070" s="4" t="s">
        <v>4288</v>
      </c>
      <c r="B2070" s="4" t="s">
        <v>4289</v>
      </c>
      <c r="C2070" s="4" t="s">
        <v>13</v>
      </c>
      <c r="D2070" s="4" t="s">
        <v>4247</v>
      </c>
      <c r="E2070" s="4" t="s">
        <v>4248</v>
      </c>
      <c r="F2070" s="4" t="s">
        <v>516</v>
      </c>
      <c r="G2070" s="1">
        <v>6.7000000000000004E-2</v>
      </c>
      <c r="H2070" s="4" t="s">
        <v>166</v>
      </c>
      <c r="I2070" s="4" t="s">
        <v>3833</v>
      </c>
      <c r="J2070" s="4" t="s">
        <v>4249</v>
      </c>
      <c r="K2070" s="4" t="s">
        <v>24</v>
      </c>
    </row>
    <row r="2071" spans="1:11" x14ac:dyDescent="0.2">
      <c r="A2071" s="4" t="s">
        <v>4290</v>
      </c>
      <c r="B2071" s="4" t="s">
        <v>4291</v>
      </c>
      <c r="C2071" s="4" t="s">
        <v>13</v>
      </c>
      <c r="D2071" s="4" t="s">
        <v>4247</v>
      </c>
      <c r="E2071" s="4" t="s">
        <v>4248</v>
      </c>
      <c r="F2071" s="4" t="s">
        <v>516</v>
      </c>
      <c r="G2071" s="1">
        <v>6.7000000000000004E-2</v>
      </c>
      <c r="H2071" s="4" t="s">
        <v>166</v>
      </c>
      <c r="I2071" s="4" t="s">
        <v>3833</v>
      </c>
      <c r="J2071" s="4" t="s">
        <v>4249</v>
      </c>
      <c r="K2071" s="4" t="s">
        <v>24</v>
      </c>
    </row>
    <row r="2072" spans="1:11" x14ac:dyDescent="0.2">
      <c r="A2072" s="4" t="s">
        <v>4292</v>
      </c>
      <c r="B2072" s="4" t="s">
        <v>4293</v>
      </c>
      <c r="C2072" s="4" t="s">
        <v>13</v>
      </c>
      <c r="D2072" s="4" t="s">
        <v>4247</v>
      </c>
      <c r="E2072" s="4" t="s">
        <v>4248</v>
      </c>
      <c r="F2072" s="4" t="s">
        <v>516</v>
      </c>
      <c r="G2072" s="1">
        <v>3.3000000000000002E-2</v>
      </c>
      <c r="H2072" s="4" t="s">
        <v>225</v>
      </c>
      <c r="I2072" s="4" t="s">
        <v>3833</v>
      </c>
      <c r="J2072" s="4" t="s">
        <v>4249</v>
      </c>
      <c r="K2072" s="4" t="s">
        <v>24</v>
      </c>
    </row>
    <row r="2073" spans="1:11" x14ac:dyDescent="0.2">
      <c r="A2073" s="4" t="s">
        <v>4294</v>
      </c>
      <c r="B2073" s="4" t="s">
        <v>4295</v>
      </c>
      <c r="C2073" s="4" t="s">
        <v>49</v>
      </c>
      <c r="D2073" s="4" t="s">
        <v>4247</v>
      </c>
      <c r="E2073" s="4" t="s">
        <v>4248</v>
      </c>
      <c r="F2073" s="4" t="s">
        <v>516</v>
      </c>
      <c r="G2073" s="1">
        <v>0</v>
      </c>
      <c r="H2073" s="4" t="s">
        <v>254</v>
      </c>
      <c r="I2073" s="4" t="s">
        <v>3833</v>
      </c>
      <c r="J2073" s="4" t="s">
        <v>4249</v>
      </c>
      <c r="K2073" s="4" t="s">
        <v>24</v>
      </c>
    </row>
    <row r="2074" spans="1:11" x14ac:dyDescent="0.2">
      <c r="A2074" s="4" t="s">
        <v>4296</v>
      </c>
      <c r="B2074" s="4" t="s">
        <v>4297</v>
      </c>
      <c r="C2074" s="4" t="s">
        <v>13</v>
      </c>
      <c r="D2074" s="4" t="s">
        <v>4247</v>
      </c>
      <c r="E2074" s="4" t="s">
        <v>4248</v>
      </c>
      <c r="F2074" s="4" t="s">
        <v>516</v>
      </c>
      <c r="G2074" s="1">
        <v>6.7000000000000004E-2</v>
      </c>
      <c r="H2074" s="4" t="s">
        <v>166</v>
      </c>
      <c r="I2074" s="4" t="s">
        <v>3833</v>
      </c>
      <c r="J2074" s="4" t="s">
        <v>4249</v>
      </c>
      <c r="K2074" s="4" t="s">
        <v>24</v>
      </c>
    </row>
    <row r="2075" spans="1:11" x14ac:dyDescent="0.2">
      <c r="A2075" s="4" t="s">
        <v>4298</v>
      </c>
      <c r="B2075" s="4" t="s">
        <v>4299</v>
      </c>
      <c r="C2075" s="4" t="s">
        <v>13</v>
      </c>
      <c r="D2075" s="4" t="s">
        <v>4247</v>
      </c>
      <c r="E2075" s="4" t="s">
        <v>4248</v>
      </c>
      <c r="F2075" s="4" t="s">
        <v>516</v>
      </c>
      <c r="G2075" s="1">
        <v>6.7000000000000004E-2</v>
      </c>
      <c r="H2075" s="4" t="s">
        <v>166</v>
      </c>
      <c r="I2075" s="4" t="s">
        <v>3833</v>
      </c>
      <c r="J2075" s="4" t="s">
        <v>4249</v>
      </c>
      <c r="K2075" s="4" t="s">
        <v>24</v>
      </c>
    </row>
    <row r="2076" spans="1:11" x14ac:dyDescent="0.2">
      <c r="A2076" s="4" t="s">
        <v>4300</v>
      </c>
      <c r="B2076" s="4" t="s">
        <v>4301</v>
      </c>
      <c r="C2076" s="4" t="s">
        <v>13</v>
      </c>
      <c r="D2076" s="4" t="s">
        <v>4247</v>
      </c>
      <c r="E2076" s="4" t="s">
        <v>4248</v>
      </c>
      <c r="F2076" s="4" t="s">
        <v>516</v>
      </c>
      <c r="G2076" s="1">
        <v>6.7000000000000004E-2</v>
      </c>
      <c r="H2076" s="4" t="s">
        <v>166</v>
      </c>
      <c r="I2076" s="4" t="s">
        <v>3833</v>
      </c>
      <c r="J2076" s="4" t="s">
        <v>4249</v>
      </c>
      <c r="K2076" s="4" t="s">
        <v>24</v>
      </c>
    </row>
    <row r="2077" spans="1:11" x14ac:dyDescent="0.2">
      <c r="A2077" s="4" t="s">
        <v>4302</v>
      </c>
      <c r="B2077" s="4" t="s">
        <v>4303</v>
      </c>
      <c r="C2077" s="4" t="s">
        <v>13</v>
      </c>
      <c r="D2077" s="4" t="s">
        <v>4247</v>
      </c>
      <c r="E2077" s="4" t="s">
        <v>4248</v>
      </c>
      <c r="F2077" s="4" t="s">
        <v>516</v>
      </c>
      <c r="G2077" s="1">
        <v>0</v>
      </c>
      <c r="H2077" s="4" t="s">
        <v>254</v>
      </c>
      <c r="I2077" s="4" t="s">
        <v>3833</v>
      </c>
      <c r="J2077" s="4" t="s">
        <v>4249</v>
      </c>
      <c r="K2077" s="4" t="s">
        <v>24</v>
      </c>
    </row>
    <row r="2078" spans="1:11" x14ac:dyDescent="0.2">
      <c r="A2078" s="4" t="s">
        <v>4304</v>
      </c>
      <c r="B2078" s="4" t="s">
        <v>4305</v>
      </c>
      <c r="C2078" s="4" t="s">
        <v>13</v>
      </c>
      <c r="D2078" s="4" t="s">
        <v>4247</v>
      </c>
      <c r="E2078" s="4" t="s">
        <v>4248</v>
      </c>
      <c r="F2078" s="4" t="s">
        <v>516</v>
      </c>
      <c r="G2078" s="1">
        <v>3.3000000000000002E-2</v>
      </c>
      <c r="H2078" s="4" t="s">
        <v>225</v>
      </c>
      <c r="I2078" s="4" t="s">
        <v>3833</v>
      </c>
      <c r="J2078" s="4" t="s">
        <v>4249</v>
      </c>
      <c r="K2078" s="4" t="s">
        <v>24</v>
      </c>
    </row>
    <row r="2079" spans="1:11" x14ac:dyDescent="0.2">
      <c r="A2079" s="4" t="s">
        <v>4306</v>
      </c>
      <c r="B2079" s="4" t="s">
        <v>4307</v>
      </c>
      <c r="C2079" s="4" t="s">
        <v>13</v>
      </c>
      <c r="D2079" s="4" t="s">
        <v>4247</v>
      </c>
      <c r="E2079" s="4" t="s">
        <v>4248</v>
      </c>
      <c r="F2079" s="4" t="s">
        <v>516</v>
      </c>
      <c r="G2079" s="1">
        <v>0</v>
      </c>
      <c r="H2079" s="4" t="s">
        <v>254</v>
      </c>
      <c r="I2079" s="4" t="s">
        <v>3833</v>
      </c>
      <c r="J2079" s="4" t="s">
        <v>4249</v>
      </c>
      <c r="K2079" s="4" t="s">
        <v>24</v>
      </c>
    </row>
    <row r="2080" spans="1:11" x14ac:dyDescent="0.2">
      <c r="A2080" s="4" t="s">
        <v>4308</v>
      </c>
      <c r="B2080" s="4" t="s">
        <v>4309</v>
      </c>
      <c r="C2080" s="4" t="s">
        <v>13</v>
      </c>
      <c r="D2080" s="4" t="s">
        <v>4247</v>
      </c>
      <c r="E2080" s="4" t="s">
        <v>4248</v>
      </c>
      <c r="F2080" s="4" t="s">
        <v>516</v>
      </c>
      <c r="G2080" s="1">
        <v>6.7000000000000004E-2</v>
      </c>
      <c r="H2080" s="4" t="s">
        <v>166</v>
      </c>
      <c r="I2080" s="4" t="s">
        <v>3833</v>
      </c>
      <c r="J2080" s="4" t="s">
        <v>4249</v>
      </c>
      <c r="K2080" s="4" t="s">
        <v>24</v>
      </c>
    </row>
    <row r="2081" spans="1:11" x14ac:dyDescent="0.2">
      <c r="A2081" s="4" t="s">
        <v>4310</v>
      </c>
      <c r="B2081" s="4" t="s">
        <v>4311</v>
      </c>
      <c r="C2081" s="4" t="s">
        <v>49</v>
      </c>
      <c r="D2081" s="4" t="s">
        <v>4247</v>
      </c>
      <c r="E2081" s="4" t="s">
        <v>4248</v>
      </c>
      <c r="F2081" s="4" t="s">
        <v>516</v>
      </c>
      <c r="G2081" s="1">
        <v>0</v>
      </c>
      <c r="H2081" s="4" t="s">
        <v>254</v>
      </c>
      <c r="I2081" s="4" t="s">
        <v>3833</v>
      </c>
      <c r="J2081" s="4" t="s">
        <v>4249</v>
      </c>
      <c r="K2081" s="4" t="s">
        <v>24</v>
      </c>
    </row>
    <row r="2082" spans="1:11" x14ac:dyDescent="0.2">
      <c r="A2082" s="4" t="s">
        <v>4312</v>
      </c>
      <c r="B2082" s="4" t="s">
        <v>4313</v>
      </c>
      <c r="C2082" s="4" t="s">
        <v>13</v>
      </c>
      <c r="D2082" s="4" t="s">
        <v>4247</v>
      </c>
      <c r="E2082" s="4" t="s">
        <v>4248</v>
      </c>
      <c r="F2082" s="4" t="s">
        <v>516</v>
      </c>
      <c r="G2082" s="1">
        <v>0</v>
      </c>
      <c r="H2082" s="4" t="s">
        <v>254</v>
      </c>
      <c r="I2082" s="4" t="s">
        <v>3833</v>
      </c>
      <c r="J2082" s="4" t="s">
        <v>4249</v>
      </c>
      <c r="K2082" s="4" t="s">
        <v>24</v>
      </c>
    </row>
    <row r="2083" spans="1:11" x14ac:dyDescent="0.2">
      <c r="A2083" s="4" t="s">
        <v>4314</v>
      </c>
      <c r="B2083" s="4" t="s">
        <v>4315</v>
      </c>
      <c r="C2083" s="4" t="s">
        <v>13</v>
      </c>
      <c r="D2083" s="4" t="s">
        <v>4247</v>
      </c>
      <c r="E2083" s="4" t="s">
        <v>4248</v>
      </c>
      <c r="F2083" s="4" t="s">
        <v>516</v>
      </c>
      <c r="G2083" s="1">
        <v>0</v>
      </c>
      <c r="H2083" s="4" t="s">
        <v>254</v>
      </c>
      <c r="I2083" s="4" t="s">
        <v>3833</v>
      </c>
      <c r="J2083" s="4" t="s">
        <v>4249</v>
      </c>
      <c r="K2083" s="4" t="s">
        <v>24</v>
      </c>
    </row>
    <row r="2084" spans="1:11" x14ac:dyDescent="0.2">
      <c r="A2084" s="4" t="s">
        <v>4316</v>
      </c>
      <c r="B2084" s="4" t="s">
        <v>4317</v>
      </c>
      <c r="C2084" s="4" t="s">
        <v>13</v>
      </c>
      <c r="D2084" s="4" t="s">
        <v>4247</v>
      </c>
      <c r="E2084" s="4" t="s">
        <v>4248</v>
      </c>
      <c r="F2084" s="4" t="s">
        <v>516</v>
      </c>
      <c r="G2084" s="1">
        <v>6.7000000000000004E-2</v>
      </c>
      <c r="H2084" s="4" t="s">
        <v>166</v>
      </c>
      <c r="I2084" s="4" t="s">
        <v>3833</v>
      </c>
      <c r="J2084" s="4" t="s">
        <v>4249</v>
      </c>
      <c r="K2084" s="4" t="s">
        <v>24</v>
      </c>
    </row>
    <row r="2085" spans="1:11" x14ac:dyDescent="0.2">
      <c r="A2085" s="4" t="s">
        <v>4318</v>
      </c>
      <c r="B2085" s="4" t="s">
        <v>4319</v>
      </c>
      <c r="C2085" s="4" t="s">
        <v>13</v>
      </c>
      <c r="D2085" s="4" t="s">
        <v>4247</v>
      </c>
      <c r="E2085" s="4" t="s">
        <v>4248</v>
      </c>
      <c r="F2085" s="4" t="s">
        <v>516</v>
      </c>
      <c r="G2085" s="1">
        <v>0</v>
      </c>
      <c r="H2085" s="4" t="s">
        <v>254</v>
      </c>
      <c r="I2085" s="4" t="s">
        <v>3833</v>
      </c>
      <c r="J2085" s="4" t="s">
        <v>4249</v>
      </c>
      <c r="K2085" s="4" t="s">
        <v>24</v>
      </c>
    </row>
    <row r="2086" spans="1:11" x14ac:dyDescent="0.2">
      <c r="A2086" s="4" t="s">
        <v>4320</v>
      </c>
      <c r="B2086" s="4" t="s">
        <v>4321</v>
      </c>
      <c r="C2086" s="4" t="s">
        <v>13</v>
      </c>
      <c r="D2086" s="4" t="s">
        <v>4247</v>
      </c>
      <c r="E2086" s="4" t="s">
        <v>4248</v>
      </c>
      <c r="F2086" s="4" t="s">
        <v>516</v>
      </c>
      <c r="G2086" s="1">
        <v>6.7000000000000004E-2</v>
      </c>
      <c r="H2086" s="4" t="s">
        <v>166</v>
      </c>
      <c r="I2086" s="4" t="s">
        <v>3833</v>
      </c>
      <c r="J2086" s="4" t="s">
        <v>4249</v>
      </c>
      <c r="K2086" s="4" t="s">
        <v>24</v>
      </c>
    </row>
    <row r="2087" spans="1:11" x14ac:dyDescent="0.2">
      <c r="A2087" s="4" t="s">
        <v>4322</v>
      </c>
      <c r="B2087" s="4" t="s">
        <v>4323</v>
      </c>
      <c r="C2087" s="4" t="s">
        <v>13</v>
      </c>
      <c r="D2087" s="4" t="s">
        <v>4247</v>
      </c>
      <c r="E2087" s="4" t="s">
        <v>4248</v>
      </c>
      <c r="F2087" s="4" t="s">
        <v>516</v>
      </c>
      <c r="G2087" s="1">
        <v>6.7000000000000004E-2</v>
      </c>
      <c r="H2087" s="4" t="s">
        <v>166</v>
      </c>
      <c r="I2087" s="4" t="s">
        <v>3833</v>
      </c>
      <c r="J2087" s="4" t="s">
        <v>4249</v>
      </c>
      <c r="K2087" s="4" t="s">
        <v>24</v>
      </c>
    </row>
    <row r="2088" spans="1:11" x14ac:dyDescent="0.2">
      <c r="A2088" s="4" t="s">
        <v>4324</v>
      </c>
      <c r="B2088" s="4" t="s">
        <v>4325</v>
      </c>
      <c r="C2088" s="4" t="s">
        <v>13</v>
      </c>
      <c r="D2088" s="4" t="s">
        <v>4247</v>
      </c>
      <c r="E2088" s="4" t="s">
        <v>4248</v>
      </c>
      <c r="F2088" s="4" t="s">
        <v>516</v>
      </c>
      <c r="G2088" s="1">
        <v>6.7000000000000004E-2</v>
      </c>
      <c r="H2088" s="4" t="s">
        <v>166</v>
      </c>
      <c r="I2088" s="4" t="s">
        <v>3833</v>
      </c>
      <c r="J2088" s="4" t="s">
        <v>4249</v>
      </c>
      <c r="K2088" s="4" t="s">
        <v>3928</v>
      </c>
    </row>
    <row r="2089" spans="1:11" x14ac:dyDescent="0.2">
      <c r="A2089" s="4" t="s">
        <v>4326</v>
      </c>
      <c r="B2089" s="4" t="s">
        <v>4327</v>
      </c>
      <c r="C2089" s="4" t="s">
        <v>13</v>
      </c>
      <c r="D2089" s="4" t="s">
        <v>4247</v>
      </c>
      <c r="E2089" s="4" t="s">
        <v>4248</v>
      </c>
      <c r="F2089" s="4" t="s">
        <v>516</v>
      </c>
      <c r="G2089" s="1">
        <v>3.3000000000000002E-2</v>
      </c>
      <c r="H2089" s="4" t="s">
        <v>225</v>
      </c>
      <c r="I2089" s="4" t="s">
        <v>3833</v>
      </c>
      <c r="J2089" s="4" t="s">
        <v>4249</v>
      </c>
      <c r="K2089" s="4" t="s">
        <v>3842</v>
      </c>
    </row>
    <row r="2090" spans="1:11" x14ac:dyDescent="0.2">
      <c r="A2090" s="4" t="s">
        <v>4328</v>
      </c>
      <c r="B2090" s="4" t="s">
        <v>4329</v>
      </c>
      <c r="C2090" s="4" t="s">
        <v>13</v>
      </c>
      <c r="D2090" s="4" t="s">
        <v>4247</v>
      </c>
      <c r="E2090" s="4" t="s">
        <v>4248</v>
      </c>
      <c r="F2090" s="4" t="s">
        <v>516</v>
      </c>
      <c r="G2090" s="1">
        <v>0</v>
      </c>
      <c r="H2090" s="4" t="s">
        <v>254</v>
      </c>
      <c r="I2090" s="4" t="s">
        <v>3833</v>
      </c>
      <c r="J2090" s="4" t="s">
        <v>4249</v>
      </c>
      <c r="K2090" s="4" t="s">
        <v>3842</v>
      </c>
    </row>
    <row r="2091" spans="1:11" x14ac:dyDescent="0.2">
      <c r="A2091" s="4" t="s">
        <v>4330</v>
      </c>
      <c r="B2091" s="4" t="s">
        <v>4331</v>
      </c>
      <c r="C2091" s="4" t="s">
        <v>13</v>
      </c>
      <c r="D2091" s="4" t="s">
        <v>4247</v>
      </c>
      <c r="E2091" s="4" t="s">
        <v>4248</v>
      </c>
      <c r="F2091" s="4" t="s">
        <v>516</v>
      </c>
      <c r="G2091" s="1">
        <v>6.7000000000000004E-2</v>
      </c>
      <c r="H2091" s="4" t="s">
        <v>166</v>
      </c>
      <c r="I2091" s="4" t="s">
        <v>3833</v>
      </c>
      <c r="J2091" s="4" t="s">
        <v>4249</v>
      </c>
      <c r="K2091" s="4" t="s">
        <v>3847</v>
      </c>
    </row>
    <row r="2092" spans="1:11" x14ac:dyDescent="0.2">
      <c r="A2092" s="4" t="s">
        <v>4332</v>
      </c>
      <c r="B2092" s="4" t="s">
        <v>4333</v>
      </c>
      <c r="C2092" s="4" t="s">
        <v>13</v>
      </c>
      <c r="D2092" s="4" t="s">
        <v>4247</v>
      </c>
      <c r="E2092" s="4" t="s">
        <v>4248</v>
      </c>
      <c r="F2092" s="4" t="s">
        <v>516</v>
      </c>
      <c r="G2092" s="1">
        <v>0</v>
      </c>
      <c r="H2092" s="4" t="s">
        <v>254</v>
      </c>
      <c r="I2092" s="4" t="s">
        <v>3833</v>
      </c>
      <c r="J2092" s="4" t="s">
        <v>4249</v>
      </c>
      <c r="K2092" s="4" t="s">
        <v>3981</v>
      </c>
    </row>
    <row r="2093" spans="1:11" x14ac:dyDescent="0.2">
      <c r="A2093" s="4" t="s">
        <v>4334</v>
      </c>
      <c r="B2093" s="4" t="s">
        <v>4335</v>
      </c>
      <c r="C2093" s="4" t="s">
        <v>13</v>
      </c>
      <c r="D2093" s="4" t="s">
        <v>4247</v>
      </c>
      <c r="E2093" s="4" t="s">
        <v>4248</v>
      </c>
      <c r="F2093" s="4" t="s">
        <v>516</v>
      </c>
      <c r="G2093" s="1">
        <v>6.7000000000000004E-2</v>
      </c>
      <c r="H2093" s="4" t="s">
        <v>166</v>
      </c>
      <c r="I2093" s="4" t="s">
        <v>3833</v>
      </c>
      <c r="J2093" s="4" t="s">
        <v>4249</v>
      </c>
      <c r="K2093" s="4" t="s">
        <v>3981</v>
      </c>
    </row>
    <row r="2094" spans="1:11" x14ac:dyDescent="0.2">
      <c r="A2094" s="4" t="s">
        <v>4336</v>
      </c>
      <c r="B2094" s="4" t="s">
        <v>4337</v>
      </c>
      <c r="C2094" s="4" t="s">
        <v>13</v>
      </c>
      <c r="D2094" s="4" t="s">
        <v>4247</v>
      </c>
      <c r="E2094" s="4" t="s">
        <v>4248</v>
      </c>
      <c r="F2094" s="4" t="s">
        <v>516</v>
      </c>
      <c r="G2094" s="1">
        <v>6.7000000000000004E-2</v>
      </c>
      <c r="H2094" s="4" t="s">
        <v>166</v>
      </c>
      <c r="I2094" s="4" t="s">
        <v>3833</v>
      </c>
      <c r="J2094" s="4" t="s">
        <v>4249</v>
      </c>
      <c r="K2094" s="4" t="s">
        <v>3927</v>
      </c>
    </row>
    <row r="2095" spans="1:11" x14ac:dyDescent="0.2">
      <c r="A2095" s="4" t="s">
        <v>4338</v>
      </c>
      <c r="B2095" s="4" t="s">
        <v>4339</v>
      </c>
      <c r="C2095" s="4" t="s">
        <v>13</v>
      </c>
      <c r="D2095" s="4" t="s">
        <v>4247</v>
      </c>
      <c r="E2095" s="4" t="s">
        <v>4248</v>
      </c>
      <c r="F2095" s="4" t="s">
        <v>516</v>
      </c>
      <c r="G2095" s="1">
        <v>6.7000000000000004E-2</v>
      </c>
      <c r="H2095" s="4" t="s">
        <v>166</v>
      </c>
      <c r="I2095" s="4" t="s">
        <v>3833</v>
      </c>
      <c r="J2095" s="4" t="s">
        <v>4249</v>
      </c>
      <c r="K2095" s="4" t="s">
        <v>24</v>
      </c>
    </row>
    <row r="2096" spans="1:11" x14ac:dyDescent="0.2">
      <c r="A2096" s="4" t="s">
        <v>3163</v>
      </c>
      <c r="B2096" s="4" t="s">
        <v>3164</v>
      </c>
      <c r="C2096" s="4" t="s">
        <v>13</v>
      </c>
      <c r="D2096" s="4" t="s">
        <v>4247</v>
      </c>
      <c r="E2096" s="4" t="s">
        <v>4248</v>
      </c>
      <c r="F2096" s="4" t="s">
        <v>516</v>
      </c>
      <c r="G2096" s="1">
        <v>6.7000000000000004E-2</v>
      </c>
      <c r="H2096" s="4" t="s">
        <v>166</v>
      </c>
      <c r="I2096" s="4" t="s">
        <v>3833</v>
      </c>
      <c r="J2096" s="4" t="s">
        <v>4249</v>
      </c>
      <c r="K2096" s="4" t="s">
        <v>24</v>
      </c>
    </row>
    <row r="2097" spans="1:11" x14ac:dyDescent="0.2">
      <c r="A2097" s="4" t="s">
        <v>2845</v>
      </c>
      <c r="B2097" s="4" t="s">
        <v>2846</v>
      </c>
      <c r="C2097" s="4" t="s">
        <v>13</v>
      </c>
      <c r="D2097" s="4" t="s">
        <v>4247</v>
      </c>
      <c r="E2097" s="4" t="s">
        <v>4248</v>
      </c>
      <c r="F2097" s="4" t="s">
        <v>516</v>
      </c>
      <c r="G2097" s="1">
        <v>6.7000000000000004E-2</v>
      </c>
      <c r="H2097" s="4" t="s">
        <v>166</v>
      </c>
      <c r="I2097" s="4" t="s">
        <v>3833</v>
      </c>
      <c r="J2097" s="4" t="s">
        <v>4249</v>
      </c>
      <c r="K2097" s="4" t="s">
        <v>24</v>
      </c>
    </row>
    <row r="2098" spans="1:11" x14ac:dyDescent="0.2">
      <c r="A2098" s="4" t="s">
        <v>3081</v>
      </c>
      <c r="B2098" s="4" t="s">
        <v>3082</v>
      </c>
      <c r="C2098" s="4" t="s">
        <v>13</v>
      </c>
      <c r="D2098" s="4" t="s">
        <v>4340</v>
      </c>
      <c r="E2098" s="4" t="s">
        <v>4341</v>
      </c>
      <c r="F2098" s="4" t="s">
        <v>649</v>
      </c>
      <c r="G2098" s="1">
        <v>3.3000000000000002E-2</v>
      </c>
      <c r="H2098" s="4" t="s">
        <v>2826</v>
      </c>
      <c r="I2098" s="4" t="s">
        <v>3833</v>
      </c>
      <c r="J2098" s="4" t="s">
        <v>3170</v>
      </c>
      <c r="K2098" s="4" t="s">
        <v>24</v>
      </c>
    </row>
    <row r="2099" spans="1:11" x14ac:dyDescent="0.2">
      <c r="A2099" s="4" t="s">
        <v>4342</v>
      </c>
      <c r="B2099" s="4" t="s">
        <v>4343</v>
      </c>
      <c r="C2099" s="4" t="s">
        <v>13</v>
      </c>
      <c r="D2099" s="4" t="s">
        <v>4340</v>
      </c>
      <c r="E2099" s="4" t="s">
        <v>4341</v>
      </c>
      <c r="F2099" s="4" t="s">
        <v>649</v>
      </c>
      <c r="G2099" s="1">
        <v>0.13300000000000001</v>
      </c>
      <c r="H2099" s="4" t="s">
        <v>112</v>
      </c>
      <c r="I2099" s="4" t="s">
        <v>3833</v>
      </c>
      <c r="J2099" s="4" t="s">
        <v>3170</v>
      </c>
      <c r="K2099" s="4" t="s">
        <v>24</v>
      </c>
    </row>
    <row r="2100" spans="1:11" x14ac:dyDescent="0.2">
      <c r="A2100" s="4" t="s">
        <v>4344</v>
      </c>
      <c r="B2100" s="4" t="s">
        <v>4345</v>
      </c>
      <c r="C2100" s="4" t="s">
        <v>13</v>
      </c>
      <c r="D2100" s="4" t="s">
        <v>4340</v>
      </c>
      <c r="E2100" s="4" t="s">
        <v>4341</v>
      </c>
      <c r="F2100" s="4" t="s">
        <v>649</v>
      </c>
      <c r="G2100" s="1">
        <v>0.13300000000000001</v>
      </c>
      <c r="H2100" s="4" t="s">
        <v>112</v>
      </c>
      <c r="I2100" s="4" t="s">
        <v>3833</v>
      </c>
      <c r="J2100" s="4" t="s">
        <v>3170</v>
      </c>
      <c r="K2100" s="4" t="s">
        <v>24</v>
      </c>
    </row>
    <row r="2101" spans="1:11" x14ac:dyDescent="0.2">
      <c r="A2101" s="4" t="s">
        <v>4346</v>
      </c>
      <c r="B2101" s="4" t="s">
        <v>4347</v>
      </c>
      <c r="C2101" s="4" t="s">
        <v>13</v>
      </c>
      <c r="D2101" s="4" t="s">
        <v>4340</v>
      </c>
      <c r="E2101" s="4" t="s">
        <v>4341</v>
      </c>
      <c r="F2101" s="4" t="s">
        <v>649</v>
      </c>
      <c r="G2101" s="1">
        <v>6.7000000000000004E-2</v>
      </c>
      <c r="H2101" s="4" t="s">
        <v>166</v>
      </c>
      <c r="I2101" s="4" t="s">
        <v>3833</v>
      </c>
      <c r="J2101" s="4" t="s">
        <v>3170</v>
      </c>
      <c r="K2101" s="4" t="s">
        <v>24</v>
      </c>
    </row>
    <row r="2102" spans="1:11" x14ac:dyDescent="0.2">
      <c r="A2102" s="4" t="s">
        <v>4348</v>
      </c>
      <c r="B2102" s="4" t="s">
        <v>4349</v>
      </c>
      <c r="C2102" s="4" t="s">
        <v>13</v>
      </c>
      <c r="D2102" s="4" t="s">
        <v>4340</v>
      </c>
      <c r="E2102" s="4" t="s">
        <v>4341</v>
      </c>
      <c r="F2102" s="4" t="s">
        <v>649</v>
      </c>
      <c r="G2102" s="1">
        <v>0.13300000000000001</v>
      </c>
      <c r="H2102" s="4" t="s">
        <v>112</v>
      </c>
      <c r="I2102" s="4" t="s">
        <v>3833</v>
      </c>
      <c r="J2102" s="4" t="s">
        <v>3170</v>
      </c>
      <c r="K2102" s="4" t="s">
        <v>24</v>
      </c>
    </row>
    <row r="2103" spans="1:11" x14ac:dyDescent="0.2">
      <c r="A2103" s="4" t="s">
        <v>4350</v>
      </c>
      <c r="B2103" s="4" t="s">
        <v>4351</v>
      </c>
      <c r="C2103" s="4" t="s">
        <v>13</v>
      </c>
      <c r="D2103" s="4" t="s">
        <v>4340</v>
      </c>
      <c r="E2103" s="4" t="s">
        <v>4341</v>
      </c>
      <c r="F2103" s="4" t="s">
        <v>649</v>
      </c>
      <c r="G2103" s="1">
        <v>0.13300000000000001</v>
      </c>
      <c r="H2103" s="4" t="s">
        <v>112</v>
      </c>
      <c r="I2103" s="4" t="s">
        <v>3833</v>
      </c>
      <c r="J2103" s="4" t="s">
        <v>3170</v>
      </c>
      <c r="K2103" s="4" t="s">
        <v>24</v>
      </c>
    </row>
    <row r="2104" spans="1:11" x14ac:dyDescent="0.2">
      <c r="A2104" s="4" t="s">
        <v>4352</v>
      </c>
      <c r="B2104" s="4" t="s">
        <v>4353</v>
      </c>
      <c r="C2104" s="4" t="s">
        <v>13</v>
      </c>
      <c r="D2104" s="4" t="s">
        <v>4340</v>
      </c>
      <c r="E2104" s="4" t="s">
        <v>4341</v>
      </c>
      <c r="F2104" s="4" t="s">
        <v>649</v>
      </c>
      <c r="G2104" s="1">
        <v>0</v>
      </c>
      <c r="H2104" s="4" t="s">
        <v>254</v>
      </c>
      <c r="I2104" s="4" t="s">
        <v>3833</v>
      </c>
      <c r="J2104" s="4" t="s">
        <v>3170</v>
      </c>
      <c r="K2104" s="4" t="s">
        <v>24</v>
      </c>
    </row>
    <row r="2105" spans="1:11" x14ac:dyDescent="0.2">
      <c r="A2105" s="4" t="s">
        <v>4354</v>
      </c>
      <c r="B2105" s="4" t="s">
        <v>4355</v>
      </c>
      <c r="C2105" s="4" t="s">
        <v>13</v>
      </c>
      <c r="D2105" s="4" t="s">
        <v>4340</v>
      </c>
      <c r="E2105" s="4" t="s">
        <v>4341</v>
      </c>
      <c r="F2105" s="4" t="s">
        <v>649</v>
      </c>
      <c r="G2105" s="1">
        <v>0.13300000000000001</v>
      </c>
      <c r="H2105" s="4" t="s">
        <v>112</v>
      </c>
      <c r="I2105" s="4" t="s">
        <v>3833</v>
      </c>
      <c r="J2105" s="4" t="s">
        <v>3170</v>
      </c>
      <c r="K2105" s="4" t="s">
        <v>24</v>
      </c>
    </row>
    <row r="2106" spans="1:11" x14ac:dyDescent="0.2">
      <c r="A2106" s="4" t="s">
        <v>4356</v>
      </c>
      <c r="B2106" s="4" t="s">
        <v>4357</v>
      </c>
      <c r="C2106" s="4" t="s">
        <v>13</v>
      </c>
      <c r="D2106" s="4" t="s">
        <v>4340</v>
      </c>
      <c r="E2106" s="4" t="s">
        <v>4341</v>
      </c>
      <c r="F2106" s="4" t="s">
        <v>649</v>
      </c>
      <c r="G2106" s="1">
        <v>0.13300000000000001</v>
      </c>
      <c r="H2106" s="4" t="s">
        <v>112</v>
      </c>
      <c r="I2106" s="4" t="s">
        <v>3833</v>
      </c>
      <c r="J2106" s="4" t="s">
        <v>3170</v>
      </c>
      <c r="K2106" s="4" t="s">
        <v>24</v>
      </c>
    </row>
    <row r="2107" spans="1:11" x14ac:dyDescent="0.2">
      <c r="A2107" s="4" t="s">
        <v>4358</v>
      </c>
      <c r="B2107" s="4" t="s">
        <v>4359</v>
      </c>
      <c r="C2107" s="4" t="s">
        <v>13</v>
      </c>
      <c r="D2107" s="4" t="s">
        <v>4340</v>
      </c>
      <c r="E2107" s="4" t="s">
        <v>4341</v>
      </c>
      <c r="F2107" s="4" t="s">
        <v>649</v>
      </c>
      <c r="G2107" s="1">
        <v>0.13300000000000001</v>
      </c>
      <c r="H2107" s="4" t="s">
        <v>112</v>
      </c>
      <c r="I2107" s="4" t="s">
        <v>3833</v>
      </c>
      <c r="J2107" s="4" t="s">
        <v>3170</v>
      </c>
      <c r="K2107" s="4" t="s">
        <v>24</v>
      </c>
    </row>
    <row r="2108" spans="1:11" x14ac:dyDescent="0.2">
      <c r="A2108" s="4" t="s">
        <v>4360</v>
      </c>
      <c r="B2108" s="4" t="s">
        <v>4361</v>
      </c>
      <c r="C2108" s="4" t="s">
        <v>13</v>
      </c>
      <c r="D2108" s="4" t="s">
        <v>4340</v>
      </c>
      <c r="E2108" s="4" t="s">
        <v>4341</v>
      </c>
      <c r="F2108" s="4" t="s">
        <v>649</v>
      </c>
      <c r="G2108" s="1">
        <v>3.3000000000000002E-2</v>
      </c>
      <c r="H2108" s="4" t="s">
        <v>225</v>
      </c>
      <c r="I2108" s="4" t="s">
        <v>3833</v>
      </c>
      <c r="J2108" s="4" t="s">
        <v>3170</v>
      </c>
      <c r="K2108" s="4" t="s">
        <v>24</v>
      </c>
    </row>
    <row r="2109" spans="1:11" x14ac:dyDescent="0.2">
      <c r="A2109" s="4" t="s">
        <v>4362</v>
      </c>
      <c r="B2109" s="4" t="s">
        <v>4363</v>
      </c>
      <c r="C2109" s="4" t="s">
        <v>13</v>
      </c>
      <c r="D2109" s="4" t="s">
        <v>4340</v>
      </c>
      <c r="E2109" s="4" t="s">
        <v>4341</v>
      </c>
      <c r="F2109" s="4" t="s">
        <v>649</v>
      </c>
      <c r="G2109" s="1">
        <v>0.13300000000000001</v>
      </c>
      <c r="H2109" s="4" t="s">
        <v>112</v>
      </c>
      <c r="I2109" s="4" t="s">
        <v>3833</v>
      </c>
      <c r="J2109" s="4" t="s">
        <v>3170</v>
      </c>
      <c r="K2109" s="4" t="s">
        <v>24</v>
      </c>
    </row>
    <row r="2110" spans="1:11" x14ac:dyDescent="0.2">
      <c r="A2110" s="4" t="s">
        <v>4364</v>
      </c>
      <c r="B2110" s="4" t="s">
        <v>4365</v>
      </c>
      <c r="C2110" s="4" t="s">
        <v>13</v>
      </c>
      <c r="D2110" s="4" t="s">
        <v>4340</v>
      </c>
      <c r="E2110" s="4" t="s">
        <v>4341</v>
      </c>
      <c r="F2110" s="4" t="s">
        <v>649</v>
      </c>
      <c r="G2110" s="1">
        <v>3.3000000000000002E-2</v>
      </c>
      <c r="H2110" s="4" t="s">
        <v>225</v>
      </c>
      <c r="I2110" s="4" t="s">
        <v>3833</v>
      </c>
      <c r="J2110" s="4" t="s">
        <v>3170</v>
      </c>
      <c r="K2110" s="4" t="s">
        <v>24</v>
      </c>
    </row>
    <row r="2111" spans="1:11" x14ac:dyDescent="0.2">
      <c r="A2111" s="4" t="s">
        <v>4366</v>
      </c>
      <c r="B2111" s="4" t="s">
        <v>4367</v>
      </c>
      <c r="C2111" s="4" t="s">
        <v>13</v>
      </c>
      <c r="D2111" s="4" t="s">
        <v>4340</v>
      </c>
      <c r="E2111" s="4" t="s">
        <v>4341</v>
      </c>
      <c r="F2111" s="4" t="s">
        <v>649</v>
      </c>
      <c r="G2111" s="1">
        <v>0</v>
      </c>
      <c r="H2111" s="4" t="s">
        <v>254</v>
      </c>
      <c r="I2111" s="4" t="s">
        <v>3833</v>
      </c>
      <c r="J2111" s="4" t="s">
        <v>3170</v>
      </c>
      <c r="K2111" s="4" t="s">
        <v>24</v>
      </c>
    </row>
    <row r="2112" spans="1:11" x14ac:dyDescent="0.2">
      <c r="A2112" s="4" t="s">
        <v>4368</v>
      </c>
      <c r="B2112" s="4" t="s">
        <v>4369</v>
      </c>
      <c r="C2112" s="4" t="s">
        <v>13</v>
      </c>
      <c r="D2112" s="4" t="s">
        <v>4340</v>
      </c>
      <c r="E2112" s="4" t="s">
        <v>4341</v>
      </c>
      <c r="F2112" s="4" t="s">
        <v>649</v>
      </c>
      <c r="G2112" s="1">
        <v>6.7000000000000004E-2</v>
      </c>
      <c r="H2112" s="4" t="s">
        <v>166</v>
      </c>
      <c r="I2112" s="4" t="s">
        <v>3833</v>
      </c>
      <c r="J2112" s="4" t="s">
        <v>3170</v>
      </c>
      <c r="K2112" s="4" t="s">
        <v>24</v>
      </c>
    </row>
    <row r="2113" spans="1:11" x14ac:dyDescent="0.2">
      <c r="A2113" s="4" t="s">
        <v>4370</v>
      </c>
      <c r="B2113" s="4" t="s">
        <v>4371</v>
      </c>
      <c r="C2113" s="4" t="s">
        <v>13</v>
      </c>
      <c r="D2113" s="4" t="s">
        <v>4340</v>
      </c>
      <c r="E2113" s="4" t="s">
        <v>4341</v>
      </c>
      <c r="F2113" s="4" t="s">
        <v>649</v>
      </c>
      <c r="G2113" s="1">
        <v>0.05</v>
      </c>
      <c r="H2113" s="4" t="s">
        <v>336</v>
      </c>
      <c r="I2113" s="4" t="s">
        <v>3833</v>
      </c>
      <c r="J2113" s="4" t="s">
        <v>3170</v>
      </c>
      <c r="K2113" s="4" t="s">
        <v>3838</v>
      </c>
    </row>
    <row r="2114" spans="1:11" x14ac:dyDescent="0.2">
      <c r="A2114" s="4" t="s">
        <v>4372</v>
      </c>
      <c r="B2114" s="4" t="s">
        <v>4373</v>
      </c>
      <c r="C2114" s="4" t="s">
        <v>13</v>
      </c>
      <c r="D2114" s="4" t="s">
        <v>4340</v>
      </c>
      <c r="E2114" s="4" t="s">
        <v>4341</v>
      </c>
      <c r="F2114" s="4" t="s">
        <v>649</v>
      </c>
      <c r="G2114" s="1">
        <v>0.13300000000000001</v>
      </c>
      <c r="H2114" s="4" t="s">
        <v>112</v>
      </c>
      <c r="I2114" s="4" t="s">
        <v>3833</v>
      </c>
      <c r="J2114" s="4" t="s">
        <v>3170</v>
      </c>
      <c r="K2114" s="4" t="s">
        <v>24</v>
      </c>
    </row>
    <row r="2115" spans="1:11" x14ac:dyDescent="0.2">
      <c r="A2115" s="4" t="s">
        <v>4374</v>
      </c>
      <c r="B2115" s="4" t="s">
        <v>4375</v>
      </c>
      <c r="C2115" s="4" t="s">
        <v>13</v>
      </c>
      <c r="D2115" s="4" t="s">
        <v>4340</v>
      </c>
      <c r="E2115" s="4" t="s">
        <v>4341</v>
      </c>
      <c r="F2115" s="4" t="s">
        <v>649</v>
      </c>
      <c r="G2115" s="1">
        <v>0.13300000000000001</v>
      </c>
      <c r="H2115" s="4" t="s">
        <v>112</v>
      </c>
      <c r="I2115" s="4" t="s">
        <v>3833</v>
      </c>
      <c r="J2115" s="4" t="s">
        <v>3170</v>
      </c>
      <c r="K2115" s="4" t="s">
        <v>24</v>
      </c>
    </row>
    <row r="2116" spans="1:11" x14ac:dyDescent="0.2">
      <c r="A2116" s="4" t="s">
        <v>4376</v>
      </c>
      <c r="B2116" s="4" t="s">
        <v>4377</v>
      </c>
      <c r="C2116" s="4" t="s">
        <v>13</v>
      </c>
      <c r="D2116" s="4" t="s">
        <v>4340</v>
      </c>
      <c r="E2116" s="4" t="s">
        <v>4341</v>
      </c>
      <c r="F2116" s="4" t="s">
        <v>649</v>
      </c>
      <c r="G2116" s="1">
        <v>0.13300000000000001</v>
      </c>
      <c r="H2116" s="4" t="s">
        <v>112</v>
      </c>
      <c r="I2116" s="4" t="s">
        <v>3833</v>
      </c>
      <c r="J2116" s="4" t="s">
        <v>3170</v>
      </c>
      <c r="K2116" s="4" t="s">
        <v>24</v>
      </c>
    </row>
    <row r="2117" spans="1:11" x14ac:dyDescent="0.2">
      <c r="A2117" s="4" t="s">
        <v>4378</v>
      </c>
      <c r="B2117" s="4" t="s">
        <v>4379</v>
      </c>
      <c r="C2117" s="4" t="s">
        <v>13</v>
      </c>
      <c r="D2117" s="4" t="s">
        <v>4340</v>
      </c>
      <c r="E2117" s="4" t="s">
        <v>4341</v>
      </c>
      <c r="F2117" s="4" t="s">
        <v>649</v>
      </c>
      <c r="G2117" s="1">
        <v>0.1</v>
      </c>
      <c r="H2117" s="4" t="s">
        <v>117</v>
      </c>
      <c r="I2117" s="4" t="s">
        <v>3833</v>
      </c>
      <c r="J2117" s="4" t="s">
        <v>3170</v>
      </c>
      <c r="K2117" s="4" t="s">
        <v>24</v>
      </c>
    </row>
    <row r="2118" spans="1:11" x14ac:dyDescent="0.2">
      <c r="A2118" s="4" t="s">
        <v>4380</v>
      </c>
      <c r="B2118" s="4" t="s">
        <v>4381</v>
      </c>
      <c r="C2118" s="4" t="s">
        <v>13</v>
      </c>
      <c r="D2118" s="4" t="s">
        <v>4340</v>
      </c>
      <c r="E2118" s="4" t="s">
        <v>4341</v>
      </c>
      <c r="F2118" s="4" t="s">
        <v>649</v>
      </c>
      <c r="G2118" s="1">
        <v>0.13300000000000001</v>
      </c>
      <c r="H2118" s="4" t="s">
        <v>112</v>
      </c>
      <c r="I2118" s="4" t="s">
        <v>3833</v>
      </c>
      <c r="J2118" s="4" t="s">
        <v>3170</v>
      </c>
      <c r="K2118" s="4" t="s">
        <v>24</v>
      </c>
    </row>
    <row r="2119" spans="1:11" x14ac:dyDescent="0.2">
      <c r="A2119" s="4" t="s">
        <v>4382</v>
      </c>
      <c r="B2119" s="4" t="s">
        <v>4383</v>
      </c>
      <c r="C2119" s="4" t="s">
        <v>13</v>
      </c>
      <c r="D2119" s="4" t="s">
        <v>4340</v>
      </c>
      <c r="E2119" s="4" t="s">
        <v>4341</v>
      </c>
      <c r="F2119" s="4" t="s">
        <v>649</v>
      </c>
      <c r="G2119" s="1">
        <v>0.1</v>
      </c>
      <c r="H2119" s="4" t="s">
        <v>117</v>
      </c>
      <c r="I2119" s="4" t="s">
        <v>3833</v>
      </c>
      <c r="J2119" s="4" t="s">
        <v>3170</v>
      </c>
      <c r="K2119" s="4" t="s">
        <v>24</v>
      </c>
    </row>
    <row r="2120" spans="1:11" x14ac:dyDescent="0.2">
      <c r="A2120" s="4" t="s">
        <v>4384</v>
      </c>
      <c r="B2120" s="4" t="s">
        <v>4385</v>
      </c>
      <c r="C2120" s="4" t="s">
        <v>13</v>
      </c>
      <c r="D2120" s="4" t="s">
        <v>4340</v>
      </c>
      <c r="E2120" s="4" t="s">
        <v>4341</v>
      </c>
      <c r="F2120" s="4" t="s">
        <v>649</v>
      </c>
      <c r="G2120" s="1">
        <v>0.1</v>
      </c>
      <c r="H2120" s="4" t="s">
        <v>117</v>
      </c>
      <c r="I2120" s="4" t="s">
        <v>3833</v>
      </c>
      <c r="J2120" s="4" t="s">
        <v>3170</v>
      </c>
      <c r="K2120" s="4" t="s">
        <v>24</v>
      </c>
    </row>
    <row r="2121" spans="1:11" x14ac:dyDescent="0.2">
      <c r="A2121" s="4" t="s">
        <v>4386</v>
      </c>
      <c r="B2121" s="4" t="s">
        <v>4387</v>
      </c>
      <c r="C2121" s="4" t="s">
        <v>13</v>
      </c>
      <c r="D2121" s="4" t="s">
        <v>4340</v>
      </c>
      <c r="E2121" s="4" t="s">
        <v>4341</v>
      </c>
      <c r="F2121" s="4" t="s">
        <v>649</v>
      </c>
      <c r="G2121" s="1">
        <v>0.1</v>
      </c>
      <c r="H2121" s="4" t="s">
        <v>117</v>
      </c>
      <c r="I2121" s="4" t="s">
        <v>3833</v>
      </c>
      <c r="J2121" s="4" t="s">
        <v>3170</v>
      </c>
      <c r="K2121" s="4" t="s">
        <v>24</v>
      </c>
    </row>
    <row r="2122" spans="1:11" x14ac:dyDescent="0.2">
      <c r="A2122" s="4" t="s">
        <v>4388</v>
      </c>
      <c r="B2122" s="4" t="s">
        <v>4389</v>
      </c>
      <c r="C2122" s="4" t="s">
        <v>13</v>
      </c>
      <c r="D2122" s="4" t="s">
        <v>4340</v>
      </c>
      <c r="E2122" s="4" t="s">
        <v>4341</v>
      </c>
      <c r="F2122" s="4" t="s">
        <v>649</v>
      </c>
      <c r="G2122" s="1">
        <v>0.13300000000000001</v>
      </c>
      <c r="H2122" s="4" t="s">
        <v>112</v>
      </c>
      <c r="I2122" s="4" t="s">
        <v>3833</v>
      </c>
      <c r="J2122" s="4" t="s">
        <v>3170</v>
      </c>
      <c r="K2122" s="4" t="s">
        <v>24</v>
      </c>
    </row>
    <row r="2123" spans="1:11" x14ac:dyDescent="0.2">
      <c r="A2123" s="4" t="s">
        <v>4390</v>
      </c>
      <c r="B2123" s="4" t="s">
        <v>4391</v>
      </c>
      <c r="C2123" s="4" t="s">
        <v>13</v>
      </c>
      <c r="D2123" s="4" t="s">
        <v>4340</v>
      </c>
      <c r="E2123" s="4" t="s">
        <v>4341</v>
      </c>
      <c r="F2123" s="4" t="s">
        <v>649</v>
      </c>
      <c r="G2123" s="1">
        <v>0.13300000000000001</v>
      </c>
      <c r="H2123" s="4" t="s">
        <v>112</v>
      </c>
      <c r="I2123" s="4" t="s">
        <v>3833</v>
      </c>
      <c r="J2123" s="4" t="s">
        <v>3170</v>
      </c>
      <c r="K2123" s="4" t="s">
        <v>3928</v>
      </c>
    </row>
    <row r="2124" spans="1:11" x14ac:dyDescent="0.2">
      <c r="A2124" s="4" t="s">
        <v>4392</v>
      </c>
      <c r="B2124" s="4" t="s">
        <v>4393</v>
      </c>
      <c r="C2124" s="4" t="s">
        <v>13</v>
      </c>
      <c r="D2124" s="4" t="s">
        <v>4340</v>
      </c>
      <c r="E2124" s="4" t="s">
        <v>4341</v>
      </c>
      <c r="F2124" s="4" t="s">
        <v>649</v>
      </c>
      <c r="G2124" s="1">
        <v>3.3000000000000002E-2</v>
      </c>
      <c r="H2124" s="4" t="s">
        <v>225</v>
      </c>
      <c r="I2124" s="4" t="s">
        <v>3833</v>
      </c>
      <c r="J2124" s="4" t="s">
        <v>3170</v>
      </c>
      <c r="K2124" s="4" t="s">
        <v>3842</v>
      </c>
    </row>
    <row r="2125" spans="1:11" x14ac:dyDescent="0.2">
      <c r="A2125" s="4" t="s">
        <v>4394</v>
      </c>
      <c r="B2125" s="4" t="s">
        <v>4395</v>
      </c>
      <c r="C2125" s="4" t="s">
        <v>13</v>
      </c>
      <c r="D2125" s="4" t="s">
        <v>4340</v>
      </c>
      <c r="E2125" s="4" t="s">
        <v>4341</v>
      </c>
      <c r="F2125" s="4" t="s">
        <v>649</v>
      </c>
      <c r="G2125" s="1">
        <v>0.1</v>
      </c>
      <c r="H2125" s="4" t="s">
        <v>117</v>
      </c>
      <c r="I2125" s="4" t="s">
        <v>3833</v>
      </c>
      <c r="J2125" s="4" t="s">
        <v>3170</v>
      </c>
      <c r="K2125" s="4" t="s">
        <v>3842</v>
      </c>
    </row>
    <row r="2126" spans="1:11" x14ac:dyDescent="0.2">
      <c r="A2126" s="4" t="s">
        <v>4396</v>
      </c>
      <c r="B2126" s="4" t="s">
        <v>4397</v>
      </c>
      <c r="C2126" s="4" t="s">
        <v>13</v>
      </c>
      <c r="D2126" s="4" t="s">
        <v>4340</v>
      </c>
      <c r="E2126" s="4" t="s">
        <v>4341</v>
      </c>
      <c r="F2126" s="4" t="s">
        <v>649</v>
      </c>
      <c r="G2126" s="1">
        <v>0.13300000000000001</v>
      </c>
      <c r="H2126" s="4" t="s">
        <v>112</v>
      </c>
      <c r="I2126" s="4" t="s">
        <v>3833</v>
      </c>
      <c r="J2126" s="4" t="s">
        <v>3170</v>
      </c>
      <c r="K2126" s="4" t="s">
        <v>3842</v>
      </c>
    </row>
    <row r="2127" spans="1:11" x14ac:dyDescent="0.2">
      <c r="A2127" s="4" t="s">
        <v>4398</v>
      </c>
      <c r="B2127" s="4" t="s">
        <v>4399</v>
      </c>
      <c r="C2127" s="4" t="s">
        <v>13</v>
      </c>
      <c r="D2127" s="4" t="s">
        <v>4340</v>
      </c>
      <c r="E2127" s="4" t="s">
        <v>4341</v>
      </c>
      <c r="F2127" s="4" t="s">
        <v>649</v>
      </c>
      <c r="G2127" s="1">
        <v>0.13300000000000001</v>
      </c>
      <c r="H2127" s="4" t="s">
        <v>112</v>
      </c>
      <c r="I2127" s="4" t="s">
        <v>3833</v>
      </c>
      <c r="J2127" s="4" t="s">
        <v>3170</v>
      </c>
      <c r="K2127" s="4" t="s">
        <v>3847</v>
      </c>
    </row>
    <row r="2128" spans="1:11" x14ac:dyDescent="0.2">
      <c r="A2128" s="4" t="s">
        <v>4400</v>
      </c>
      <c r="B2128" s="4" t="s">
        <v>4401</v>
      </c>
      <c r="C2128" s="4" t="s">
        <v>13</v>
      </c>
      <c r="D2128" s="4" t="s">
        <v>4340</v>
      </c>
      <c r="E2128" s="4" t="s">
        <v>4341</v>
      </c>
      <c r="F2128" s="4" t="s">
        <v>649</v>
      </c>
      <c r="G2128" s="1">
        <v>0</v>
      </c>
      <c r="H2128" s="4" t="s">
        <v>254</v>
      </c>
      <c r="I2128" s="4" t="s">
        <v>3833</v>
      </c>
      <c r="J2128" s="4" t="s">
        <v>3170</v>
      </c>
      <c r="K2128" s="4" t="s">
        <v>24</v>
      </c>
    </row>
    <row r="2129" spans="1:11" x14ac:dyDescent="0.2">
      <c r="A2129" s="4" t="s">
        <v>4402</v>
      </c>
      <c r="B2129" s="4" t="s">
        <v>4403</v>
      </c>
      <c r="C2129" s="4" t="s">
        <v>13</v>
      </c>
      <c r="D2129" s="4" t="s">
        <v>4340</v>
      </c>
      <c r="E2129" s="4" t="s">
        <v>4341</v>
      </c>
      <c r="F2129" s="4" t="s">
        <v>649</v>
      </c>
      <c r="G2129" s="1">
        <v>3.3000000000000002E-2</v>
      </c>
      <c r="H2129" s="4" t="s">
        <v>225</v>
      </c>
      <c r="I2129" s="4" t="s">
        <v>3833</v>
      </c>
      <c r="J2129" s="4" t="s">
        <v>3170</v>
      </c>
      <c r="K2129" s="4" t="s">
        <v>24</v>
      </c>
    </row>
    <row r="2130" spans="1:11" x14ac:dyDescent="0.2">
      <c r="A2130" s="4" t="s">
        <v>4404</v>
      </c>
      <c r="B2130" s="4" t="s">
        <v>4405</v>
      </c>
      <c r="C2130" s="4" t="s">
        <v>13</v>
      </c>
      <c r="D2130" s="4" t="s">
        <v>4340</v>
      </c>
      <c r="E2130" s="4" t="s">
        <v>4341</v>
      </c>
      <c r="F2130" s="4" t="s">
        <v>649</v>
      </c>
      <c r="G2130" s="1">
        <v>6.7000000000000004E-2</v>
      </c>
      <c r="H2130" s="4" t="s">
        <v>166</v>
      </c>
      <c r="I2130" s="4" t="s">
        <v>3833</v>
      </c>
      <c r="J2130" s="4" t="s">
        <v>3170</v>
      </c>
      <c r="K213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8</vt:i4>
      </vt:variant>
    </vt:vector>
  </HeadingPairs>
  <TitlesOfParts>
    <vt:vector size="21" baseType="lpstr">
      <vt:lpstr>INICIO</vt:lpstr>
      <vt:lpstr>CURSOS</vt:lpstr>
      <vt:lpstr>FICHA ESTUDIANTE</vt:lpstr>
      <vt:lpstr>ALERTAS</vt:lpstr>
      <vt:lpstr>INCONSISTENCIAS</vt:lpstr>
      <vt:lpstr>DATOS</vt:lpstr>
      <vt:lpstr>Estudiantes</vt:lpstr>
      <vt:lpstr>Base Estudiantes</vt:lpstr>
      <vt:lpstr>GRUPOS</vt:lpstr>
      <vt:lpstr>PARAMETROS</vt:lpstr>
      <vt:lpstr>CALC</vt:lpstr>
      <vt:lpstr>Resumen por grupo</vt:lpstr>
      <vt:lpstr>RESPALDO_ORIGINAL</vt:lpstr>
      <vt:lpstr>Estudiantes!_FilterDatabase</vt:lpstr>
      <vt:lpstr>lstAlertas</vt:lpstr>
      <vt:lpstr>lstEstados</vt:lpstr>
      <vt:lpstr>pCaidaTend</vt:lpstr>
      <vt:lpstr>pDesvAnom</vt:lpstr>
      <vt:lpstr>pFaltasConsec</vt:lpstr>
      <vt:lpstr>pPrueba</vt:lpstr>
      <vt:lpstr>pVentanaTend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santamaria</cp:lastModifiedBy>
  <dcterms:created xsi:type="dcterms:W3CDTF">2026-09-25T18:01:31Z</dcterms:created>
  <dcterms:modified xsi:type="dcterms:W3CDTF">2026-09-25T18:40:24Z</dcterms:modified>
</cp:coreProperties>
</file>